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4110" yWindow="630" windowWidth="4965" windowHeight="5070" tabRatio="868"/>
  </bookViews>
  <sheets>
    <sheet name="Hydraulic" sheetId="19129" r:id="rId1"/>
    <sheet name="Table" sheetId="1" state="hidden" r:id="rId2"/>
    <sheet name="DATA" sheetId="19128" r:id="rId3"/>
    <sheet name="HeadWall" sheetId="84" r:id="rId4"/>
    <sheet name="Barrel" sheetId="107" r:id="rId5"/>
    <sheet name="Mom Dist-Barl" sheetId="19139" state="hidden" r:id="rId6"/>
    <sheet name="CS gate" sheetId="19131" r:id="rId7"/>
    <sheet name="RS gate" sheetId="19135" r:id="rId8"/>
    <sheet name="CS Wing" sheetId="19134" r:id="rId9"/>
    <sheet name="RS Wing" sheetId="19130" r:id="rId10"/>
    <sheet name="CS R Wall" sheetId="19141" r:id="rId11"/>
    <sheet name="RS R wall" sheetId="19136" r:id="rId12"/>
    <sheet name="Drawing" sheetId="19142" state="hidden" r:id="rId13"/>
    <sheet name="Calc-2" sheetId="19137" state="hidden" r:id="rId14"/>
    <sheet name="Mom Distr-CS" sheetId="19138" state="hidden" r:id="rId15"/>
    <sheet name="Run Off" sheetId="19140" state="hidden" r:id="rId16"/>
  </sheets>
  <definedNames>
    <definedName name="b">Hydraulic!$D$169</definedName>
    <definedName name="D">Hydraulic!$E$8</definedName>
    <definedName name="fs">'CS Wing'!$C$18</definedName>
    <definedName name="g">Hydraulic!$C$18</definedName>
    <definedName name="GL">Hydraulic!$C$15</definedName>
    <definedName name="hfl">Hydraulic!$C$16</definedName>
    <definedName name="IL">Hydraulic!$D$26</definedName>
    <definedName name="j">'CS Wing'!$C$22</definedName>
    <definedName name="_xlnm.Print_Area" localSheetId="4">Barrel!$A$1:$J$328</definedName>
    <definedName name="_xlnm.Print_Area" localSheetId="6">'CS gate'!$A$1:$J$488</definedName>
    <definedName name="_xlnm.Print_Area" localSheetId="8">'CS Wing'!$A$1:$J$1393</definedName>
    <definedName name="_xlnm.Print_Area" localSheetId="2">DATA!$A$1:$J$368</definedName>
    <definedName name="_xlnm.Print_Area" localSheetId="12">Drawing!$A$1:$J$466</definedName>
    <definedName name="_xlnm.Print_Area" localSheetId="0">Hydraulic!$A$1:$J$1082</definedName>
    <definedName name="_xlnm.Print_Area" localSheetId="9">'RS Wing'!$A$1:$J$1380</definedName>
  </definedNames>
  <calcPr calcId="124519"/>
  <fileRecoveryPr autoRecover="0" repairLoad="1"/>
</workbook>
</file>

<file path=xl/calcChain.xml><?xml version="1.0" encoding="utf-8"?>
<calcChain xmlns="http://schemas.openxmlformats.org/spreadsheetml/2006/main">
  <c r="D485" i="19135"/>
  <c r="D484" i="19131"/>
  <c r="I48" i="19129" l="1"/>
  <c r="E308" i="19134" l="1"/>
  <c r="C16" i="19129" l="1"/>
  <c r="A573" l="1"/>
  <c r="C128"/>
  <c r="P135"/>
  <c r="P134"/>
  <c r="N137"/>
  <c r="E136" s="1"/>
  <c r="P132"/>
  <c r="N132"/>
  <c r="B135" s="1"/>
  <c r="D131"/>
  <c r="P126"/>
  <c r="P125"/>
  <c r="H96"/>
  <c r="H94"/>
  <c r="H95"/>
  <c r="D93"/>
  <c r="D97"/>
  <c r="M104" s="1"/>
  <c r="M128"/>
  <c r="M126"/>
  <c r="M125"/>
  <c r="P129"/>
  <c r="M129" s="1"/>
  <c r="G92" l="1"/>
  <c r="N136"/>
  <c r="E135" s="1"/>
  <c r="B97"/>
  <c r="B93"/>
  <c r="D96" l="1"/>
  <c r="D95"/>
  <c r="D94"/>
  <c r="M101" s="1"/>
  <c r="B100"/>
  <c r="E100" s="1"/>
  <c r="E97" l="1"/>
  <c r="G377" i="19135" l="1"/>
  <c r="G376" i="19131"/>
  <c r="E253" i="19135" l="1"/>
  <c r="G253" s="1"/>
  <c r="I253" s="1"/>
  <c r="E251" i="19131"/>
  <c r="G251" s="1"/>
  <c r="I251" s="1"/>
  <c r="P12" i="19129" l="1"/>
  <c r="I154" i="19128" l="1"/>
  <c r="C171" s="1"/>
  <c r="I155"/>
  <c r="T7" i="19129"/>
  <c r="I3" i="107"/>
  <c r="I4"/>
  <c r="P11" i="19129"/>
  <c r="T12" s="1"/>
  <c r="N8"/>
  <c r="S2" s="1"/>
  <c r="P6"/>
  <c r="D10" i="19128" s="1"/>
  <c r="R3" i="19129" l="1"/>
  <c r="T3"/>
  <c r="R12"/>
  <c r="T16"/>
  <c r="R16"/>
  <c r="R7"/>
  <c r="P13"/>
  <c r="C837"/>
  <c r="C836"/>
  <c r="C821"/>
  <c r="E799"/>
  <c r="O5" i="19135" l="1"/>
  <c r="O5" i="19131"/>
  <c r="O62" i="107" l="1"/>
  <c r="O61"/>
  <c r="O64" l="1"/>
  <c r="L75" l="1"/>
  <c r="A88" l="1"/>
  <c r="D12" i="19131" l="1"/>
  <c r="O4" i="19128"/>
  <c r="F88" i="19131" l="1"/>
  <c r="D11"/>
  <c r="H270" i="19129"/>
  <c r="H299" l="1"/>
  <c r="I293" l="1"/>
  <c r="B308"/>
  <c r="A308" s="1"/>
  <c r="A309" s="1"/>
  <c r="A310" s="1"/>
  <c r="A311" s="1"/>
  <c r="A312" s="1"/>
  <c r="A313" s="1"/>
  <c r="A314" s="1"/>
  <c r="A315" s="1"/>
  <c r="A316" s="1"/>
  <c r="A317" s="1"/>
  <c r="I292"/>
  <c r="A297" l="1"/>
  <c r="A298" s="1"/>
  <c r="A299" s="1"/>
  <c r="A300" s="1"/>
  <c r="A301" s="1"/>
  <c r="A302" s="1"/>
  <c r="A303" s="1"/>
  <c r="A304" s="1"/>
  <c r="A305" s="1"/>
  <c r="A306" s="1"/>
  <c r="D117"/>
  <c r="H271"/>
  <c r="A307"/>
  <c r="B307" s="1"/>
  <c r="B318"/>
  <c r="A318" s="1"/>
  <c r="A257"/>
  <c r="A248"/>
  <c r="B297" l="1"/>
  <c r="B298" s="1"/>
  <c r="B299" s="1"/>
  <c r="B300" s="1"/>
  <c r="B301" s="1"/>
  <c r="B302" s="1"/>
  <c r="B303" s="1"/>
  <c r="B304" s="1"/>
  <c r="B305" s="1"/>
  <c r="B306" s="1"/>
  <c r="B309"/>
  <c r="B310" s="1"/>
  <c r="B311" s="1"/>
  <c r="B312" s="1"/>
  <c r="B313" s="1"/>
  <c r="B314" s="1"/>
  <c r="B315" s="1"/>
  <c r="B316" s="1"/>
  <c r="B317" s="1"/>
  <c r="A345"/>
  <c r="P54" l="1"/>
  <c r="D48"/>
  <c r="P51"/>
  <c r="H800"/>
  <c r="C819" s="1"/>
  <c r="M457" l="1"/>
  <c r="M456"/>
  <c r="P448" s="1"/>
  <c r="M455"/>
  <c r="M454"/>
  <c r="M453"/>
  <c r="M451"/>
  <c r="M450"/>
  <c r="G735" l="1"/>
  <c r="I284" i="19136" l="1"/>
  <c r="I284" i="19141"/>
  <c r="I15" i="19130" l="1"/>
  <c r="I15" i="19134"/>
  <c r="I18" i="19135"/>
  <c r="I18" i="19131"/>
  <c r="H24" i="107"/>
  <c r="AB23" i="19130" l="1"/>
  <c r="AC23"/>
  <c r="AD23"/>
  <c r="AE23"/>
  <c r="AF23"/>
  <c r="AB21"/>
  <c r="AC21"/>
  <c r="AD21"/>
  <c r="AE21"/>
  <c r="AF21"/>
  <c r="U290" i="1"/>
  <c r="T290"/>
  <c r="S290"/>
  <c r="R290"/>
  <c r="Q290"/>
  <c r="AB23" i="19134"/>
  <c r="AC23"/>
  <c r="AD23"/>
  <c r="AE23"/>
  <c r="AF23"/>
  <c r="AF21"/>
  <c r="AB21"/>
  <c r="AC21"/>
  <c r="AD21"/>
  <c r="AE21"/>
  <c r="R253" i="1"/>
  <c r="S253"/>
  <c r="T253"/>
  <c r="U253"/>
  <c r="Q253"/>
  <c r="R235"/>
  <c r="S235"/>
  <c r="T235"/>
  <c r="U235"/>
  <c r="Q235"/>
  <c r="H1349" i="19130"/>
  <c r="H1101"/>
  <c r="H851"/>
  <c r="H603"/>
  <c r="H355"/>
  <c r="H1106" i="19134"/>
  <c r="H858"/>
  <c r="H611"/>
  <c r="H362"/>
  <c r="H329"/>
  <c r="L1378" i="19130"/>
  <c r="J441" i="19142" s="1"/>
  <c r="H1378" i="19130"/>
  <c r="H441" i="19142" s="1"/>
  <c r="F1378" i="19130"/>
  <c r="F441" i="19142" s="1"/>
  <c r="D1378" i="19130"/>
  <c r="D441" i="19142" s="1"/>
  <c r="B1378" i="19130"/>
  <c r="B441" i="19142" s="1"/>
  <c r="L1391" i="19134"/>
  <c r="L330" i="19142" s="1"/>
  <c r="H1391" i="19134"/>
  <c r="H330" i="19142" s="1"/>
  <c r="F1391" i="19134"/>
  <c r="F330" i="19142" s="1"/>
  <c r="D1391" i="19134"/>
  <c r="D330" i="19142" s="1"/>
  <c r="J330" l="1"/>
  <c r="AB24" i="19134"/>
  <c r="AD24"/>
  <c r="AB24" i="19130"/>
  <c r="AF24"/>
  <c r="AE24" i="19134"/>
  <c r="AF24"/>
  <c r="AC24"/>
  <c r="AD24" i="19130"/>
  <c r="AE24"/>
  <c r="AC24"/>
  <c r="B1391" i="19134"/>
  <c r="B330" i="19142" s="1"/>
  <c r="H1293" i="19130"/>
  <c r="H1045"/>
  <c r="H795"/>
  <c r="H547"/>
  <c r="H299"/>
  <c r="H1179"/>
  <c r="H930"/>
  <c r="H681"/>
  <c r="H433"/>
  <c r="H185"/>
  <c r="N20"/>
  <c r="O20"/>
  <c r="P20"/>
  <c r="Q20"/>
  <c r="R20"/>
  <c r="S20"/>
  <c r="T20"/>
  <c r="U20"/>
  <c r="V20"/>
  <c r="W20"/>
  <c r="X20"/>
  <c r="Y20"/>
  <c r="Z20"/>
  <c r="AA20"/>
  <c r="N21"/>
  <c r="O21"/>
  <c r="P21"/>
  <c r="Q21"/>
  <c r="R21"/>
  <c r="S21"/>
  <c r="T21"/>
  <c r="U21"/>
  <c r="V21"/>
  <c r="W21"/>
  <c r="X21"/>
  <c r="Y21"/>
  <c r="Z21"/>
  <c r="AA21"/>
  <c r="N22"/>
  <c r="O22"/>
  <c r="P22"/>
  <c r="Q22"/>
  <c r="R22"/>
  <c r="S22"/>
  <c r="T22"/>
  <c r="U22"/>
  <c r="V22"/>
  <c r="W22"/>
  <c r="X22"/>
  <c r="Y22"/>
  <c r="Z22"/>
  <c r="AA22"/>
  <c r="N23"/>
  <c r="O23"/>
  <c r="P23"/>
  <c r="Q23"/>
  <c r="R23"/>
  <c r="S23"/>
  <c r="T23"/>
  <c r="U23"/>
  <c r="V23"/>
  <c r="W23"/>
  <c r="X23"/>
  <c r="Y23"/>
  <c r="Z23"/>
  <c r="AA23"/>
  <c r="M21"/>
  <c r="M22"/>
  <c r="M23"/>
  <c r="M20"/>
  <c r="F4"/>
  <c r="L3" s="1"/>
  <c r="P290" i="1"/>
  <c r="O290"/>
  <c r="N290"/>
  <c r="M290"/>
  <c r="L290"/>
  <c r="K290"/>
  <c r="J290"/>
  <c r="I290"/>
  <c r="H290"/>
  <c r="G290"/>
  <c r="F290"/>
  <c r="E290"/>
  <c r="D290"/>
  <c r="C290"/>
  <c r="B290"/>
  <c r="A268"/>
  <c r="F4" i="19134"/>
  <c r="L3" s="1"/>
  <c r="N20"/>
  <c r="O20"/>
  <c r="P20"/>
  <c r="Q20"/>
  <c r="R20"/>
  <c r="S20"/>
  <c r="T20"/>
  <c r="U20"/>
  <c r="V20"/>
  <c r="W20"/>
  <c r="X20"/>
  <c r="Y20"/>
  <c r="Z20"/>
  <c r="AA20"/>
  <c r="N21"/>
  <c r="O21"/>
  <c r="P21"/>
  <c r="Q21"/>
  <c r="R21"/>
  <c r="S21"/>
  <c r="T21"/>
  <c r="U21"/>
  <c r="V21"/>
  <c r="W21"/>
  <c r="X21"/>
  <c r="Y21"/>
  <c r="Z21"/>
  <c r="AA21"/>
  <c r="N22"/>
  <c r="O22"/>
  <c r="P22"/>
  <c r="Q22"/>
  <c r="R22"/>
  <c r="S22"/>
  <c r="T22"/>
  <c r="U22"/>
  <c r="V22"/>
  <c r="W22"/>
  <c r="X22"/>
  <c r="Y22"/>
  <c r="Z22"/>
  <c r="AA22"/>
  <c r="N23"/>
  <c r="O23"/>
  <c r="P23"/>
  <c r="Q23"/>
  <c r="R23"/>
  <c r="S23"/>
  <c r="T23"/>
  <c r="U23"/>
  <c r="V23"/>
  <c r="W23"/>
  <c r="X23"/>
  <c r="Y23"/>
  <c r="Z23"/>
  <c r="AA23"/>
  <c r="M21"/>
  <c r="M22"/>
  <c r="M23"/>
  <c r="M20"/>
  <c r="M253" i="1"/>
  <c r="O253"/>
  <c r="H253"/>
  <c r="B253"/>
  <c r="K253"/>
  <c r="G253"/>
  <c r="C253"/>
  <c r="P253"/>
  <c r="N253"/>
  <c r="L253"/>
  <c r="J253"/>
  <c r="I253"/>
  <c r="F253"/>
  <c r="E253"/>
  <c r="D253"/>
  <c r="A231"/>
  <c r="H1298" i="19134"/>
  <c r="H1049"/>
  <c r="H802"/>
  <c r="H553"/>
  <c r="H1183"/>
  <c r="H935"/>
  <c r="H688"/>
  <c r="H439"/>
  <c r="H305"/>
  <c r="H191"/>
  <c r="L441" i="19142"/>
  <c r="I446"/>
  <c r="I447"/>
  <c r="D347"/>
  <c r="D346"/>
  <c r="A267"/>
  <c r="H92" i="19135"/>
  <c r="H91"/>
  <c r="P7" i="19138"/>
  <c r="G14" s="1"/>
  <c r="L89" i="19135"/>
  <c r="L88"/>
  <c r="B79" i="19142"/>
  <c r="B88" s="1"/>
  <c r="F79"/>
  <c r="F81" s="1"/>
  <c r="F86" s="1"/>
  <c r="G101"/>
  <c r="P484" i="19135"/>
  <c r="O484"/>
  <c r="N484"/>
  <c r="M484"/>
  <c r="P483"/>
  <c r="O483"/>
  <c r="N483"/>
  <c r="M483"/>
  <c r="P482"/>
  <c r="O482"/>
  <c r="N482"/>
  <c r="M482"/>
  <c r="N338"/>
  <c r="M338"/>
  <c r="N337"/>
  <c r="M337"/>
  <c r="P244"/>
  <c r="O244"/>
  <c r="N244"/>
  <c r="M244"/>
  <c r="P243"/>
  <c r="O243"/>
  <c r="N243"/>
  <c r="M243"/>
  <c r="P242"/>
  <c r="O242"/>
  <c r="N242"/>
  <c r="M242"/>
  <c r="N339"/>
  <c r="M339"/>
  <c r="P483" i="19131"/>
  <c r="O483"/>
  <c r="N483"/>
  <c r="M483"/>
  <c r="P482"/>
  <c r="O482"/>
  <c r="N482"/>
  <c r="M482"/>
  <c r="P481"/>
  <c r="O481"/>
  <c r="N481"/>
  <c r="M481"/>
  <c r="N337"/>
  <c r="M337"/>
  <c r="N336"/>
  <c r="M336"/>
  <c r="N335"/>
  <c r="M335"/>
  <c r="P241"/>
  <c r="O241"/>
  <c r="N241"/>
  <c r="M241"/>
  <c r="P240"/>
  <c r="O240"/>
  <c r="N240"/>
  <c r="M240"/>
  <c r="N239"/>
  <c r="M239"/>
  <c r="P239"/>
  <c r="O239"/>
  <c r="N321" i="107"/>
  <c r="M321"/>
  <c r="N320"/>
  <c r="M320"/>
  <c r="N319"/>
  <c r="M319"/>
  <c r="P296"/>
  <c r="O296"/>
  <c r="N296"/>
  <c r="M296"/>
  <c r="P295"/>
  <c r="O295"/>
  <c r="N295"/>
  <c r="M295"/>
  <c r="P294"/>
  <c r="O294"/>
  <c r="N294"/>
  <c r="M294"/>
  <c r="P242"/>
  <c r="O242"/>
  <c r="N242"/>
  <c r="M242"/>
  <c r="P241"/>
  <c r="O241"/>
  <c r="N241"/>
  <c r="M241"/>
  <c r="P240"/>
  <c r="O240"/>
  <c r="N240"/>
  <c r="M240"/>
  <c r="O197"/>
  <c r="M197"/>
  <c r="O118" i="84"/>
  <c r="M118"/>
  <c r="H1129" i="19130"/>
  <c r="L416" i="19142" s="1"/>
  <c r="H1111" i="19130"/>
  <c r="L415" i="19142" s="1"/>
  <c r="H880" i="19130"/>
  <c r="H416" i="19142" s="1"/>
  <c r="H862" i="19130"/>
  <c r="H415" i="19142" s="1"/>
  <c r="H631" i="19130"/>
  <c r="F416" i="19142" s="1"/>
  <c r="H613" i="19130"/>
  <c r="F415" i="19142" s="1"/>
  <c r="H384" i="19130"/>
  <c r="D416" i="19142" s="1"/>
  <c r="H366" i="19130"/>
  <c r="D415" i="19142" s="1"/>
  <c r="H135" i="19130"/>
  <c r="B416" i="19142" s="1"/>
  <c r="H117" i="19130"/>
  <c r="B415" i="19142" s="1"/>
  <c r="H1135" i="19134"/>
  <c r="L305" i="19142" s="1"/>
  <c r="H1117" i="19134"/>
  <c r="L304" i="19142" s="1"/>
  <c r="H887" i="19134"/>
  <c r="H305" i="19142" s="1"/>
  <c r="H869" i="19134"/>
  <c r="H304" i="19142" s="1"/>
  <c r="H640" i="19134"/>
  <c r="F305" i="19142" s="1"/>
  <c r="H622" i="19134"/>
  <c r="F304" i="19142" s="1"/>
  <c r="H391" i="19134"/>
  <c r="D305" i="19142" s="1"/>
  <c r="H373" i="19134"/>
  <c r="D304" i="19142" s="1"/>
  <c r="H124" i="19134"/>
  <c r="B304" i="19142" s="1"/>
  <c r="H142" i="19134"/>
  <c r="B305" i="19142" s="1"/>
  <c r="S31" i="19136"/>
  <c r="S31" i="19141"/>
  <c r="D8" i="19135"/>
  <c r="I17" i="19128"/>
  <c r="D13" i="19141" s="1"/>
  <c r="D8" i="19131"/>
  <c r="D8" i="107"/>
  <c r="D9" i="84"/>
  <c r="H720" i="19129"/>
  <c r="F78"/>
  <c r="E147" s="1"/>
  <c r="D109"/>
  <c r="D116" s="1"/>
  <c r="E714"/>
  <c r="D671"/>
  <c r="D8" i="19134" l="1"/>
  <c r="D13" i="19136"/>
  <c r="D8" i="19130"/>
  <c r="N24"/>
  <c r="R24"/>
  <c r="Z24"/>
  <c r="P24"/>
  <c r="V24"/>
  <c r="T24"/>
  <c r="X24"/>
  <c r="U24"/>
  <c r="Y24"/>
  <c r="Q24"/>
  <c r="M24"/>
  <c r="AA24"/>
  <c r="W24"/>
  <c r="S24"/>
  <c r="O24"/>
  <c r="R24" i="19134"/>
  <c r="Z24"/>
  <c r="V24"/>
  <c r="U24"/>
  <c r="X24"/>
  <c r="P24"/>
  <c r="AA24"/>
  <c r="S24"/>
  <c r="O24"/>
  <c r="N24"/>
  <c r="Y24"/>
  <c r="W24"/>
  <c r="T24"/>
  <c r="Q24"/>
  <c r="M24"/>
  <c r="I18"/>
  <c r="B96" i="19142"/>
  <c r="F88"/>
  <c r="F94"/>
  <c r="F96" s="1"/>
  <c r="F101" s="1"/>
  <c r="B86"/>
  <c r="B81"/>
  <c r="B94"/>
  <c r="C1" i="19138"/>
  <c r="J4" s="1"/>
  <c r="G16"/>
  <c r="G15"/>
  <c r="G690" i="19129"/>
  <c r="C688"/>
  <c r="C686"/>
  <c r="F680"/>
  <c r="E680"/>
  <c r="H682" s="1"/>
  <c r="H681"/>
  <c r="G678"/>
  <c r="G676"/>
  <c r="F685"/>
  <c r="I671"/>
  <c r="G691" s="1"/>
  <c r="E671"/>
  <c r="D689"/>
  <c r="G658"/>
  <c r="N603"/>
  <c r="B603" s="1"/>
  <c r="C604" s="1"/>
  <c r="C637" s="1"/>
  <c r="D105" i="19137"/>
  <c r="I585" i="19129"/>
  <c r="G584"/>
  <c r="F584"/>
  <c r="N543"/>
  <c r="B543" s="1"/>
  <c r="C544" s="1"/>
  <c r="D97" i="19137"/>
  <c r="G524" i="19129"/>
  <c r="I525"/>
  <c r="F524"/>
  <c r="C636" l="1"/>
  <c r="C638"/>
  <c r="J671"/>
  <c r="F687"/>
  <c r="F521"/>
  <c r="F581"/>
  <c r="F226"/>
  <c r="D220"/>
  <c r="D218"/>
  <c r="D219"/>
  <c r="M208"/>
  <c r="M221" s="1"/>
  <c r="M206"/>
  <c r="M219" s="1"/>
  <c r="E193"/>
  <c r="F197"/>
  <c r="D207"/>
  <c r="D206"/>
  <c r="D183"/>
  <c r="D205"/>
  <c r="F110"/>
  <c r="M180"/>
  <c r="M178"/>
  <c r="D184"/>
  <c r="D182"/>
  <c r="D171"/>
  <c r="D169"/>
  <c r="D170"/>
  <c r="M176"/>
  <c r="N176" s="1"/>
  <c r="O176" s="1"/>
  <c r="P176" s="1"/>
  <c r="Q176" s="1"/>
  <c r="M168"/>
  <c r="N168" s="1"/>
  <c r="O168" s="1"/>
  <c r="P168" s="1"/>
  <c r="Q168" s="1"/>
  <c r="R168" s="1"/>
  <c r="S168" s="1"/>
  <c r="T168" s="1"/>
  <c r="U168" s="1"/>
  <c r="V168" s="1"/>
  <c r="W168" s="1"/>
  <c r="X168" s="1"/>
  <c r="Y168" s="1"/>
  <c r="Z168" s="1"/>
  <c r="AA168" s="1"/>
  <c r="AB168" s="1"/>
  <c r="AC168" s="1"/>
  <c r="AD168" s="1"/>
  <c r="AE168" s="1"/>
  <c r="AF168" s="1"/>
  <c r="AG168" s="1"/>
  <c r="AH168" s="1"/>
  <c r="AI168" s="1"/>
  <c r="AJ168" s="1"/>
  <c r="AK168" s="1"/>
  <c r="AL168" s="1"/>
  <c r="AM168" s="1"/>
  <c r="AN168" s="1"/>
  <c r="AO168" s="1"/>
  <c r="S310" i="19134"/>
  <c r="S1297" s="1"/>
  <c r="R310"/>
  <c r="R1297" s="1"/>
  <c r="S309"/>
  <c r="S1296" s="1"/>
  <c r="R309"/>
  <c r="R1296" s="1"/>
  <c r="S308"/>
  <c r="S1295" s="1"/>
  <c r="R308"/>
  <c r="R1295" s="1"/>
  <c r="S307"/>
  <c r="S1294" s="1"/>
  <c r="R307"/>
  <c r="R798" s="1"/>
  <c r="S306"/>
  <c r="S553" s="1"/>
  <c r="R306"/>
  <c r="R797" s="1"/>
  <c r="S303" i="19130"/>
  <c r="S1297" s="1"/>
  <c r="R303"/>
  <c r="R1297" s="1"/>
  <c r="S302"/>
  <c r="S799" s="1"/>
  <c r="R302"/>
  <c r="R550" s="1"/>
  <c r="S301"/>
  <c r="S798" s="1"/>
  <c r="R301"/>
  <c r="R1295" s="1"/>
  <c r="S300"/>
  <c r="S1294" s="1"/>
  <c r="R300"/>
  <c r="R1046" s="1"/>
  <c r="S299"/>
  <c r="S1045" s="1"/>
  <c r="R299"/>
  <c r="R1293" s="1"/>
  <c r="P177"/>
  <c r="P673" s="1"/>
  <c r="O177"/>
  <c r="O428" s="1"/>
  <c r="N177"/>
  <c r="N1171" s="1"/>
  <c r="M177"/>
  <c r="M673" s="1"/>
  <c r="P176"/>
  <c r="P922" s="1"/>
  <c r="O176"/>
  <c r="O1170" s="1"/>
  <c r="N176"/>
  <c r="N1170" s="1"/>
  <c r="M176"/>
  <c r="M672" s="1"/>
  <c r="P175"/>
  <c r="P671" s="1"/>
  <c r="O175"/>
  <c r="O671" s="1"/>
  <c r="N175"/>
  <c r="N1169" s="1"/>
  <c r="M175"/>
  <c r="M1169" s="1"/>
  <c r="O174"/>
  <c r="O1168" s="1"/>
  <c r="P174"/>
  <c r="P1168" s="1"/>
  <c r="N174"/>
  <c r="N920" s="1"/>
  <c r="M174"/>
  <c r="M425" s="1"/>
  <c r="P173"/>
  <c r="P1167" s="1"/>
  <c r="O173"/>
  <c r="O669" s="1"/>
  <c r="N173"/>
  <c r="N424" s="1"/>
  <c r="M173"/>
  <c r="M424" s="1"/>
  <c r="P183" i="19134"/>
  <c r="P431" s="1"/>
  <c r="P680" s="1"/>
  <c r="P931" s="1"/>
  <c r="P1175" s="1"/>
  <c r="O183"/>
  <c r="O431" s="1"/>
  <c r="O680" s="1"/>
  <c r="O931" s="1"/>
  <c r="O1175" s="1"/>
  <c r="N183"/>
  <c r="N431" s="1"/>
  <c r="N680" s="1"/>
  <c r="N931" s="1"/>
  <c r="N1175" s="1"/>
  <c r="M183"/>
  <c r="M431" s="1"/>
  <c r="M680" s="1"/>
  <c r="M931" s="1"/>
  <c r="M1175" s="1"/>
  <c r="P182"/>
  <c r="P430" s="1"/>
  <c r="P679" s="1"/>
  <c r="P930" s="1"/>
  <c r="P1174" s="1"/>
  <c r="O182"/>
  <c r="O430" s="1"/>
  <c r="O679" s="1"/>
  <c r="O930" s="1"/>
  <c r="O1174" s="1"/>
  <c r="N182"/>
  <c r="N430" s="1"/>
  <c r="N679" s="1"/>
  <c r="N930" s="1"/>
  <c r="N1174" s="1"/>
  <c r="M182"/>
  <c r="M430" s="1"/>
  <c r="M679" s="1"/>
  <c r="M930" s="1"/>
  <c r="M1174" s="1"/>
  <c r="P181"/>
  <c r="P429" s="1"/>
  <c r="P678" s="1"/>
  <c r="P929" s="1"/>
  <c r="P1173" s="1"/>
  <c r="O181"/>
  <c r="O429" s="1"/>
  <c r="O678" s="1"/>
  <c r="O929" s="1"/>
  <c r="O1173" s="1"/>
  <c r="N181"/>
  <c r="N429" s="1"/>
  <c r="N678" s="1"/>
  <c r="N929" s="1"/>
  <c r="N1173" s="1"/>
  <c r="M181"/>
  <c r="M429" s="1"/>
  <c r="M678" s="1"/>
  <c r="M929" s="1"/>
  <c r="M1173" s="1"/>
  <c r="P180"/>
  <c r="P428" s="1"/>
  <c r="P677" s="1"/>
  <c r="P928" s="1"/>
  <c r="P1172" s="1"/>
  <c r="O180"/>
  <c r="O428" s="1"/>
  <c r="O677" s="1"/>
  <c r="O928" s="1"/>
  <c r="O1172" s="1"/>
  <c r="N180"/>
  <c r="N428" s="1"/>
  <c r="N677" s="1"/>
  <c r="N928" s="1"/>
  <c r="N1172" s="1"/>
  <c r="M180"/>
  <c r="M428" s="1"/>
  <c r="M677" s="1"/>
  <c r="M928" s="1"/>
  <c r="M1172" s="1"/>
  <c r="P179"/>
  <c r="P427" s="1"/>
  <c r="P676" s="1"/>
  <c r="P927" s="1"/>
  <c r="P1171" s="1"/>
  <c r="O179"/>
  <c r="O427" s="1"/>
  <c r="O676" s="1"/>
  <c r="O927" s="1"/>
  <c r="O1171" s="1"/>
  <c r="N179"/>
  <c r="N427" s="1"/>
  <c r="N676" s="1"/>
  <c r="N927" s="1"/>
  <c r="N1171" s="1"/>
  <c r="M179"/>
  <c r="M427" s="1"/>
  <c r="M676" s="1"/>
  <c r="M927" s="1"/>
  <c r="M1171" s="1"/>
  <c r="E465" i="19142"/>
  <c r="E464"/>
  <c r="C465"/>
  <c r="C464"/>
  <c r="E462"/>
  <c r="E461"/>
  <c r="C462"/>
  <c r="C461"/>
  <c r="I452"/>
  <c r="I341"/>
  <c r="I451"/>
  <c r="F452"/>
  <c r="F451"/>
  <c r="E452"/>
  <c r="E451"/>
  <c r="C452"/>
  <c r="B452"/>
  <c r="C451"/>
  <c r="B451"/>
  <c r="D458"/>
  <c r="D457"/>
  <c r="H456"/>
  <c r="H345"/>
  <c r="E354"/>
  <c r="E353"/>
  <c r="C354"/>
  <c r="C353"/>
  <c r="E351"/>
  <c r="E350"/>
  <c r="C351"/>
  <c r="C350"/>
  <c r="I336"/>
  <c r="I335"/>
  <c r="I340"/>
  <c r="F341"/>
  <c r="F340"/>
  <c r="E341"/>
  <c r="E340"/>
  <c r="C341"/>
  <c r="B341"/>
  <c r="C340"/>
  <c r="B340"/>
  <c r="F139"/>
  <c r="F138"/>
  <c r="D139"/>
  <c r="D138"/>
  <c r="F133"/>
  <c r="F132"/>
  <c r="D133"/>
  <c r="D132"/>
  <c r="F130"/>
  <c r="D130"/>
  <c r="F148"/>
  <c r="D148"/>
  <c r="F145"/>
  <c r="F144"/>
  <c r="D145"/>
  <c r="D144"/>
  <c r="F124"/>
  <c r="F123"/>
  <c r="D124"/>
  <c r="D123"/>
  <c r="F121"/>
  <c r="F120"/>
  <c r="D121"/>
  <c r="D120"/>
  <c r="F241"/>
  <c r="D241"/>
  <c r="F238"/>
  <c r="F237"/>
  <c r="D238"/>
  <c r="D237"/>
  <c r="F213"/>
  <c r="F212"/>
  <c r="D213"/>
  <c r="D212"/>
  <c r="F210"/>
  <c r="F209"/>
  <c r="D210"/>
  <c r="D209"/>
  <c r="D232"/>
  <c r="C232"/>
  <c r="F230"/>
  <c r="F229"/>
  <c r="D230"/>
  <c r="D229"/>
  <c r="D224"/>
  <c r="C224"/>
  <c r="F222"/>
  <c r="F221"/>
  <c r="D222"/>
  <c r="D221"/>
  <c r="F219"/>
  <c r="F218"/>
  <c r="D219"/>
  <c r="D218"/>
  <c r="D179"/>
  <c r="F179"/>
  <c r="D180"/>
  <c r="F180"/>
  <c r="D182"/>
  <c r="F182"/>
  <c r="D183"/>
  <c r="F183"/>
  <c r="C185"/>
  <c r="D185"/>
  <c r="D190"/>
  <c r="F190"/>
  <c r="D191"/>
  <c r="F191"/>
  <c r="C193"/>
  <c r="D193"/>
  <c r="D170"/>
  <c r="F170"/>
  <c r="D171"/>
  <c r="F171"/>
  <c r="D173"/>
  <c r="F173"/>
  <c r="D174"/>
  <c r="F174"/>
  <c r="D198"/>
  <c r="F198"/>
  <c r="D199"/>
  <c r="F199"/>
  <c r="D202"/>
  <c r="F202"/>
  <c r="D109"/>
  <c r="F109"/>
  <c r="D110"/>
  <c r="F110"/>
  <c r="D112"/>
  <c r="F112"/>
  <c r="D113"/>
  <c r="F113"/>
  <c r="H1"/>
  <c r="C2"/>
  <c r="C1"/>
  <c r="C425"/>
  <c r="E425"/>
  <c r="G425"/>
  <c r="I425"/>
  <c r="M425"/>
  <c r="C426"/>
  <c r="E426"/>
  <c r="G426"/>
  <c r="I426"/>
  <c r="M426"/>
  <c r="C422"/>
  <c r="C423"/>
  <c r="L412"/>
  <c r="H412"/>
  <c r="F412"/>
  <c r="D412"/>
  <c r="B412"/>
  <c r="D43"/>
  <c r="B360"/>
  <c r="B388" s="1"/>
  <c r="D301"/>
  <c r="F301"/>
  <c r="H301"/>
  <c r="B301"/>
  <c r="I249"/>
  <c r="J273" s="1"/>
  <c r="I40"/>
  <c r="I41"/>
  <c r="I39"/>
  <c r="D40"/>
  <c r="D41"/>
  <c r="D39"/>
  <c r="E28"/>
  <c r="D27"/>
  <c r="A285" i="19129"/>
  <c r="D45" i="19137"/>
  <c r="D54"/>
  <c r="F119" i="19129"/>
  <c r="D44"/>
  <c r="F108"/>
  <c r="C45" i="19128"/>
  <c r="F1"/>
  <c r="G3" i="19135" s="1"/>
  <c r="P9" i="19128"/>
  <c r="D1272" i="19134"/>
  <c r="D1023"/>
  <c r="D776"/>
  <c r="D527"/>
  <c r="D279"/>
  <c r="D1266" i="19130"/>
  <c r="D1017"/>
  <c r="D768"/>
  <c r="D520"/>
  <c r="D272"/>
  <c r="C1349"/>
  <c r="C1101"/>
  <c r="C851"/>
  <c r="C603"/>
  <c r="C355"/>
  <c r="C362" i="19134"/>
  <c r="H1357"/>
  <c r="C1357"/>
  <c r="C1106"/>
  <c r="C858"/>
  <c r="C611"/>
  <c r="E88" i="19140"/>
  <c r="G88" s="1"/>
  <c r="B83"/>
  <c r="B86" s="1"/>
  <c r="A83"/>
  <c r="A86" s="1"/>
  <c r="B82"/>
  <c r="B85" s="1"/>
  <c r="A82"/>
  <c r="A85" s="1"/>
  <c r="A1073" i="19129"/>
  <c r="H958"/>
  <c r="J53" i="19130"/>
  <c r="A52" i="19134"/>
  <c r="G33" i="19129"/>
  <c r="O52" i="19130" s="1"/>
  <c r="H31" i="19129"/>
  <c r="I31"/>
  <c r="G79"/>
  <c r="G26" i="19142" s="1"/>
  <c r="C79" i="19129"/>
  <c r="C26" i="19142" s="1"/>
  <c r="I18" i="19130"/>
  <c r="I17" i="19134"/>
  <c r="D80" i="19129"/>
  <c r="J84"/>
  <c r="J31" i="19142" s="1"/>
  <c r="E75" i="19129"/>
  <c r="E22" i="19142" s="1"/>
  <c r="E81" i="19129"/>
  <c r="A65" i="19140"/>
  <c r="AK126"/>
  <c r="AF126"/>
  <c r="AI125"/>
  <c r="AK124"/>
  <c r="AI126" s="1"/>
  <c r="AK123"/>
  <c r="AG123"/>
  <c r="AI121"/>
  <c r="AD121"/>
  <c r="AD120"/>
  <c r="AI113"/>
  <c r="AG111"/>
  <c r="AH110"/>
  <c r="AD110"/>
  <c r="AF109"/>
  <c r="AE108"/>
  <c r="AG106"/>
  <c r="I453" i="19128"/>
  <c r="I452"/>
  <c r="D453"/>
  <c r="D452"/>
  <c r="I447"/>
  <c r="I446"/>
  <c r="A394" s="1"/>
  <c r="D447"/>
  <c r="D446"/>
  <c r="I392"/>
  <c r="I412" s="1"/>
  <c r="F373"/>
  <c r="F382"/>
  <c r="A370"/>
  <c r="D349" i="19141"/>
  <c r="D345"/>
  <c r="H113"/>
  <c r="D15"/>
  <c r="D271" s="1"/>
  <c r="F271" s="1"/>
  <c r="D269"/>
  <c r="F269" s="1"/>
  <c r="D10"/>
  <c r="D265" s="1"/>
  <c r="D11"/>
  <c r="L6" i="19137" s="1"/>
  <c r="D9" i="19141"/>
  <c r="D264" s="1"/>
  <c r="D15" i="19136"/>
  <c r="D7" i="19128"/>
  <c r="D12" i="19136" s="1"/>
  <c r="D11"/>
  <c r="D10"/>
  <c r="D9"/>
  <c r="D8"/>
  <c r="A1" i="19141"/>
  <c r="D56" i="19129"/>
  <c r="D393" i="19141"/>
  <c r="B393"/>
  <c r="D392"/>
  <c r="B392"/>
  <c r="B366"/>
  <c r="A353"/>
  <c r="F333"/>
  <c r="E333"/>
  <c r="C333"/>
  <c r="G512" s="1"/>
  <c r="E311"/>
  <c r="G298"/>
  <c r="G297"/>
  <c r="G296"/>
  <c r="G293"/>
  <c r="G292"/>
  <c r="G301" s="1"/>
  <c r="C403" s="1"/>
  <c r="G291"/>
  <c r="I283"/>
  <c r="I282"/>
  <c r="C277"/>
  <c r="C276"/>
  <c r="C281" s="1"/>
  <c r="C275"/>
  <c r="C280" s="1"/>
  <c r="D272"/>
  <c r="D270"/>
  <c r="F270" s="1"/>
  <c r="G224"/>
  <c r="F203"/>
  <c r="E203"/>
  <c r="C203"/>
  <c r="E177"/>
  <c r="I175"/>
  <c r="G138"/>
  <c r="G137"/>
  <c r="F123"/>
  <c r="G136" s="1"/>
  <c r="E123"/>
  <c r="C123"/>
  <c r="E94"/>
  <c r="I93"/>
  <c r="H62"/>
  <c r="H61"/>
  <c r="G444" s="1"/>
  <c r="H60"/>
  <c r="H54"/>
  <c r="H53"/>
  <c r="D48"/>
  <c r="E24"/>
  <c r="H59" s="1"/>
  <c r="F14"/>
  <c r="AF25" i="19140"/>
  <c r="AM21"/>
  <c r="AK21"/>
  <c r="AF21"/>
  <c r="AF17"/>
  <c r="AH14"/>
  <c r="AJ13"/>
  <c r="AI13"/>
  <c r="AG13"/>
  <c r="AK12"/>
  <c r="AK30" s="1"/>
  <c r="H4" i="19130"/>
  <c r="H4" i="19134"/>
  <c r="A126" i="19128"/>
  <c r="A125"/>
  <c r="A96"/>
  <c r="A95"/>
  <c r="I56" i="19129"/>
  <c r="A49" i="19130"/>
  <c r="A374" i="19142" s="1"/>
  <c r="C1372" i="19134"/>
  <c r="C312" i="19142" s="1"/>
  <c r="C1371" i="19134"/>
  <c r="C311" i="19142" s="1"/>
  <c r="O306" i="19134"/>
  <c r="AO30" i="19137"/>
  <c r="AF30"/>
  <c r="W30"/>
  <c r="N30"/>
  <c r="AA228" i="19129"/>
  <c r="X228"/>
  <c r="U228"/>
  <c r="G750"/>
  <c r="L89" i="19131"/>
  <c r="L88"/>
  <c r="E135" i="19128"/>
  <c r="E104"/>
  <c r="I4"/>
  <c r="K30" i="19140"/>
  <c r="K24"/>
  <c r="N11"/>
  <c r="N10"/>
  <c r="C129" i="19129" l="1"/>
  <c r="I581" s="1"/>
  <c r="I583" s="1"/>
  <c r="F591"/>
  <c r="E575"/>
  <c r="R531"/>
  <c r="F531"/>
  <c r="E515"/>
  <c r="C839"/>
  <c r="B71"/>
  <c r="B18" i="19142" s="1"/>
  <c r="A411" i="19128"/>
  <c r="G438" s="1"/>
  <c r="G42" i="19141"/>
  <c r="J378" i="19142"/>
  <c r="G42" i="19136"/>
  <c r="F74" i="19141"/>
  <c r="F84" s="1"/>
  <c r="D345" i="19142"/>
  <c r="O424" i="19130"/>
  <c r="O1167"/>
  <c r="O919"/>
  <c r="P670"/>
  <c r="O425"/>
  <c r="P920"/>
  <c r="P425"/>
  <c r="P921"/>
  <c r="P1169"/>
  <c r="S800"/>
  <c r="P426"/>
  <c r="S551"/>
  <c r="S547"/>
  <c r="S1293"/>
  <c r="S796"/>
  <c r="R556" i="19134"/>
  <c r="R1044"/>
  <c r="R1046"/>
  <c r="R1294"/>
  <c r="R800"/>
  <c r="S797"/>
  <c r="S1043"/>
  <c r="N428" i="19130"/>
  <c r="N923"/>
  <c r="N673"/>
  <c r="N672"/>
  <c r="N922"/>
  <c r="N427"/>
  <c r="M426"/>
  <c r="M669"/>
  <c r="M919"/>
  <c r="M1167"/>
  <c r="S1049"/>
  <c r="O923"/>
  <c r="O1171"/>
  <c r="M428"/>
  <c r="M923"/>
  <c r="O673"/>
  <c r="M1171"/>
  <c r="M427"/>
  <c r="P427"/>
  <c r="P672"/>
  <c r="P1170"/>
  <c r="M1170"/>
  <c r="M922"/>
  <c r="O922"/>
  <c r="O427"/>
  <c r="O672"/>
  <c r="R798"/>
  <c r="S1047"/>
  <c r="S1295"/>
  <c r="R549"/>
  <c r="R1047"/>
  <c r="O1169"/>
  <c r="N426"/>
  <c r="M921"/>
  <c r="N921"/>
  <c r="O426"/>
  <c r="M671"/>
  <c r="N671"/>
  <c r="O921"/>
  <c r="S797"/>
  <c r="S548"/>
  <c r="S1046"/>
  <c r="N425"/>
  <c r="O670"/>
  <c r="O920"/>
  <c r="M1168"/>
  <c r="M670"/>
  <c r="M920"/>
  <c r="N1168"/>
  <c r="N670"/>
  <c r="R1045"/>
  <c r="R796"/>
  <c r="R547"/>
  <c r="N669"/>
  <c r="P424"/>
  <c r="N919"/>
  <c r="N1167"/>
  <c r="P669"/>
  <c r="P919"/>
  <c r="G45" i="19136"/>
  <c r="G407" i="19142"/>
  <c r="S557" i="19134"/>
  <c r="S801"/>
  <c r="S1047"/>
  <c r="S1046"/>
  <c r="S556"/>
  <c r="S800"/>
  <c r="R555"/>
  <c r="R1045"/>
  <c r="S1045"/>
  <c r="S555"/>
  <c r="R799"/>
  <c r="S799"/>
  <c r="R554"/>
  <c r="S554"/>
  <c r="S798"/>
  <c r="S1044"/>
  <c r="R553"/>
  <c r="S1293"/>
  <c r="R1293"/>
  <c r="R1043"/>
  <c r="R557"/>
  <c r="R801"/>
  <c r="R1047"/>
  <c r="C525" i="19129"/>
  <c r="C585"/>
  <c r="D112"/>
  <c r="D113" s="1"/>
  <c r="C126" s="1"/>
  <c r="F213" s="1"/>
  <c r="R176"/>
  <c r="S176" s="1"/>
  <c r="D118"/>
  <c r="D120" s="1"/>
  <c r="D121" s="1"/>
  <c r="F190" s="1"/>
  <c r="B290"/>
  <c r="R548" i="19130"/>
  <c r="R1294"/>
  <c r="R797"/>
  <c r="S549"/>
  <c r="S550"/>
  <c r="S1048"/>
  <c r="S1296"/>
  <c r="R1296"/>
  <c r="R799"/>
  <c r="R1048"/>
  <c r="R551"/>
  <c r="R800"/>
  <c r="R1049"/>
  <c r="P428"/>
  <c r="P923"/>
  <c r="P1171"/>
  <c r="B380" i="19142"/>
  <c r="I269"/>
  <c r="G3" i="19131"/>
  <c r="AD113" i="19140"/>
  <c r="Q48" i="19130"/>
  <c r="I403" i="19142" s="1"/>
  <c r="O57" i="19134"/>
  <c r="I33" i="19129"/>
  <c r="B55" i="19134" s="1"/>
  <c r="M53"/>
  <c r="B290" i="19142" s="1"/>
  <c r="H287" i="19141"/>
  <c r="I82" i="19129"/>
  <c r="I29" i="19142" s="1"/>
  <c r="A82" i="19129"/>
  <c r="A29" i="19142" s="1"/>
  <c r="AK118" i="19140"/>
  <c r="G109" i="19128"/>
  <c r="AH115" i="19140"/>
  <c r="AG121"/>
  <c r="AF117"/>
  <c r="C278" i="19141"/>
  <c r="C282" s="1"/>
  <c r="I306" i="19128"/>
  <c r="G308" s="1"/>
  <c r="F13" i="19141"/>
  <c r="G10" s="1"/>
  <c r="L5" i="19137" s="1"/>
  <c r="L16" s="1"/>
  <c r="H16" i="19141"/>
  <c r="F224" s="1"/>
  <c r="I224" s="1"/>
  <c r="F15"/>
  <c r="D266"/>
  <c r="F272"/>
  <c r="F576" s="1"/>
  <c r="E16"/>
  <c r="C109" i="19128"/>
  <c r="B57" i="19134"/>
  <c r="B247" i="19142" s="1"/>
  <c r="G220" i="19141"/>
  <c r="I266"/>
  <c r="I267" s="1"/>
  <c r="D12"/>
  <c r="D267" s="1"/>
  <c r="G455"/>
  <c r="C421"/>
  <c r="G457" s="1"/>
  <c r="C532"/>
  <c r="G573" s="1"/>
  <c r="B470"/>
  <c r="G513" s="1"/>
  <c r="G576"/>
  <c r="D327"/>
  <c r="E536" s="1"/>
  <c r="C197"/>
  <c r="G134"/>
  <c r="F76"/>
  <c r="D536"/>
  <c r="D335"/>
  <c r="D472"/>
  <c r="C375"/>
  <c r="D205"/>
  <c r="D125"/>
  <c r="H55"/>
  <c r="G223"/>
  <c r="G222"/>
  <c r="D403"/>
  <c r="C305"/>
  <c r="C301"/>
  <c r="D380" s="1"/>
  <c r="B375"/>
  <c r="A382" s="1"/>
  <c r="G305"/>
  <c r="D471"/>
  <c r="D422"/>
  <c r="D533"/>
  <c r="C283"/>
  <c r="D423"/>
  <c r="C287"/>
  <c r="BB231" i="19129"/>
  <c r="N290"/>
  <c r="N270"/>
  <c r="O253"/>
  <c r="R228"/>
  <c r="N26" i="19137"/>
  <c r="Q228" i="19129"/>
  <c r="R253" s="1"/>
  <c r="Q270" s="1"/>
  <c r="Q290" s="1"/>
  <c r="C29" i="19140"/>
  <c r="I195" i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H195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E19" i="19140"/>
  <c r="E18"/>
  <c r="A9"/>
  <c r="A8"/>
  <c r="A6"/>
  <c r="A5"/>
  <c r="A4"/>
  <c r="B257" i="19129"/>
  <c r="B82" i="19137"/>
  <c r="B81"/>
  <c r="B80"/>
  <c r="B79"/>
  <c r="H277" i="19129"/>
  <c r="H285"/>
  <c r="J238"/>
  <c r="G240"/>
  <c r="G248"/>
  <c r="B248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297"/>
  <c r="S276"/>
  <c r="S277"/>
  <c r="S278"/>
  <c r="S279"/>
  <c r="S280"/>
  <c r="S281"/>
  <c r="S282"/>
  <c r="S283"/>
  <c r="S284"/>
  <c r="S285"/>
  <c r="S275"/>
  <c r="S258"/>
  <c r="S259"/>
  <c r="S260"/>
  <c r="S261"/>
  <c r="S262"/>
  <c r="S263"/>
  <c r="S264"/>
  <c r="S265"/>
  <c r="S266"/>
  <c r="S267"/>
  <c r="S257"/>
  <c r="S239"/>
  <c r="S240"/>
  <c r="S241"/>
  <c r="S242"/>
  <c r="S243"/>
  <c r="S244"/>
  <c r="S245"/>
  <c r="S246"/>
  <c r="S247"/>
  <c r="S248"/>
  <c r="S238"/>
  <c r="I43"/>
  <c r="C284" i="19141" l="1"/>
  <c r="C285" s="1"/>
  <c r="C286" s="1"/>
  <c r="M105" i="19129"/>
  <c r="B104"/>
  <c r="E104" s="1"/>
  <c r="G45" i="19141"/>
  <c r="G332" s="1"/>
  <c r="D545" s="1"/>
  <c r="D294" i="19142"/>
  <c r="F177" i="19129"/>
  <c r="B169"/>
  <c r="B172" s="1"/>
  <c r="C124"/>
  <c r="E137"/>
  <c r="I71" i="19130"/>
  <c r="I396" i="19142" s="1"/>
  <c r="B413" i="19128"/>
  <c r="G437" s="1"/>
  <c r="B270" i="19142"/>
  <c r="G580" i="19141"/>
  <c r="G454"/>
  <c r="G575"/>
  <c r="G579"/>
  <c r="G509"/>
  <c r="M102" i="19129"/>
  <c r="B101" s="1"/>
  <c r="E101" s="1"/>
  <c r="G82"/>
  <c r="G29" i="19142" s="1"/>
  <c r="H26" i="19129"/>
  <c r="I55" i="19130"/>
  <c r="I380" i="19142" s="1"/>
  <c r="B71" i="19134"/>
  <c r="B282" i="19142" s="1"/>
  <c r="N57" i="19134"/>
  <c r="G44" i="19141"/>
  <c r="G331" s="1"/>
  <c r="G153" i="19129"/>
  <c r="G331" i="19128"/>
  <c r="N49" i="19134"/>
  <c r="C286" i="19142" s="1"/>
  <c r="B415" i="19128"/>
  <c r="B388"/>
  <c r="AJ128" i="19140" s="1"/>
  <c r="C586" i="19141"/>
  <c r="E586" s="1"/>
  <c r="B576"/>
  <c r="G11"/>
  <c r="B455"/>
  <c r="B138"/>
  <c r="C62"/>
  <c r="G62"/>
  <c r="I62" s="1"/>
  <c r="G346"/>
  <c r="F138"/>
  <c r="I138" s="1"/>
  <c r="B224"/>
  <c r="L7" i="19137"/>
  <c r="N16" s="1"/>
  <c r="P16" s="1"/>
  <c r="G351" i="19141"/>
  <c r="B347"/>
  <c r="G350"/>
  <c r="B350"/>
  <c r="F455"/>
  <c r="I455" s="1"/>
  <c r="F512"/>
  <c r="I512" s="1"/>
  <c r="B346"/>
  <c r="B512"/>
  <c r="D268"/>
  <c r="G515"/>
  <c r="G511"/>
  <c r="G510"/>
  <c r="G516"/>
  <c r="I576"/>
  <c r="G514"/>
  <c r="G347"/>
  <c r="B351"/>
  <c r="G453"/>
  <c r="G456"/>
  <c r="G577"/>
  <c r="G578"/>
  <c r="G574"/>
  <c r="C598"/>
  <c r="E473"/>
  <c r="E424"/>
  <c r="F403"/>
  <c r="G403"/>
  <c r="H403"/>
  <c r="I403"/>
  <c r="E403"/>
  <c r="G565"/>
  <c r="G564"/>
  <c r="G563"/>
  <c r="G562"/>
  <c r="G561"/>
  <c r="G560"/>
  <c r="G557"/>
  <c r="F160"/>
  <c r="G141"/>
  <c r="G140"/>
  <c r="C483"/>
  <c r="C434"/>
  <c r="C547"/>
  <c r="D382"/>
  <c r="G501"/>
  <c r="G500"/>
  <c r="G499"/>
  <c r="G498"/>
  <c r="G497"/>
  <c r="G496"/>
  <c r="G493"/>
  <c r="F244"/>
  <c r="G227"/>
  <c r="G226"/>
  <c r="G446"/>
  <c r="G445"/>
  <c r="G441"/>
  <c r="D375"/>
  <c r="N134" i="19129"/>
  <c r="C135" s="1"/>
  <c r="N133"/>
  <c r="N135"/>
  <c r="C136" s="1"/>
  <c r="A10" i="19140"/>
  <c r="I79" i="19137"/>
  <c r="S286" i="19129"/>
  <c r="C455" s="1"/>
  <c r="S268"/>
  <c r="C454" s="1"/>
  <c r="S249"/>
  <c r="C453" s="1"/>
  <c r="S319"/>
  <c r="C456" s="1"/>
  <c r="AA248"/>
  <c r="V172"/>
  <c r="U172"/>
  <c r="V170"/>
  <c r="E12" i="19140" s="1"/>
  <c r="V169" i="19129"/>
  <c r="E152"/>
  <c r="B275"/>
  <c r="B276"/>
  <c r="B277"/>
  <c r="B278"/>
  <c r="B279"/>
  <c r="B280"/>
  <c r="B281"/>
  <c r="B282"/>
  <c r="B283"/>
  <c r="B284"/>
  <c r="B285"/>
  <c r="C248"/>
  <c r="B70" i="19137" s="1"/>
  <c r="AO213" i="19129"/>
  <c r="D271"/>
  <c r="A275"/>
  <c r="B267"/>
  <c r="I80" i="19137" s="1"/>
  <c r="A267" i="19129"/>
  <c r="C257"/>
  <c r="L257" s="1"/>
  <c r="F234"/>
  <c r="E230"/>
  <c r="B238"/>
  <c r="AA238" s="1"/>
  <c r="A238"/>
  <c r="AQ216"/>
  <c r="AP218"/>
  <c r="AU215"/>
  <c r="I54"/>
  <c r="D54"/>
  <c r="D33"/>
  <c r="B136" l="1"/>
  <c r="B137" s="1"/>
  <c r="B105"/>
  <c r="E105" s="1"/>
  <c r="C48" i="19128"/>
  <c r="G118" i="19141"/>
  <c r="D433"/>
  <c r="G202"/>
  <c r="D481"/>
  <c r="O59" i="19134"/>
  <c r="C294" i="19142"/>
  <c r="D296" s="1"/>
  <c r="D555" i="19129"/>
  <c r="D615"/>
  <c r="B218"/>
  <c r="I521"/>
  <c r="I523" s="1"/>
  <c r="C137"/>
  <c r="G436" i="19128"/>
  <c r="W234" i="19129"/>
  <c r="I79"/>
  <c r="I26" i="19142" s="1"/>
  <c r="C4" i="19141"/>
  <c r="C24" s="1"/>
  <c r="D312" s="1"/>
  <c r="A79" i="19129"/>
  <c r="A26" i="19142" s="1"/>
  <c r="G117" i="19141"/>
  <c r="H56"/>
  <c r="G201"/>
  <c r="H57"/>
  <c r="H586"/>
  <c r="H587" s="1"/>
  <c r="D544"/>
  <c r="D480"/>
  <c r="D432"/>
  <c r="H598"/>
  <c r="H599" s="1"/>
  <c r="E598"/>
  <c r="F246"/>
  <c r="F162"/>
  <c r="C275" i="19129"/>
  <c r="E275" s="1"/>
  <c r="C267"/>
  <c r="B71" i="19137" s="1"/>
  <c r="C238" i="19129"/>
  <c r="L238" s="1"/>
  <c r="P170"/>
  <c r="D281"/>
  <c r="AA281"/>
  <c r="D282"/>
  <c r="AA282"/>
  <c r="D267"/>
  <c r="AA267"/>
  <c r="D283"/>
  <c r="AA283"/>
  <c r="D279"/>
  <c r="AA279"/>
  <c r="D275"/>
  <c r="AA275"/>
  <c r="D257"/>
  <c r="E257" s="1"/>
  <c r="AA257"/>
  <c r="D284"/>
  <c r="AA284"/>
  <c r="D280"/>
  <c r="AA280"/>
  <c r="D276"/>
  <c r="AA276"/>
  <c r="D277"/>
  <c r="AA277"/>
  <c r="D285"/>
  <c r="AA285"/>
  <c r="D278"/>
  <c r="AA278"/>
  <c r="L248"/>
  <c r="D238"/>
  <c r="B239"/>
  <c r="AQ214"/>
  <c r="E248"/>
  <c r="D35"/>
  <c r="D42" i="19128" s="1"/>
  <c r="D39" i="19129"/>
  <c r="F42" i="19128" s="1"/>
  <c r="CE90" i="19139"/>
  <c r="A106"/>
  <c r="A108" s="1"/>
  <c r="A110" s="1"/>
  <c r="A112" s="1"/>
  <c r="A114" s="1"/>
  <c r="A116" s="1"/>
  <c r="A118" s="1"/>
  <c r="A120" s="1"/>
  <c r="A122" s="1"/>
  <c r="A124" s="1"/>
  <c r="A38"/>
  <c r="A40" s="1"/>
  <c r="A42" s="1"/>
  <c r="A44" s="1"/>
  <c r="A46" s="1"/>
  <c r="A48" s="1"/>
  <c r="A50" s="1"/>
  <c r="A52" s="1"/>
  <c r="A54" s="1"/>
  <c r="A36"/>
  <c r="G368" i="107"/>
  <c r="G15" i="19139" s="1"/>
  <c r="I368" i="107"/>
  <c r="I15" i="19139" s="1"/>
  <c r="K368" i="107"/>
  <c r="K15" i="19139" s="1"/>
  <c r="M368" i="107"/>
  <c r="M15" i="19139" s="1"/>
  <c r="O368" i="107"/>
  <c r="O15" i="19139" s="1"/>
  <c r="Q368" i="107"/>
  <c r="Q15" i="19139" s="1"/>
  <c r="S368" i="107"/>
  <c r="S15" i="19139" s="1"/>
  <c r="U368" i="107"/>
  <c r="U15" i="19139" s="1"/>
  <c r="W368" i="107"/>
  <c r="W15" i="19139" s="1"/>
  <c r="Y368" i="107"/>
  <c r="Y15" i="19139" s="1"/>
  <c r="AA368" i="107"/>
  <c r="AA15" i="19139" s="1"/>
  <c r="AC368" i="107"/>
  <c r="AC15" i="19139" s="1"/>
  <c r="AE368" i="107"/>
  <c r="AE15" i="19139" s="1"/>
  <c r="AG368" i="107"/>
  <c r="AG15" i="19139" s="1"/>
  <c r="AI368" i="107"/>
  <c r="AI15" i="19139" s="1"/>
  <c r="AK368" i="107"/>
  <c r="AK15" i="19139" s="1"/>
  <c r="AM368" i="107"/>
  <c r="AM15" i="19139" s="1"/>
  <c r="AO368" i="107"/>
  <c r="AO15" i="19139" s="1"/>
  <c r="AQ368" i="107"/>
  <c r="AQ15" i="19139" s="1"/>
  <c r="AS368" i="107"/>
  <c r="AS15" i="19139" s="1"/>
  <c r="AU368" i="107"/>
  <c r="AU15" i="19139" s="1"/>
  <c r="AW368" i="107"/>
  <c r="AW15" i="19139" s="1"/>
  <c r="AY368" i="107"/>
  <c r="AY15" i="19139" s="1"/>
  <c r="BA368" i="107"/>
  <c r="BA15" i="19139" s="1"/>
  <c r="BC368" i="107"/>
  <c r="BC15" i="19139" s="1"/>
  <c r="BE368" i="107"/>
  <c r="BE15" i="19139" s="1"/>
  <c r="BG368" i="107"/>
  <c r="BG15" i="19139" s="1"/>
  <c r="BI368" i="107"/>
  <c r="BI15" i="19139" s="1"/>
  <c r="BK368" i="107"/>
  <c r="BK15" i="19139" s="1"/>
  <c r="BM368" i="107"/>
  <c r="BM15" i="19139" s="1"/>
  <c r="BO368" i="107"/>
  <c r="BO15" i="19139" s="1"/>
  <c r="BQ368" i="107"/>
  <c r="BQ15" i="19139" s="1"/>
  <c r="BS368" i="107"/>
  <c r="BS15" i="19139" s="1"/>
  <c r="BU368" i="107"/>
  <c r="BU15" i="19139" s="1"/>
  <c r="BW368" i="107"/>
  <c r="BW15" i="19139" s="1"/>
  <c r="BY368" i="107"/>
  <c r="BY15" i="19139" s="1"/>
  <c r="CA368" i="107"/>
  <c r="CA15" i="19139" s="1"/>
  <c r="CC368" i="107"/>
  <c r="CC15" i="19139" s="1"/>
  <c r="E368" i="107"/>
  <c r="E15" i="19139" s="1"/>
  <c r="C16"/>
  <c r="C14"/>
  <c r="C15"/>
  <c r="B90"/>
  <c r="M254" i="107" s="1"/>
  <c r="D256" s="1"/>
  <c r="CD126" i="19139"/>
  <c r="CD132" s="1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M205" i="107" s="1"/>
  <c r="B208" s="1"/>
  <c r="C126" i="19139"/>
  <c r="M204" i="107" s="1"/>
  <c r="B207" s="1"/>
  <c r="G369"/>
  <c r="G16" i="19139" s="1"/>
  <c r="I369" i="107"/>
  <c r="I16" i="19139" s="1"/>
  <c r="K369" i="107"/>
  <c r="K16" i="19139" s="1"/>
  <c r="M369" i="107"/>
  <c r="M16" i="19139" s="1"/>
  <c r="O369" i="107"/>
  <c r="O16" i="19139" s="1"/>
  <c r="Q369" i="107"/>
  <c r="Q16" i="19139" s="1"/>
  <c r="S369" i="107"/>
  <c r="S16" i="19139" s="1"/>
  <c r="U369" i="107"/>
  <c r="U16" i="19139" s="1"/>
  <c r="W369" i="107"/>
  <c r="W16" i="19139" s="1"/>
  <c r="Y369" i="107"/>
  <c r="Y16" i="19139" s="1"/>
  <c r="AA369" i="107"/>
  <c r="AA16" i="19139" s="1"/>
  <c r="AC369" i="107"/>
  <c r="AC16" i="19139" s="1"/>
  <c r="AE369" i="107"/>
  <c r="AE16" i="19139" s="1"/>
  <c r="AG369" i="107"/>
  <c r="AG16" i="19139" s="1"/>
  <c r="AI369" i="107"/>
  <c r="AI16" i="19139" s="1"/>
  <c r="AK369" i="107"/>
  <c r="AK16" i="19139" s="1"/>
  <c r="AM369" i="107"/>
  <c r="AM16" i="19139" s="1"/>
  <c r="AO369" i="107"/>
  <c r="AO16" i="19139" s="1"/>
  <c r="AQ369" i="107"/>
  <c r="AQ16" i="19139" s="1"/>
  <c r="AS369" i="107"/>
  <c r="AS16" i="19139" s="1"/>
  <c r="AU369" i="107"/>
  <c r="AU16" i="19139" s="1"/>
  <c r="AW369" i="107"/>
  <c r="AW16" i="19139" s="1"/>
  <c r="AY369" i="107"/>
  <c r="AY16" i="19139" s="1"/>
  <c r="BA369" i="107"/>
  <c r="BA16" i="19139" s="1"/>
  <c r="BC369" i="107"/>
  <c r="BC16" i="19139" s="1"/>
  <c r="BE369" i="107"/>
  <c r="BE16" i="19139" s="1"/>
  <c r="BG369" i="107"/>
  <c r="BG16" i="19139" s="1"/>
  <c r="BI369" i="107"/>
  <c r="BI16" i="19139" s="1"/>
  <c r="BK369" i="107"/>
  <c r="BK16" i="19139" s="1"/>
  <c r="BM369" i="107"/>
  <c r="BM16" i="19139" s="1"/>
  <c r="BO369" i="107"/>
  <c r="BO16" i="19139" s="1"/>
  <c r="BQ369" i="107"/>
  <c r="BQ16" i="19139" s="1"/>
  <c r="BS369" i="107"/>
  <c r="BS16" i="19139" s="1"/>
  <c r="BU369" i="107"/>
  <c r="BU16" i="19139" s="1"/>
  <c r="BW369" i="107"/>
  <c r="BW16" i="19139" s="1"/>
  <c r="BY369" i="107"/>
  <c r="BY16" i="19139" s="1"/>
  <c r="CA369" i="107"/>
  <c r="CA16" i="19139" s="1"/>
  <c r="CC369" i="107"/>
  <c r="CC16" i="19139" s="1"/>
  <c r="E369" i="107"/>
  <c r="E16" i="19139" s="1"/>
  <c r="G367" i="107"/>
  <c r="G14" i="19139" s="1"/>
  <c r="I367" i="107"/>
  <c r="I14" i="19139" s="1"/>
  <c r="K367" i="107"/>
  <c r="K14" i="19139" s="1"/>
  <c r="M367" i="107"/>
  <c r="M14" i="19139" s="1"/>
  <c r="O367" i="107"/>
  <c r="O14" i="19139" s="1"/>
  <c r="Q367" i="107"/>
  <c r="Q14" i="19139" s="1"/>
  <c r="S367" i="107"/>
  <c r="S14" i="19139" s="1"/>
  <c r="U367" i="107"/>
  <c r="U14" i="19139" s="1"/>
  <c r="W367" i="107"/>
  <c r="W14" i="19139" s="1"/>
  <c r="Y367" i="107"/>
  <c r="Y14" i="19139" s="1"/>
  <c r="AA367" i="107"/>
  <c r="AA14" i="19139" s="1"/>
  <c r="AC367" i="107"/>
  <c r="AC14" i="19139" s="1"/>
  <c r="AE367" i="107"/>
  <c r="AE14" i="19139" s="1"/>
  <c r="AG367" i="107"/>
  <c r="AG14" i="19139" s="1"/>
  <c r="AI367" i="107"/>
  <c r="AI14" i="19139" s="1"/>
  <c r="AK367" i="107"/>
  <c r="AK14" i="19139" s="1"/>
  <c r="AM367" i="107"/>
  <c r="AM14" i="19139" s="1"/>
  <c r="AO367" i="107"/>
  <c r="AO14" i="19139" s="1"/>
  <c r="AQ367" i="107"/>
  <c r="AQ14" i="19139" s="1"/>
  <c r="AS367" i="107"/>
  <c r="AS14" i="19139" s="1"/>
  <c r="AU367" i="107"/>
  <c r="AU14" i="19139" s="1"/>
  <c r="AW367" i="107"/>
  <c r="AW14" i="19139" s="1"/>
  <c r="AY367" i="107"/>
  <c r="AY14" i="19139" s="1"/>
  <c r="BA367" i="107"/>
  <c r="BA14" i="19139" s="1"/>
  <c r="BC367" i="107"/>
  <c r="BC14" i="19139" s="1"/>
  <c r="BE367" i="107"/>
  <c r="BE14" i="19139" s="1"/>
  <c r="BG367" i="107"/>
  <c r="BG14" i="19139" s="1"/>
  <c r="BI367" i="107"/>
  <c r="BI14" i="19139" s="1"/>
  <c r="BK367" i="107"/>
  <c r="BK14" i="19139" s="1"/>
  <c r="BM367" i="107"/>
  <c r="BM14" i="19139" s="1"/>
  <c r="BO367" i="107"/>
  <c r="BO14" i="19139" s="1"/>
  <c r="BQ367" i="107"/>
  <c r="BQ14" i="19139" s="1"/>
  <c r="BS367" i="107"/>
  <c r="BS14" i="19139" s="1"/>
  <c r="BU367" i="107"/>
  <c r="BU14" i="19139" s="1"/>
  <c r="BW367" i="107"/>
  <c r="BW14" i="19139" s="1"/>
  <c r="BY367" i="107"/>
  <c r="BY14" i="19139" s="1"/>
  <c r="CA367" i="107"/>
  <c r="CA14" i="19139" s="1"/>
  <c r="CC367" i="107"/>
  <c r="CC14" i="19139" s="1"/>
  <c r="E367" i="107"/>
  <c r="E14" i="19139" s="1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B305" i="107" s="1"/>
  <c r="C90" i="19139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286" s="1"/>
  <c r="C56"/>
  <c r="M347" i="107"/>
  <c r="AT61" i="19140" l="1"/>
  <c r="M248" i="19129"/>
  <c r="Q248"/>
  <c r="M257"/>
  <c r="Q257"/>
  <c r="B221"/>
  <c r="M220" s="1"/>
  <c r="N220" s="1"/>
  <c r="O220" s="1"/>
  <c r="B205"/>
  <c r="H193"/>
  <c r="C178" i="19141"/>
  <c r="C95"/>
  <c r="C523"/>
  <c r="C462"/>
  <c r="C415"/>
  <c r="G558"/>
  <c r="G559"/>
  <c r="G494"/>
  <c r="G495"/>
  <c r="G443"/>
  <c r="G442"/>
  <c r="C614"/>
  <c r="C617"/>
  <c r="CD95" i="19139"/>
  <c r="C95"/>
  <c r="CB132"/>
  <c r="CC95"/>
  <c r="CB95"/>
  <c r="CA95"/>
  <c r="BZ95"/>
  <c r="BX95"/>
  <c r="BV95"/>
  <c r="BT95"/>
  <c r="BR95"/>
  <c r="BP95"/>
  <c r="BN95"/>
  <c r="BL95"/>
  <c r="BJ95"/>
  <c r="BH95"/>
  <c r="BF95"/>
  <c r="BD95"/>
  <c r="BB95"/>
  <c r="AZ95"/>
  <c r="AX95"/>
  <c r="AV95"/>
  <c r="AT95"/>
  <c r="AR95"/>
  <c r="AP95"/>
  <c r="AN95"/>
  <c r="AL95"/>
  <c r="AJ95"/>
  <c r="AH95"/>
  <c r="AF95"/>
  <c r="AD95"/>
  <c r="AB95"/>
  <c r="Z95"/>
  <c r="X95"/>
  <c r="V95"/>
  <c r="T95"/>
  <c r="R95"/>
  <c r="P95"/>
  <c r="N95"/>
  <c r="L95"/>
  <c r="J95"/>
  <c r="H95"/>
  <c r="F95"/>
  <c r="C132"/>
  <c r="E238" i="19129"/>
  <c r="L275"/>
  <c r="E267"/>
  <c r="L267"/>
  <c r="P169"/>
  <c r="B240"/>
  <c r="AA239"/>
  <c r="F257"/>
  <c r="P257" s="1"/>
  <c r="M155" i="107"/>
  <c r="B156" s="1"/>
  <c r="M255"/>
  <c r="D257" s="1"/>
  <c r="M154"/>
  <c r="B155" s="1"/>
  <c r="BZ132" i="19139"/>
  <c r="BX132"/>
  <c r="BV132"/>
  <c r="BT132"/>
  <c r="BR132"/>
  <c r="BP132"/>
  <c r="BN132"/>
  <c r="BL132"/>
  <c r="BJ132"/>
  <c r="BH132"/>
  <c r="BF132"/>
  <c r="BD132"/>
  <c r="BB132"/>
  <c r="AZ132"/>
  <c r="AX132"/>
  <c r="AV132"/>
  <c r="AT132"/>
  <c r="AR132"/>
  <c r="AP132"/>
  <c r="AN132"/>
  <c r="AL132"/>
  <c r="AJ132"/>
  <c r="AH132"/>
  <c r="AF132"/>
  <c r="AD132"/>
  <c r="AB132"/>
  <c r="Z132"/>
  <c r="X132"/>
  <c r="V132"/>
  <c r="T132"/>
  <c r="R132"/>
  <c r="P132"/>
  <c r="N132"/>
  <c r="L132"/>
  <c r="J132"/>
  <c r="H132"/>
  <c r="F132"/>
  <c r="D132"/>
  <c r="D95"/>
  <c r="C285"/>
  <c r="F275"/>
  <c r="M348" i="107"/>
  <c r="O348" s="1"/>
  <c r="M349"/>
  <c r="O349" s="1"/>
  <c r="F238" i="19129" l="1"/>
  <c r="P238" s="1"/>
  <c r="Q238"/>
  <c r="M238"/>
  <c r="M267"/>
  <c r="Q267"/>
  <c r="F267"/>
  <c r="P267" s="1"/>
  <c r="AT60" i="19140"/>
  <c r="B208" i="19129"/>
  <c r="M207" s="1"/>
  <c r="N207" s="1"/>
  <c r="O207" s="1"/>
  <c r="F267" i="107"/>
  <c r="B241" i="19129"/>
  <c r="AA240"/>
  <c r="J59" i="19138"/>
  <c r="L59"/>
  <c r="N59"/>
  <c r="P59"/>
  <c r="R59"/>
  <c r="T59"/>
  <c r="V59"/>
  <c r="X59"/>
  <c r="Z59"/>
  <c r="AB59"/>
  <c r="AD59"/>
  <c r="AF59"/>
  <c r="AH59"/>
  <c r="AJ59"/>
  <c r="AL59"/>
  <c r="AN59"/>
  <c r="AP59"/>
  <c r="AR59"/>
  <c r="AT59"/>
  <c r="AV59"/>
  <c r="AX59"/>
  <c r="AZ59"/>
  <c r="BB59"/>
  <c r="BD59"/>
  <c r="BF59"/>
  <c r="BH59"/>
  <c r="BJ59"/>
  <c r="BL59"/>
  <c r="BN59"/>
  <c r="BP59"/>
  <c r="BR59"/>
  <c r="BT59"/>
  <c r="BV59"/>
  <c r="BX59"/>
  <c r="BZ59"/>
  <c r="CB59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BU58"/>
  <c r="BV58"/>
  <c r="BW58"/>
  <c r="BX58"/>
  <c r="BY58"/>
  <c r="BZ58"/>
  <c r="CA58"/>
  <c r="CB58"/>
  <c r="CC58"/>
  <c r="H92" i="19131"/>
  <c r="H91"/>
  <c r="H69" i="19138"/>
  <c r="F73"/>
  <c r="D16"/>
  <c r="D15"/>
  <c r="C56"/>
  <c r="B73" s="1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BW56"/>
  <c r="BX56"/>
  <c r="BY56"/>
  <c r="BZ56"/>
  <c r="CA56"/>
  <c r="CB56"/>
  <c r="CC56"/>
  <c r="B56"/>
  <c r="G3"/>
  <c r="H58" l="1"/>
  <c r="I58" s="1"/>
  <c r="H60" s="1"/>
  <c r="F58"/>
  <c r="F59" s="1"/>
  <c r="D58"/>
  <c r="E58" s="1"/>
  <c r="D60" s="1"/>
  <c r="B58"/>
  <c r="B59" s="1"/>
  <c r="B242" i="19129"/>
  <c r="AA241"/>
  <c r="E62" i="19138"/>
  <c r="CB60"/>
  <c r="BZ60"/>
  <c r="BX60"/>
  <c r="BV60"/>
  <c r="BT60"/>
  <c r="BR60"/>
  <c r="BP60"/>
  <c r="BN60"/>
  <c r="BL60"/>
  <c r="BJ60"/>
  <c r="BH60"/>
  <c r="BF60"/>
  <c r="BD60"/>
  <c r="BB60"/>
  <c r="AZ60"/>
  <c r="AX60"/>
  <c r="AV60"/>
  <c r="AT60"/>
  <c r="AR60"/>
  <c r="AP60"/>
  <c r="AN60"/>
  <c r="AL60"/>
  <c r="AJ60"/>
  <c r="AH60"/>
  <c r="AF60"/>
  <c r="AD60"/>
  <c r="AB60"/>
  <c r="Z60"/>
  <c r="X60"/>
  <c r="V60"/>
  <c r="T60"/>
  <c r="R60"/>
  <c r="P60"/>
  <c r="N60"/>
  <c r="L60"/>
  <c r="J60"/>
  <c r="B72"/>
  <c r="G82" s="1"/>
  <c r="A527" i="19131"/>
  <c r="G526"/>
  <c r="E526"/>
  <c r="C526"/>
  <c r="I523"/>
  <c r="H523"/>
  <c r="F523"/>
  <c r="D523"/>
  <c r="B523"/>
  <c r="A523"/>
  <c r="C33" i="19130"/>
  <c r="C361" i="19142" s="1"/>
  <c r="H36" i="19134"/>
  <c r="H251" i="19142" s="1"/>
  <c r="A1" i="19136"/>
  <c r="C4"/>
  <c r="I283"/>
  <c r="I282"/>
  <c r="C276"/>
  <c r="C275"/>
  <c r="D272"/>
  <c r="D271"/>
  <c r="D270"/>
  <c r="D269"/>
  <c r="D267"/>
  <c r="D266"/>
  <c r="D265"/>
  <c r="D264"/>
  <c r="D263"/>
  <c r="D349"/>
  <c r="D345"/>
  <c r="C6" i="19137"/>
  <c r="H59" i="19138" l="1"/>
  <c r="G58"/>
  <c r="F60" s="1"/>
  <c r="F91" i="19131"/>
  <c r="F91" i="19135"/>
  <c r="C389" i="19142"/>
  <c r="C380"/>
  <c r="H274"/>
  <c r="H269"/>
  <c r="H394" i="19128"/>
  <c r="H412" s="1"/>
  <c r="F372"/>
  <c r="D59" i="19138"/>
  <c r="C58"/>
  <c r="B60" s="1"/>
  <c r="E75"/>
  <c r="B243" i="19129"/>
  <c r="AA242"/>
  <c r="A77" i="19138"/>
  <c r="G77"/>
  <c r="D393" i="19136"/>
  <c r="B393"/>
  <c r="D392"/>
  <c r="B392"/>
  <c r="B366"/>
  <c r="B375" s="1"/>
  <c r="A382" s="1"/>
  <c r="A353"/>
  <c r="F333"/>
  <c r="D533" s="1"/>
  <c r="E333"/>
  <c r="D536" s="1"/>
  <c r="C333"/>
  <c r="G332"/>
  <c r="D545" s="1"/>
  <c r="D327"/>
  <c r="E311"/>
  <c r="G298"/>
  <c r="G297"/>
  <c r="G296"/>
  <c r="G293"/>
  <c r="G292"/>
  <c r="G291"/>
  <c r="H287"/>
  <c r="C287"/>
  <c r="C281"/>
  <c r="C280"/>
  <c r="C278"/>
  <c r="C277"/>
  <c r="F271"/>
  <c r="F270"/>
  <c r="F269"/>
  <c r="D268"/>
  <c r="G224"/>
  <c r="F203"/>
  <c r="G223" s="1"/>
  <c r="E203"/>
  <c r="C203"/>
  <c r="G202"/>
  <c r="C197"/>
  <c r="E177"/>
  <c r="I175"/>
  <c r="G138"/>
  <c r="G137"/>
  <c r="F123"/>
  <c r="G136" s="1"/>
  <c r="E123"/>
  <c r="C123"/>
  <c r="G118"/>
  <c r="H113"/>
  <c r="E94"/>
  <c r="I93"/>
  <c r="H62"/>
  <c r="H61"/>
  <c r="G444" s="1"/>
  <c r="H60"/>
  <c r="H54"/>
  <c r="H53"/>
  <c r="D48"/>
  <c r="D456" i="19142" s="1"/>
  <c r="E24" i="19136"/>
  <c r="H59" s="1"/>
  <c r="C24"/>
  <c r="H16"/>
  <c r="C7" i="19137" s="1"/>
  <c r="E16" i="19136"/>
  <c r="F15"/>
  <c r="F14"/>
  <c r="F13"/>
  <c r="G10" s="1"/>
  <c r="C5" i="19137" s="1"/>
  <c r="E63" i="19138" l="1"/>
  <c r="F92" i="19135" s="1"/>
  <c r="G134" i="19136"/>
  <c r="G220"/>
  <c r="H75" i="19138"/>
  <c r="E64"/>
  <c r="B244" i="19129"/>
  <c r="AA243"/>
  <c r="A78" i="19138"/>
  <c r="C282" i="19136"/>
  <c r="G78" i="19138"/>
  <c r="E16" i="19137"/>
  <c r="C16"/>
  <c r="F272" i="19136"/>
  <c r="F576" s="1"/>
  <c r="C283"/>
  <c r="F224"/>
  <c r="I224" s="1"/>
  <c r="B224"/>
  <c r="F138"/>
  <c r="I138" s="1"/>
  <c r="B138"/>
  <c r="D312"/>
  <c r="C178"/>
  <c r="D205"/>
  <c r="D125"/>
  <c r="G11"/>
  <c r="C55"/>
  <c r="G55"/>
  <c r="H55"/>
  <c r="C62"/>
  <c r="G62"/>
  <c r="I62" s="1"/>
  <c r="F74"/>
  <c r="C95"/>
  <c r="I266"/>
  <c r="C598"/>
  <c r="C586"/>
  <c r="E536"/>
  <c r="F557" s="1"/>
  <c r="G576"/>
  <c r="C532"/>
  <c r="G512"/>
  <c r="G565"/>
  <c r="G564"/>
  <c r="G563"/>
  <c r="G562"/>
  <c r="G561"/>
  <c r="G560"/>
  <c r="G557"/>
  <c r="G222"/>
  <c r="C301"/>
  <c r="D380" s="1"/>
  <c r="G301"/>
  <c r="C403" s="1"/>
  <c r="C305"/>
  <c r="G305"/>
  <c r="D335"/>
  <c r="C375"/>
  <c r="D403"/>
  <c r="C421"/>
  <c r="D422"/>
  <c r="D423"/>
  <c r="E424"/>
  <c r="D433"/>
  <c r="G455"/>
  <c r="B470"/>
  <c r="D471"/>
  <c r="D472"/>
  <c r="E473"/>
  <c r="D481"/>
  <c r="B557" l="1"/>
  <c r="F92" i="19131"/>
  <c r="F93"/>
  <c r="F93" i="19135"/>
  <c r="B512" i="19136"/>
  <c r="B576"/>
  <c r="F512"/>
  <c r="I512" s="1"/>
  <c r="B455"/>
  <c r="F455"/>
  <c r="I455" s="1"/>
  <c r="B245" i="19129"/>
  <c r="AA244"/>
  <c r="C284" i="19136"/>
  <c r="C285" s="1"/>
  <c r="C286" s="1"/>
  <c r="G16" i="19137"/>
  <c r="A79" i="19138"/>
  <c r="G84"/>
  <c r="G79"/>
  <c r="G501" i="19136"/>
  <c r="G500"/>
  <c r="G499"/>
  <c r="G498"/>
  <c r="G497"/>
  <c r="G496"/>
  <c r="G493"/>
  <c r="F493"/>
  <c r="B493"/>
  <c r="G516"/>
  <c r="G515"/>
  <c r="G514"/>
  <c r="G513"/>
  <c r="G511"/>
  <c r="G510"/>
  <c r="G509"/>
  <c r="F509"/>
  <c r="B509"/>
  <c r="G446"/>
  <c r="G445"/>
  <c r="G441"/>
  <c r="F441"/>
  <c r="B441"/>
  <c r="G457"/>
  <c r="G456"/>
  <c r="G454"/>
  <c r="G453"/>
  <c r="F453"/>
  <c r="B453"/>
  <c r="I403"/>
  <c r="H403"/>
  <c r="G403"/>
  <c r="F403"/>
  <c r="E403"/>
  <c r="D375"/>
  <c r="C547"/>
  <c r="C483"/>
  <c r="C434"/>
  <c r="D382"/>
  <c r="I557"/>
  <c r="G580"/>
  <c r="G579"/>
  <c r="G578"/>
  <c r="G577"/>
  <c r="G575"/>
  <c r="G574"/>
  <c r="G573"/>
  <c r="F573"/>
  <c r="B573"/>
  <c r="H586"/>
  <c r="H587" s="1"/>
  <c r="E586"/>
  <c r="H598"/>
  <c r="H599" s="1"/>
  <c r="E598"/>
  <c r="G351"/>
  <c r="B351"/>
  <c r="G350"/>
  <c r="B350"/>
  <c r="G347"/>
  <c r="B347"/>
  <c r="G346"/>
  <c r="B346"/>
  <c r="I267"/>
  <c r="F84"/>
  <c r="F76"/>
  <c r="F160"/>
  <c r="G141"/>
  <c r="G140"/>
  <c r="F244"/>
  <c r="G227"/>
  <c r="G226"/>
  <c r="C523"/>
  <c r="C462"/>
  <c r="C415"/>
  <c r="I55"/>
  <c r="I576"/>
  <c r="B246" i="19129" l="1"/>
  <c r="AA245"/>
  <c r="A80" i="19138"/>
  <c r="G80"/>
  <c r="G83" s="1"/>
  <c r="F246" i="19136"/>
  <c r="F162"/>
  <c r="C617"/>
  <c r="C614"/>
  <c r="I573"/>
  <c r="I453"/>
  <c r="I441"/>
  <c r="I509"/>
  <c r="I493"/>
  <c r="B247" i="19129" l="1"/>
  <c r="AA247" s="1"/>
  <c r="AA246"/>
  <c r="F485" i="19135"/>
  <c r="F240" i="19142" s="1"/>
  <c r="D240"/>
  <c r="F484" i="19131"/>
  <c r="F201" i="19142" s="1"/>
  <c r="D201"/>
  <c r="F296" i="107"/>
  <c r="F129" i="19142" s="1"/>
  <c r="D296" i="107"/>
  <c r="D129" i="19142" s="1"/>
  <c r="F247" i="107"/>
  <c r="F147" i="19142" s="1"/>
  <c r="D247" i="107"/>
  <c r="D147" i="19142" s="1"/>
  <c r="I14" i="19130"/>
  <c r="D345" i="19128"/>
  <c r="D291"/>
  <c r="C290"/>
  <c r="P310" i="19134" l="1"/>
  <c r="P1297" s="1"/>
  <c r="O310"/>
  <c r="O1297" s="1"/>
  <c r="N310"/>
  <c r="N1297" s="1"/>
  <c r="M310"/>
  <c r="M1297" s="1"/>
  <c r="P309"/>
  <c r="P1296" s="1"/>
  <c r="O309"/>
  <c r="O1296" s="1"/>
  <c r="N309"/>
  <c r="N1296" s="1"/>
  <c r="M309"/>
  <c r="M1296" s="1"/>
  <c r="P308"/>
  <c r="P1295" s="1"/>
  <c r="O308"/>
  <c r="O1295" s="1"/>
  <c r="N308"/>
  <c r="N1295" s="1"/>
  <c r="M308"/>
  <c r="M1295" s="1"/>
  <c r="P307"/>
  <c r="P1294" s="1"/>
  <c r="O307"/>
  <c r="O1294" s="1"/>
  <c r="N307"/>
  <c r="N1294" s="1"/>
  <c r="M307"/>
  <c r="M1294" s="1"/>
  <c r="P306"/>
  <c r="P1293" s="1"/>
  <c r="O1293"/>
  <c r="N306"/>
  <c r="N1293" s="1"/>
  <c r="M306"/>
  <c r="M1293" s="1"/>
  <c r="P194"/>
  <c r="P1186" s="1"/>
  <c r="O194"/>
  <c r="O1186" s="1"/>
  <c r="N194"/>
  <c r="N1186" s="1"/>
  <c r="M194"/>
  <c r="M1186" s="1"/>
  <c r="P193"/>
  <c r="P1185" s="1"/>
  <c r="O193"/>
  <c r="O1185" s="1"/>
  <c r="N193"/>
  <c r="N1185" s="1"/>
  <c r="M193"/>
  <c r="M1185" s="1"/>
  <c r="P192"/>
  <c r="P1184" s="1"/>
  <c r="O192"/>
  <c r="O1184" s="1"/>
  <c r="N192"/>
  <c r="N1184" s="1"/>
  <c r="M192"/>
  <c r="M1184" s="1"/>
  <c r="P191"/>
  <c r="P1183" s="1"/>
  <c r="O191"/>
  <c r="O1183" s="1"/>
  <c r="N191"/>
  <c r="N1183" s="1"/>
  <c r="M191"/>
  <c r="M440" s="1"/>
  <c r="P190"/>
  <c r="P1182" s="1"/>
  <c r="O190"/>
  <c r="O1182" s="1"/>
  <c r="N190"/>
  <c r="N1182" s="1"/>
  <c r="M190"/>
  <c r="M1182" s="1"/>
  <c r="L191"/>
  <c r="L66"/>
  <c r="L190"/>
  <c r="H63"/>
  <c r="F445" i="19128" s="1"/>
  <c r="C460" s="1"/>
  <c r="I62" i="19134"/>
  <c r="G77"/>
  <c r="G93" s="1"/>
  <c r="I76"/>
  <c r="I93" s="1"/>
  <c r="H54"/>
  <c r="I54"/>
  <c r="L67"/>
  <c r="L307" s="1"/>
  <c r="P303" i="19130"/>
  <c r="P1297" s="1"/>
  <c r="O303"/>
  <c r="O1297" s="1"/>
  <c r="N303"/>
  <c r="N1297" s="1"/>
  <c r="M303"/>
  <c r="M1297" s="1"/>
  <c r="P302"/>
  <c r="P1296" s="1"/>
  <c r="O302"/>
  <c r="O1296" s="1"/>
  <c r="N302"/>
  <c r="N1296" s="1"/>
  <c r="M302"/>
  <c r="M1296" s="1"/>
  <c r="P301"/>
  <c r="P1295" s="1"/>
  <c r="O301"/>
  <c r="O1295" s="1"/>
  <c r="N301"/>
  <c r="N1295" s="1"/>
  <c r="M301"/>
  <c r="M1295" s="1"/>
  <c r="P300"/>
  <c r="P1294" s="1"/>
  <c r="O300"/>
  <c r="O1294" s="1"/>
  <c r="N300"/>
  <c r="N1294" s="1"/>
  <c r="M300"/>
  <c r="M1294" s="1"/>
  <c r="P299"/>
  <c r="P1293" s="1"/>
  <c r="O299"/>
  <c r="O1293" s="1"/>
  <c r="N299"/>
  <c r="N1293" s="1"/>
  <c r="M299"/>
  <c r="M1293" s="1"/>
  <c r="P189"/>
  <c r="P1183" s="1"/>
  <c r="O189"/>
  <c r="O1183" s="1"/>
  <c r="N189"/>
  <c r="N1183" s="1"/>
  <c r="M189"/>
  <c r="M1183" s="1"/>
  <c r="P188"/>
  <c r="P1182" s="1"/>
  <c r="O188"/>
  <c r="O1182" s="1"/>
  <c r="N188"/>
  <c r="N1182" s="1"/>
  <c r="M188"/>
  <c r="M1182" s="1"/>
  <c r="P186"/>
  <c r="P1180" s="1"/>
  <c r="P187"/>
  <c r="P1181" s="1"/>
  <c r="O187"/>
  <c r="O1181" s="1"/>
  <c r="N187"/>
  <c r="N1181" s="1"/>
  <c r="M187"/>
  <c r="M1181" s="1"/>
  <c r="O186"/>
  <c r="O1180" s="1"/>
  <c r="N186"/>
  <c r="N1180" s="1"/>
  <c r="M186"/>
  <c r="M1180" s="1"/>
  <c r="P185"/>
  <c r="P1179" s="1"/>
  <c r="O185"/>
  <c r="O1179" s="1"/>
  <c r="N185"/>
  <c r="N1179" s="1"/>
  <c r="M185"/>
  <c r="M1179" s="1"/>
  <c r="C75"/>
  <c r="C89" s="1"/>
  <c r="B74"/>
  <c r="B89" s="1"/>
  <c r="B63"/>
  <c r="C64"/>
  <c r="F338" i="19128" s="1"/>
  <c r="C353" s="1"/>
  <c r="C357" i="19130"/>
  <c r="C109"/>
  <c r="L64"/>
  <c r="L186" s="1"/>
  <c r="L174" s="1"/>
  <c r="L63"/>
  <c r="L185" s="1"/>
  <c r="L173" s="1"/>
  <c r="C55"/>
  <c r="B55"/>
  <c r="B41" i="19134"/>
  <c r="D429" i="19129"/>
  <c r="D369"/>
  <c r="L2" i="19131"/>
  <c r="L2" i="19135"/>
  <c r="D12" s="1"/>
  <c r="O450"/>
  <c r="N450"/>
  <c r="A431"/>
  <c r="A432" s="1"/>
  <c r="B430"/>
  <c r="G45"/>
  <c r="G44"/>
  <c r="G43"/>
  <c r="G40"/>
  <c r="G39"/>
  <c r="G38"/>
  <c r="I17"/>
  <c r="I16"/>
  <c r="C16"/>
  <c r="C21" s="1"/>
  <c r="C15"/>
  <c r="D28" s="1"/>
  <c r="D9"/>
  <c r="E256" s="1"/>
  <c r="F8"/>
  <c r="H6" s="1"/>
  <c r="D7"/>
  <c r="D6"/>
  <c r="D5"/>
  <c r="D4"/>
  <c r="L1390" i="19134"/>
  <c r="H1390"/>
  <c r="H329" i="19142" s="1"/>
  <c r="D1390" i="19134"/>
  <c r="D329" i="19142" s="1"/>
  <c r="B1390" i="19134"/>
  <c r="B329" i="19142" s="1"/>
  <c r="F1390" i="19134"/>
  <c r="F329" i="19142" s="1"/>
  <c r="G1387" i="19134"/>
  <c r="G327" i="19142" s="1"/>
  <c r="F1387" i="19134"/>
  <c r="F327" i="19142" s="1"/>
  <c r="G1384" i="19134"/>
  <c r="G324" i="19142" s="1"/>
  <c r="G1383" i="19134"/>
  <c r="G323" i="19142" s="1"/>
  <c r="F1384" i="19134"/>
  <c r="F324" i="19142" s="1"/>
  <c r="F1383" i="19134"/>
  <c r="F323" i="19142" s="1"/>
  <c r="F1376" i="19134"/>
  <c r="F315" i="19142" s="1"/>
  <c r="F1375" i="19134"/>
  <c r="F314" i="19142" s="1"/>
  <c r="G1372" i="19134"/>
  <c r="G312" i="19142" s="1"/>
  <c r="G1371" i="19134"/>
  <c r="G311" i="19142" s="1"/>
  <c r="F1372" i="19134"/>
  <c r="F312" i="19142" s="1"/>
  <c r="F1371" i="19134"/>
  <c r="F311" i="19142" s="1"/>
  <c r="G1369" i="19134"/>
  <c r="G309" i="19142" s="1"/>
  <c r="G1368" i="19134"/>
  <c r="G308" i="19142" s="1"/>
  <c r="F1369" i="19134"/>
  <c r="F309" i="19142" s="1"/>
  <c r="F1368" i="19134"/>
  <c r="F308" i="19142" s="1"/>
  <c r="I1211" i="19134"/>
  <c r="A66" s="1"/>
  <c r="E805"/>
  <c r="H825" s="1"/>
  <c r="C805"/>
  <c r="C776"/>
  <c r="S8" s="1"/>
  <c r="H236" i="1" s="1"/>
  <c r="E708" i="19134"/>
  <c r="E665"/>
  <c r="D640"/>
  <c r="E619"/>
  <c r="I218"/>
  <c r="I467"/>
  <c r="I460" i="19130"/>
  <c r="I1206"/>
  <c r="J66" s="1"/>
  <c r="J391" i="19142" s="1"/>
  <c r="J377" s="1"/>
  <c r="I212" i="19130"/>
  <c r="L1377"/>
  <c r="H1377"/>
  <c r="H440" i="19142" s="1"/>
  <c r="F1377" i="19130"/>
  <c r="F440" i="19142" s="1"/>
  <c r="D1377" i="19130"/>
  <c r="D440" i="19142" s="1"/>
  <c r="B1377" i="19130"/>
  <c r="B440" i="19142" s="1"/>
  <c r="G215" i="107"/>
  <c r="F165"/>
  <c r="C389" i="19135" l="1"/>
  <c r="L440" i="19142"/>
  <c r="J440"/>
  <c r="H805" i="19134"/>
  <c r="L329" i="19142"/>
  <c r="J329"/>
  <c r="E709" i="19134"/>
  <c r="G709" s="1"/>
  <c r="G708"/>
  <c r="L1182"/>
  <c r="L179"/>
  <c r="L427" s="1"/>
  <c r="L676" s="1"/>
  <c r="L927" s="1"/>
  <c r="L1171" s="1"/>
  <c r="B399" i="19128"/>
  <c r="B256" i="19142"/>
  <c r="L1183" i="19134"/>
  <c r="L180"/>
  <c r="L428" s="1"/>
  <c r="L677" s="1"/>
  <c r="L928" s="1"/>
  <c r="L1172" s="1"/>
  <c r="E17" i="19141"/>
  <c r="G199" s="1"/>
  <c r="A277" i="19142"/>
  <c r="A266" s="1"/>
  <c r="E17" i="19136"/>
  <c r="J52" i="19130"/>
  <c r="I305" i="19128" s="1"/>
  <c r="F810" i="19134"/>
  <c r="H1068" i="19129"/>
  <c r="A445" i="19128"/>
  <c r="C459" s="1"/>
  <c r="L306" i="19134"/>
  <c r="L1293" s="1"/>
  <c r="A53" i="19140"/>
  <c r="B953" i="19129"/>
  <c r="A338" i="19128"/>
  <c r="C352" s="1"/>
  <c r="A207" i="19130"/>
  <c r="A140"/>
  <c r="C115" i="19134"/>
  <c r="A213" s="1"/>
  <c r="B62"/>
  <c r="B98"/>
  <c r="F1386"/>
  <c r="F326" i="19142" s="1"/>
  <c r="B825" i="19134"/>
  <c r="A455" i="19130"/>
  <c r="B389"/>
  <c r="L1294" i="19134"/>
  <c r="L1044"/>
  <c r="L798"/>
  <c r="L554"/>
  <c r="C364"/>
  <c r="E1364" s="1"/>
  <c r="E301" i="19142" s="1"/>
  <c r="G1068" i="19129"/>
  <c r="L439" i="19134"/>
  <c r="L440"/>
  <c r="P443"/>
  <c r="O443"/>
  <c r="N443"/>
  <c r="M443"/>
  <c r="P442"/>
  <c r="O442"/>
  <c r="N442"/>
  <c r="M442"/>
  <c r="P441"/>
  <c r="O441"/>
  <c r="N441"/>
  <c r="M441"/>
  <c r="P440"/>
  <c r="O440"/>
  <c r="N440"/>
  <c r="P439"/>
  <c r="O439"/>
  <c r="N439"/>
  <c r="M439"/>
  <c r="L687"/>
  <c r="L688"/>
  <c r="P691"/>
  <c r="O691"/>
  <c r="N691"/>
  <c r="M691"/>
  <c r="P690"/>
  <c r="O690"/>
  <c r="N690"/>
  <c r="M690"/>
  <c r="P689"/>
  <c r="O689"/>
  <c r="N689"/>
  <c r="M689"/>
  <c r="P688"/>
  <c r="O688"/>
  <c r="N688"/>
  <c r="M688"/>
  <c r="P687"/>
  <c r="O687"/>
  <c r="N687"/>
  <c r="M687"/>
  <c r="L939"/>
  <c r="L940"/>
  <c r="P943"/>
  <c r="O943"/>
  <c r="N943"/>
  <c r="M943"/>
  <c r="P942"/>
  <c r="O942"/>
  <c r="N942"/>
  <c r="M942"/>
  <c r="P941"/>
  <c r="O941"/>
  <c r="N941"/>
  <c r="M941"/>
  <c r="P940"/>
  <c r="O940"/>
  <c r="N940"/>
  <c r="M940"/>
  <c r="P939"/>
  <c r="O939"/>
  <c r="N939"/>
  <c r="M939"/>
  <c r="M1183"/>
  <c r="P557"/>
  <c r="O557"/>
  <c r="N557"/>
  <c r="M557"/>
  <c r="P556"/>
  <c r="O556"/>
  <c r="N556"/>
  <c r="M556"/>
  <c r="P555"/>
  <c r="O555"/>
  <c r="N555"/>
  <c r="M555"/>
  <c r="P554"/>
  <c r="O554"/>
  <c r="N554"/>
  <c r="M554"/>
  <c r="P553"/>
  <c r="O553"/>
  <c r="N553"/>
  <c r="M553"/>
  <c r="P801"/>
  <c r="O801"/>
  <c r="N801"/>
  <c r="M801"/>
  <c r="P800"/>
  <c r="O800"/>
  <c r="N800"/>
  <c r="M800"/>
  <c r="P799"/>
  <c r="O799"/>
  <c r="N799"/>
  <c r="M799"/>
  <c r="P798"/>
  <c r="O798"/>
  <c r="N798"/>
  <c r="M798"/>
  <c r="P797"/>
  <c r="O797"/>
  <c r="N797"/>
  <c r="M797"/>
  <c r="P1047"/>
  <c r="O1047"/>
  <c r="N1047"/>
  <c r="M1047"/>
  <c r="P1046"/>
  <c r="O1046"/>
  <c r="N1046"/>
  <c r="M1046"/>
  <c r="P1045"/>
  <c r="O1045"/>
  <c r="N1045"/>
  <c r="M1045"/>
  <c r="P1044"/>
  <c r="O1044"/>
  <c r="N1044"/>
  <c r="M1044"/>
  <c r="P1043"/>
  <c r="O1043"/>
  <c r="N1043"/>
  <c r="M1043"/>
  <c r="P551" i="19130"/>
  <c r="O551"/>
  <c r="N551"/>
  <c r="M551"/>
  <c r="P550"/>
  <c r="O550"/>
  <c r="N550"/>
  <c r="M550"/>
  <c r="P549"/>
  <c r="O549"/>
  <c r="N549"/>
  <c r="M549"/>
  <c r="P548"/>
  <c r="O548"/>
  <c r="N548"/>
  <c r="M548"/>
  <c r="P547"/>
  <c r="O547"/>
  <c r="N547"/>
  <c r="M547"/>
  <c r="P800"/>
  <c r="O800"/>
  <c r="N800"/>
  <c r="M800"/>
  <c r="P799"/>
  <c r="O799"/>
  <c r="N799"/>
  <c r="M799"/>
  <c r="P798"/>
  <c r="O798"/>
  <c r="N798"/>
  <c r="M798"/>
  <c r="P797"/>
  <c r="O797"/>
  <c r="N797"/>
  <c r="M797"/>
  <c r="P796"/>
  <c r="O796"/>
  <c r="N796"/>
  <c r="M796"/>
  <c r="P1049"/>
  <c r="O1049"/>
  <c r="N1049"/>
  <c r="M1049"/>
  <c r="P1048"/>
  <c r="O1048"/>
  <c r="N1048"/>
  <c r="M1048"/>
  <c r="P1047"/>
  <c r="O1047"/>
  <c r="N1047"/>
  <c r="M1047"/>
  <c r="P1046"/>
  <c r="O1046"/>
  <c r="N1046"/>
  <c r="M1046"/>
  <c r="P1045"/>
  <c r="O1045"/>
  <c r="N1045"/>
  <c r="M1045"/>
  <c r="L299"/>
  <c r="L1179"/>
  <c r="L1167" s="1"/>
  <c r="L931"/>
  <c r="L919" s="1"/>
  <c r="L681"/>
  <c r="L669" s="1"/>
  <c r="L437"/>
  <c r="L424" s="1"/>
  <c r="L300"/>
  <c r="L1180"/>
  <c r="L1168" s="1"/>
  <c r="L932"/>
  <c r="L920" s="1"/>
  <c r="L682"/>
  <c r="L670" s="1"/>
  <c r="L438"/>
  <c r="L425" s="1"/>
  <c r="P441"/>
  <c r="N441"/>
  <c r="M441"/>
  <c r="P440"/>
  <c r="O440"/>
  <c r="N440"/>
  <c r="M440"/>
  <c r="P439"/>
  <c r="O439"/>
  <c r="N439"/>
  <c r="M439"/>
  <c r="P438"/>
  <c r="O438"/>
  <c r="N438"/>
  <c r="M438"/>
  <c r="P437"/>
  <c r="O437"/>
  <c r="N437"/>
  <c r="M437"/>
  <c r="P685"/>
  <c r="N685"/>
  <c r="M685"/>
  <c r="P684"/>
  <c r="O684"/>
  <c r="N684"/>
  <c r="M684"/>
  <c r="P683"/>
  <c r="O683"/>
  <c r="N683"/>
  <c r="M683"/>
  <c r="P682"/>
  <c r="O682"/>
  <c r="N682"/>
  <c r="M682"/>
  <c r="P681"/>
  <c r="O681"/>
  <c r="N681"/>
  <c r="M681"/>
  <c r="P935"/>
  <c r="N935"/>
  <c r="M935"/>
  <c r="P934"/>
  <c r="O934"/>
  <c r="N934"/>
  <c r="M934"/>
  <c r="P933"/>
  <c r="O933"/>
  <c r="N933"/>
  <c r="M933"/>
  <c r="P932"/>
  <c r="O932"/>
  <c r="N932"/>
  <c r="M932"/>
  <c r="P931"/>
  <c r="O931"/>
  <c r="N931"/>
  <c r="M931"/>
  <c r="O441"/>
  <c r="O685"/>
  <c r="O935"/>
  <c r="D11" i="19135"/>
  <c r="F85" s="1"/>
  <c r="A433"/>
  <c r="B432"/>
  <c r="C18"/>
  <c r="C20"/>
  <c r="C27"/>
  <c r="G96" s="1"/>
  <c r="F88"/>
  <c r="G388"/>
  <c r="B431"/>
  <c r="G1386" i="19134"/>
  <c r="G326" i="19142" s="1"/>
  <c r="D8" i="19128"/>
  <c r="G171" s="1"/>
  <c r="D58" i="107"/>
  <c r="L1" i="19128"/>
  <c r="P22"/>
  <c r="N47"/>
  <c r="R75"/>
  <c r="R46"/>
  <c r="V73"/>
  <c r="N68"/>
  <c r="N66"/>
  <c r="N60"/>
  <c r="N58"/>
  <c r="N53"/>
  <c r="T68"/>
  <c r="T66"/>
  <c r="T60"/>
  <c r="T58"/>
  <c r="T53"/>
  <c r="P47"/>
  <c r="N35"/>
  <c r="R37"/>
  <c r="V22"/>
  <c r="T30"/>
  <c r="T22"/>
  <c r="T15"/>
  <c r="R8"/>
  <c r="V35"/>
  <c r="V30"/>
  <c r="V28"/>
  <c r="V20"/>
  <c r="V15"/>
  <c r="V9"/>
  <c r="T28"/>
  <c r="T20"/>
  <c r="T35"/>
  <c r="D6" i="84"/>
  <c r="D7"/>
  <c r="A1055" i="19129"/>
  <c r="A938"/>
  <c r="G938"/>
  <c r="G1055"/>
  <c r="F698"/>
  <c r="F713" s="1"/>
  <c r="G74"/>
  <c r="G21" i="19142" s="1"/>
  <c r="J488" i="19129"/>
  <c r="E70" i="19142" s="1"/>
  <c r="E399" i="19129"/>
  <c r="E338"/>
  <c r="C285"/>
  <c r="T170"/>
  <c r="E11" i="19140" s="1"/>
  <c r="D158" i="19129"/>
  <c r="Y213"/>
  <c r="AI215"/>
  <c r="F1375" i="19130"/>
  <c r="F438" i="19142" s="1"/>
  <c r="G1375" i="19130"/>
  <c r="G438" i="19142" s="1"/>
  <c r="G1372" i="19130"/>
  <c r="G435" i="19142" s="1"/>
  <c r="G1371" i="19130"/>
  <c r="G434" i="19142" s="1"/>
  <c r="F1372" i="19130"/>
  <c r="F435" i="19142" s="1"/>
  <c r="F1371" i="19130"/>
  <c r="F434" i="19142" s="1"/>
  <c r="F1365" i="19130"/>
  <c r="F426" i="19142" s="1"/>
  <c r="F1364" i="19130"/>
  <c r="F425" i="19142" s="1"/>
  <c r="G1361" i="19130"/>
  <c r="G423" i="19142" s="1"/>
  <c r="G1360" i="19130"/>
  <c r="G422" i="19142" s="1"/>
  <c r="F1361" i="19130"/>
  <c r="F423" i="19142" s="1"/>
  <c r="F1360" i="19130"/>
  <c r="F422" i="19142" s="1"/>
  <c r="G1358" i="19130"/>
  <c r="G420" i="19142" s="1"/>
  <c r="G1357" i="19130"/>
  <c r="G419" i="19142" s="1"/>
  <c r="F1358" i="19130"/>
  <c r="F420" i="19142" s="1"/>
  <c r="F1357" i="19130"/>
  <c r="F419" i="19142" s="1"/>
  <c r="F1369" i="19130"/>
  <c r="F430" i="19142" s="1"/>
  <c r="C954" i="19129"/>
  <c r="E797" i="19130"/>
  <c r="H818" s="1"/>
  <c r="C797"/>
  <c r="H797" s="1"/>
  <c r="C768"/>
  <c r="S8" s="1"/>
  <c r="H273" i="1" s="1"/>
  <c r="E700" i="19130"/>
  <c r="D657"/>
  <c r="D631"/>
  <c r="E611"/>
  <c r="D1369"/>
  <c r="D430" i="19142" s="1"/>
  <c r="H1369" i="19130"/>
  <c r="H430" i="19142" s="1"/>
  <c r="L1369" i="19130"/>
  <c r="L430" i="19142" s="1"/>
  <c r="B1369" i="19130"/>
  <c r="B430" i="19142" s="1"/>
  <c r="E1354" i="19130"/>
  <c r="C1354"/>
  <c r="P73" i="19128" l="1"/>
  <c r="D75" i="19142"/>
  <c r="D101" s="1"/>
  <c r="N73" i="19128"/>
  <c r="B75" i="19142"/>
  <c r="B101" s="1"/>
  <c r="T73" i="19128"/>
  <c r="X75" s="1"/>
  <c r="J103" i="19142" s="1"/>
  <c r="F75"/>
  <c r="P68" i="19128"/>
  <c r="D79" i="19142"/>
  <c r="E701" i="19130"/>
  <c r="G701" s="1"/>
  <c r="G700"/>
  <c r="C1369"/>
  <c r="C430" i="19142" s="1"/>
  <c r="C412"/>
  <c r="L553" i="19134"/>
  <c r="L1043"/>
  <c r="E1369" i="19130"/>
  <c r="E430" i="19142" s="1"/>
  <c r="E412"/>
  <c r="H115" i="19141"/>
  <c r="H329"/>
  <c r="E426" s="1"/>
  <c r="B1070" i="19129"/>
  <c r="B273" i="19142"/>
  <c r="F803" i="19130"/>
  <c r="G57" i="19136"/>
  <c r="H329"/>
  <c r="G199"/>
  <c r="H115"/>
  <c r="C57"/>
  <c r="L797" i="19134"/>
  <c r="P20" i="19128"/>
  <c r="P15"/>
  <c r="P28"/>
  <c r="P30"/>
  <c r="F1374" i="19130"/>
  <c r="F437" i="19142" s="1"/>
  <c r="B818" i="19130"/>
  <c r="C1380" i="19134"/>
  <c r="C319" i="19142" s="1"/>
  <c r="C1364" i="19134"/>
  <c r="C301" i="19142" s="1"/>
  <c r="A146" i="19134"/>
  <c r="X46" i="19128"/>
  <c r="J74" i="19142" s="1"/>
  <c r="X37" i="19128"/>
  <c r="L46"/>
  <c r="A74" i="19142" s="1"/>
  <c r="C309" i="19129"/>
  <c r="L309" s="1"/>
  <c r="C315"/>
  <c r="L315" s="1"/>
  <c r="C311"/>
  <c r="L311" s="1"/>
  <c r="C313"/>
  <c r="L313" s="1"/>
  <c r="C314"/>
  <c r="L314" s="1"/>
  <c r="C316"/>
  <c r="L316" s="1"/>
  <c r="C312"/>
  <c r="L312" s="1"/>
  <c r="C317"/>
  <c r="L317" s="1"/>
  <c r="C310"/>
  <c r="L310" s="1"/>
  <c r="L285"/>
  <c r="B72" i="19137"/>
  <c r="AA297" i="19129"/>
  <c r="D297"/>
  <c r="C318"/>
  <c r="L318" s="1"/>
  <c r="E285"/>
  <c r="AA308"/>
  <c r="C308"/>
  <c r="B73" i="19137" s="1"/>
  <c r="E1380" i="19134"/>
  <c r="E319" i="19142" s="1"/>
  <c r="A462" i="19134"/>
  <c r="A395"/>
  <c r="L1294" i="19130"/>
  <c r="L1046"/>
  <c r="L797"/>
  <c r="L548"/>
  <c r="L1293"/>
  <c r="L1045"/>
  <c r="L796"/>
  <c r="L547"/>
  <c r="A434" i="19135"/>
  <c r="B433"/>
  <c r="C23"/>
  <c r="C32"/>
  <c r="F77" s="1"/>
  <c r="I206" i="19142" s="1"/>
  <c r="P53" i="19128"/>
  <c r="P58"/>
  <c r="P60"/>
  <c r="P66"/>
  <c r="P35"/>
  <c r="L37" s="1"/>
  <c r="X8"/>
  <c r="D30" s="1"/>
  <c r="A276" i="19129"/>
  <c r="G1374" i="19130"/>
  <c r="G437" i="19142" s="1"/>
  <c r="E1203" i="19134"/>
  <c r="E955"/>
  <c r="E459"/>
  <c r="E210"/>
  <c r="G210" s="1"/>
  <c r="A540"/>
  <c r="A426"/>
  <c r="A292"/>
  <c r="A177"/>
  <c r="L74" i="19128" l="1"/>
  <c r="A102" i="19142" s="1"/>
  <c r="D94"/>
  <c r="D81"/>
  <c r="D86"/>
  <c r="D88"/>
  <c r="D96"/>
  <c r="E1204" i="19134"/>
  <c r="G1204" s="1"/>
  <c r="G1203"/>
  <c r="E956"/>
  <c r="G956" s="1"/>
  <c r="G955"/>
  <c r="E460"/>
  <c r="G460" s="1"/>
  <c r="G459"/>
  <c r="E211"/>
  <c r="G211" s="1"/>
  <c r="E538" i="19141"/>
  <c r="E474"/>
  <c r="C33" i="19135"/>
  <c r="F142" s="1"/>
  <c r="H30" i="19128"/>
  <c r="G33" i="19135" s="1"/>
  <c r="F124" s="1"/>
  <c r="G215" i="19142" s="1"/>
  <c r="E538" i="19136"/>
  <c r="E426"/>
  <c r="E474"/>
  <c r="L8" i="19128"/>
  <c r="D37" s="1"/>
  <c r="H37" s="1"/>
  <c r="C276" i="19129"/>
  <c r="L276" s="1"/>
  <c r="E308"/>
  <c r="F308" s="1"/>
  <c r="E297"/>
  <c r="F297" s="1"/>
  <c r="C297"/>
  <c r="L308"/>
  <c r="D308"/>
  <c r="AA309"/>
  <c r="I267"/>
  <c r="B258"/>
  <c r="G79" i="19135"/>
  <c r="A435"/>
  <c r="B434"/>
  <c r="A258" i="19129"/>
  <c r="A277"/>
  <c r="A533" i="19130"/>
  <c r="A419"/>
  <c r="A285"/>
  <c r="A171"/>
  <c r="E1198"/>
  <c r="E949"/>
  <c r="E452"/>
  <c r="E204"/>
  <c r="Q308" i="19129" l="1"/>
  <c r="M308"/>
  <c r="O308"/>
  <c r="P308" s="1"/>
  <c r="O297"/>
  <c r="P297" s="1"/>
  <c r="M297"/>
  <c r="Q297"/>
  <c r="E950" i="19130"/>
  <c r="G950" s="1"/>
  <c r="G949"/>
  <c r="E1199"/>
  <c r="G1199" s="1"/>
  <c r="G1198"/>
  <c r="E453"/>
  <c r="G453" s="1"/>
  <c r="G452"/>
  <c r="E205"/>
  <c r="G205" s="1"/>
  <c r="G204"/>
  <c r="C109" i="19135"/>
  <c r="G206" i="19142"/>
  <c r="E276" i="19129"/>
  <c r="F132" i="19135"/>
  <c r="G216" i="19142"/>
  <c r="A408" i="19135"/>
  <c r="F221"/>
  <c r="F222" s="1"/>
  <c r="E258"/>
  <c r="F264" s="1"/>
  <c r="I408"/>
  <c r="B559" i="19136"/>
  <c r="F559"/>
  <c r="F443"/>
  <c r="B443"/>
  <c r="B495"/>
  <c r="F495"/>
  <c r="C258" i="19129"/>
  <c r="L258" s="1"/>
  <c r="C277"/>
  <c r="E277" s="1"/>
  <c r="I308"/>
  <c r="H308"/>
  <c r="J297"/>
  <c r="I297"/>
  <c r="L297"/>
  <c r="C298"/>
  <c r="D258"/>
  <c r="AA258"/>
  <c r="C110" i="19135"/>
  <c r="D110" s="1"/>
  <c r="F110" s="1"/>
  <c r="E95"/>
  <c r="C107"/>
  <c r="D107" s="1"/>
  <c r="H107" s="1"/>
  <c r="B95"/>
  <c r="C106"/>
  <c r="AA310" i="19129"/>
  <c r="D309"/>
  <c r="I309" s="1"/>
  <c r="E309"/>
  <c r="F309" s="1"/>
  <c r="B259"/>
  <c r="A436" i="19135"/>
  <c r="B435"/>
  <c r="A259" i="19129"/>
  <c r="A278"/>
  <c r="I48" i="19134"/>
  <c r="I263" i="19142" s="1"/>
  <c r="M1387" i="19134"/>
  <c r="M327" i="19142" s="1"/>
  <c r="L1387" i="19134"/>
  <c r="L327" i="19142" s="1"/>
  <c r="I1387" i="19134"/>
  <c r="I327" i="19142" s="1"/>
  <c r="H1387" i="19134"/>
  <c r="H327" i="19142" s="1"/>
  <c r="E1387" i="19134"/>
  <c r="E327" i="19142" s="1"/>
  <c r="D1387" i="19134"/>
  <c r="D327" i="19142" s="1"/>
  <c r="C1387" i="19134"/>
  <c r="C327" i="19142" s="1"/>
  <c r="B1387" i="19134"/>
  <c r="B327" i="19142" s="1"/>
  <c r="M1384" i="19134"/>
  <c r="M324" i="19142" s="1"/>
  <c r="L1384" i="19134"/>
  <c r="L324" i="19142" s="1"/>
  <c r="I1384" i="19134"/>
  <c r="I324" i="19142" s="1"/>
  <c r="H1384" i="19134"/>
  <c r="H324" i="19142" s="1"/>
  <c r="E1384" i="19134"/>
  <c r="E324" i="19142" s="1"/>
  <c r="D1384" i="19134"/>
  <c r="D324" i="19142" s="1"/>
  <c r="C1384" i="19134"/>
  <c r="C324" i="19142" s="1"/>
  <c r="B1384" i="19134"/>
  <c r="B324" i="19142" s="1"/>
  <c r="M1383" i="19134"/>
  <c r="L1383"/>
  <c r="I1383"/>
  <c r="H1383"/>
  <c r="E1383"/>
  <c r="E323" i="19142" s="1"/>
  <c r="D1383" i="19134"/>
  <c r="D323" i="19142" s="1"/>
  <c r="C1383" i="19134"/>
  <c r="C323" i="19142" s="1"/>
  <c r="B1383" i="19134"/>
  <c r="B323" i="19142" s="1"/>
  <c r="L1376" i="19134"/>
  <c r="L315" i="19142" s="1"/>
  <c r="H1376" i="19134"/>
  <c r="H315" i="19142" s="1"/>
  <c r="D1376" i="19134"/>
  <c r="D315" i="19142" s="1"/>
  <c r="B1376" i="19134"/>
  <c r="B315" i="19142" s="1"/>
  <c r="L1375" i="19134"/>
  <c r="L314" i="19142" s="1"/>
  <c r="H1375" i="19134"/>
  <c r="H314" i="19142" s="1"/>
  <c r="D1375" i="19134"/>
  <c r="D314" i="19142" s="1"/>
  <c r="B1375" i="19134"/>
  <c r="B314" i="19142" s="1"/>
  <c r="M1372" i="19134"/>
  <c r="M312" i="19142" s="1"/>
  <c r="L1372" i="19134"/>
  <c r="L312" i="19142" s="1"/>
  <c r="I1372" i="19134"/>
  <c r="I312" i="19142" s="1"/>
  <c r="H1372" i="19134"/>
  <c r="H312" i="19142" s="1"/>
  <c r="E1372" i="19134"/>
  <c r="E312" i="19142" s="1"/>
  <c r="D1372" i="19134"/>
  <c r="D312" i="19142" s="1"/>
  <c r="B1372" i="19134"/>
  <c r="B312" i="19142" s="1"/>
  <c r="M1371" i="19134"/>
  <c r="M311" i="19142" s="1"/>
  <c r="L1371" i="19134"/>
  <c r="L311" i="19142" s="1"/>
  <c r="I1371" i="19134"/>
  <c r="I311" i="19142" s="1"/>
  <c r="H1371" i="19134"/>
  <c r="H311" i="19142" s="1"/>
  <c r="E1371" i="19134"/>
  <c r="E311" i="19142" s="1"/>
  <c r="D1371" i="19134"/>
  <c r="D311" i="19142" s="1"/>
  <c r="B1371" i="19134"/>
  <c r="B311" i="19142" s="1"/>
  <c r="M1369" i="19134"/>
  <c r="M309" i="19142" s="1"/>
  <c r="L1369" i="19134"/>
  <c r="L309" i="19142" s="1"/>
  <c r="I1369" i="19134"/>
  <c r="I309" i="19142" s="1"/>
  <c r="H1369" i="19134"/>
  <c r="H309" i="19142" s="1"/>
  <c r="E1369" i="19134"/>
  <c r="E309" i="19142" s="1"/>
  <c r="D1369" i="19134"/>
  <c r="D309" i="19142" s="1"/>
  <c r="C1369" i="19134"/>
  <c r="C309" i="19142" s="1"/>
  <c r="B1369" i="19134"/>
  <c r="B309" i="19142" s="1"/>
  <c r="M1368" i="19134"/>
  <c r="M308" i="19142" s="1"/>
  <c r="L1368" i="19134"/>
  <c r="L308" i="19142" s="1"/>
  <c r="I1368" i="19134"/>
  <c r="I308" i="19142" s="1"/>
  <c r="H1368" i="19134"/>
  <c r="H308" i="19142" s="1"/>
  <c r="E1368" i="19134"/>
  <c r="E308" i="19142" s="1"/>
  <c r="D1368" i="19134"/>
  <c r="D308" i="19142" s="1"/>
  <c r="C1368" i="19134"/>
  <c r="C308" i="19142" s="1"/>
  <c r="B1368" i="19134"/>
  <c r="B308" i="19142" s="1"/>
  <c r="E1301" i="19134"/>
  <c r="H1323" s="1"/>
  <c r="C1301"/>
  <c r="G1276"/>
  <c r="C1272"/>
  <c r="Y8" s="1"/>
  <c r="N236" i="1" s="1"/>
  <c r="H1219" i="19134"/>
  <c r="E1160"/>
  <c r="D1135"/>
  <c r="I1132"/>
  <c r="E1114"/>
  <c r="E1052"/>
  <c r="H1073" s="1"/>
  <c r="C1052"/>
  <c r="C1023"/>
  <c r="V8" s="1"/>
  <c r="K236" i="1" s="1"/>
  <c r="E912" i="19134"/>
  <c r="D887"/>
  <c r="E866"/>
  <c r="E556"/>
  <c r="H577" s="1"/>
  <c r="C556"/>
  <c r="C527"/>
  <c r="P8" s="1"/>
  <c r="E236" i="1" s="1"/>
  <c r="G531" i="19134"/>
  <c r="E416"/>
  <c r="D391"/>
  <c r="I388"/>
  <c r="E370"/>
  <c r="C308"/>
  <c r="G283"/>
  <c r="C279"/>
  <c r="M8" s="1"/>
  <c r="B236" i="1" s="1"/>
  <c r="H226" i="19134"/>
  <c r="E167"/>
  <c r="D142"/>
  <c r="I139"/>
  <c r="E121"/>
  <c r="G112"/>
  <c r="G111"/>
  <c r="G110"/>
  <c r="G107"/>
  <c r="G106"/>
  <c r="G105"/>
  <c r="I89"/>
  <c r="I81"/>
  <c r="H373" i="19128" s="1"/>
  <c r="H69" i="19134"/>
  <c r="I64"/>
  <c r="I14"/>
  <c r="I13"/>
  <c r="E666" s="1"/>
  <c r="C13"/>
  <c r="C18" s="1"/>
  <c r="C12"/>
  <c r="H24" s="1"/>
  <c r="O1"/>
  <c r="Q1" s="1"/>
  <c r="F8"/>
  <c r="J8" s="1"/>
  <c r="D7"/>
  <c r="D6"/>
  <c r="D5"/>
  <c r="D4"/>
  <c r="F499" i="19129"/>
  <c r="G70" i="19142" s="1"/>
  <c r="E488" i="19129"/>
  <c r="C70" i="19142" s="1"/>
  <c r="D190" i="19128"/>
  <c r="E42"/>
  <c r="E58" i="19135" s="1"/>
  <c r="G45" i="19128"/>
  <c r="F44"/>
  <c r="D44"/>
  <c r="C56" i="19135"/>
  <c r="N140" i="19128"/>
  <c r="E476" i="19129"/>
  <c r="D56" i="19142" s="1"/>
  <c r="M309" i="19129" l="1"/>
  <c r="Q309"/>
  <c r="O309"/>
  <c r="P309" s="1"/>
  <c r="H1301" i="19134"/>
  <c r="H1052"/>
  <c r="F314"/>
  <c r="H308"/>
  <c r="H556"/>
  <c r="M323" i="19142"/>
  <c r="I323"/>
  <c r="I96" i="19135"/>
  <c r="L323" i="19142"/>
  <c r="H323"/>
  <c r="G409" i="19128"/>
  <c r="H280" i="19142"/>
  <c r="I408" i="19128"/>
  <c r="I275" i="19142"/>
  <c r="F1058" i="19134"/>
  <c r="G138"/>
  <c r="I406" i="19128"/>
  <c r="G56" i="19135"/>
  <c r="B141" s="1"/>
  <c r="A34" i="19130"/>
  <c r="A362" i="19142" s="1"/>
  <c r="A368" s="1"/>
  <c r="F1308" i="19134"/>
  <c r="F562"/>
  <c r="B1386"/>
  <c r="B326" i="19142" s="1"/>
  <c r="D1386" i="19134"/>
  <c r="D326" i="19142" s="1"/>
  <c r="B577" i="19134"/>
  <c r="L1386"/>
  <c r="L326" i="19142" s="1"/>
  <c r="B1323" i="19134"/>
  <c r="H1386"/>
  <c r="H326" i="19142" s="1"/>
  <c r="B1073" i="19134"/>
  <c r="L277" i="19129"/>
  <c r="E258"/>
  <c r="C259"/>
  <c r="L259" s="1"/>
  <c r="C278"/>
  <c r="E278" s="1"/>
  <c r="E110" i="19135"/>
  <c r="L298" i="19129"/>
  <c r="C299"/>
  <c r="I110" i="19135"/>
  <c r="D259" i="19129"/>
  <c r="AA259"/>
  <c r="F107" i="19135"/>
  <c r="E107"/>
  <c r="G107"/>
  <c r="I107"/>
  <c r="H110"/>
  <c r="G110"/>
  <c r="D310" i="19129"/>
  <c r="I310" s="1"/>
  <c r="AA311"/>
  <c r="E310"/>
  <c r="F310" s="1"/>
  <c r="B260"/>
  <c r="I257"/>
  <c r="B329" i="19134"/>
  <c r="C392" i="19135"/>
  <c r="G270"/>
  <c r="H308"/>
  <c r="G350"/>
  <c r="G82"/>
  <c r="G391"/>
  <c r="D46" i="107"/>
  <c r="D55" i="19135"/>
  <c r="F46" i="107"/>
  <c r="F55" i="19135"/>
  <c r="A437"/>
  <c r="B436"/>
  <c r="A51" i="19134"/>
  <c r="C1386"/>
  <c r="C326" i="19142" s="1"/>
  <c r="E1386" i="19134"/>
  <c r="E326" i="19142" s="1"/>
  <c r="I1386" i="19134"/>
  <c r="I326" i="19142" s="1"/>
  <c r="M1386" i="19134"/>
  <c r="M326" i="19142" s="1"/>
  <c r="A260" i="19129"/>
  <c r="A279"/>
  <c r="D1117" i="19134"/>
  <c r="D869"/>
  <c r="H531"/>
  <c r="H532" s="1"/>
  <c r="C15"/>
  <c r="C17"/>
  <c r="C24"/>
  <c r="E168"/>
  <c r="E417"/>
  <c r="E913"/>
  <c r="H283"/>
  <c r="H284" s="1"/>
  <c r="H475"/>
  <c r="E1161"/>
  <c r="H1276"/>
  <c r="H1277" s="1"/>
  <c r="I72" i="19129"/>
  <c r="I58" i="19130"/>
  <c r="I383" i="19142" s="1"/>
  <c r="I1126" i="19130"/>
  <c r="I132"/>
  <c r="A65"/>
  <c r="I381"/>
  <c r="D340" i="19128"/>
  <c r="D339"/>
  <c r="I346"/>
  <c r="I345"/>
  <c r="D346"/>
  <c r="I340"/>
  <c r="I339"/>
  <c r="I13" i="19130"/>
  <c r="D658" s="1"/>
  <c r="C13"/>
  <c r="C12"/>
  <c r="B321" i="107"/>
  <c r="F44"/>
  <c r="F43"/>
  <c r="F42"/>
  <c r="F39"/>
  <c r="F38"/>
  <c r="F37"/>
  <c r="H23"/>
  <c r="H22"/>
  <c r="C22"/>
  <c r="N17" s="1"/>
  <c r="C21"/>
  <c r="D34" s="1"/>
  <c r="D16"/>
  <c r="D346" s="1"/>
  <c r="D15"/>
  <c r="D345" s="1"/>
  <c r="C270" i="19128"/>
  <c r="C279" s="1"/>
  <c r="G295"/>
  <c r="H267"/>
  <c r="H281" s="1"/>
  <c r="B271"/>
  <c r="B279" s="1"/>
  <c r="G495" i="19129"/>
  <c r="B63" i="19142" s="1"/>
  <c r="C504" i="19129"/>
  <c r="G50" i="19142" s="1"/>
  <c r="H498" i="19129"/>
  <c r="C66" i="19142" s="1"/>
  <c r="G493" i="19129"/>
  <c r="B61" i="19142" s="1"/>
  <c r="G508" i="19129"/>
  <c r="G65" i="19142" s="1"/>
  <c r="F503" i="19129"/>
  <c r="F60" i="19142" s="1"/>
  <c r="N419" i="19129"/>
  <c r="B418" s="1"/>
  <c r="N356"/>
  <c r="B357" s="1"/>
  <c r="M310" l="1"/>
  <c r="Q310"/>
  <c r="O310"/>
  <c r="P310" s="1"/>
  <c r="F258"/>
  <c r="P258" s="1"/>
  <c r="Q258"/>
  <c r="M258"/>
  <c r="B303" i="19128"/>
  <c r="A390" i="19142"/>
  <c r="G424" i="19128"/>
  <c r="G72" i="19129"/>
  <c r="G19" i="19142" s="1"/>
  <c r="I19"/>
  <c r="M51" i="19134"/>
  <c r="B288" i="19142" s="1"/>
  <c r="A409" i="19128"/>
  <c r="G432" s="1"/>
  <c r="P52" i="19130"/>
  <c r="G44" i="19136"/>
  <c r="I93" i="19130"/>
  <c r="P45"/>
  <c r="H400" i="19142" s="1"/>
  <c r="F71" i="19130"/>
  <c r="F396" i="19142" s="1"/>
  <c r="P12" i="19140"/>
  <c r="L278" i="19129"/>
  <c r="E259"/>
  <c r="C260"/>
  <c r="L260" s="1"/>
  <c r="C279"/>
  <c r="E279" s="1"/>
  <c r="L299"/>
  <c r="C300"/>
  <c r="D260"/>
  <c r="AA260"/>
  <c r="C26" i="107"/>
  <c r="C33"/>
  <c r="C27"/>
  <c r="C24"/>
  <c r="AA312" i="19129"/>
  <c r="D311"/>
  <c r="I311" s="1"/>
  <c r="E311"/>
  <c r="F311" s="1"/>
  <c r="B261"/>
  <c r="N16" i="107"/>
  <c r="H305"/>
  <c r="I308" i="19128"/>
  <c r="I63" i="19130"/>
  <c r="H354" i="19135"/>
  <c r="A361" s="1"/>
  <c r="H270"/>
  <c r="F259" s="1"/>
  <c r="A438"/>
  <c r="B437"/>
  <c r="A50" i="19130"/>
  <c r="A375" i="19142" s="1"/>
  <c r="C151" i="107"/>
  <c r="F113"/>
  <c r="C202"/>
  <c r="C204" s="1"/>
  <c r="F120"/>
  <c r="A261" i="19129"/>
  <c r="A280"/>
  <c r="C69" i="19130"/>
  <c r="C20" i="19134"/>
  <c r="N7" i="107"/>
  <c r="N8"/>
  <c r="A112" i="1"/>
  <c r="A121"/>
  <c r="E87"/>
  <c r="A100" s="1"/>
  <c r="A94"/>
  <c r="A93"/>
  <c r="A92"/>
  <c r="A91"/>
  <c r="A90"/>
  <c r="E63"/>
  <c r="A102" s="1"/>
  <c r="E75"/>
  <c r="A101" s="1"/>
  <c r="A82"/>
  <c r="A81"/>
  <c r="A80"/>
  <c r="A79"/>
  <c r="A78"/>
  <c r="A70"/>
  <c r="A69"/>
  <c r="A68"/>
  <c r="A67"/>
  <c r="A66"/>
  <c r="O449" i="19131"/>
  <c r="N449"/>
  <c r="B429"/>
  <c r="C32"/>
  <c r="D205" i="19128"/>
  <c r="B59"/>
  <c r="B71" i="19135" s="1"/>
  <c r="I59" i="19128"/>
  <c r="I72" i="19135" s="1"/>
  <c r="I453" s="1"/>
  <c r="G234" i="19142" s="1"/>
  <c r="D58" i="19128"/>
  <c r="D71" i="19135" s="1"/>
  <c r="D54" i="19128"/>
  <c r="D67" i="19135" s="1"/>
  <c r="F85" i="19131"/>
  <c r="G10" i="19138" s="1"/>
  <c r="G13"/>
  <c r="M311" i="19129" l="1"/>
  <c r="Q311"/>
  <c r="O311"/>
  <c r="P311" s="1"/>
  <c r="I258"/>
  <c r="F259"/>
  <c r="P259" s="1"/>
  <c r="M259"/>
  <c r="Q259"/>
  <c r="D308" i="19128"/>
  <c r="G325" s="1"/>
  <c r="C394" i="19142"/>
  <c r="G167"/>
  <c r="F77" i="19131"/>
  <c r="I167" i="19142" s="1"/>
  <c r="C203" i="107"/>
  <c r="G141" i="19142"/>
  <c r="O54" i="19130"/>
  <c r="H407" i="19142"/>
  <c r="H408" s="1"/>
  <c r="C152" i="107"/>
  <c r="G117" i="19142"/>
  <c r="G952" i="19129"/>
  <c r="I388" i="19142"/>
  <c r="I69" i="19130"/>
  <c r="I394" i="19142" s="1"/>
  <c r="G330" i="19128"/>
  <c r="G329"/>
  <c r="G201" i="19136"/>
  <c r="C56"/>
  <c r="G331"/>
  <c r="G117"/>
  <c r="H57"/>
  <c r="I57" s="1"/>
  <c r="G56"/>
  <c r="H56"/>
  <c r="G79" i="19131"/>
  <c r="G4" i="19138" s="1"/>
  <c r="L279" i="19129"/>
  <c r="E260"/>
  <c r="C261"/>
  <c r="L261" s="1"/>
  <c r="C280"/>
  <c r="L280" s="1"/>
  <c r="L300"/>
  <c r="C301"/>
  <c r="D261"/>
  <c r="AA261"/>
  <c r="C29" i="107"/>
  <c r="AA313" i="19129"/>
  <c r="D312"/>
  <c r="I312" s="1"/>
  <c r="E312"/>
  <c r="F312" s="1"/>
  <c r="B262"/>
  <c r="G361" i="19135"/>
  <c r="B259"/>
  <c r="H496" i="19131"/>
  <c r="F496"/>
  <c r="D496"/>
  <c r="B496"/>
  <c r="I454" i="19135"/>
  <c r="I455" s="1"/>
  <c r="F454"/>
  <c r="A439"/>
  <c r="B438"/>
  <c r="D54" i="19130"/>
  <c r="A262" i="19129"/>
  <c r="A281"/>
  <c r="A110" i="1"/>
  <c r="A119"/>
  <c r="A111"/>
  <c r="A120"/>
  <c r="A109"/>
  <c r="A118"/>
  <c r="A430" i="19131"/>
  <c r="D182" i="19128"/>
  <c r="G387" i="19131"/>
  <c r="C388"/>
  <c r="L1365" i="19130"/>
  <c r="L426" i="19142" s="1"/>
  <c r="L1364" i="19130"/>
  <c r="L425" i="19142" s="1"/>
  <c r="H1365" i="19130"/>
  <c r="H426" i="19142" s="1"/>
  <c r="H1364" i="19130"/>
  <c r="H425" i="19142" s="1"/>
  <c r="D1365" i="19130"/>
  <c r="D426" i="19142" s="1"/>
  <c r="D1364" i="19130"/>
  <c r="D425" i="19142" s="1"/>
  <c r="B1365" i="19130"/>
  <c r="B426" i="19142" s="1"/>
  <c r="B1364" i="19130"/>
  <c r="B425" i="19142" s="1"/>
  <c r="B1372" i="19130"/>
  <c r="B435" i="19142" s="1"/>
  <c r="C1372" i="19130"/>
  <c r="C435" i="19142" s="1"/>
  <c r="B1375" i="19130"/>
  <c r="B438" i="19142" s="1"/>
  <c r="C1375" i="19130"/>
  <c r="C438" i="19142" s="1"/>
  <c r="C1371" i="19130"/>
  <c r="C434" i="19142" s="1"/>
  <c r="B1371" i="19130"/>
  <c r="B434" i="19142" s="1"/>
  <c r="M1372" i="19130"/>
  <c r="M435" i="19142" s="1"/>
  <c r="M1375" i="19130"/>
  <c r="M438" i="19142" s="1"/>
  <c r="M1371" i="19130"/>
  <c r="L1372"/>
  <c r="L435" i="19142" s="1"/>
  <c r="L1375" i="19130"/>
  <c r="L438" i="19142" s="1"/>
  <c r="L1371" i="19130"/>
  <c r="H1372"/>
  <c r="H435" i="19142" s="1"/>
  <c r="I1372" i="19130"/>
  <c r="I435" i="19142" s="1"/>
  <c r="H1375" i="19130"/>
  <c r="H438" i="19142" s="1"/>
  <c r="I1375" i="19130"/>
  <c r="I438" i="19142" s="1"/>
  <c r="I1371" i="19130"/>
  <c r="P434" i="19142" s="1"/>
  <c r="H1371" i="19130"/>
  <c r="O434" i="19142" s="1"/>
  <c r="D1372" i="19130"/>
  <c r="D435" i="19142" s="1"/>
  <c r="E1372" i="19130"/>
  <c r="E435" i="19142" s="1"/>
  <c r="D1375" i="19130"/>
  <c r="D438" i="19142" s="1"/>
  <c r="E1375" i="19130"/>
  <c r="E438" i="19142" s="1"/>
  <c r="E1371" i="19130"/>
  <c r="E434" i="19142" s="1"/>
  <c r="D1371" i="19130"/>
  <c r="D434" i="19142" s="1"/>
  <c r="M1358" i="19130"/>
  <c r="M420" i="19142" s="1"/>
  <c r="M1360" i="19130"/>
  <c r="M422" i="19142" s="1"/>
  <c r="M1361" i="19130"/>
  <c r="M423" i="19142" s="1"/>
  <c r="M1357" i="19130"/>
  <c r="M419" i="19142" s="1"/>
  <c r="L1358" i="19130"/>
  <c r="L420" i="19142" s="1"/>
  <c r="L1360" i="19130"/>
  <c r="L422" i="19142" s="1"/>
  <c r="L1361" i="19130"/>
  <c r="L423" i="19142" s="1"/>
  <c r="L1357" i="19130"/>
  <c r="L419" i="19142" s="1"/>
  <c r="H1358" i="19130"/>
  <c r="H420" i="19142" s="1"/>
  <c r="I1358" i="19130"/>
  <c r="I420" i="19142" s="1"/>
  <c r="H1360" i="19130"/>
  <c r="H422" i="19142" s="1"/>
  <c r="I1360" i="19130"/>
  <c r="I422" i="19142" s="1"/>
  <c r="H1361" i="19130"/>
  <c r="H423" i="19142" s="1"/>
  <c r="I1361" i="19130"/>
  <c r="I423" i="19142" s="1"/>
  <c r="I1357" i="19130"/>
  <c r="I419" i="19142" s="1"/>
  <c r="H1357" i="19130"/>
  <c r="H419" i="19142" s="1"/>
  <c r="E1358" i="19130"/>
  <c r="E420" i="19142" s="1"/>
  <c r="E1360" i="19130"/>
  <c r="E422" i="19142" s="1"/>
  <c r="E1361" i="19130"/>
  <c r="E423" i="19142" s="1"/>
  <c r="D1358" i="19130"/>
  <c r="D420" i="19142" s="1"/>
  <c r="D1360" i="19130"/>
  <c r="D422" i="19142" s="1"/>
  <c r="D1361" i="19130"/>
  <c r="D423" i="19142" s="1"/>
  <c r="E1357" i="19130"/>
  <c r="E419" i="19142" s="1"/>
  <c r="D1357" i="19130"/>
  <c r="D419" i="19142" s="1"/>
  <c r="B1361" i="19130"/>
  <c r="B423" i="19142" s="1"/>
  <c r="B1360" i="19130"/>
  <c r="B422" i="19142" s="1"/>
  <c r="B1358" i="19130"/>
  <c r="B420" i="19142" s="1"/>
  <c r="C1358" i="19130"/>
  <c r="C420" i="19142" s="1"/>
  <c r="B1357" i="19130"/>
  <c r="B419" i="19142" s="1"/>
  <c r="C1357" i="19130"/>
  <c r="C419" i="19142" s="1"/>
  <c r="E1295" i="19130"/>
  <c r="H1316" s="1"/>
  <c r="C1295"/>
  <c r="H1295" s="1"/>
  <c r="G1270"/>
  <c r="C1266"/>
  <c r="Y8" s="1"/>
  <c r="N273" i="1" s="1"/>
  <c r="H1214" i="19130"/>
  <c r="E1109"/>
  <c r="E1155"/>
  <c r="E1156" s="1"/>
  <c r="D1129"/>
  <c r="D880"/>
  <c r="E906"/>
  <c r="E907" s="1"/>
  <c r="E859"/>
  <c r="C1017"/>
  <c r="V8" s="1"/>
  <c r="K273" i="1" s="1"/>
  <c r="C1047" i="19130"/>
  <c r="E1047"/>
  <c r="H1069" s="1"/>
  <c r="D384"/>
  <c r="E409"/>
  <c r="E410" s="1"/>
  <c r="E363"/>
  <c r="H468"/>
  <c r="C520"/>
  <c r="P8" s="1"/>
  <c r="E273" i="1" s="1"/>
  <c r="G524" i="19130"/>
  <c r="C549"/>
  <c r="E549"/>
  <c r="H570" s="1"/>
  <c r="C162" i="19129"/>
  <c r="X217"/>
  <c r="AH218"/>
  <c r="G276" i="19130"/>
  <c r="H220"/>
  <c r="E301"/>
  <c r="H322" s="1"/>
  <c r="C301"/>
  <c r="C272"/>
  <c r="M8" s="1"/>
  <c r="B273" i="1" s="1"/>
  <c r="E115" i="19130"/>
  <c r="E161"/>
  <c r="B162" s="1"/>
  <c r="D135"/>
  <c r="G317" i="19128" l="1"/>
  <c r="I259" i="19129"/>
  <c r="F260"/>
  <c r="P260" s="1"/>
  <c r="M260"/>
  <c r="Q260"/>
  <c r="Q312"/>
  <c r="M312"/>
  <c r="O312"/>
  <c r="P312" s="1"/>
  <c r="F555" i="19130"/>
  <c r="H549"/>
  <c r="F1054"/>
  <c r="H1047"/>
  <c r="H301"/>
  <c r="L434" i="19142"/>
  <c r="H434"/>
  <c r="M434"/>
  <c r="I434"/>
  <c r="I56" i="19136"/>
  <c r="F307" i="19130"/>
  <c r="E280" i="19129"/>
  <c r="G307" i="19128"/>
  <c r="D544" i="19136"/>
  <c r="D432"/>
  <c r="D480"/>
  <c r="F1301" i="19130"/>
  <c r="B1069"/>
  <c r="B1316"/>
  <c r="B322"/>
  <c r="B570"/>
  <c r="F162"/>
  <c r="E261" i="19129"/>
  <c r="C281"/>
  <c r="L281" s="1"/>
  <c r="C262"/>
  <c r="L262" s="1"/>
  <c r="L301"/>
  <c r="C302"/>
  <c r="D262"/>
  <c r="AA262"/>
  <c r="B263"/>
  <c r="AA314"/>
  <c r="D313"/>
  <c r="I313" s="1"/>
  <c r="E313"/>
  <c r="F313" s="1"/>
  <c r="Q46" i="19130"/>
  <c r="I401" i="19142" s="1"/>
  <c r="A440" i="19135"/>
  <c r="B439"/>
  <c r="A263" i="19129"/>
  <c r="A282"/>
  <c r="H276" i="19130"/>
  <c r="H277" s="1"/>
  <c r="H524"/>
  <c r="H525" s="1"/>
  <c r="E1374"/>
  <c r="E437" i="19142" s="1"/>
  <c r="D1374" i="19130"/>
  <c r="D437" i="19142" s="1"/>
  <c r="I1374" i="19130"/>
  <c r="I437" i="19142" s="1"/>
  <c r="H1374" i="19130"/>
  <c r="H437" i="19142" s="1"/>
  <c r="L1374" i="19130"/>
  <c r="L437" i="19142" s="1"/>
  <c r="M1374" i="19130"/>
  <c r="M437" i="19142" s="1"/>
  <c r="C1374" i="19130"/>
  <c r="C437" i="19142" s="1"/>
  <c r="B1374" i="19130"/>
  <c r="B437" i="19142" s="1"/>
  <c r="B430" i="19131"/>
  <c r="A431"/>
  <c r="H1270" i="19130"/>
  <c r="H1271" s="1"/>
  <c r="A86"/>
  <c r="A78"/>
  <c r="G106"/>
  <c r="G105"/>
  <c r="G104"/>
  <c r="G101"/>
  <c r="G100"/>
  <c r="G99"/>
  <c r="C24"/>
  <c r="O1"/>
  <c r="Q1" s="1"/>
  <c r="I72" i="19131"/>
  <c r="B71"/>
  <c r="I452" s="1"/>
  <c r="G195" i="19142" s="1"/>
  <c r="D71" i="19131"/>
  <c r="I17"/>
  <c r="I16"/>
  <c r="D67"/>
  <c r="G45"/>
  <c r="G44"/>
  <c r="G43"/>
  <c r="G40"/>
  <c r="G39"/>
  <c r="G38"/>
  <c r="G33"/>
  <c r="G176" i="19142" s="1"/>
  <c r="C33" i="19131"/>
  <c r="G177" i="19142" s="1"/>
  <c r="C16" i="19131"/>
  <c r="C21" s="1"/>
  <c r="C15"/>
  <c r="D28" s="1"/>
  <c r="D9"/>
  <c r="E254" s="1"/>
  <c r="F8"/>
  <c r="H6" s="1"/>
  <c r="D7"/>
  <c r="D6"/>
  <c r="D5"/>
  <c r="D4"/>
  <c r="A69" i="19128"/>
  <c r="I69"/>
  <c r="I260" i="19129" l="1"/>
  <c r="F261"/>
  <c r="P261" s="1"/>
  <c r="Q261"/>
  <c r="M261"/>
  <c r="M313"/>
  <c r="Q313"/>
  <c r="O313"/>
  <c r="P313" s="1"/>
  <c r="F558" i="19136"/>
  <c r="G558"/>
  <c r="B558"/>
  <c r="G559"/>
  <c r="I559" s="1"/>
  <c r="B494"/>
  <c r="G494"/>
  <c r="F494"/>
  <c r="G495"/>
  <c r="I495" s="1"/>
  <c r="B442"/>
  <c r="G442"/>
  <c r="F442"/>
  <c r="G443"/>
  <c r="I443" s="1"/>
  <c r="E281" i="19129"/>
  <c r="E262"/>
  <c r="C282"/>
  <c r="L282" s="1"/>
  <c r="C263"/>
  <c r="L263" s="1"/>
  <c r="L302"/>
  <c r="C303"/>
  <c r="D263"/>
  <c r="AA263"/>
  <c r="B264"/>
  <c r="D314"/>
  <c r="I314" s="1"/>
  <c r="AA315"/>
  <c r="E314"/>
  <c r="F314" s="1"/>
  <c r="J311"/>
  <c r="J309"/>
  <c r="J313"/>
  <c r="J308"/>
  <c r="J310"/>
  <c r="J312"/>
  <c r="A441" i="19135"/>
  <c r="B440"/>
  <c r="E94" i="19131"/>
  <c r="B94"/>
  <c r="F453"/>
  <c r="D240" i="19129"/>
  <c r="D241"/>
  <c r="D242"/>
  <c r="D243"/>
  <c r="D244"/>
  <c r="D245"/>
  <c r="D246"/>
  <c r="D247"/>
  <c r="D248"/>
  <c r="D239"/>
  <c r="A264"/>
  <c r="A283"/>
  <c r="F122" i="19131"/>
  <c r="B431"/>
  <c r="A432"/>
  <c r="C109"/>
  <c r="C108"/>
  <c r="C106"/>
  <c r="C105"/>
  <c r="I453"/>
  <c r="I454" s="1"/>
  <c r="I407"/>
  <c r="A407"/>
  <c r="F140"/>
  <c r="F130" s="1"/>
  <c r="E256"/>
  <c r="F260" s="1"/>
  <c r="F219"/>
  <c r="C18"/>
  <c r="C20"/>
  <c r="C27"/>
  <c r="A57" i="1"/>
  <c r="A56"/>
  <c r="A55"/>
  <c r="A54"/>
  <c r="A53"/>
  <c r="B46" i="19128"/>
  <c r="D4" i="107"/>
  <c r="D5"/>
  <c r="D6"/>
  <c r="D7"/>
  <c r="V2" i="19128"/>
  <c r="D17" i="107"/>
  <c r="D347" s="1"/>
  <c r="C9"/>
  <c r="A91" s="1"/>
  <c r="D10"/>
  <c r="O67" s="1"/>
  <c r="D66" i="84"/>
  <c r="C25"/>
  <c r="G95" i="19131" l="1"/>
  <c r="I95" s="1"/>
  <c r="L78" i="107"/>
  <c r="E65"/>
  <c r="I261" i="19129"/>
  <c r="F262"/>
  <c r="P262" s="1"/>
  <c r="Q262"/>
  <c r="M262"/>
  <c r="M314"/>
  <c r="Q314"/>
  <c r="O314"/>
  <c r="P314" s="1"/>
  <c r="I558" i="19136"/>
  <c r="I442"/>
  <c r="I494"/>
  <c r="E263" i="19129"/>
  <c r="E282"/>
  <c r="C283"/>
  <c r="L283" s="1"/>
  <c r="C264"/>
  <c r="L264" s="1"/>
  <c r="L303"/>
  <c r="C304"/>
  <c r="D264"/>
  <c r="AA264"/>
  <c r="B265"/>
  <c r="J314"/>
  <c r="D315"/>
  <c r="AA316"/>
  <c r="E315"/>
  <c r="F315" s="1"/>
  <c r="C59" i="19135"/>
  <c r="G47" i="19128"/>
  <c r="A442" i="19135"/>
  <c r="B441"/>
  <c r="A265" i="19129"/>
  <c r="A284"/>
  <c r="C252" i="107"/>
  <c r="N9"/>
  <c r="B432" i="19131"/>
  <c r="A433"/>
  <c r="F220"/>
  <c r="E49" i="107"/>
  <c r="E58" i="19131"/>
  <c r="C59"/>
  <c r="C23"/>
  <c r="G52" i="84"/>
  <c r="H40" i="19130"/>
  <c r="H368" i="19142" s="1"/>
  <c r="I262" i="19129" l="1"/>
  <c r="F263"/>
  <c r="P263" s="1"/>
  <c r="M263"/>
  <c r="Q263"/>
  <c r="Q315"/>
  <c r="M315"/>
  <c r="O315"/>
  <c r="P315" s="1"/>
  <c r="C253" i="107"/>
  <c r="G126" i="19142"/>
  <c r="E264" i="19129"/>
  <c r="E283"/>
  <c r="C265"/>
  <c r="L265" s="1"/>
  <c r="C284"/>
  <c r="L284" s="1"/>
  <c r="L286" s="1"/>
  <c r="L304"/>
  <c r="C305"/>
  <c r="D265"/>
  <c r="AA265"/>
  <c r="B266"/>
  <c r="I315"/>
  <c r="J315"/>
  <c r="D316"/>
  <c r="AA317"/>
  <c r="E316"/>
  <c r="F316" s="1"/>
  <c r="G60" i="19135"/>
  <c r="G51" i="107"/>
  <c r="G60" i="19131"/>
  <c r="D108" i="107"/>
  <c r="C61" i="19135"/>
  <c r="A443"/>
  <c r="B442"/>
  <c r="I36" i="19134"/>
  <c r="I251" i="19142" s="1"/>
  <c r="I257" s="1"/>
  <c r="A266" i="19129"/>
  <c r="B433" i="19131"/>
  <c r="A434"/>
  <c r="D1111" i="19130"/>
  <c r="D862"/>
  <c r="C61" i="19131"/>
  <c r="C17" i="19130"/>
  <c r="C18"/>
  <c r="H24"/>
  <c r="C15"/>
  <c r="D4"/>
  <c r="C18" i="84"/>
  <c r="C16"/>
  <c r="D60"/>
  <c r="G37"/>
  <c r="G36"/>
  <c r="G35"/>
  <c r="G32"/>
  <c r="G31"/>
  <c r="G30"/>
  <c r="C15"/>
  <c r="C17" i="19135" s="1"/>
  <c r="C22" s="1"/>
  <c r="C24" s="1"/>
  <c r="C25" s="1"/>
  <c r="D8" i="84"/>
  <c r="D5"/>
  <c r="F10"/>
  <c r="Q316" i="19129" l="1"/>
  <c r="M316"/>
  <c r="O316"/>
  <c r="P316" s="1"/>
  <c r="I263"/>
  <c r="F264"/>
  <c r="P264" s="1"/>
  <c r="M264"/>
  <c r="Q264"/>
  <c r="C26" i="19135"/>
  <c r="G97" s="1"/>
  <c r="I97" s="1"/>
  <c r="B109"/>
  <c r="B106"/>
  <c r="D106" s="1"/>
  <c r="G98"/>
  <c r="C295"/>
  <c r="E125"/>
  <c r="I42" i="19134"/>
  <c r="I394" i="19128"/>
  <c r="I400" s="1"/>
  <c r="C294" i="19131"/>
  <c r="E123"/>
  <c r="E284" i="19129"/>
  <c r="E265"/>
  <c r="L305"/>
  <c r="C306"/>
  <c r="D266"/>
  <c r="AA266"/>
  <c r="I316"/>
  <c r="J316"/>
  <c r="D317"/>
  <c r="E317"/>
  <c r="F317" s="1"/>
  <c r="C266"/>
  <c r="D124" i="19134"/>
  <c r="I131" s="1"/>
  <c r="F58" i="19135"/>
  <c r="F49" i="107"/>
  <c r="F58" i="19131"/>
  <c r="D58" i="19135"/>
  <c r="D49" i="107"/>
  <c r="D58" i="19131"/>
  <c r="A444" i="19135"/>
  <c r="B443"/>
  <c r="C20" i="84"/>
  <c r="C14" i="19134"/>
  <c r="C19" s="1"/>
  <c r="C21" s="1"/>
  <c r="C22" s="1"/>
  <c r="C14" i="19130"/>
  <c r="C19" s="1"/>
  <c r="C23" i="107"/>
  <c r="C28" s="1"/>
  <c r="C30" s="1"/>
  <c r="C17" i="19131"/>
  <c r="C22" s="1"/>
  <c r="C24" s="1"/>
  <c r="B434"/>
  <c r="A435"/>
  <c r="C20" i="19130"/>
  <c r="E15" i="19128"/>
  <c r="D159" s="1"/>
  <c r="C15"/>
  <c r="D3"/>
  <c r="C419" i="19129"/>
  <c r="E499"/>
  <c r="D474" s="1"/>
  <c r="C54" i="19142" s="1"/>
  <c r="C358" i="19129"/>
  <c r="H401"/>
  <c r="D398"/>
  <c r="E396" s="1"/>
  <c r="B400"/>
  <c r="M169"/>
  <c r="M205" s="1"/>
  <c r="D7" i="19130"/>
  <c r="D6"/>
  <c r="D5"/>
  <c r="G285" i="19128"/>
  <c r="F13"/>
  <c r="D206"/>
  <c r="D201"/>
  <c r="B79"/>
  <c r="B67"/>
  <c r="E79"/>
  <c r="E67"/>
  <c r="D183"/>
  <c r="D158"/>
  <c r="D191"/>
  <c r="D163"/>
  <c r="D162"/>
  <c r="H67"/>
  <c r="H79"/>
  <c r="G57"/>
  <c r="F60"/>
  <c r="D60"/>
  <c r="D71" i="19140" l="1"/>
  <c r="I264" i="19129"/>
  <c r="Q317"/>
  <c r="M317"/>
  <c r="O317"/>
  <c r="P317" s="1"/>
  <c r="F265"/>
  <c r="P265" s="1"/>
  <c r="M265"/>
  <c r="Q265"/>
  <c r="D70" i="19140"/>
  <c r="H106" i="19135"/>
  <c r="G106"/>
  <c r="I106"/>
  <c r="E106"/>
  <c r="F106"/>
  <c r="D448" i="19128"/>
  <c r="Q66" i="19134"/>
  <c r="M218" i="19129"/>
  <c r="N218" s="1"/>
  <c r="O218" s="1"/>
  <c r="N205"/>
  <c r="O205" s="1"/>
  <c r="E9" i="19140"/>
  <c r="M177" i="19129"/>
  <c r="D3" i="19130"/>
  <c r="D8" i="19141"/>
  <c r="E149" i="19134"/>
  <c r="E151" s="1"/>
  <c r="AA307" i="19129"/>
  <c r="D307"/>
  <c r="C450"/>
  <c r="C451"/>
  <c r="AA318"/>
  <c r="I81" i="19137"/>
  <c r="L306" i="19129"/>
  <c r="C307"/>
  <c r="E307"/>
  <c r="F307" s="1"/>
  <c r="E266"/>
  <c r="L266"/>
  <c r="L268" s="1"/>
  <c r="I317"/>
  <c r="J317"/>
  <c r="D318"/>
  <c r="I82" i="19137" s="1"/>
  <c r="E318" i="19129"/>
  <c r="F318" s="1"/>
  <c r="C21" i="19130"/>
  <c r="C22" s="1"/>
  <c r="D40" i="19129"/>
  <c r="D1042" s="1"/>
  <c r="D73" i="19131"/>
  <c r="D73" i="19135"/>
  <c r="F73" i="19131"/>
  <c r="F73" i="19135"/>
  <c r="D3" i="19134"/>
  <c r="F256" s="1"/>
  <c r="D3" i="19135"/>
  <c r="F177"/>
  <c r="F150"/>
  <c r="A445"/>
  <c r="B444"/>
  <c r="U69" i="19128"/>
  <c r="U61"/>
  <c r="U54"/>
  <c r="U48"/>
  <c r="U16"/>
  <c r="U10"/>
  <c r="U31"/>
  <c r="U23"/>
  <c r="L63"/>
  <c r="L56"/>
  <c r="L49"/>
  <c r="X63"/>
  <c r="X56"/>
  <c r="J83" i="19142" s="1"/>
  <c r="Q71" i="19128"/>
  <c r="Q63"/>
  <c r="Q55"/>
  <c r="Q49"/>
  <c r="L71"/>
  <c r="L25"/>
  <c r="L18"/>
  <c r="Q33"/>
  <c r="O31" s="1"/>
  <c r="Q25"/>
  <c r="O23" s="1"/>
  <c r="Q17"/>
  <c r="Q11"/>
  <c r="X32"/>
  <c r="X25"/>
  <c r="X18"/>
  <c r="X11"/>
  <c r="C25" i="19131"/>
  <c r="N18" i="107"/>
  <c r="C31"/>
  <c r="F248" i="19134"/>
  <c r="F246"/>
  <c r="F250" s="1"/>
  <c r="F61" i="19140" s="1"/>
  <c r="H119" i="19134"/>
  <c r="C186" s="1"/>
  <c r="C119"/>
  <c r="C183" s="1"/>
  <c r="H499" i="19129"/>
  <c r="C67" i="19142" s="1"/>
  <c r="B435" i="19131"/>
  <c r="A436"/>
  <c r="D3"/>
  <c r="F175"/>
  <c r="F148"/>
  <c r="D4" i="84"/>
  <c r="D3" i="107"/>
  <c r="L82" s="1"/>
  <c r="A53" i="84"/>
  <c r="F8" i="19130"/>
  <c r="H310" i="19128"/>
  <c r="E19"/>
  <c r="E45"/>
  <c r="N139"/>
  <c r="A135"/>
  <c r="H7" i="19141" s="1"/>
  <c r="G140" i="19128"/>
  <c r="C140"/>
  <c r="F1001" i="19129"/>
  <c r="F1030" s="1"/>
  <c r="F913"/>
  <c r="A855"/>
  <c r="A973" s="1"/>
  <c r="J855"/>
  <c r="I973" s="1"/>
  <c r="E765"/>
  <c r="F756"/>
  <c r="F755"/>
  <c r="E755"/>
  <c r="A803" s="1"/>
  <c r="D755"/>
  <c r="C835" s="1"/>
  <c r="H747"/>
  <c r="E775" s="1"/>
  <c r="A747"/>
  <c r="C820"/>
  <c r="E699"/>
  <c r="H339"/>
  <c r="B339"/>
  <c r="I46"/>
  <c r="D46"/>
  <c r="I130" i="19128"/>
  <c r="P44" i="19129" l="1"/>
  <c r="A93" i="107"/>
  <c r="Q82"/>
  <c r="L591" i="19129"/>
  <c r="S591"/>
  <c r="P52"/>
  <c r="L531"/>
  <c r="M318"/>
  <c r="Q318"/>
  <c r="O318"/>
  <c r="P318" s="1"/>
  <c r="Q266"/>
  <c r="M266"/>
  <c r="O307"/>
  <c r="P307" s="1"/>
  <c r="Q307"/>
  <c r="M307"/>
  <c r="I265"/>
  <c r="C32" i="107"/>
  <c r="G272" s="1"/>
  <c r="I272" s="1"/>
  <c r="G222"/>
  <c r="B239" s="1"/>
  <c r="F1302" i="19130"/>
  <c r="I1179"/>
  <c r="I930"/>
  <c r="I1293"/>
  <c r="I681"/>
  <c r="I299"/>
  <c r="I1295"/>
  <c r="I547"/>
  <c r="I433"/>
  <c r="I185"/>
  <c r="I549"/>
  <c r="I301"/>
  <c r="O61" i="19128"/>
  <c r="C91" i="19142" s="1"/>
  <c r="E91"/>
  <c r="I305" i="19134"/>
  <c r="I688"/>
  <c r="I1298"/>
  <c r="I1301"/>
  <c r="I308"/>
  <c r="I556"/>
  <c r="I191"/>
  <c r="I553"/>
  <c r="I1183"/>
  <c r="I935"/>
  <c r="I439"/>
  <c r="O54" i="19128"/>
  <c r="C84" i="19142" s="1"/>
  <c r="E83"/>
  <c r="O48" i="19128"/>
  <c r="C77" i="19142" s="1"/>
  <c r="E77"/>
  <c r="O69" i="19128"/>
  <c r="C99" i="19142" s="1"/>
  <c r="E99"/>
  <c r="I49" i="19129"/>
  <c r="G87" s="1"/>
  <c r="G34" i="19142" s="1"/>
  <c r="G527" i="19129"/>
  <c r="G587"/>
  <c r="E528"/>
  <c r="E588"/>
  <c r="B183"/>
  <c r="B182"/>
  <c r="F1309" i="19134"/>
  <c r="D263" i="19141"/>
  <c r="C57"/>
  <c r="C55"/>
  <c r="G57"/>
  <c r="I57" s="1"/>
  <c r="G55"/>
  <c r="I55" s="1"/>
  <c r="G56"/>
  <c r="I56" s="1"/>
  <c r="C56"/>
  <c r="J6" i="19134"/>
  <c r="H7" i="19136"/>
  <c r="J6" i="19130"/>
  <c r="F556"/>
  <c r="C23"/>
  <c r="F308"/>
  <c r="E150" i="19134"/>
  <c r="F563"/>
  <c r="C23"/>
  <c r="F315"/>
  <c r="G97" i="19131"/>
  <c r="B105"/>
  <c r="B108"/>
  <c r="AA298" i="19129"/>
  <c r="D298"/>
  <c r="E298"/>
  <c r="F298" s="1"/>
  <c r="E268"/>
  <c r="C71" i="19137" s="1"/>
  <c r="C457" i="19129"/>
  <c r="F266"/>
  <c r="P266" s="1"/>
  <c r="AG213"/>
  <c r="J307"/>
  <c r="I307"/>
  <c r="L307"/>
  <c r="L319" s="1"/>
  <c r="N177"/>
  <c r="B157"/>
  <c r="N180"/>
  <c r="N179"/>
  <c r="B396"/>
  <c r="B398" s="1"/>
  <c r="N178"/>
  <c r="I318"/>
  <c r="J318"/>
  <c r="C26" i="19131"/>
  <c r="G96" s="1"/>
  <c r="I96" s="1"/>
  <c r="E35" i="19128" s="1"/>
  <c r="F247" i="19134"/>
  <c r="F249" s="1"/>
  <c r="F236"/>
  <c r="F238" s="1"/>
  <c r="E111" i="19128"/>
  <c r="E142" s="1"/>
  <c r="E58" i="19129"/>
  <c r="F757"/>
  <c r="D71"/>
  <c r="D18" i="19142" s="1"/>
  <c r="F179" i="19135"/>
  <c r="E56" i="19131"/>
  <c r="E253" s="1"/>
  <c r="E56" i="19135"/>
  <c r="F84"/>
  <c r="B84"/>
  <c r="A446"/>
  <c r="B445"/>
  <c r="F84" i="19131"/>
  <c r="B84"/>
  <c r="H22" i="19128"/>
  <c r="H16" i="107" s="1"/>
  <c r="O10" i="19128"/>
  <c r="H23"/>
  <c r="O16"/>
  <c r="A120"/>
  <c r="N19" i="107"/>
  <c r="G171"/>
  <c r="B186" s="1"/>
  <c r="G274"/>
  <c r="B291" s="1"/>
  <c r="G273"/>
  <c r="B288" s="1"/>
  <c r="C969" i="19129"/>
  <c r="A1038"/>
  <c r="G926"/>
  <c r="G1042"/>
  <c r="P172"/>
  <c r="B335"/>
  <c r="B337" s="1"/>
  <c r="W212"/>
  <c r="P171"/>
  <c r="B156"/>
  <c r="H57" i="19134"/>
  <c r="H272" i="19142" s="1"/>
  <c r="F198" i="19134"/>
  <c r="F197"/>
  <c r="C280"/>
  <c r="M9" s="1"/>
  <c r="B237" i="1" s="1"/>
  <c r="H250" i="19134"/>
  <c r="F266"/>
  <c r="E750" i="19129"/>
  <c r="G111" i="19128"/>
  <c r="C750" i="19129"/>
  <c r="F402"/>
  <c r="B436" i="19131"/>
  <c r="A437"/>
  <c r="G56"/>
  <c r="I8" i="19130"/>
  <c r="E14" i="107"/>
  <c r="F116" s="1"/>
  <c r="D56" i="19128"/>
  <c r="F177" i="19131"/>
  <c r="G131"/>
  <c r="D48" i="84"/>
  <c r="E78" s="1"/>
  <c r="G106" i="19142" s="1"/>
  <c r="D55" i="19131"/>
  <c r="E177" i="19128"/>
  <c r="F55" i="19131"/>
  <c r="C61" i="19128"/>
  <c r="D189" s="1"/>
  <c r="C56" i="19131"/>
  <c r="G82" s="1"/>
  <c r="G7" i="19138" s="1"/>
  <c r="A51" i="19128"/>
  <c r="G61"/>
  <c r="D204" s="1"/>
  <c r="D403" i="19129"/>
  <c r="D337"/>
  <c r="E335" s="1"/>
  <c r="V171"/>
  <c r="E16" i="19140" s="1"/>
  <c r="D926" i="19129"/>
  <c r="D750"/>
  <c r="F1021"/>
  <c r="F1002"/>
  <c r="F993"/>
  <c r="D981"/>
  <c r="F1031"/>
  <c r="F1022"/>
  <c r="D1010"/>
  <c r="F992"/>
  <c r="B58" i="19130"/>
  <c r="B383" i="19142" s="1"/>
  <c r="C285" i="19128"/>
  <c r="D342" i="19129"/>
  <c r="F341"/>
  <c r="F71"/>
  <c r="F18" i="19142" s="1"/>
  <c r="C838" i="19129"/>
  <c r="E1042" s="1"/>
  <c r="C822"/>
  <c r="C1042" s="1"/>
  <c r="D865"/>
  <c r="F876"/>
  <c r="F877"/>
  <c r="F886"/>
  <c r="D894"/>
  <c r="F904"/>
  <c r="F905"/>
  <c r="F914"/>
  <c r="D29"/>
  <c r="C14" i="19128"/>
  <c r="E57"/>
  <c r="D187" s="1"/>
  <c r="E756" i="19129"/>
  <c r="I1037" s="1"/>
  <c r="H50" i="19128"/>
  <c r="D166"/>
  <c r="N170" s="1"/>
  <c r="D161"/>
  <c r="H161" s="1"/>
  <c r="F120"/>
  <c r="D43" i="19129"/>
  <c r="C130" s="1"/>
  <c r="D51" i="84"/>
  <c r="F51"/>
  <c r="G53"/>
  <c r="C54" s="1"/>
  <c r="C19"/>
  <c r="C21" s="1"/>
  <c r="D9" i="107"/>
  <c r="D61"/>
  <c r="O65" s="1"/>
  <c r="E61" i="19128"/>
  <c r="E62"/>
  <c r="F10" i="107"/>
  <c r="F93"/>
  <c r="I342" s="1"/>
  <c r="E51" i="84"/>
  <c r="F48"/>
  <c r="F107" i="107"/>
  <c r="C840" i="19129" l="1"/>
  <c r="H193" i="19128"/>
  <c r="H208"/>
  <c r="Q71" i="107"/>
  <c r="Q72"/>
  <c r="I198" i="19134"/>
  <c r="B204"/>
  <c r="B203"/>
  <c r="I197"/>
  <c r="O298" i="19129"/>
  <c r="P298" s="1"/>
  <c r="M298"/>
  <c r="Q298"/>
  <c r="I266"/>
  <c r="D337" i="19134"/>
  <c r="F86" i="19135"/>
  <c r="G9" i="19138"/>
  <c r="D614" i="19129"/>
  <c r="D556"/>
  <c r="D616"/>
  <c r="C125"/>
  <c r="B185"/>
  <c r="B184"/>
  <c r="B82"/>
  <c r="B29" i="19142" s="1"/>
  <c r="E87" i="19129"/>
  <c r="E5" i="19142"/>
  <c r="E34" s="1"/>
  <c r="C5" i="19141"/>
  <c r="B153" i="19129"/>
  <c r="G388" i="19128"/>
  <c r="H415"/>
  <c r="F460" s="1"/>
  <c r="F495" i="19141"/>
  <c r="I495" s="1"/>
  <c r="B441"/>
  <c r="B443"/>
  <c r="B495"/>
  <c r="B559"/>
  <c r="F557"/>
  <c r="I557" s="1"/>
  <c r="F493"/>
  <c r="I493" s="1"/>
  <c r="F559"/>
  <c r="I559" s="1"/>
  <c r="F573"/>
  <c r="I573" s="1"/>
  <c r="B573"/>
  <c r="B557"/>
  <c r="F443"/>
  <c r="I443" s="1"/>
  <c r="B493"/>
  <c r="F441"/>
  <c r="F509"/>
  <c r="I509" s="1"/>
  <c r="F453"/>
  <c r="B453"/>
  <c r="B509"/>
  <c r="F442"/>
  <c r="I442" s="1"/>
  <c r="F494"/>
  <c r="I494" s="1"/>
  <c r="B558"/>
  <c r="B494"/>
  <c r="F558"/>
  <c r="I558" s="1"/>
  <c r="B442"/>
  <c r="H316"/>
  <c r="H185"/>
  <c r="D57" i="19140"/>
  <c r="F57"/>
  <c r="AG30"/>
  <c r="F318" i="19134"/>
  <c r="D318"/>
  <c r="C12" i="107"/>
  <c r="G142" i="19128"/>
  <c r="BD285" i="19129"/>
  <c r="BD248"/>
  <c r="BD297"/>
  <c r="BD257"/>
  <c r="BD275"/>
  <c r="BD238"/>
  <c r="BD267"/>
  <c r="BD315"/>
  <c r="BD318"/>
  <c r="BD310"/>
  <c r="BD308"/>
  <c r="BD312"/>
  <c r="BD309"/>
  <c r="BD311"/>
  <c r="BD317"/>
  <c r="BD313"/>
  <c r="BD316"/>
  <c r="BD314"/>
  <c r="BD276"/>
  <c r="BD298"/>
  <c r="BD277"/>
  <c r="BD258"/>
  <c r="BD299"/>
  <c r="BD278"/>
  <c r="BD259"/>
  <c r="BD300"/>
  <c r="BD301"/>
  <c r="BD279"/>
  <c r="BD260"/>
  <c r="BD302"/>
  <c r="BD280"/>
  <c r="BD261"/>
  <c r="BD303"/>
  <c r="BD281"/>
  <c r="BD262"/>
  <c r="BD263"/>
  <c r="BD304"/>
  <c r="BD282"/>
  <c r="BD305"/>
  <c r="BD283"/>
  <c r="BD264"/>
  <c r="BD306"/>
  <c r="BD284"/>
  <c r="BD265"/>
  <c r="BD266"/>
  <c r="BD307"/>
  <c r="I298"/>
  <c r="J298"/>
  <c r="D299"/>
  <c r="AA299"/>
  <c r="E299"/>
  <c r="F299" s="1"/>
  <c r="F322"/>
  <c r="E62" i="19137"/>
  <c r="B454" i="19129"/>
  <c r="I158"/>
  <c r="O179"/>
  <c r="AS36" i="19140" s="1"/>
  <c r="AJ214" i="19129"/>
  <c r="D428"/>
  <c r="O180"/>
  <c r="P180" s="1"/>
  <c r="H396"/>
  <c r="H398" s="1"/>
  <c r="O177"/>
  <c r="P177" s="1"/>
  <c r="O178"/>
  <c r="P178" s="1"/>
  <c r="R178" s="1"/>
  <c r="AY22" i="19140" s="1"/>
  <c r="C5" i="19136"/>
  <c r="D38" s="1"/>
  <c r="B170" i="19129"/>
  <c r="B171" s="1"/>
  <c r="R164"/>
  <c r="F86" i="19131"/>
  <c r="D495" s="1"/>
  <c r="C35" i="19130"/>
  <c r="J275" i="19129"/>
  <c r="J278"/>
  <c r="J285"/>
  <c r="J277"/>
  <c r="J279"/>
  <c r="J280"/>
  <c r="J276"/>
  <c r="J281"/>
  <c r="J282"/>
  <c r="J283"/>
  <c r="J284"/>
  <c r="J43" i="19142"/>
  <c r="D69" i="19128"/>
  <c r="B55"/>
  <c r="D77"/>
  <c r="D23"/>
  <c r="X70"/>
  <c r="X49"/>
  <c r="L33"/>
  <c r="L11"/>
  <c r="H35" s="1"/>
  <c r="G58" i="19129"/>
  <c r="G5" i="19142" s="1"/>
  <c r="E286" i="19128"/>
  <c r="G324" s="1"/>
  <c r="E60" i="19130"/>
  <c r="H185" i="19136"/>
  <c r="G70" i="19135"/>
  <c r="F304" s="1"/>
  <c r="E70"/>
  <c r="E255"/>
  <c r="E257" s="1"/>
  <c r="E75"/>
  <c r="C30" i="19131"/>
  <c r="C30" i="19135"/>
  <c r="A447"/>
  <c r="B446"/>
  <c r="A147" i="107"/>
  <c r="D73" i="19128"/>
  <c r="H17" i="107"/>
  <c r="A68"/>
  <c r="A67"/>
  <c r="W41" i="19128"/>
  <c r="W40"/>
  <c r="E757" i="19129"/>
  <c r="G969" s="1"/>
  <c r="H967"/>
  <c r="F276"/>
  <c r="G276" s="1"/>
  <c r="F277"/>
  <c r="G277" s="1"/>
  <c r="F278"/>
  <c r="G278" s="1"/>
  <c r="F279"/>
  <c r="G279" s="1"/>
  <c r="F280"/>
  <c r="G280" s="1"/>
  <c r="F281"/>
  <c r="G281" s="1"/>
  <c r="F282"/>
  <c r="G282" s="1"/>
  <c r="F283"/>
  <c r="G283" s="1"/>
  <c r="F284"/>
  <c r="G284" s="1"/>
  <c r="F285"/>
  <c r="G285" s="1"/>
  <c r="F275"/>
  <c r="G275" s="1"/>
  <c r="D50" i="19134"/>
  <c r="D265" i="19142" s="1"/>
  <c r="H27" i="19134"/>
  <c r="B1365" s="1"/>
  <c r="B302" i="19142" s="1"/>
  <c r="H96" i="19134"/>
  <c r="G37"/>
  <c r="B302" i="19128"/>
  <c r="B292"/>
  <c r="C260"/>
  <c r="E82"/>
  <c r="C310"/>
  <c r="F353" s="1"/>
  <c r="C288"/>
  <c r="G147" i="107"/>
  <c r="D344" s="1"/>
  <c r="N6"/>
  <c r="D312"/>
  <c r="F279"/>
  <c r="F276"/>
  <c r="C288" s="1"/>
  <c r="D288" s="1"/>
  <c r="I488" i="19129"/>
  <c r="G509" s="1"/>
  <c r="G66" i="19142" s="1"/>
  <c r="F505" i="19129"/>
  <c r="F62" i="19142" s="1"/>
  <c r="E79" i="84"/>
  <c r="B437" i="19131"/>
  <c r="A438"/>
  <c r="C391"/>
  <c r="G390"/>
  <c r="E255"/>
  <c r="G70"/>
  <c r="I67" s="1"/>
  <c r="E70"/>
  <c r="G349"/>
  <c r="E75"/>
  <c r="F465" s="1"/>
  <c r="B139"/>
  <c r="G269"/>
  <c r="H307"/>
  <c r="H353"/>
  <c r="H269"/>
  <c r="F9" i="84"/>
  <c r="H6" s="1"/>
  <c r="F8" i="107"/>
  <c r="F123" s="1"/>
  <c r="E49" i="84"/>
  <c r="D65" s="1"/>
  <c r="D67" s="1"/>
  <c r="E68" i="107"/>
  <c r="E67"/>
  <c r="E47"/>
  <c r="O66" s="1"/>
  <c r="E53" i="19128"/>
  <c r="D26" i="84"/>
  <c r="C22"/>
  <c r="C23" s="1"/>
  <c r="C506" i="19129"/>
  <c r="G52" i="19142" s="1"/>
  <c r="D488" i="19129"/>
  <c r="D507" s="1"/>
  <c r="H53" i="19142" s="1"/>
  <c r="D430" i="19129"/>
  <c r="D370"/>
  <c r="C16" i="19128"/>
  <c r="S171" i="19129"/>
  <c r="U171"/>
  <c r="E15" i="19140" s="1"/>
  <c r="T169" i="19129"/>
  <c r="C926"/>
  <c r="E926"/>
  <c r="B91" i="19130"/>
  <c r="B28"/>
  <c r="B1355" s="1"/>
  <c r="B413" i="19142" s="1"/>
  <c r="F51" i="19130"/>
  <c r="G303" i="19128"/>
  <c r="D202"/>
  <c r="H27"/>
  <c r="G30" i="19135" s="1"/>
  <c r="H34" i="19128"/>
  <c r="G30" i="19131" s="1"/>
  <c r="G131" i="19130"/>
  <c r="D117"/>
  <c r="A44"/>
  <c r="I54" i="19128"/>
  <c r="H63" s="1"/>
  <c r="D756" i="19129"/>
  <c r="E261" i="19131" l="1"/>
  <c r="E273"/>
  <c r="H273"/>
  <c r="H274" i="19135"/>
  <c r="E274"/>
  <c r="P68" i="107"/>
  <c r="L79"/>
  <c r="Q75"/>
  <c r="Q73"/>
  <c r="L74" s="1"/>
  <c r="H85"/>
  <c r="C80" s="1"/>
  <c r="S72"/>
  <c r="H72"/>
  <c r="F88"/>
  <c r="I343" s="1"/>
  <c r="O282" i="19129"/>
  <c r="P282" s="1"/>
  <c r="Q282"/>
  <c r="M282"/>
  <c r="M285"/>
  <c r="Q285"/>
  <c r="O283"/>
  <c r="P283" s="1"/>
  <c r="M283"/>
  <c r="Q283"/>
  <c r="O279"/>
  <c r="P279" s="1"/>
  <c r="M279"/>
  <c r="Q279"/>
  <c r="O275"/>
  <c r="P275" s="1"/>
  <c r="Q275"/>
  <c r="M275"/>
  <c r="O278"/>
  <c r="P278" s="1"/>
  <c r="Q278"/>
  <c r="M278"/>
  <c r="O281"/>
  <c r="P281" s="1"/>
  <c r="Q281"/>
  <c r="M281"/>
  <c r="O277"/>
  <c r="P277" s="1"/>
  <c r="M277"/>
  <c r="Q277"/>
  <c r="O284"/>
  <c r="P284" s="1"/>
  <c r="Q284"/>
  <c r="M284"/>
  <c r="O280"/>
  <c r="P280" s="1"/>
  <c r="M280"/>
  <c r="Q280"/>
  <c r="O276"/>
  <c r="P276" s="1"/>
  <c r="Q276"/>
  <c r="M276"/>
  <c r="O299"/>
  <c r="P299" s="1"/>
  <c r="Q299"/>
  <c r="M299"/>
  <c r="AT59" i="19140"/>
  <c r="O285" i="19129"/>
  <c r="P285" s="1"/>
  <c r="C24" i="84"/>
  <c r="H36" i="19128"/>
  <c r="I39" i="19129" s="1"/>
  <c r="D341" i="107"/>
  <c r="BL381" s="1"/>
  <c r="D185" i="19128"/>
  <c r="E24" i="19142"/>
  <c r="G11" i="19138"/>
  <c r="H28" i="19128"/>
  <c r="I36" i="19129" s="1"/>
  <c r="A329" s="1"/>
  <c r="J77" i="19142"/>
  <c r="J99"/>
  <c r="J91"/>
  <c r="D618" i="19129"/>
  <c r="B581"/>
  <c r="C583" s="1"/>
  <c r="B219"/>
  <c r="B220" s="1"/>
  <c r="N221" s="1"/>
  <c r="B521"/>
  <c r="C523" s="1"/>
  <c r="D554"/>
  <c r="D558" s="1"/>
  <c r="AS59" i="19140"/>
  <c r="B194" i="19129"/>
  <c r="B206"/>
  <c r="AS51" i="19140"/>
  <c r="C50" i="19130"/>
  <c r="C375" i="19142" s="1"/>
  <c r="F376"/>
  <c r="E26" i="19130"/>
  <c r="E385" i="19142"/>
  <c r="F358" s="1"/>
  <c r="G395" i="19128"/>
  <c r="G252" i="19142"/>
  <c r="H258" s="1"/>
  <c r="B303" s="1"/>
  <c r="B261"/>
  <c r="L303" s="1"/>
  <c r="E259"/>
  <c r="D366" i="19130"/>
  <c r="C363" i="19142"/>
  <c r="D38" i="19141"/>
  <c r="C6"/>
  <c r="AE128" i="19140"/>
  <c r="AE106"/>
  <c r="G636" i="19134"/>
  <c r="D408" i="19128"/>
  <c r="B404" s="1"/>
  <c r="I453" i="19141"/>
  <c r="I441"/>
  <c r="F529"/>
  <c r="E204" i="19134"/>
  <c r="I204" s="1"/>
  <c r="C204"/>
  <c r="D204" s="1"/>
  <c r="A211"/>
  <c r="E203"/>
  <c r="F203" s="1"/>
  <c r="H210" s="1"/>
  <c r="C203"/>
  <c r="D203" s="1"/>
  <c r="A210"/>
  <c r="C3" i="19139"/>
  <c r="CE65" s="1"/>
  <c r="D432" i="19129"/>
  <c r="F71" i="19140" s="1"/>
  <c r="N4" i="107"/>
  <c r="F303" i="19131"/>
  <c r="G299" s="1"/>
  <c r="C310" s="1"/>
  <c r="E116" i="1" s="1"/>
  <c r="B66" i="19131"/>
  <c r="G394"/>
  <c r="B63" i="19128"/>
  <c r="BD286" i="19129"/>
  <c r="BD319"/>
  <c r="BD268"/>
  <c r="AA300"/>
  <c r="D300"/>
  <c r="E300"/>
  <c r="F300" s="1"/>
  <c r="I299"/>
  <c r="J299"/>
  <c r="E763"/>
  <c r="R177"/>
  <c r="E7" i="19140"/>
  <c r="R180" i="19129"/>
  <c r="AS58" i="19140" s="1"/>
  <c r="AL214" i="19129"/>
  <c r="S178"/>
  <c r="AS20" i="19140" s="1"/>
  <c r="G1056" i="19129"/>
  <c r="D28" i="19130"/>
  <c r="F69" i="84"/>
  <c r="C6" i="19136"/>
  <c r="H31" s="1"/>
  <c r="D368" i="19129"/>
  <c r="D372" s="1"/>
  <c r="F70" i="19140" s="1"/>
  <c r="AC213" i="19129"/>
  <c r="I157"/>
  <c r="H335"/>
  <c r="H337" s="1"/>
  <c r="Q169"/>
  <c r="Q172"/>
  <c r="AR58" i="19140" s="1"/>
  <c r="Q170" i="19129"/>
  <c r="Q171"/>
  <c r="F268"/>
  <c r="E303" i="19128"/>
  <c r="G316" s="1"/>
  <c r="G531" i="19130"/>
  <c r="C543" s="1"/>
  <c r="D543" s="1"/>
  <c r="I543" s="1"/>
  <c r="D293" i="19128"/>
  <c r="D299" s="1"/>
  <c r="H283" i="19130"/>
  <c r="C295" s="1"/>
  <c r="D295" s="1"/>
  <c r="G295" s="1"/>
  <c r="B495" i="19131"/>
  <c r="H495"/>
  <c r="F495"/>
  <c r="E285" i="19128"/>
  <c r="F310" s="1"/>
  <c r="F58" i="19130"/>
  <c r="Q179" i="19129"/>
  <c r="M179" s="1"/>
  <c r="R179" s="1"/>
  <c r="S179" s="1"/>
  <c r="D51" i="19128"/>
  <c r="D168" s="1"/>
  <c r="B295"/>
  <c r="F59" i="84"/>
  <c r="D57" s="1"/>
  <c r="C384" i="107"/>
  <c r="R67" i="19128"/>
  <c r="R59"/>
  <c r="R52"/>
  <c r="R29"/>
  <c r="R21"/>
  <c r="R14"/>
  <c r="D18" i="107"/>
  <c r="D348" s="1"/>
  <c r="E71" i="19128"/>
  <c r="E75"/>
  <c r="D157"/>
  <c r="H160" s="1"/>
  <c r="H29"/>
  <c r="G31" i="19131"/>
  <c r="U41" i="19128"/>
  <c r="M30" i="19135" s="1"/>
  <c r="C77" i="19128"/>
  <c r="C69"/>
  <c r="D325" i="19136"/>
  <c r="D195"/>
  <c r="F182" s="1"/>
  <c r="D111"/>
  <c r="F97" s="1"/>
  <c r="C31"/>
  <c r="D446" i="19142" s="1"/>
  <c r="C41" i="19136"/>
  <c r="F529"/>
  <c r="H1277" i="19130"/>
  <c r="C1277"/>
  <c r="H1028"/>
  <c r="C1028"/>
  <c r="C779"/>
  <c r="C531"/>
  <c r="C540" s="1"/>
  <c r="D540" s="1"/>
  <c r="H540" s="1"/>
  <c r="C283"/>
  <c r="C292" s="1"/>
  <c r="D292" s="1"/>
  <c r="I292" s="1"/>
  <c r="I67" i="19135"/>
  <c r="A132" s="1"/>
  <c r="D138"/>
  <c r="J132"/>
  <c r="O32" i="19131"/>
  <c r="O30" i="19135"/>
  <c r="E112" i="107"/>
  <c r="E66" i="19135"/>
  <c r="H134" s="1"/>
  <c r="F466"/>
  <c r="C478" s="1"/>
  <c r="D478" s="1"/>
  <c r="F463"/>
  <c r="C475" s="1"/>
  <c r="D475" s="1"/>
  <c r="F51"/>
  <c r="F48"/>
  <c r="C237" s="1"/>
  <c r="E262"/>
  <c r="B66"/>
  <c r="C31"/>
  <c r="G395"/>
  <c r="A448"/>
  <c r="B447"/>
  <c r="H779" i="19130"/>
  <c r="A360" i="19131"/>
  <c r="B257"/>
  <c r="F280" i="107"/>
  <c r="F277"/>
  <c r="C289" s="1"/>
  <c r="D289" s="1"/>
  <c r="F228"/>
  <c r="C240" s="1"/>
  <c r="D240" s="1"/>
  <c r="F225"/>
  <c r="C237" s="1"/>
  <c r="D237" s="1"/>
  <c r="F178"/>
  <c r="C190" s="1"/>
  <c r="D190" s="1"/>
  <c r="F175"/>
  <c r="C187" s="1"/>
  <c r="D187" s="1"/>
  <c r="D313"/>
  <c r="H255"/>
  <c r="G135"/>
  <c r="H24" i="19128"/>
  <c r="D24" s="1"/>
  <c r="A69" i="84"/>
  <c r="E816" i="19129"/>
  <c r="H1038"/>
  <c r="D757"/>
  <c r="B852" s="1"/>
  <c r="C849" s="1"/>
  <c r="S165"/>
  <c r="Z169"/>
  <c r="AA169" s="1"/>
  <c r="F248"/>
  <c r="P248" s="1"/>
  <c r="A239"/>
  <c r="BD239" s="1"/>
  <c r="G627" i="19130"/>
  <c r="D373" i="19134"/>
  <c r="F27"/>
  <c r="F392" i="19128" s="1"/>
  <c r="F461" s="1"/>
  <c r="G1131" i="19134"/>
  <c r="G883"/>
  <c r="G387"/>
  <c r="B46"/>
  <c r="G49"/>
  <c r="I288" i="107"/>
  <c r="H288"/>
  <c r="G288"/>
  <c r="F288"/>
  <c r="E288"/>
  <c r="C291"/>
  <c r="D291" s="1"/>
  <c r="E64"/>
  <c r="L68" s="1"/>
  <c r="B438" i="19131"/>
  <c r="A439"/>
  <c r="G1125" i="19130"/>
  <c r="G876"/>
  <c r="G380"/>
  <c r="I124"/>
  <c r="Q63" s="1"/>
  <c r="G360" i="19131"/>
  <c r="F257"/>
  <c r="C31"/>
  <c r="F51"/>
  <c r="F48"/>
  <c r="C235" s="1"/>
  <c r="C477"/>
  <c r="D477" s="1"/>
  <c r="F462"/>
  <c r="C474" s="1"/>
  <c r="D136"/>
  <c r="E66"/>
  <c r="C13" i="107"/>
  <c r="M171" i="19129"/>
  <c r="H204" i="19128"/>
  <c r="F297"/>
  <c r="I300"/>
  <c r="J44" i="19130"/>
  <c r="E143"/>
  <c r="N9" i="19129" l="1"/>
  <c r="Q74" i="107"/>
  <c r="Q76" s="1"/>
  <c r="Q78" s="1"/>
  <c r="Q79"/>
  <c r="I210" i="19134"/>
  <c r="A389" i="19129"/>
  <c r="E389"/>
  <c r="O300"/>
  <c r="P300" s="1"/>
  <c r="Q300"/>
  <c r="M300"/>
  <c r="E329"/>
  <c r="T384" i="107"/>
  <c r="AV381"/>
  <c r="AR381"/>
  <c r="X380"/>
  <c r="BH380"/>
  <c r="BF380"/>
  <c r="BZ381"/>
  <c r="Z381"/>
  <c r="AT380"/>
  <c r="BL380"/>
  <c r="BP381"/>
  <c r="BF381"/>
  <c r="BZ380"/>
  <c r="BD381"/>
  <c r="Z380"/>
  <c r="AF380"/>
  <c r="AT381"/>
  <c r="AR380"/>
  <c r="CB381"/>
  <c r="C389" i="19131"/>
  <c r="R380" i="107"/>
  <c r="AX380"/>
  <c r="R381"/>
  <c r="AX381"/>
  <c r="P380"/>
  <c r="BD380"/>
  <c r="AL380"/>
  <c r="BR380"/>
  <c r="AL381"/>
  <c r="BR381"/>
  <c r="AB381"/>
  <c r="AJ380"/>
  <c r="AN381"/>
  <c r="AB380"/>
  <c r="AZ381"/>
  <c r="P381"/>
  <c r="AZ380"/>
  <c r="AH380"/>
  <c r="BN380"/>
  <c r="AH381"/>
  <c r="BN381"/>
  <c r="AN380"/>
  <c r="N380"/>
  <c r="BB380"/>
  <c r="N381"/>
  <c r="BB381"/>
  <c r="BP380"/>
  <c r="BH381"/>
  <c r="CB380"/>
  <c r="BT381"/>
  <c r="BX380"/>
  <c r="BT380"/>
  <c r="AP380"/>
  <c r="BV380"/>
  <c r="AP381"/>
  <c r="BV381"/>
  <c r="AV380"/>
  <c r="AD380"/>
  <c r="BJ380"/>
  <c r="AD381"/>
  <c r="BJ381"/>
  <c r="BX381"/>
  <c r="X381"/>
  <c r="AJ381"/>
  <c r="AF381"/>
  <c r="G77" i="19128"/>
  <c r="C372" i="19142"/>
  <c r="B414" s="1"/>
  <c r="G31" i="19135"/>
  <c r="G69" i="19128"/>
  <c r="H303" i="19142"/>
  <c r="C195" i="19135"/>
  <c r="I132"/>
  <c r="C167"/>
  <c r="C158"/>
  <c r="C208"/>
  <c r="C186"/>
  <c r="AS60" i="19140"/>
  <c r="B207" i="19129"/>
  <c r="N208" s="1"/>
  <c r="O208" s="1"/>
  <c r="N219"/>
  <c r="O219" s="1"/>
  <c r="C216" s="1"/>
  <c r="J572" s="1"/>
  <c r="AS27" i="19140"/>
  <c r="AR61"/>
  <c r="O221" i="19129"/>
  <c r="R172"/>
  <c r="Z172" s="1"/>
  <c r="AS43" i="19140"/>
  <c r="S180" i="19129"/>
  <c r="AX53" i="19140"/>
  <c r="S177" i="19129"/>
  <c r="AS61" i="19140" s="1"/>
  <c r="AY7"/>
  <c r="AQ4"/>
  <c r="R170" i="19129"/>
  <c r="Z170" s="1"/>
  <c r="R169"/>
  <c r="G407" i="19128"/>
  <c r="G423" s="1"/>
  <c r="G264" i="19142"/>
  <c r="G372"/>
  <c r="J372"/>
  <c r="L414" s="1"/>
  <c r="AI33" i="19140"/>
  <c r="AI20" s="1"/>
  <c r="F383" i="19142"/>
  <c r="D184" i="19128"/>
  <c r="H187" s="1"/>
  <c r="BA10" i="19139"/>
  <c r="D325" i="19141"/>
  <c r="D195"/>
  <c r="C41"/>
  <c r="D111"/>
  <c r="F97" s="1"/>
  <c r="C31"/>
  <c r="D335" i="19142" s="1"/>
  <c r="J104" i="19141"/>
  <c r="H31"/>
  <c r="I189"/>
  <c r="BQ19" i="19139"/>
  <c r="L65"/>
  <c r="AC10"/>
  <c r="AS19"/>
  <c r="BE65"/>
  <c r="I203" i="19134"/>
  <c r="BI10" i="19139"/>
  <c r="BY19"/>
  <c r="M19"/>
  <c r="U10"/>
  <c r="AK19"/>
  <c r="AT65"/>
  <c r="F204" i="19134"/>
  <c r="BY10" i="19139"/>
  <c r="AS10"/>
  <c r="M10"/>
  <c r="BI19"/>
  <c r="AC19"/>
  <c r="BZ65"/>
  <c r="AI65"/>
  <c r="BQ10"/>
  <c r="AK10"/>
  <c r="E10"/>
  <c r="BA19"/>
  <c r="BO65"/>
  <c r="Y65"/>
  <c r="C10"/>
  <c r="BW10"/>
  <c r="BO10"/>
  <c r="BG10"/>
  <c r="AY10"/>
  <c r="AQ10"/>
  <c r="AI10"/>
  <c r="AA10"/>
  <c r="S10"/>
  <c r="K10"/>
  <c r="CB19"/>
  <c r="BV19"/>
  <c r="BN19"/>
  <c r="BF19"/>
  <c r="AX19"/>
  <c r="AP19"/>
  <c r="AH19"/>
  <c r="Z19"/>
  <c r="R19"/>
  <c r="H65"/>
  <c r="BV65"/>
  <c r="BK65"/>
  <c r="BA65"/>
  <c r="AP65"/>
  <c r="AE65"/>
  <c r="U65"/>
  <c r="CA10"/>
  <c r="BS10"/>
  <c r="BK10"/>
  <c r="BC10"/>
  <c r="AU10"/>
  <c r="AM10"/>
  <c r="AE10"/>
  <c r="W10"/>
  <c r="O10"/>
  <c r="G10"/>
  <c r="BZ19"/>
  <c r="BR19"/>
  <c r="BJ19"/>
  <c r="BB19"/>
  <c r="AT19"/>
  <c r="AL19"/>
  <c r="AD19"/>
  <c r="N19"/>
  <c r="M65"/>
  <c r="CA65"/>
  <c r="BQ65"/>
  <c r="BF65"/>
  <c r="AU65"/>
  <c r="AK65"/>
  <c r="Z65"/>
  <c r="CC10"/>
  <c r="BU10"/>
  <c r="BM10"/>
  <c r="BE10"/>
  <c r="AW10"/>
  <c r="AO10"/>
  <c r="AG10"/>
  <c r="Y10"/>
  <c r="Q10"/>
  <c r="I10"/>
  <c r="CA19"/>
  <c r="BU19"/>
  <c r="BM19"/>
  <c r="BE19"/>
  <c r="AW19"/>
  <c r="AO19"/>
  <c r="AG19"/>
  <c r="Y19"/>
  <c r="Q19"/>
  <c r="D65"/>
  <c r="F65"/>
  <c r="BU65"/>
  <c r="BJ65"/>
  <c r="AY65"/>
  <c r="AO65"/>
  <c r="AD65"/>
  <c r="R65"/>
  <c r="BW19"/>
  <c r="BS19"/>
  <c r="BO19"/>
  <c r="BK19"/>
  <c r="BG19"/>
  <c r="BC19"/>
  <c r="AY19"/>
  <c r="AU19"/>
  <c r="AQ19"/>
  <c r="AM19"/>
  <c r="AI19"/>
  <c r="AE19"/>
  <c r="AA19"/>
  <c r="W19"/>
  <c r="O19"/>
  <c r="N65"/>
  <c r="I65"/>
  <c r="CC65"/>
  <c r="BW65"/>
  <c r="BR65"/>
  <c r="BM65"/>
  <c r="BG65"/>
  <c r="BB65"/>
  <c r="AW65"/>
  <c r="AQ65"/>
  <c r="AL65"/>
  <c r="AG65"/>
  <c r="AA65"/>
  <c r="V65"/>
  <c r="BX19"/>
  <c r="BT19"/>
  <c r="BP19"/>
  <c r="BL19"/>
  <c r="BH19"/>
  <c r="BD19"/>
  <c r="AZ19"/>
  <c r="AV19"/>
  <c r="AR19"/>
  <c r="AN19"/>
  <c r="AJ19"/>
  <c r="AF19"/>
  <c r="AB19"/>
  <c r="X19"/>
  <c r="P19"/>
  <c r="E65"/>
  <c r="J65"/>
  <c r="CD65"/>
  <c r="BY65"/>
  <c r="BS65"/>
  <c r="BN65"/>
  <c r="BI65"/>
  <c r="BC65"/>
  <c r="AX65"/>
  <c r="AS65"/>
  <c r="AM65"/>
  <c r="AH65"/>
  <c r="AC65"/>
  <c r="W65"/>
  <c r="Q65"/>
  <c r="S65"/>
  <c r="O65"/>
  <c r="K65"/>
  <c r="G65"/>
  <c r="CB65"/>
  <c r="BX65"/>
  <c r="BT65"/>
  <c r="BP65"/>
  <c r="BL65"/>
  <c r="BH65"/>
  <c r="BD65"/>
  <c r="AZ65"/>
  <c r="AV65"/>
  <c r="AR65"/>
  <c r="AN65"/>
  <c r="AJ65"/>
  <c r="AF65"/>
  <c r="AB65"/>
  <c r="X65"/>
  <c r="T65"/>
  <c r="P65"/>
  <c r="AI31" i="19140"/>
  <c r="F295" i="19130"/>
  <c r="A100" i="19128"/>
  <c r="H5" i="19141" s="1"/>
  <c r="E773" i="19129"/>
  <c r="E832"/>
  <c r="D301"/>
  <c r="AA301"/>
  <c r="E301"/>
  <c r="F301" s="1"/>
  <c r="C239"/>
  <c r="L239" s="1"/>
  <c r="I300"/>
  <c r="J300"/>
  <c r="D31" i="19130"/>
  <c r="D1355" s="1"/>
  <c r="D413" i="19142" s="1"/>
  <c r="F190" i="19136"/>
  <c r="E531" s="1"/>
  <c r="G543" i="19130"/>
  <c r="E27"/>
  <c r="H27" s="1"/>
  <c r="H63" s="1"/>
  <c r="H388" i="19142" s="1"/>
  <c r="E288" i="19128"/>
  <c r="F354" s="1"/>
  <c r="D92" i="19130"/>
  <c r="J104" i="19136"/>
  <c r="E295" i="19130"/>
  <c r="I295"/>
  <c r="E783" i="19129"/>
  <c r="I189" i="19136"/>
  <c r="J318" s="1"/>
  <c r="H322" s="1"/>
  <c r="H295" i="19130"/>
  <c r="E176" i="19128"/>
  <c r="G292" i="19130"/>
  <c r="E543"/>
  <c r="F543"/>
  <c r="H543"/>
  <c r="H292"/>
  <c r="F292"/>
  <c r="G540"/>
  <c r="I540"/>
  <c r="F540"/>
  <c r="E540"/>
  <c r="E292"/>
  <c r="G286" i="19129"/>
  <c r="G203" i="19134"/>
  <c r="E94" i="19130"/>
  <c r="D55" i="107"/>
  <c r="D60" s="1"/>
  <c r="A92" s="1"/>
  <c r="CD384"/>
  <c r="CB384"/>
  <c r="BZ384"/>
  <c r="BX384"/>
  <c r="BV384"/>
  <c r="BT384"/>
  <c r="BR384"/>
  <c r="BP384"/>
  <c r="BN384"/>
  <c r="BL384"/>
  <c r="BJ384"/>
  <c r="BH384"/>
  <c r="BF384"/>
  <c r="BD384"/>
  <c r="BB384"/>
  <c r="AZ384"/>
  <c r="AX384"/>
  <c r="AV384"/>
  <c r="AT384"/>
  <c r="AR384"/>
  <c r="AP384"/>
  <c r="AN384"/>
  <c r="AL384"/>
  <c r="AJ384"/>
  <c r="AH384"/>
  <c r="AF384"/>
  <c r="AD384"/>
  <c r="AB384"/>
  <c r="Z384"/>
  <c r="X384"/>
  <c r="V384"/>
  <c r="H384"/>
  <c r="J384"/>
  <c r="L384"/>
  <c r="N384"/>
  <c r="P384"/>
  <c r="R384"/>
  <c r="F384"/>
  <c r="D384"/>
  <c r="N10"/>
  <c r="C308"/>
  <c r="G135" i="19142" s="1"/>
  <c r="L14" i="19128"/>
  <c r="X14"/>
  <c r="X21"/>
  <c r="L21"/>
  <c r="X29"/>
  <c r="L29"/>
  <c r="X52"/>
  <c r="J80" i="19142" s="1"/>
  <c r="L52" i="19128"/>
  <c r="A80" i="19142" s="1"/>
  <c r="X59" i="19128"/>
  <c r="J87" i="19142" s="1"/>
  <c r="L59" i="19128"/>
  <c r="A87" i="19142" s="1"/>
  <c r="X67" i="19128"/>
  <c r="J95" i="19142" s="1"/>
  <c r="L67" i="19128"/>
  <c r="A95" i="19142" s="1"/>
  <c r="G32" i="19135"/>
  <c r="U40" i="19128"/>
  <c r="G73"/>
  <c r="C73"/>
  <c r="G32" i="19131"/>
  <c r="L73" i="84"/>
  <c r="D74"/>
  <c r="H90" s="1"/>
  <c r="C388" i="19135"/>
  <c r="J262" i="19131"/>
  <c r="I36" i="19136"/>
  <c r="F35"/>
  <c r="D198"/>
  <c r="H194" s="1"/>
  <c r="B235" s="1"/>
  <c r="D114"/>
  <c r="C59"/>
  <c r="G59"/>
  <c r="I59" s="1"/>
  <c r="G65"/>
  <c r="G233"/>
  <c r="G147"/>
  <c r="H65"/>
  <c r="H64"/>
  <c r="G60"/>
  <c r="I60" s="1"/>
  <c r="C60"/>
  <c r="G54"/>
  <c r="I54" s="1"/>
  <c r="C54"/>
  <c r="G53"/>
  <c r="C53"/>
  <c r="A31"/>
  <c r="L5"/>
  <c r="B147"/>
  <c r="F147"/>
  <c r="B233"/>
  <c r="F233"/>
  <c r="C534"/>
  <c r="B526" s="1"/>
  <c r="C471"/>
  <c r="A467" s="1"/>
  <c r="C423"/>
  <c r="A420" s="1"/>
  <c r="F321"/>
  <c r="F50" i="19135"/>
  <c r="F47"/>
  <c r="C236" s="1"/>
  <c r="F180"/>
  <c r="G182" s="1"/>
  <c r="C196" s="1"/>
  <c r="F153"/>
  <c r="G300"/>
  <c r="C311" s="1"/>
  <c r="C240"/>
  <c r="D240" s="1"/>
  <c r="I475"/>
  <c r="H475"/>
  <c r="G475"/>
  <c r="F475"/>
  <c r="E475"/>
  <c r="I478"/>
  <c r="H478"/>
  <c r="G478"/>
  <c r="F478"/>
  <c r="E478"/>
  <c r="D69"/>
  <c r="D64"/>
  <c r="H128" s="1"/>
  <c r="G396"/>
  <c r="A449"/>
  <c r="B448"/>
  <c r="G34" i="19134"/>
  <c r="G29"/>
  <c r="A66" i="107"/>
  <c r="E66"/>
  <c r="B922" i="19129"/>
  <c r="I248"/>
  <c r="Z171"/>
  <c r="AV33" i="19140" s="1"/>
  <c r="A240" i="19129"/>
  <c r="BD240" s="1"/>
  <c r="E894" i="19134"/>
  <c r="I876"/>
  <c r="E1142"/>
  <c r="I1124"/>
  <c r="E398"/>
  <c r="I380"/>
  <c r="H203"/>
  <c r="D230" i="19130"/>
  <c r="D232" s="1"/>
  <c r="D341" i="19128"/>
  <c r="D342" s="1"/>
  <c r="D352" s="1"/>
  <c r="I190" i="107"/>
  <c r="H190"/>
  <c r="G190"/>
  <c r="F190"/>
  <c r="E190"/>
  <c r="I187"/>
  <c r="H187"/>
  <c r="G187"/>
  <c r="F187"/>
  <c r="E187"/>
  <c r="I291"/>
  <c r="H291"/>
  <c r="G291"/>
  <c r="F291"/>
  <c r="E291"/>
  <c r="I237"/>
  <c r="H237"/>
  <c r="G237"/>
  <c r="F237"/>
  <c r="E237"/>
  <c r="I240"/>
  <c r="H240"/>
  <c r="G240"/>
  <c r="F240"/>
  <c r="E240"/>
  <c r="I289"/>
  <c r="H289"/>
  <c r="G289"/>
  <c r="F289"/>
  <c r="E289"/>
  <c r="C292"/>
  <c r="D292" s="1"/>
  <c r="D19"/>
  <c r="A99" s="1"/>
  <c r="F260" i="19128"/>
  <c r="E121" i="1"/>
  <c r="D121"/>
  <c r="C121"/>
  <c r="B121"/>
  <c r="E120"/>
  <c r="D120"/>
  <c r="C120"/>
  <c r="B120"/>
  <c r="E119"/>
  <c r="D119"/>
  <c r="C119"/>
  <c r="B119"/>
  <c r="E118"/>
  <c r="D118"/>
  <c r="C118"/>
  <c r="B118"/>
  <c r="G395" i="19131"/>
  <c r="B439"/>
  <c r="A440"/>
  <c r="I477"/>
  <c r="H477"/>
  <c r="G477"/>
  <c r="F477"/>
  <c r="E477"/>
  <c r="C1289" i="19130"/>
  <c r="D1289" s="1"/>
  <c r="C1286"/>
  <c r="D1286" s="1"/>
  <c r="I373"/>
  <c r="Q64" s="1"/>
  <c r="E392"/>
  <c r="I869"/>
  <c r="Q66" s="1"/>
  <c r="E888"/>
  <c r="I1118"/>
  <c r="Q67" s="1"/>
  <c r="E1137"/>
  <c r="D239"/>
  <c r="F243" s="1"/>
  <c r="D249"/>
  <c r="D259" s="1"/>
  <c r="D241"/>
  <c r="D240"/>
  <c r="H113"/>
  <c r="C180" s="1"/>
  <c r="C113"/>
  <c r="C177" s="1"/>
  <c r="E145"/>
  <c r="F191" s="1"/>
  <c r="E144"/>
  <c r="C238" i="19131"/>
  <c r="D238" s="1"/>
  <c r="H238" s="1"/>
  <c r="F50"/>
  <c r="F47"/>
  <c r="C234" s="1"/>
  <c r="F151"/>
  <c r="F178"/>
  <c r="G180" s="1"/>
  <c r="G134"/>
  <c r="D69"/>
  <c r="H132" s="1"/>
  <c r="D64"/>
  <c r="E252" s="1"/>
  <c r="H274" s="1"/>
  <c r="D63" i="84"/>
  <c r="F73" i="19128"/>
  <c r="D160"/>
  <c r="C19"/>
  <c r="E274" i="19131" l="1"/>
  <c r="U11" i="19129"/>
  <c r="P14"/>
  <c r="N10"/>
  <c r="Q80" i="107"/>
  <c r="Q83" s="1"/>
  <c r="I191" i="19130"/>
  <c r="B197"/>
  <c r="AR59" i="19140"/>
  <c r="F406" i="19129"/>
  <c r="S406"/>
  <c r="L406"/>
  <c r="O301"/>
  <c r="P301" s="1"/>
  <c r="Q301"/>
  <c r="M301"/>
  <c r="F345"/>
  <c r="R345"/>
  <c r="L345"/>
  <c r="I147" i="19136"/>
  <c r="J267" i="19135"/>
  <c r="G279" s="1"/>
  <c r="D224" i="19129"/>
  <c r="C390" i="19135"/>
  <c r="G204" i="19134"/>
  <c r="H211"/>
  <c r="I211" s="1"/>
  <c r="AH21" i="19140"/>
  <c r="H414" i="19142"/>
  <c r="I454" i="19128"/>
  <c r="Q70" i="19134"/>
  <c r="I448" i="19128"/>
  <c r="Q67" i="19134"/>
  <c r="D454" i="19128"/>
  <c r="Q69" i="19134"/>
  <c r="N206" i="19129"/>
  <c r="O206" s="1"/>
  <c r="C203" s="1"/>
  <c r="J512" s="1"/>
  <c r="H222"/>
  <c r="H218"/>
  <c r="E221"/>
  <c r="H219"/>
  <c r="A223"/>
  <c r="H220"/>
  <c r="H216"/>
  <c r="H221"/>
  <c r="H217"/>
  <c r="D221"/>
  <c r="C221"/>
  <c r="D223"/>
  <c r="F223" s="1"/>
  <c r="C180"/>
  <c r="A187" s="1"/>
  <c r="J386"/>
  <c r="AA172"/>
  <c r="AV48" i="19140"/>
  <c r="AS5"/>
  <c r="AA170" i="19129"/>
  <c r="AW17" i="19140"/>
  <c r="AJ21"/>
  <c r="H186" i="19128"/>
  <c r="D1365" i="19134"/>
  <c r="D302" i="19142" s="1"/>
  <c r="G249"/>
  <c r="F952" i="19129"/>
  <c r="H1355" i="19130"/>
  <c r="H413" i="19142" s="1"/>
  <c r="B210" i="19134"/>
  <c r="C210" s="1"/>
  <c r="C59" i="19141"/>
  <c r="G147"/>
  <c r="L5"/>
  <c r="A31"/>
  <c r="G65"/>
  <c r="C60"/>
  <c r="B233"/>
  <c r="F147"/>
  <c r="H64"/>
  <c r="G233"/>
  <c r="F233"/>
  <c r="H65"/>
  <c r="G59"/>
  <c r="I59" s="1"/>
  <c r="B147"/>
  <c r="G60"/>
  <c r="I60" s="1"/>
  <c r="C53"/>
  <c r="G54"/>
  <c r="I54" s="1"/>
  <c r="C54"/>
  <c r="G53"/>
  <c r="C471"/>
  <c r="A467" s="1"/>
  <c r="C423"/>
  <c r="A420" s="1"/>
  <c r="C534"/>
  <c r="B526" s="1"/>
  <c r="F321"/>
  <c r="F182"/>
  <c r="F190"/>
  <c r="I36"/>
  <c r="F35"/>
  <c r="D114"/>
  <c r="J107" s="1"/>
  <c r="D198"/>
  <c r="H194" s="1"/>
  <c r="I192"/>
  <c r="H531"/>
  <c r="J318"/>
  <c r="H322" s="1"/>
  <c r="F222"/>
  <c r="I222" s="1"/>
  <c r="AK31" i="19140"/>
  <c r="H204" i="19134"/>
  <c r="B211" s="1"/>
  <c r="C211" s="1"/>
  <c r="J5"/>
  <c r="H42" s="1"/>
  <c r="H100" i="19141"/>
  <c r="D63" i="19130"/>
  <c r="C29"/>
  <c r="H127" i="19131"/>
  <c r="C386" s="1"/>
  <c r="J130"/>
  <c r="M135" s="1"/>
  <c r="A130"/>
  <c r="C297" i="19135"/>
  <c r="E301" s="1"/>
  <c r="C312" s="1"/>
  <c r="C296" i="19131"/>
  <c r="E300" s="1"/>
  <c r="F150"/>
  <c r="G153" s="1"/>
  <c r="D163" s="1"/>
  <c r="J853" i="19129"/>
  <c r="B920"/>
  <c r="E239"/>
  <c r="G69" i="19130"/>
  <c r="I301" i="19129"/>
  <c r="J301"/>
  <c r="D302"/>
  <c r="AA302"/>
  <c r="E302"/>
  <c r="F302" s="1"/>
  <c r="C240"/>
  <c r="L240" s="1"/>
  <c r="F63" i="19130"/>
  <c r="F388" i="19142" s="1"/>
  <c r="E37" i="19130"/>
  <c r="F223" i="19136"/>
  <c r="I223" s="1"/>
  <c r="F62" i="19137"/>
  <c r="B455" i="19129"/>
  <c r="C72" i="19137"/>
  <c r="G322" i="19129"/>
  <c r="B223" i="19136"/>
  <c r="F288" i="19128"/>
  <c r="F355" s="1"/>
  <c r="H531" i="19136"/>
  <c r="H533" s="1"/>
  <c r="I192"/>
  <c r="G234" s="1"/>
  <c r="G92" i="19130"/>
  <c r="AA171" i="19129"/>
  <c r="F222" i="19136"/>
  <c r="I222" s="1"/>
  <c r="J107"/>
  <c r="G235"/>
  <c r="D38" i="19128"/>
  <c r="I38" i="19129" s="1"/>
  <c r="F235" i="19136"/>
  <c r="G98" i="107"/>
  <c r="I233" i="19136"/>
  <c r="I238" i="19129"/>
  <c r="I238" i="19131"/>
  <c r="E238"/>
  <c r="F238"/>
  <c r="G238"/>
  <c r="D31" i="19128"/>
  <c r="C321" i="107"/>
  <c r="D321" s="1"/>
  <c r="C322"/>
  <c r="D322" s="1"/>
  <c r="F322" s="1"/>
  <c r="G278" i="19131"/>
  <c r="G277"/>
  <c r="G349" i="19136"/>
  <c r="G345"/>
  <c r="F341"/>
  <c r="B342"/>
  <c r="G342"/>
  <c r="B343"/>
  <c r="G343"/>
  <c r="Q318" s="1"/>
  <c r="F454"/>
  <c r="B454"/>
  <c r="C65"/>
  <c r="C64"/>
  <c r="G64"/>
  <c r="G58"/>
  <c r="I53"/>
  <c r="I58" s="1"/>
  <c r="G207"/>
  <c r="G208"/>
  <c r="G366"/>
  <c r="B222"/>
  <c r="F137"/>
  <c r="G61"/>
  <c r="C61"/>
  <c r="B444" s="1"/>
  <c r="B137"/>
  <c r="B496" s="1"/>
  <c r="G66"/>
  <c r="C66"/>
  <c r="F148"/>
  <c r="B148"/>
  <c r="G148"/>
  <c r="H66"/>
  <c r="I65"/>
  <c r="H547"/>
  <c r="F547"/>
  <c r="F561"/>
  <c r="B561"/>
  <c r="F98" i="19134"/>
  <c r="G31"/>
  <c r="E39"/>
  <c r="E254" i="19142" s="1"/>
  <c r="F258" s="1"/>
  <c r="D348" i="19135"/>
  <c r="E254"/>
  <c r="C387"/>
  <c r="I240"/>
  <c r="H240"/>
  <c r="G240"/>
  <c r="F240"/>
  <c r="E240"/>
  <c r="D193"/>
  <c r="C239"/>
  <c r="D239" s="1"/>
  <c r="A450"/>
  <c r="B449"/>
  <c r="C368" i="19134"/>
  <c r="C432" s="1"/>
  <c r="F96"/>
  <c r="F62"/>
  <c r="F273" i="19142" s="1"/>
  <c r="E62" i="19134"/>
  <c r="A98" i="107"/>
  <c r="F92"/>
  <c r="A68" i="84"/>
  <c r="A241" i="19129"/>
  <c r="BD241" s="1"/>
  <c r="H610" i="19130"/>
  <c r="C677" s="1"/>
  <c r="D677" s="1"/>
  <c r="C610"/>
  <c r="C674" s="1"/>
  <c r="D674" s="1"/>
  <c r="D496" i="19134"/>
  <c r="D494"/>
  <c r="F498" s="1"/>
  <c r="V569" s="1"/>
  <c r="D485"/>
  <c r="H368"/>
  <c r="C435" s="1"/>
  <c r="E400"/>
  <c r="E399"/>
  <c r="D1241"/>
  <c r="D1239"/>
  <c r="F1243" s="1"/>
  <c r="T1316" s="1"/>
  <c r="H1112"/>
  <c r="C1179" s="1"/>
  <c r="C1112"/>
  <c r="C1176" s="1"/>
  <c r="D1229"/>
  <c r="E1144"/>
  <c r="E1143"/>
  <c r="D992"/>
  <c r="D990"/>
  <c r="F994" s="1"/>
  <c r="H864"/>
  <c r="C931" s="1"/>
  <c r="C864"/>
  <c r="C928" s="1"/>
  <c r="D981"/>
  <c r="E896"/>
  <c r="E895"/>
  <c r="I347" i="19128"/>
  <c r="I348" s="1"/>
  <c r="D355" s="1"/>
  <c r="D347"/>
  <c r="D348" s="1"/>
  <c r="D354" s="1"/>
  <c r="I341"/>
  <c r="I342" s="1"/>
  <c r="D353" s="1"/>
  <c r="E353" s="1"/>
  <c r="G353" s="1"/>
  <c r="F227" i="107"/>
  <c r="C239" s="1"/>
  <c r="D239" s="1"/>
  <c r="F224"/>
  <c r="C236" s="1"/>
  <c r="I292"/>
  <c r="H292"/>
  <c r="G292"/>
  <c r="F292"/>
  <c r="E292"/>
  <c r="F177"/>
  <c r="C189" s="1"/>
  <c r="F174"/>
  <c r="C186" s="1"/>
  <c r="D186" s="1"/>
  <c r="B440" i="19131"/>
  <c r="A441"/>
  <c r="H1108" i="19130"/>
  <c r="C1175" s="1"/>
  <c r="D1175" s="1"/>
  <c r="C1108"/>
  <c r="C1172" s="1"/>
  <c r="D1172" s="1"/>
  <c r="H858"/>
  <c r="C926" s="1"/>
  <c r="D926" s="1"/>
  <c r="C858"/>
  <c r="C923" s="1"/>
  <c r="D923" s="1"/>
  <c r="G362"/>
  <c r="C429" s="1"/>
  <c r="D429" s="1"/>
  <c r="C362"/>
  <c r="C426" s="1"/>
  <c r="D426" s="1"/>
  <c r="E1139"/>
  <c r="E1138"/>
  <c r="D1235"/>
  <c r="D1233"/>
  <c r="F1237" s="1"/>
  <c r="T1309" s="1"/>
  <c r="D1224"/>
  <c r="H1107"/>
  <c r="C1174" s="1"/>
  <c r="C1107"/>
  <c r="C1171" s="1"/>
  <c r="E889"/>
  <c r="E890"/>
  <c r="C857"/>
  <c r="C922" s="1"/>
  <c r="H857"/>
  <c r="C925" s="1"/>
  <c r="D975"/>
  <c r="D984"/>
  <c r="F988" s="1"/>
  <c r="D986"/>
  <c r="E394"/>
  <c r="E393"/>
  <c r="G361"/>
  <c r="C428" s="1"/>
  <c r="C361"/>
  <c r="C425" s="1"/>
  <c r="D489"/>
  <c r="D478"/>
  <c r="D487"/>
  <c r="F491" s="1"/>
  <c r="T564" s="1"/>
  <c r="I1286"/>
  <c r="H1286"/>
  <c r="G1286"/>
  <c r="F1286"/>
  <c r="E1286"/>
  <c r="I1289"/>
  <c r="H1289"/>
  <c r="G1289"/>
  <c r="F1289"/>
  <c r="E1289"/>
  <c r="U314"/>
  <c r="C273"/>
  <c r="M9" s="1"/>
  <c r="B274" i="1" s="1"/>
  <c r="H243" i="19130"/>
  <c r="H114"/>
  <c r="C181" s="1"/>
  <c r="D181" s="1"/>
  <c r="C114"/>
  <c r="C178" s="1"/>
  <c r="D178" s="1"/>
  <c r="D242"/>
  <c r="F192"/>
  <c r="E266" i="19131"/>
  <c r="D347"/>
  <c r="C237"/>
  <c r="D237" s="1"/>
  <c r="H237" s="1"/>
  <c r="M32"/>
  <c r="D191"/>
  <c r="C14" i="107"/>
  <c r="D62"/>
  <c r="F111"/>
  <c r="F68" i="84"/>
  <c r="F92" s="1"/>
  <c r="F42"/>
  <c r="C110" s="1"/>
  <c r="F39"/>
  <c r="C107" s="1"/>
  <c r="D219" i="19128"/>
  <c r="E175"/>
  <c r="L64" i="84" s="1"/>
  <c r="D167" i="19128"/>
  <c r="H159"/>
  <c r="H158"/>
  <c r="G99" i="107"/>
  <c r="E275" i="19135" l="1"/>
  <c r="H275"/>
  <c r="I166" i="19128"/>
  <c r="N171"/>
  <c r="N172" s="1"/>
  <c r="I167" s="1"/>
  <c r="L72" i="107"/>
  <c r="L71"/>
  <c r="I192" i="19130"/>
  <c r="B198"/>
  <c r="D211" i="19129"/>
  <c r="H206"/>
  <c r="H207"/>
  <c r="A210"/>
  <c r="H208"/>
  <c r="H205"/>
  <c r="H209"/>
  <c r="C208"/>
  <c r="E208"/>
  <c r="D210"/>
  <c r="H213" s="1"/>
  <c r="H204"/>
  <c r="H203"/>
  <c r="D208"/>
  <c r="AR60" i="19140"/>
  <c r="J326" i="19129"/>
  <c r="A70" i="19140" s="1"/>
  <c r="C167" i="19129"/>
  <c r="G278" i="19135"/>
  <c r="O302" i="19129"/>
  <c r="P302" s="1"/>
  <c r="M302"/>
  <c r="Q302"/>
  <c r="M239"/>
  <c r="Q239"/>
  <c r="G145" i="107"/>
  <c r="A145"/>
  <c r="D330" i="19130"/>
  <c r="F303" i="19142"/>
  <c r="D303"/>
  <c r="H226" i="19129"/>
  <c r="C574"/>
  <c r="D188"/>
  <c r="D187"/>
  <c r="E185"/>
  <c r="D185"/>
  <c r="H181"/>
  <c r="H183"/>
  <c r="H185"/>
  <c r="H182"/>
  <c r="H180"/>
  <c r="H186"/>
  <c r="H184"/>
  <c r="C185"/>
  <c r="AS11" i="19140"/>
  <c r="D952" i="19129"/>
  <c r="D388" i="19142"/>
  <c r="D613" i="19130"/>
  <c r="D639" s="1"/>
  <c r="D641" s="1"/>
  <c r="E365" i="19142"/>
  <c r="E372" s="1"/>
  <c r="F1365" i="19134"/>
  <c r="F302" i="19142" s="1"/>
  <c r="E273"/>
  <c r="E249" s="1"/>
  <c r="I957" i="19130"/>
  <c r="H965" s="1"/>
  <c r="G394" i="19142"/>
  <c r="A71" i="19140"/>
  <c r="E952" i="19129"/>
  <c r="F1355" i="19130"/>
  <c r="F413" i="19142" s="1"/>
  <c r="I65" i="19141"/>
  <c r="E240" i="19129"/>
  <c r="I233" i="19141"/>
  <c r="I147"/>
  <c r="G366"/>
  <c r="G360"/>
  <c r="B223"/>
  <c r="H319"/>
  <c r="F223"/>
  <c r="I223" s="1"/>
  <c r="E531"/>
  <c r="F454"/>
  <c r="I454" s="1"/>
  <c r="B454"/>
  <c r="G208"/>
  <c r="G207"/>
  <c r="B235"/>
  <c r="F235"/>
  <c r="G235"/>
  <c r="G234"/>
  <c r="F234"/>
  <c r="B234"/>
  <c r="C66"/>
  <c r="H66"/>
  <c r="G66"/>
  <c r="G148"/>
  <c r="F148"/>
  <c r="B148"/>
  <c r="G349"/>
  <c r="B343"/>
  <c r="B342"/>
  <c r="G345"/>
  <c r="G343"/>
  <c r="Q318" s="1"/>
  <c r="F341"/>
  <c r="G342"/>
  <c r="I53"/>
  <c r="I58" s="1"/>
  <c r="G58"/>
  <c r="F137"/>
  <c r="B222"/>
  <c r="G61"/>
  <c r="C61"/>
  <c r="B444" s="1"/>
  <c r="B137"/>
  <c r="B496" s="1"/>
  <c r="C65"/>
  <c r="C64"/>
  <c r="G64"/>
  <c r="H533"/>
  <c r="E464"/>
  <c r="H106"/>
  <c r="H103"/>
  <c r="D311" i="19130"/>
  <c r="F311"/>
  <c r="D310" i="19135"/>
  <c r="C34" i="19131"/>
  <c r="AK41" i="19128"/>
  <c r="F630" i="19134"/>
  <c r="F633" s="1"/>
  <c r="F381"/>
  <c r="F384" s="1"/>
  <c r="F877"/>
  <c r="F880" s="1"/>
  <c r="F1125"/>
  <c r="F1128" s="1"/>
  <c r="F132"/>
  <c r="F135" s="1"/>
  <c r="C311" i="19131"/>
  <c r="A122" i="1" s="1"/>
  <c r="D309" i="19131"/>
  <c r="I923" i="19129"/>
  <c r="I105" i="19128"/>
  <c r="J5" i="19130" s="1"/>
  <c r="E45" s="1"/>
  <c r="G939" i="19129"/>
  <c r="C241"/>
  <c r="E241" s="1"/>
  <c r="I302"/>
  <c r="J302"/>
  <c r="AA303"/>
  <c r="D303"/>
  <c r="E303"/>
  <c r="F303" s="1"/>
  <c r="E34" i="19130"/>
  <c r="E69"/>
  <c r="B234" i="19136"/>
  <c r="F234"/>
  <c r="I234" s="1"/>
  <c r="I322" i="107"/>
  <c r="I235" i="19136"/>
  <c r="F239" i="19129"/>
  <c r="P239" s="1"/>
  <c r="B75" i="19128"/>
  <c r="B71"/>
  <c r="G322" i="107"/>
  <c r="D186" i="19128"/>
  <c r="H185" s="1"/>
  <c r="E322" i="107"/>
  <c r="H39" i="19128"/>
  <c r="H322" i="107"/>
  <c r="E354" i="19128"/>
  <c r="G354" s="1"/>
  <c r="E237" i="19131"/>
  <c r="I66" i="19136"/>
  <c r="F237" i="19131"/>
  <c r="G237"/>
  <c r="C386" i="19135"/>
  <c r="C391" s="1"/>
  <c r="C393" s="1"/>
  <c r="A400" s="1"/>
  <c r="I148" i="19136"/>
  <c r="I237" i="19131"/>
  <c r="H162" i="19128"/>
  <c r="I35" i="19129"/>
  <c r="D200" i="19128"/>
  <c r="H203" s="1"/>
  <c r="H71"/>
  <c r="H75"/>
  <c r="H32"/>
  <c r="C34" i="19135"/>
  <c r="I321" i="107"/>
  <c r="H321"/>
  <c r="G321"/>
  <c r="F321"/>
  <c r="E321"/>
  <c r="F560" i="19136"/>
  <c r="I560" s="1"/>
  <c r="B560"/>
  <c r="F444"/>
  <c r="I61"/>
  <c r="F496"/>
  <c r="I496" s="1"/>
  <c r="I137"/>
  <c r="F226"/>
  <c r="I226" s="1"/>
  <c r="B226"/>
  <c r="I216"/>
  <c r="I130"/>
  <c r="F216"/>
  <c r="F130"/>
  <c r="G63"/>
  <c r="G67"/>
  <c r="I64"/>
  <c r="I67" s="1"/>
  <c r="I454"/>
  <c r="C3" i="19137"/>
  <c r="B362" i="19136"/>
  <c r="B361"/>
  <c r="D622" i="19134"/>
  <c r="E647" s="1"/>
  <c r="F37"/>
  <c r="F1070" i="19129"/>
  <c r="I561" i="19136"/>
  <c r="F564"/>
  <c r="I564" s="1"/>
  <c r="B564"/>
  <c r="I239" i="19135"/>
  <c r="H239"/>
  <c r="G239"/>
  <c r="F239"/>
  <c r="E239"/>
  <c r="F206"/>
  <c r="E267"/>
  <c r="B450"/>
  <c r="E1070" i="19129"/>
  <c r="H275" i="19131"/>
  <c r="A278" s="1"/>
  <c r="A85" i="107"/>
  <c r="A84"/>
  <c r="N5"/>
  <c r="A146"/>
  <c r="A242" i="19129"/>
  <c r="BD242" s="1"/>
  <c r="I674" i="19130"/>
  <c r="H674"/>
  <c r="G674"/>
  <c r="F674"/>
  <c r="E674"/>
  <c r="I677"/>
  <c r="H677"/>
  <c r="G677"/>
  <c r="F677"/>
  <c r="E677"/>
  <c r="T1065" i="19134"/>
  <c r="S1061" i="19130"/>
  <c r="F943" i="19134"/>
  <c r="F942"/>
  <c r="D991"/>
  <c r="D983"/>
  <c r="C1024"/>
  <c r="V9" s="1"/>
  <c r="K237" i="1" s="1"/>
  <c r="H994" i="19134"/>
  <c r="F1191"/>
  <c r="F1190"/>
  <c r="D1240"/>
  <c r="D1231"/>
  <c r="C1273"/>
  <c r="Y9" s="1"/>
  <c r="N237" i="1" s="1"/>
  <c r="H1243" i="19134"/>
  <c r="F447"/>
  <c r="F446"/>
  <c r="D495"/>
  <c r="D487"/>
  <c r="C528"/>
  <c r="P9" s="1"/>
  <c r="E237" i="1" s="1"/>
  <c r="H498" i="19134"/>
  <c r="E355" i="19128"/>
  <c r="G355" s="1"/>
  <c r="I186" i="107"/>
  <c r="H186"/>
  <c r="G186"/>
  <c r="F186"/>
  <c r="E186"/>
  <c r="I239"/>
  <c r="H239"/>
  <c r="G239"/>
  <c r="F239"/>
  <c r="E239"/>
  <c r="G146"/>
  <c r="C193" i="19131"/>
  <c r="E107" i="1" s="1"/>
  <c r="C165" i="19131"/>
  <c r="E98" i="1" s="1"/>
  <c r="C166" i="19131"/>
  <c r="A104" i="1" s="1"/>
  <c r="C194" i="19131"/>
  <c r="A113" i="1" s="1"/>
  <c r="C387" i="19131"/>
  <c r="B441"/>
  <c r="A442"/>
  <c r="C385"/>
  <c r="H491" i="19130"/>
  <c r="C521"/>
  <c r="P9" s="1"/>
  <c r="E274" i="1" s="1"/>
  <c r="D488" i="19130"/>
  <c r="D480"/>
  <c r="F440"/>
  <c r="F439"/>
  <c r="H988"/>
  <c r="C1018"/>
  <c r="V9" s="1"/>
  <c r="K274" i="1" s="1"/>
  <c r="D977" i="19130"/>
  <c r="D985"/>
  <c r="F936"/>
  <c r="F937"/>
  <c r="D1234"/>
  <c r="D1226"/>
  <c r="C1267"/>
  <c r="Y9" s="1"/>
  <c r="N274" i="1" s="1"/>
  <c r="H1237" i="19130"/>
  <c r="F1186"/>
  <c r="F1185"/>
  <c r="E426"/>
  <c r="F426"/>
  <c r="G426"/>
  <c r="H426"/>
  <c r="I426"/>
  <c r="E429"/>
  <c r="F429"/>
  <c r="G429"/>
  <c r="H429"/>
  <c r="I429"/>
  <c r="E923"/>
  <c r="F923"/>
  <c r="G923"/>
  <c r="H923"/>
  <c r="I923"/>
  <c r="E926"/>
  <c r="F926"/>
  <c r="G926"/>
  <c r="H926"/>
  <c r="I926"/>
  <c r="I1172"/>
  <c r="H1172"/>
  <c r="G1172"/>
  <c r="F1172"/>
  <c r="E1172"/>
  <c r="I1175"/>
  <c r="H1175"/>
  <c r="G1175"/>
  <c r="F1175"/>
  <c r="E1175"/>
  <c r="U310"/>
  <c r="S310"/>
  <c r="I178"/>
  <c r="H178"/>
  <c r="G178"/>
  <c r="F178"/>
  <c r="E178"/>
  <c r="I181"/>
  <c r="H181"/>
  <c r="G181"/>
  <c r="F181"/>
  <c r="E181"/>
  <c r="F204" i="19131"/>
  <c r="C206"/>
  <c r="C156"/>
  <c r="E157" s="1"/>
  <c r="C184"/>
  <c r="G75" i="84"/>
  <c r="D89"/>
  <c r="G95"/>
  <c r="I95" s="1"/>
  <c r="E178" i="19128"/>
  <c r="D73" i="84"/>
  <c r="C115" i="107"/>
  <c r="C111"/>
  <c r="B76"/>
  <c r="I76"/>
  <c r="F84"/>
  <c r="F85"/>
  <c r="R72" s="1"/>
  <c r="I168" i="19128"/>
  <c r="I169" l="1"/>
  <c r="D173" s="1"/>
  <c r="B1191" i="19130"/>
  <c r="I1185"/>
  <c r="B1196" i="19134"/>
  <c r="A1203" s="1"/>
  <c r="I1190"/>
  <c r="I1186" i="19130"/>
  <c r="B1192"/>
  <c r="B446"/>
  <c r="I440"/>
  <c r="I937"/>
  <c r="B943"/>
  <c r="B452" i="19134"/>
  <c r="I446"/>
  <c r="I942"/>
  <c r="B948"/>
  <c r="A955" s="1"/>
  <c r="B445" i="19130"/>
  <c r="I439"/>
  <c r="I1191" i="19134"/>
  <c r="B1197"/>
  <c r="A1204" s="1"/>
  <c r="B942" i="19130"/>
  <c r="I936"/>
  <c r="I447" i="19134"/>
  <c r="B453"/>
  <c r="B949"/>
  <c r="A956" s="1"/>
  <c r="I943"/>
  <c r="A576" i="19129"/>
  <c r="C514"/>
  <c r="F210"/>
  <c r="C172"/>
  <c r="H171"/>
  <c r="H169"/>
  <c r="D175"/>
  <c r="H170"/>
  <c r="H167"/>
  <c r="D172"/>
  <c r="E172"/>
  <c r="H172"/>
  <c r="A174"/>
  <c r="H168"/>
  <c r="H173"/>
  <c r="D174"/>
  <c r="R389"/>
  <c r="L389"/>
  <c r="Q241"/>
  <c r="M241"/>
  <c r="Q240"/>
  <c r="M240"/>
  <c r="O303"/>
  <c r="P303" s="1"/>
  <c r="M303"/>
  <c r="Q303"/>
  <c r="R329"/>
  <c r="L329"/>
  <c r="I239"/>
  <c r="J66"/>
  <c r="A375"/>
  <c r="T233"/>
  <c r="A381" i="19131"/>
  <c r="G381"/>
  <c r="A382" i="19135"/>
  <c r="G382"/>
  <c r="F414" i="19142"/>
  <c r="D414"/>
  <c r="B637" i="19129"/>
  <c r="B638" s="1"/>
  <c r="I40"/>
  <c r="G1021" i="19130"/>
  <c r="H1021" s="1"/>
  <c r="H1022" s="1"/>
  <c r="H190" i="19129"/>
  <c r="D388"/>
  <c r="F187"/>
  <c r="I877" i="19130"/>
  <c r="D640"/>
  <c r="O66"/>
  <c r="E305" i="19128"/>
  <c r="I620" i="19130"/>
  <c r="E951" i="19129"/>
  <c r="E961" s="1"/>
  <c r="F395" i="19128"/>
  <c r="F412" s="1"/>
  <c r="F252" i="19142"/>
  <c r="F269" s="1"/>
  <c r="E74" i="19130"/>
  <c r="E89" s="1"/>
  <c r="E362" i="19142"/>
  <c r="G187"/>
  <c r="I708" i="19130"/>
  <c r="O65" s="1"/>
  <c r="E394" i="19142"/>
  <c r="G382" i="19131"/>
  <c r="A81"/>
  <c r="I66" i="19141"/>
  <c r="I234"/>
  <c r="I235"/>
  <c r="F226"/>
  <c r="I226" s="1"/>
  <c r="B226"/>
  <c r="I148"/>
  <c r="I61"/>
  <c r="F444"/>
  <c r="I444" s="1"/>
  <c r="I216"/>
  <c r="I130"/>
  <c r="F547"/>
  <c r="H547"/>
  <c r="B561"/>
  <c r="F561"/>
  <c r="I561" s="1"/>
  <c r="I64"/>
  <c r="I67" s="1"/>
  <c r="G67"/>
  <c r="F216"/>
  <c r="G63"/>
  <c r="F130"/>
  <c r="B560"/>
  <c r="F560"/>
  <c r="I560" s="1"/>
  <c r="I137"/>
  <c r="F496"/>
  <c r="I496" s="1"/>
  <c r="L3" i="19137"/>
  <c r="B362" i="19141"/>
  <c r="B361"/>
  <c r="F366"/>
  <c r="F360"/>
  <c r="G386" i="19131"/>
  <c r="I63" i="19136"/>
  <c r="F75" s="1"/>
  <c r="G120" i="19141"/>
  <c r="G149"/>
  <c r="F149"/>
  <c r="B149"/>
  <c r="H120"/>
  <c r="F136"/>
  <c r="I136" s="1"/>
  <c r="B136"/>
  <c r="E467"/>
  <c r="I84" i="19134"/>
  <c r="A80" i="19131"/>
  <c r="D306"/>
  <c r="F317" s="1"/>
  <c r="G80"/>
  <c r="A382"/>
  <c r="G388"/>
  <c r="I939" i="19129"/>
  <c r="H88" i="19128"/>
  <c r="F5" i="19130" s="1"/>
  <c r="F156" i="19134"/>
  <c r="D158"/>
  <c r="D162" s="1"/>
  <c r="I162" s="1"/>
  <c r="D122" i="1"/>
  <c r="C122"/>
  <c r="B122"/>
  <c r="E122"/>
  <c r="D407" i="19134"/>
  <c r="D411" s="1"/>
  <c r="F405"/>
  <c r="D903"/>
  <c r="D907" s="1"/>
  <c r="I907" s="1"/>
  <c r="F901"/>
  <c r="H5" i="19136"/>
  <c r="G133" i="19135"/>
  <c r="F152"/>
  <c r="H218" i="19128"/>
  <c r="A90"/>
  <c r="H219"/>
  <c r="F90"/>
  <c r="D1151" i="19134"/>
  <c r="D1155" s="1"/>
  <c r="I1155" s="1"/>
  <c r="F1149"/>
  <c r="L241" i="19129"/>
  <c r="AA304"/>
  <c r="D304"/>
  <c r="E304"/>
  <c r="F304" s="1"/>
  <c r="C242"/>
  <c r="L242" s="1"/>
  <c r="I303"/>
  <c r="J303"/>
  <c r="A697"/>
  <c r="I629" i="19134"/>
  <c r="G35" i="19130"/>
  <c r="E64"/>
  <c r="C605"/>
  <c r="G1354" s="1"/>
  <c r="L65"/>
  <c r="L187" s="1"/>
  <c r="E56"/>
  <c r="D5" i="19140"/>
  <c r="G5"/>
  <c r="G3"/>
  <c r="D3"/>
  <c r="C390" i="19131"/>
  <c r="C392" s="1"/>
  <c r="T231" i="19129"/>
  <c r="Z231"/>
  <c r="G356" i="19128"/>
  <c r="G357" s="1"/>
  <c r="E360" s="1"/>
  <c r="I400" i="19135"/>
  <c r="D39" i="19128"/>
  <c r="F277" i="19131"/>
  <c r="C357" s="1"/>
  <c r="H217" i="19128"/>
  <c r="F240" i="19129"/>
  <c r="P240" s="1"/>
  <c r="D217" i="19128"/>
  <c r="H157" i="19131"/>
  <c r="F90" i="84"/>
  <c r="F91" s="1"/>
  <c r="F98" s="1"/>
  <c r="B107" s="1"/>
  <c r="H156" i="19131"/>
  <c r="E366" i="107"/>
  <c r="E13" i="19139" s="1"/>
  <c r="G366" i="107"/>
  <c r="G13" i="19139" s="1"/>
  <c r="I366" i="107"/>
  <c r="I13" i="19139" s="1"/>
  <c r="K366" i="107"/>
  <c r="K13" i="19139" s="1"/>
  <c r="M366" i="107"/>
  <c r="M13" i="19139" s="1"/>
  <c r="O366" i="107"/>
  <c r="O13" i="19139" s="1"/>
  <c r="Q366" i="107"/>
  <c r="Q13" i="19139" s="1"/>
  <c r="S366" i="107"/>
  <c r="S13" i="19139" s="1"/>
  <c r="U366" i="107"/>
  <c r="U13" i="19139" s="1"/>
  <c r="W366" i="107"/>
  <c r="W13" i="19139" s="1"/>
  <c r="Y366" i="107"/>
  <c r="Y13" i="19139" s="1"/>
  <c r="AA366" i="107"/>
  <c r="AA13" i="19139" s="1"/>
  <c r="AC366" i="107"/>
  <c r="AC13" i="19139" s="1"/>
  <c r="AE366" i="107"/>
  <c r="AE13" i="19139" s="1"/>
  <c r="AG366" i="107"/>
  <c r="AG13" i="19139" s="1"/>
  <c r="AI366" i="107"/>
  <c r="AI13" i="19139" s="1"/>
  <c r="AK366" i="107"/>
  <c r="AK13" i="19139" s="1"/>
  <c r="AM366" i="107"/>
  <c r="AM13" i="19139" s="1"/>
  <c r="AO366" i="107"/>
  <c r="AO13" i="19139" s="1"/>
  <c r="AQ366" i="107"/>
  <c r="AQ13" i="19139" s="1"/>
  <c r="AS366" i="107"/>
  <c r="AS13" i="19139" s="1"/>
  <c r="AU366" i="107"/>
  <c r="AU13" i="19139" s="1"/>
  <c r="AW366" i="107"/>
  <c r="AW13" i="19139" s="1"/>
  <c r="AY366" i="107"/>
  <c r="AY13" i="19139" s="1"/>
  <c r="BA366" i="107"/>
  <c r="BA13" i="19139" s="1"/>
  <c r="BC366" i="107"/>
  <c r="BC13" i="19139" s="1"/>
  <c r="BE366" i="107"/>
  <c r="BE13" i="19139" s="1"/>
  <c r="BG366" i="107"/>
  <c r="BG13" i="19139" s="1"/>
  <c r="BI366" i="107"/>
  <c r="BI13" i="19139" s="1"/>
  <c r="BK366" i="107"/>
  <c r="BK13" i="19139" s="1"/>
  <c r="BM366" i="107"/>
  <c r="BM13" i="19139" s="1"/>
  <c r="BO366" i="107"/>
  <c r="BO13" i="19139" s="1"/>
  <c r="BQ366" i="107"/>
  <c r="BQ13" i="19139" s="1"/>
  <c r="BS366" i="107"/>
  <c r="BS13" i="19139" s="1"/>
  <c r="BU366" i="107"/>
  <c r="BU13" i="19139" s="1"/>
  <c r="BW366" i="107"/>
  <c r="BW13" i="19139" s="1"/>
  <c r="BY366" i="107"/>
  <c r="BY13" i="19139" s="1"/>
  <c r="CA366" i="107"/>
  <c r="CA13" i="19139" s="1"/>
  <c r="CC366" i="107"/>
  <c r="CC13" i="19139" s="1"/>
  <c r="C366" i="107"/>
  <c r="C13" i="19139" s="1"/>
  <c r="C134" i="107"/>
  <c r="D342"/>
  <c r="E134"/>
  <c r="D343"/>
  <c r="E156" i="19131"/>
  <c r="D307" i="19135"/>
  <c r="A80"/>
  <c r="G80"/>
  <c r="G387"/>
  <c r="G389"/>
  <c r="G383"/>
  <c r="A383"/>
  <c r="G81"/>
  <c r="A81"/>
  <c r="D32" i="19128"/>
  <c r="H238" s="1"/>
  <c r="I37" i="19129"/>
  <c r="A82" i="19130"/>
  <c r="B275" i="19128"/>
  <c r="A275" s="1"/>
  <c r="G314" s="1"/>
  <c r="D218"/>
  <c r="B367" i="19136"/>
  <c r="B368"/>
  <c r="B21" i="19137"/>
  <c r="B20"/>
  <c r="N187" i="19136"/>
  <c r="N109"/>
  <c r="N37"/>
  <c r="M187"/>
  <c r="M109"/>
  <c r="A71"/>
  <c r="M37"/>
  <c r="E71"/>
  <c r="I444"/>
  <c r="D38" i="19134"/>
  <c r="D253" i="19142" s="1"/>
  <c r="E269" s="1"/>
  <c r="L192" i="19134"/>
  <c r="L181" s="1"/>
  <c r="L429" s="1"/>
  <c r="L678" s="1"/>
  <c r="L929" s="1"/>
  <c r="L1173" s="1"/>
  <c r="E77"/>
  <c r="F93" s="1"/>
  <c r="F54"/>
  <c r="L68"/>
  <c r="E649"/>
  <c r="E648"/>
  <c r="F688" i="19130"/>
  <c r="F687"/>
  <c r="H276" i="19135"/>
  <c r="E276"/>
  <c r="A278"/>
  <c r="F278"/>
  <c r="C358" s="1"/>
  <c r="H278"/>
  <c r="G281" s="1"/>
  <c r="I281" s="1"/>
  <c r="H209"/>
  <c r="G213" s="1"/>
  <c r="G218" s="1"/>
  <c r="E209"/>
  <c r="C213" s="1"/>
  <c r="F218" s="1"/>
  <c r="H208"/>
  <c r="G212" s="1"/>
  <c r="E218" s="1"/>
  <c r="E208"/>
  <c r="C212" s="1"/>
  <c r="D218" s="1"/>
  <c r="H187"/>
  <c r="E187"/>
  <c r="H186"/>
  <c r="E186"/>
  <c r="H159"/>
  <c r="E159"/>
  <c r="H158"/>
  <c r="E158"/>
  <c r="E275" i="19131"/>
  <c r="A277"/>
  <c r="H277"/>
  <c r="G280" s="1"/>
  <c r="I280" s="1"/>
  <c r="H278"/>
  <c r="H125" i="107"/>
  <c r="I130" s="1"/>
  <c r="N13" s="1"/>
  <c r="C125"/>
  <c r="H126"/>
  <c r="I140" s="1"/>
  <c r="N14" s="1"/>
  <c r="C126"/>
  <c r="A243" i="19129"/>
  <c r="BD243" s="1"/>
  <c r="E198" i="19130"/>
  <c r="I198" s="1"/>
  <c r="C198"/>
  <c r="D198" s="1"/>
  <c r="A205"/>
  <c r="D504" i="19134"/>
  <c r="D514" s="1"/>
  <c r="D497"/>
  <c r="D586" s="1"/>
  <c r="C452"/>
  <c r="C453"/>
  <c r="D1249"/>
  <c r="D1259" s="1"/>
  <c r="D1242"/>
  <c r="D1332" s="1"/>
  <c r="D1000"/>
  <c r="D1010" s="1"/>
  <c r="D993"/>
  <c r="F156" i="107"/>
  <c r="F204"/>
  <c r="B100" i="1"/>
  <c r="C100"/>
  <c r="D100"/>
  <c r="E100"/>
  <c r="B101"/>
  <c r="C101"/>
  <c r="D101"/>
  <c r="E101"/>
  <c r="E104" s="1"/>
  <c r="B102"/>
  <c r="C102"/>
  <c r="D102"/>
  <c r="E102"/>
  <c r="E103"/>
  <c r="B103"/>
  <c r="C103"/>
  <c r="D103"/>
  <c r="B109"/>
  <c r="C109"/>
  <c r="D109"/>
  <c r="E109"/>
  <c r="B110"/>
  <c r="C110"/>
  <c r="D110"/>
  <c r="E110"/>
  <c r="E113" s="1"/>
  <c r="B111"/>
  <c r="C111"/>
  <c r="D111"/>
  <c r="E111"/>
  <c r="E112"/>
  <c r="B112"/>
  <c r="C112"/>
  <c r="D112"/>
  <c r="C438" i="19131"/>
  <c r="C439"/>
  <c r="C440"/>
  <c r="C441"/>
  <c r="B442"/>
  <c r="C442"/>
  <c r="A443"/>
  <c r="C434"/>
  <c r="D109"/>
  <c r="D106"/>
  <c r="D105"/>
  <c r="D108"/>
  <c r="D1243" i="19130"/>
  <c r="D1236"/>
  <c r="D987"/>
  <c r="D1077" s="1"/>
  <c r="L979" s="1"/>
  <c r="D994"/>
  <c r="D497"/>
  <c r="D490"/>
  <c r="F278" i="19131"/>
  <c r="E185"/>
  <c r="H185"/>
  <c r="H184"/>
  <c r="E184"/>
  <c r="H207"/>
  <c r="G211" s="1"/>
  <c r="G216" s="1"/>
  <c r="H206"/>
  <c r="G210" s="1"/>
  <c r="E216" s="1"/>
  <c r="E207"/>
  <c r="C211" s="1"/>
  <c r="F216" s="1"/>
  <c r="E206"/>
  <c r="C210" s="1"/>
  <c r="D216" s="1"/>
  <c r="F86" i="107"/>
  <c r="A87" s="1"/>
  <c r="G85"/>
  <c r="D76" i="84"/>
  <c r="G81" s="1"/>
  <c r="I81" s="1"/>
  <c r="H72"/>
  <c r="D75"/>
  <c r="E453" i="19134" l="1"/>
  <c r="A460"/>
  <c r="E452"/>
  <c r="A459"/>
  <c r="B693" i="19130"/>
  <c r="E693" s="1"/>
  <c r="I687"/>
  <c r="I688"/>
  <c r="B694"/>
  <c r="A701" s="1"/>
  <c r="B636" i="19129"/>
  <c r="A390"/>
  <c r="J13" i="19142"/>
  <c r="E466" i="19129"/>
  <c r="G466" s="1"/>
  <c r="C328"/>
  <c r="F174"/>
  <c r="H177"/>
  <c r="B71" i="19140"/>
  <c r="O304" i="19129"/>
  <c r="P304" s="1"/>
  <c r="Q304"/>
  <c r="M304"/>
  <c r="N304" s="1"/>
  <c r="BG304" s="1"/>
  <c r="T232"/>
  <c r="Z232"/>
  <c r="I240"/>
  <c r="I375"/>
  <c r="E435" s="1"/>
  <c r="I697"/>
  <c r="E90" i="19140"/>
  <c r="B451" i="19129"/>
  <c r="G5" i="19138"/>
  <c r="D1324" i="19130"/>
  <c r="D578"/>
  <c r="D1062" i="19134"/>
  <c r="D1081"/>
  <c r="C436" i="19131"/>
  <c r="C435"/>
  <c r="C432"/>
  <c r="H407" s="1"/>
  <c r="C437"/>
  <c r="C433"/>
  <c r="F1055" i="19130"/>
  <c r="F1058" s="1"/>
  <c r="I1047"/>
  <c r="I1045"/>
  <c r="F654" i="19134"/>
  <c r="Q68"/>
  <c r="H609" i="19130"/>
  <c r="C676" s="1"/>
  <c r="Q65"/>
  <c r="E711" i="19129"/>
  <c r="C431" i="19131"/>
  <c r="F407" s="1"/>
  <c r="A516" i="19129"/>
  <c r="D737" i="19130"/>
  <c r="C609"/>
  <c r="C673" s="1"/>
  <c r="D726"/>
  <c r="D728" s="1"/>
  <c r="D735"/>
  <c r="F739" s="1"/>
  <c r="U812" s="1"/>
  <c r="G81" i="19131"/>
  <c r="D500" s="1"/>
  <c r="F500" s="1"/>
  <c r="I38" i="19130"/>
  <c r="G292" i="19128" s="1"/>
  <c r="G363" i="19142"/>
  <c r="G1369" i="19130"/>
  <c r="G430" i="19142" s="1"/>
  <c r="G412"/>
  <c r="L301" i="19130"/>
  <c r="L1295" s="1"/>
  <c r="L175"/>
  <c r="E381" i="19142"/>
  <c r="E389"/>
  <c r="D113" i="1"/>
  <c r="E196" i="19135" s="1"/>
  <c r="C199" s="1"/>
  <c r="B113" i="1"/>
  <c r="E195" i="19135" s="1"/>
  <c r="C198" s="1"/>
  <c r="C113" i="1"/>
  <c r="H193" i="19131" s="1"/>
  <c r="G196" s="1"/>
  <c r="C430"/>
  <c r="D407" s="1"/>
  <c r="F346"/>
  <c r="I411" i="19134"/>
  <c r="C429" i="19131"/>
  <c r="B407" s="1"/>
  <c r="I63" i="19141"/>
  <c r="F75" s="1"/>
  <c r="K20" i="19137"/>
  <c r="K21"/>
  <c r="N109" i="19141"/>
  <c r="N187"/>
  <c r="N37"/>
  <c r="F564"/>
  <c r="I564" s="1"/>
  <c r="B564"/>
  <c r="G362"/>
  <c r="B368"/>
  <c r="F362"/>
  <c r="G361"/>
  <c r="B367"/>
  <c r="F361"/>
  <c r="M109"/>
  <c r="M187"/>
  <c r="E71"/>
  <c r="A71"/>
  <c r="M37"/>
  <c r="B37" i="19134"/>
  <c r="D396" i="19128"/>
  <c r="E412" s="1"/>
  <c r="F142" i="19134"/>
  <c r="H377" i="19128"/>
  <c r="H100" i="19136"/>
  <c r="H103" s="1"/>
  <c r="H316"/>
  <c r="I149" i="19141"/>
  <c r="F484"/>
  <c r="H484"/>
  <c r="F497"/>
  <c r="I497" s="1"/>
  <c r="B497"/>
  <c r="F1305" i="19130"/>
  <c r="D1305"/>
  <c r="D1058"/>
  <c r="D559"/>
  <c r="F559"/>
  <c r="B154" i="19134"/>
  <c r="B254" s="1"/>
  <c r="D1312"/>
  <c r="F1312"/>
  <c r="E1196"/>
  <c r="F1196" s="1"/>
  <c r="H1203" s="1"/>
  <c r="C1196"/>
  <c r="D1196" s="1"/>
  <c r="E1197"/>
  <c r="F1197" s="1"/>
  <c r="H1204" s="1"/>
  <c r="C1197"/>
  <c r="D1197" s="1"/>
  <c r="E948"/>
  <c r="F948" s="1"/>
  <c r="H955" s="1"/>
  <c r="C948"/>
  <c r="D948" s="1"/>
  <c r="E949"/>
  <c r="I949" s="1"/>
  <c r="C949"/>
  <c r="D949" s="1"/>
  <c r="D566"/>
  <c r="F566"/>
  <c r="B500" i="19131"/>
  <c r="H500" s="1"/>
  <c r="G216" i="19128"/>
  <c r="G225" s="1"/>
  <c r="G236" s="1"/>
  <c r="H147" i="19131"/>
  <c r="I123" i="19135"/>
  <c r="C35" i="19131"/>
  <c r="C394" s="1"/>
  <c r="D237" i="19128"/>
  <c r="H237"/>
  <c r="H240" s="1"/>
  <c r="H220"/>
  <c r="E311" i="19131"/>
  <c r="C315" s="1"/>
  <c r="E312" i="19135"/>
  <c r="C316" s="1"/>
  <c r="G135"/>
  <c r="M137" s="1"/>
  <c r="G155"/>
  <c r="C168" s="1"/>
  <c r="H311"/>
  <c r="G315" s="1"/>
  <c r="H310" i="19131"/>
  <c r="G314" s="1"/>
  <c r="E310"/>
  <c r="C314" s="1"/>
  <c r="E311" i="19135"/>
  <c r="C315" s="1"/>
  <c r="F621" i="19130"/>
  <c r="F624" s="1"/>
  <c r="F374"/>
  <c r="F377" s="1"/>
  <c r="D400" s="1"/>
  <c r="F870"/>
  <c r="F873" s="1"/>
  <c r="D897" s="1"/>
  <c r="F1119"/>
  <c r="F1122" s="1"/>
  <c r="D1146" s="1"/>
  <c r="F125"/>
  <c r="F128" s="1"/>
  <c r="D152" s="1"/>
  <c r="H312" i="19135"/>
  <c r="G316" s="1"/>
  <c r="H311" i="19131"/>
  <c r="G315" s="1"/>
  <c r="A636" i="19130"/>
  <c r="G64"/>
  <c r="A344" i="19128" s="1"/>
  <c r="C354" s="1"/>
  <c r="L66" i="19130"/>
  <c r="L188" s="1"/>
  <c r="E242" i="19129"/>
  <c r="F292" i="19128"/>
  <c r="D305" i="19129"/>
  <c r="AA305"/>
  <c r="E305"/>
  <c r="F305" s="1"/>
  <c r="I304"/>
  <c r="J304"/>
  <c r="C243"/>
  <c r="E243" s="1"/>
  <c r="H617" i="19134"/>
  <c r="C684" s="1"/>
  <c r="D734"/>
  <c r="D744" s="1"/>
  <c r="C617"/>
  <c r="C681" s="1"/>
  <c r="D745"/>
  <c r="D656"/>
  <c r="D660" s="1"/>
  <c r="I660" s="1"/>
  <c r="D743"/>
  <c r="F747" s="1"/>
  <c r="H747" s="1"/>
  <c r="A781" i="19130"/>
  <c r="G56"/>
  <c r="F74"/>
  <c r="F89" s="1"/>
  <c r="A667"/>
  <c r="E954" i="19129"/>
  <c r="A703" i="19130"/>
  <c r="C853"/>
  <c r="B885" s="1"/>
  <c r="L683"/>
  <c r="L671" s="1"/>
  <c r="L1181"/>
  <c r="L1169" s="1"/>
  <c r="L933"/>
  <c r="L921" s="1"/>
  <c r="L439"/>
  <c r="L426" s="1"/>
  <c r="D71" i="19137"/>
  <c r="E71" s="1"/>
  <c r="F71" s="1"/>
  <c r="G71" s="1"/>
  <c r="B35" s="1"/>
  <c r="H35" s="1"/>
  <c r="D72"/>
  <c r="E72" s="1"/>
  <c r="F72" s="1"/>
  <c r="G72" s="1"/>
  <c r="B36" s="1"/>
  <c r="H36" s="1"/>
  <c r="AB233" i="19129"/>
  <c r="AD300" s="1"/>
  <c r="N297"/>
  <c r="BG297" s="1"/>
  <c r="AM34" i="19137" s="1"/>
  <c r="N298" i="19129"/>
  <c r="BG298" s="1"/>
  <c r="N299"/>
  <c r="BG299" s="1"/>
  <c r="AM36" i="19137" s="1"/>
  <c r="N300" i="19129"/>
  <c r="BG300" s="1"/>
  <c r="AM37" i="19137" s="1"/>
  <c r="N301" i="19129"/>
  <c r="BG301" s="1"/>
  <c r="AM38" i="19137" s="1"/>
  <c r="N302" i="19129"/>
  <c r="BG302" s="1"/>
  <c r="AM39" i="19137" s="1"/>
  <c r="N303" i="19129"/>
  <c r="BG303" s="1"/>
  <c r="AM40" i="19137" s="1"/>
  <c r="N307" i="19129"/>
  <c r="BG307" s="1"/>
  <c r="AM44" i="19137" s="1"/>
  <c r="N241" i="19129"/>
  <c r="O241" s="1"/>
  <c r="N312"/>
  <c r="BG312" s="1"/>
  <c r="N316"/>
  <c r="BG316" s="1"/>
  <c r="N315"/>
  <c r="BG315" s="1"/>
  <c r="N308"/>
  <c r="BG308" s="1"/>
  <c r="N311"/>
  <c r="BG311" s="1"/>
  <c r="N310"/>
  <c r="BG310" s="1"/>
  <c r="N314"/>
  <c r="BG314" s="1"/>
  <c r="N318"/>
  <c r="BG318" s="1"/>
  <c r="N309"/>
  <c r="BG309" s="1"/>
  <c r="N313"/>
  <c r="BG313" s="1"/>
  <c r="N317"/>
  <c r="BG317" s="1"/>
  <c r="N257"/>
  <c r="O257" s="1"/>
  <c r="U34" i="19137" s="1"/>
  <c r="AA34" s="1"/>
  <c r="N267" i="19129"/>
  <c r="O267" s="1"/>
  <c r="U44" i="19137" s="1"/>
  <c r="AA44" s="1"/>
  <c r="N258" i="19129"/>
  <c r="O258" s="1"/>
  <c r="U35" i="19137" s="1"/>
  <c r="AA35" s="1"/>
  <c r="N259" i="19129"/>
  <c r="O259" s="1"/>
  <c r="U36" i="19137" s="1"/>
  <c r="AA36" s="1"/>
  <c r="N260" i="19129"/>
  <c r="O260" s="1"/>
  <c r="U37" i="19137" s="1"/>
  <c r="AA37" s="1"/>
  <c r="N261" i="19129"/>
  <c r="O261" s="1"/>
  <c r="U38" i="19137" s="1"/>
  <c r="AA38" s="1"/>
  <c r="N262" i="19129"/>
  <c r="O262" s="1"/>
  <c r="U39" i="19137" s="1"/>
  <c r="AA39" s="1"/>
  <c r="N263" i="19129"/>
  <c r="O263" s="1"/>
  <c r="U40" i="19137" s="1"/>
  <c r="AA40" s="1"/>
  <c r="N264" i="19129"/>
  <c r="O264" s="1"/>
  <c r="U41" i="19137" s="1"/>
  <c r="AA41" s="1"/>
  <c r="N265" i="19129"/>
  <c r="O265" s="1"/>
  <c r="U42" i="19137" s="1"/>
  <c r="AA42" s="1"/>
  <c r="N266" i="19129"/>
  <c r="O266" s="1"/>
  <c r="U43" i="19137" s="1"/>
  <c r="AA43" s="1"/>
  <c r="N279" i="19129"/>
  <c r="BG279" s="1"/>
  <c r="AD38" i="19137" s="1"/>
  <c r="AJ38" s="1"/>
  <c r="N280" i="19129"/>
  <c r="BG280" s="1"/>
  <c r="AD39" i="19137" s="1"/>
  <c r="AJ39" s="1"/>
  <c r="N281" i="19129"/>
  <c r="BG281" s="1"/>
  <c r="AD40" i="19137" s="1"/>
  <c r="AJ40" s="1"/>
  <c r="N275" i="19129"/>
  <c r="BG275" s="1"/>
  <c r="AD34" i="19137" s="1"/>
  <c r="AJ34" s="1"/>
  <c r="N278" i="19129"/>
  <c r="BG278" s="1"/>
  <c r="AD37" i="19137" s="1"/>
  <c r="AJ37" s="1"/>
  <c r="N283" i="19129"/>
  <c r="BG283" s="1"/>
  <c r="AD42" i="19137" s="1"/>
  <c r="AJ42" s="1"/>
  <c r="N284" i="19129"/>
  <c r="BG284" s="1"/>
  <c r="AD43" i="19137" s="1"/>
  <c r="AJ43" s="1"/>
  <c r="N276" i="19129"/>
  <c r="BG276" s="1"/>
  <c r="AD35" i="19137" s="1"/>
  <c r="AJ35" s="1"/>
  <c r="N285" i="19129"/>
  <c r="BG285" s="1"/>
  <c r="AD44" i="19137" s="1"/>
  <c r="AJ44" s="1"/>
  <c r="N277" i="19129"/>
  <c r="BG277" s="1"/>
  <c r="AD36" i="19137" s="1"/>
  <c r="AJ36" s="1"/>
  <c r="N282" i="19129"/>
  <c r="BG282" s="1"/>
  <c r="AD41" i="19137" s="1"/>
  <c r="AJ41" s="1"/>
  <c r="N248" i="19129"/>
  <c r="O248" s="1"/>
  <c r="L44" i="19137" s="1"/>
  <c r="R44" s="1"/>
  <c r="N239" i="19129"/>
  <c r="O239" s="1"/>
  <c r="L35" i="19137" s="1"/>
  <c r="R35" s="1"/>
  <c r="N240" i="19129"/>
  <c r="O240" s="1"/>
  <c r="L36" i="19137" s="1"/>
  <c r="R36" s="1"/>
  <c r="D188" i="19128"/>
  <c r="H194" s="1"/>
  <c r="A73"/>
  <c r="E70" i="19136"/>
  <c r="F70" s="1"/>
  <c r="F97" i="84"/>
  <c r="B110" s="1"/>
  <c r="D110" s="1"/>
  <c r="A140" i="107"/>
  <c r="F257" s="1"/>
  <c r="A130"/>
  <c r="F253" s="1"/>
  <c r="D220" i="19128"/>
  <c r="F241" i="19129"/>
  <c r="P241" s="1"/>
  <c r="A70" i="19136"/>
  <c r="F198" i="19130"/>
  <c r="C693"/>
  <c r="D693" s="1"/>
  <c r="G96" i="84"/>
  <c r="I96" s="1"/>
  <c r="F87" i="107"/>
  <c r="D371"/>
  <c r="H371"/>
  <c r="J371"/>
  <c r="L371"/>
  <c r="N371"/>
  <c r="P371"/>
  <c r="R371"/>
  <c r="T371"/>
  <c r="V371"/>
  <c r="X371"/>
  <c r="Z371"/>
  <c r="AB371"/>
  <c r="AD371"/>
  <c r="AF371"/>
  <c r="AH371"/>
  <c r="AJ371"/>
  <c r="AL371"/>
  <c r="AN371"/>
  <c r="AP371"/>
  <c r="AR371"/>
  <c r="AT371"/>
  <c r="AV371"/>
  <c r="AX371"/>
  <c r="AZ371"/>
  <c r="BB371"/>
  <c r="BD371"/>
  <c r="BF371"/>
  <c r="BH371"/>
  <c r="BJ371"/>
  <c r="BL371"/>
  <c r="BN371"/>
  <c r="BP371"/>
  <c r="BR371"/>
  <c r="BT371"/>
  <c r="BV371"/>
  <c r="BX371"/>
  <c r="BZ371"/>
  <c r="CB371"/>
  <c r="CD371"/>
  <c r="F371"/>
  <c r="C371"/>
  <c r="G371"/>
  <c r="I371"/>
  <c r="K371"/>
  <c r="M371"/>
  <c r="O371"/>
  <c r="Q371"/>
  <c r="S371"/>
  <c r="U371"/>
  <c r="W371"/>
  <c r="Y371"/>
  <c r="AA371"/>
  <c r="AC371"/>
  <c r="AE371"/>
  <c r="AG371"/>
  <c r="AI371"/>
  <c r="AK371"/>
  <c r="AM371"/>
  <c r="AO371"/>
  <c r="AQ371"/>
  <c r="AS371"/>
  <c r="AU371"/>
  <c r="AW371"/>
  <c r="AY371"/>
  <c r="BA371"/>
  <c r="BC371"/>
  <c r="BE371"/>
  <c r="BG371"/>
  <c r="BI371"/>
  <c r="BK371"/>
  <c r="BM371"/>
  <c r="BO371"/>
  <c r="BQ371"/>
  <c r="BS371"/>
  <c r="BU371"/>
  <c r="BW371"/>
  <c r="BY371"/>
  <c r="CA371"/>
  <c r="CC371"/>
  <c r="E371"/>
  <c r="G364"/>
  <c r="I364"/>
  <c r="K364"/>
  <c r="M364"/>
  <c r="O364"/>
  <c r="E364"/>
  <c r="Q364"/>
  <c r="S364"/>
  <c r="U364"/>
  <c r="W364"/>
  <c r="Y364"/>
  <c r="AA364"/>
  <c r="AC364"/>
  <c r="AE364"/>
  <c r="AG364"/>
  <c r="AI364"/>
  <c r="AK364"/>
  <c r="AM364"/>
  <c r="AO364"/>
  <c r="AQ364"/>
  <c r="AS364"/>
  <c r="AU364"/>
  <c r="AW364"/>
  <c r="AY364"/>
  <c r="BA364"/>
  <c r="BC364"/>
  <c r="BE364"/>
  <c r="BG364"/>
  <c r="BI364"/>
  <c r="BK364"/>
  <c r="BM364"/>
  <c r="BO364"/>
  <c r="BQ364"/>
  <c r="BS364"/>
  <c r="BU364"/>
  <c r="BW364"/>
  <c r="BY364"/>
  <c r="CA364"/>
  <c r="CC364"/>
  <c r="C364"/>
  <c r="C11" i="19139" s="1"/>
  <c r="C447" i="19135"/>
  <c r="C442"/>
  <c r="C443"/>
  <c r="C444"/>
  <c r="C445"/>
  <c r="C446"/>
  <c r="C448"/>
  <c r="C449"/>
  <c r="C434"/>
  <c r="C436"/>
  <c r="C437"/>
  <c r="C438"/>
  <c r="C439"/>
  <c r="C440"/>
  <c r="C435"/>
  <c r="C441"/>
  <c r="C431"/>
  <c r="D408" s="1"/>
  <c r="C432"/>
  <c r="F408" s="1"/>
  <c r="C430"/>
  <c r="B408" s="1"/>
  <c r="C433"/>
  <c r="H408" s="1"/>
  <c r="C332" i="19131"/>
  <c r="F318"/>
  <c r="C333"/>
  <c r="F135" i="19130"/>
  <c r="H348" s="1"/>
  <c r="H349" s="1"/>
  <c r="D238" i="19128"/>
  <c r="D203"/>
  <c r="H209" s="1"/>
  <c r="I73"/>
  <c r="C35" i="19135"/>
  <c r="D64" i="84"/>
  <c r="E390" i="19129"/>
  <c r="Q95" i="19135"/>
  <c r="L95"/>
  <c r="L94"/>
  <c r="Q94"/>
  <c r="F347"/>
  <c r="G373" s="1"/>
  <c r="F318"/>
  <c r="G226" i="19142" s="1"/>
  <c r="F89" i="19136"/>
  <c r="F77"/>
  <c r="N181"/>
  <c r="N103"/>
  <c r="F71"/>
  <c r="N31"/>
  <c r="B377"/>
  <c r="G368"/>
  <c r="B376"/>
  <c r="G367"/>
  <c r="L308" i="19134"/>
  <c r="C613"/>
  <c r="F64"/>
  <c r="F275" i="19142" s="1"/>
  <c r="E1068" i="19129"/>
  <c r="L1184" i="19134"/>
  <c r="L441"/>
  <c r="L689"/>
  <c r="L941"/>
  <c r="L193"/>
  <c r="L182" s="1"/>
  <c r="L430" s="1"/>
  <c r="L679" s="1"/>
  <c r="L930" s="1"/>
  <c r="L1174" s="1"/>
  <c r="D75"/>
  <c r="D94" s="1"/>
  <c r="E54"/>
  <c r="L69"/>
  <c r="F696"/>
  <c r="F695"/>
  <c r="D104" i="1"/>
  <c r="E166" i="19131" s="1"/>
  <c r="C169" s="1"/>
  <c r="C104" i="1"/>
  <c r="H167" i="19135" s="1"/>
  <c r="B104" i="1"/>
  <c r="E165" i="19131" s="1"/>
  <c r="C168" s="1"/>
  <c r="H194"/>
  <c r="G197" s="1"/>
  <c r="H196" i="19135"/>
  <c r="G199" s="1"/>
  <c r="H166" i="19131"/>
  <c r="G169" s="1"/>
  <c r="H168" i="19135"/>
  <c r="H279"/>
  <c r="F279"/>
  <c r="C359" s="1"/>
  <c r="A279"/>
  <c r="A244" i="19129"/>
  <c r="BD244" s="1"/>
  <c r="E446" i="19130"/>
  <c r="F446" s="1"/>
  <c r="H453" s="1"/>
  <c r="C446"/>
  <c r="D446" s="1"/>
  <c r="A453"/>
  <c r="E445"/>
  <c r="I445" s="1"/>
  <c r="C445"/>
  <c r="D445" s="1"/>
  <c r="A452"/>
  <c r="E942"/>
  <c r="I942" s="1"/>
  <c r="C942"/>
  <c r="D942" s="1"/>
  <c r="A949"/>
  <c r="E943"/>
  <c r="I943" s="1"/>
  <c r="C943"/>
  <c r="D943" s="1"/>
  <c r="A950"/>
  <c r="E1192"/>
  <c r="F1192" s="1"/>
  <c r="H1199" s="1"/>
  <c r="I1199" s="1"/>
  <c r="C1192"/>
  <c r="D1192" s="1"/>
  <c r="A1199"/>
  <c r="E1191"/>
  <c r="I1191" s="1"/>
  <c r="C1191"/>
  <c r="D1191" s="1"/>
  <c r="A1198"/>
  <c r="T1059" i="19134"/>
  <c r="R1059"/>
  <c r="T1310"/>
  <c r="R1310"/>
  <c r="D453"/>
  <c r="I453"/>
  <c r="F453"/>
  <c r="H460" s="1"/>
  <c r="I460" s="1"/>
  <c r="D452"/>
  <c r="I452"/>
  <c r="F452"/>
  <c r="H459" s="1"/>
  <c r="I459" s="1"/>
  <c r="V564"/>
  <c r="T564"/>
  <c r="C443" i="19131"/>
  <c r="B443"/>
  <c r="A444"/>
  <c r="I105"/>
  <c r="H105"/>
  <c r="G105"/>
  <c r="F105"/>
  <c r="E105"/>
  <c r="I106"/>
  <c r="H106"/>
  <c r="G106"/>
  <c r="F106"/>
  <c r="E106"/>
  <c r="I109"/>
  <c r="H109"/>
  <c r="G109"/>
  <c r="F109"/>
  <c r="E109"/>
  <c r="I108"/>
  <c r="H108"/>
  <c r="G108"/>
  <c r="F108"/>
  <c r="E108"/>
  <c r="I399"/>
  <c r="A399"/>
  <c r="R558" i="19130"/>
  <c r="T558"/>
  <c r="D507"/>
  <c r="D1004"/>
  <c r="R1056"/>
  <c r="T1056"/>
  <c r="U1304"/>
  <c r="S1304"/>
  <c r="D1253"/>
  <c r="C358" i="19131"/>
  <c r="G282"/>
  <c r="G281"/>
  <c r="I281" s="1"/>
  <c r="D107" i="84"/>
  <c r="G107" s="1"/>
  <c r="G82"/>
  <c r="I82" s="1"/>
  <c r="F84"/>
  <c r="E694" i="19130" l="1"/>
  <c r="F694" s="1"/>
  <c r="H701" s="1"/>
  <c r="G360" i="19136"/>
  <c r="G361"/>
  <c r="G362"/>
  <c r="G385" i="19131"/>
  <c r="G389" s="1"/>
  <c r="G391" s="1"/>
  <c r="G399" s="1"/>
  <c r="G372"/>
  <c r="A700" i="19130"/>
  <c r="H183" i="19128"/>
  <c r="I453" i="19130"/>
  <c r="A89" i="107"/>
  <c r="L76"/>
  <c r="I955" i="19134"/>
  <c r="I1203"/>
  <c r="B701"/>
  <c r="A708" s="1"/>
  <c r="I695"/>
  <c r="I696"/>
  <c r="B702"/>
  <c r="A709" s="1"/>
  <c r="C694" i="19130"/>
  <c r="D694" s="1"/>
  <c r="I1204" i="19134"/>
  <c r="A330" i="19129"/>
  <c r="AM41" i="19137"/>
  <c r="AS41" s="1"/>
  <c r="M243" i="19129"/>
  <c r="Q243"/>
  <c r="M242"/>
  <c r="N242" s="1"/>
  <c r="O242" s="1"/>
  <c r="Q242"/>
  <c r="E194" i="19131"/>
  <c r="C197" s="1"/>
  <c r="O305" i="19129"/>
  <c r="P305" s="1"/>
  <c r="Q305"/>
  <c r="M305"/>
  <c r="N305" s="1"/>
  <c r="BG305" s="1"/>
  <c r="I241"/>
  <c r="L37" i="19137"/>
  <c r="R37" s="1"/>
  <c r="E516" i="19129"/>
  <c r="E518" s="1"/>
  <c r="G321" i="19135"/>
  <c r="F144" i="19134"/>
  <c r="F231" s="1"/>
  <c r="H355"/>
  <c r="H356" s="1"/>
  <c r="G198" i="19130"/>
  <c r="H205"/>
  <c r="I205" s="1"/>
  <c r="G6" i="19138"/>
  <c r="I948" i="19134"/>
  <c r="C1103" i="19130"/>
  <c r="B1201" s="1"/>
  <c r="L798"/>
  <c r="A532" i="19129"/>
  <c r="E576"/>
  <c r="I693" i="19130"/>
  <c r="I64"/>
  <c r="F344" i="19128" s="1"/>
  <c r="C355" s="1"/>
  <c r="AM35" i="19137"/>
  <c r="AS35" s="1"/>
  <c r="H195" i="19135"/>
  <c r="G198" s="1"/>
  <c r="L549" i="19130"/>
  <c r="I54"/>
  <c r="H73"/>
  <c r="H91" s="1"/>
  <c r="L1047"/>
  <c r="I694"/>
  <c r="L67"/>
  <c r="L189" s="1"/>
  <c r="L177" s="1"/>
  <c r="D736"/>
  <c r="D738" s="1"/>
  <c r="E193" i="19131"/>
  <c r="C196" s="1"/>
  <c r="L94"/>
  <c r="Q93"/>
  <c r="H739" i="19130"/>
  <c r="C769"/>
  <c r="S9" s="1"/>
  <c r="H274" i="1" s="1"/>
  <c r="Q94" i="19131"/>
  <c r="L93"/>
  <c r="B395" i="19128"/>
  <c r="B412" s="1"/>
  <c r="B252" i="19142"/>
  <c r="B269" s="1"/>
  <c r="I4" i="19130"/>
  <c r="I366" i="19142"/>
  <c r="L934" i="19130"/>
  <c r="L922" s="1"/>
  <c r="L176"/>
  <c r="G389" i="19142"/>
  <c r="G381"/>
  <c r="E399" i="19131"/>
  <c r="I347"/>
  <c r="E357" s="1"/>
  <c r="G357" s="1"/>
  <c r="L302" i="19130"/>
  <c r="L799" s="1"/>
  <c r="F949" i="19134"/>
  <c r="I1196"/>
  <c r="A70" i="19141"/>
  <c r="F258" i="19134"/>
  <c r="F268" s="1"/>
  <c r="E70" i="19141"/>
  <c r="F70" s="1"/>
  <c r="H106" i="19136"/>
  <c r="H319" s="1"/>
  <c r="F368" s="1"/>
  <c r="F77" i="19141"/>
  <c r="F89"/>
  <c r="N181"/>
  <c r="N103"/>
  <c r="N31"/>
  <c r="F71"/>
  <c r="G367"/>
  <c r="B376"/>
  <c r="F367"/>
  <c r="B377"/>
  <c r="G368"/>
  <c r="F368"/>
  <c r="D240" i="19128"/>
  <c r="G249" s="1"/>
  <c r="G222" i="19134"/>
  <c r="E464" i="19136"/>
  <c r="B652" i="19134"/>
  <c r="B998"/>
  <c r="B1147"/>
  <c r="B403"/>
  <c r="B1247"/>
  <c r="B502"/>
  <c r="B751"/>
  <c r="B899"/>
  <c r="I1197"/>
  <c r="F954" i="19129"/>
  <c r="F464" i="19131"/>
  <c r="C476" s="1"/>
  <c r="F461"/>
  <c r="C473" s="1"/>
  <c r="A262" i="107"/>
  <c r="I1354" i="19130"/>
  <c r="A1030"/>
  <c r="L440"/>
  <c r="L427" s="1"/>
  <c r="B952"/>
  <c r="G321" i="19131"/>
  <c r="I321" s="1"/>
  <c r="A916" i="19130"/>
  <c r="F242" i="19129"/>
  <c r="P242" s="1"/>
  <c r="D404" i="19130"/>
  <c r="I404" s="1"/>
  <c r="D901"/>
  <c r="I901" s="1"/>
  <c r="G320" i="19131"/>
  <c r="I320" s="1"/>
  <c r="D1150" i="19130"/>
  <c r="I1150" s="1"/>
  <c r="D165" i="19135"/>
  <c r="G170" s="1"/>
  <c r="H120" i="19136"/>
  <c r="B149"/>
  <c r="F149"/>
  <c r="G149"/>
  <c r="G120"/>
  <c r="G322" i="19135"/>
  <c r="D251" i="19130"/>
  <c r="D261" s="1"/>
  <c r="D156"/>
  <c r="I156" s="1"/>
  <c r="C648"/>
  <c r="D652" s="1"/>
  <c r="I652" s="1"/>
  <c r="L243" i="19129"/>
  <c r="T817" i="19134"/>
  <c r="D736"/>
  <c r="L684" i="19130"/>
  <c r="L672" s="1"/>
  <c r="C777" i="19134"/>
  <c r="S9" s="1"/>
  <c r="H237" i="1" s="1"/>
  <c r="L1182" i="19130"/>
  <c r="L1170" s="1"/>
  <c r="AD313" i="19129"/>
  <c r="C244"/>
  <c r="E244" s="1"/>
  <c r="J305"/>
  <c r="I305"/>
  <c r="D306"/>
  <c r="AA306"/>
  <c r="E306"/>
  <c r="F306" s="1"/>
  <c r="N238"/>
  <c r="O238" s="1"/>
  <c r="L34" i="19137" s="1"/>
  <c r="R34" s="1"/>
  <c r="AD277" i="19129"/>
  <c r="AD257"/>
  <c r="AD243"/>
  <c r="AD239"/>
  <c r="AD264"/>
  <c r="AD260"/>
  <c r="AD262"/>
  <c r="AD238"/>
  <c r="AD317"/>
  <c r="AD242"/>
  <c r="AD266"/>
  <c r="AD283"/>
  <c r="AD281"/>
  <c r="AD279"/>
  <c r="AD258"/>
  <c r="AD248"/>
  <c r="AD297"/>
  <c r="B87" i="19137"/>
  <c r="C87" s="1"/>
  <c r="B88"/>
  <c r="C88" s="1"/>
  <c r="H71"/>
  <c r="H72"/>
  <c r="AD240" i="19129"/>
  <c r="AD265"/>
  <c r="AD263"/>
  <c r="AD261"/>
  <c r="AD259"/>
  <c r="AD285"/>
  <c r="AD275"/>
  <c r="AD307"/>
  <c r="AD304"/>
  <c r="AD309"/>
  <c r="AD241"/>
  <c r="AD284"/>
  <c r="AD282"/>
  <c r="AD280"/>
  <c r="AD278"/>
  <c r="AD276"/>
  <c r="AD267"/>
  <c r="AD315"/>
  <c r="AD311"/>
  <c r="AD316"/>
  <c r="AD302"/>
  <c r="AD298"/>
  <c r="AD314"/>
  <c r="AD312"/>
  <c r="AD299"/>
  <c r="AD308"/>
  <c r="AD318"/>
  <c r="AD305"/>
  <c r="AD303"/>
  <c r="AD301"/>
  <c r="AD310"/>
  <c r="AS44" i="19137"/>
  <c r="AM55"/>
  <c r="AS55" s="1"/>
  <c r="AS34"/>
  <c r="AM45"/>
  <c r="AS45" s="1"/>
  <c r="AM46"/>
  <c r="AS46" s="1"/>
  <c r="AS37"/>
  <c r="AM48"/>
  <c r="AS48" s="1"/>
  <c r="AS38"/>
  <c r="AM49"/>
  <c r="AS49" s="1"/>
  <c r="AS39"/>
  <c r="AM50"/>
  <c r="AS50" s="1"/>
  <c r="AS36"/>
  <c r="AM47"/>
  <c r="AS47" s="1"/>
  <c r="AM53"/>
  <c r="AS53" s="1"/>
  <c r="AM54"/>
  <c r="AS54" s="1"/>
  <c r="AS40"/>
  <c r="AM51"/>
  <c r="AS51" s="1"/>
  <c r="AM52"/>
  <c r="AS52" s="1"/>
  <c r="M181" i="19136"/>
  <c r="E392" i="19129"/>
  <c r="D419" s="1"/>
  <c r="E391"/>
  <c r="H198" i="19130"/>
  <c r="B205" s="1"/>
  <c r="C205" s="1"/>
  <c r="H184" i="19128"/>
  <c r="F89" i="107"/>
  <c r="F91" s="1"/>
  <c r="M103" i="19136"/>
  <c r="M31"/>
  <c r="I262" i="107"/>
  <c r="I263" s="1"/>
  <c r="F1191" i="19130"/>
  <c r="F942"/>
  <c r="H165" i="19131"/>
  <c r="G168" s="1"/>
  <c r="F693" i="19130"/>
  <c r="I1192"/>
  <c r="F943"/>
  <c r="I446"/>
  <c r="F107" i="84"/>
  <c r="G948" i="19134"/>
  <c r="G452"/>
  <c r="G1197"/>
  <c r="G1196"/>
  <c r="F445" i="19130"/>
  <c r="G1192"/>
  <c r="G453" i="19134"/>
  <c r="E107" i="84"/>
  <c r="H107"/>
  <c r="I107"/>
  <c r="E167" i="19135"/>
  <c r="E168"/>
  <c r="CD369" i="107"/>
  <c r="CD16" i="19139" s="1"/>
  <c r="CC11"/>
  <c r="CB369" i="107"/>
  <c r="CB16" i="19139" s="1"/>
  <c r="CA11"/>
  <c r="BZ369" i="107"/>
  <c r="BZ16" i="19139" s="1"/>
  <c r="BY11"/>
  <c r="BX369" i="107"/>
  <c r="BX16" i="19139" s="1"/>
  <c r="BW11"/>
  <c r="BV369" i="107"/>
  <c r="BV16" i="19139" s="1"/>
  <c r="BU11"/>
  <c r="BT369" i="107"/>
  <c r="BT16" i="19139" s="1"/>
  <c r="BS11"/>
  <c r="BR369" i="107"/>
  <c r="BR16" i="19139" s="1"/>
  <c r="BQ11"/>
  <c r="BP369" i="107"/>
  <c r="BP16" i="19139" s="1"/>
  <c r="BO11"/>
  <c r="BN369" i="107"/>
  <c r="BN16" i="19139" s="1"/>
  <c r="BM11"/>
  <c r="BL369" i="107"/>
  <c r="BL16" i="19139" s="1"/>
  <c r="BK11"/>
  <c r="BJ369" i="107"/>
  <c r="BJ16" i="19139" s="1"/>
  <c r="BI11"/>
  <c r="BH369" i="107"/>
  <c r="BH16" i="19139" s="1"/>
  <c r="BG11"/>
  <c r="BF369" i="107"/>
  <c r="BF16" i="19139" s="1"/>
  <c r="BE11"/>
  <c r="BD369" i="107"/>
  <c r="BD16" i="19139" s="1"/>
  <c r="BC11"/>
  <c r="BB369" i="107"/>
  <c r="BB16" i="19139" s="1"/>
  <c r="BA11"/>
  <c r="AZ369" i="107"/>
  <c r="AZ16" i="19139" s="1"/>
  <c r="AY11"/>
  <c r="AX369" i="107"/>
  <c r="AX16" i="19139" s="1"/>
  <c r="AW11"/>
  <c r="AV369" i="107"/>
  <c r="AV16" i="19139" s="1"/>
  <c r="AU11"/>
  <c r="AT369" i="107"/>
  <c r="AT16" i="19139" s="1"/>
  <c r="AS11"/>
  <c r="AR369" i="107"/>
  <c r="AR16" i="19139" s="1"/>
  <c r="AQ11"/>
  <c r="AP369" i="107"/>
  <c r="AP16" i="19139" s="1"/>
  <c r="AO11"/>
  <c r="AN369" i="107"/>
  <c r="AN16" i="19139" s="1"/>
  <c r="AM11"/>
  <c r="AL369" i="107"/>
  <c r="AL16" i="19139" s="1"/>
  <c r="AK11"/>
  <c r="AJ369" i="107"/>
  <c r="AJ16" i="19139" s="1"/>
  <c r="AI11"/>
  <c r="AH369" i="107"/>
  <c r="AH16" i="19139" s="1"/>
  <c r="AG11"/>
  <c r="AF369" i="107"/>
  <c r="AF16" i="19139" s="1"/>
  <c r="AE11"/>
  <c r="AD369" i="107"/>
  <c r="AD16" i="19139" s="1"/>
  <c r="AC11"/>
  <c r="AB369" i="107"/>
  <c r="AB16" i="19139" s="1"/>
  <c r="AA11"/>
  <c r="Z369" i="107"/>
  <c r="Z16" i="19139" s="1"/>
  <c r="Y11"/>
  <c r="X369" i="107"/>
  <c r="X16" i="19139" s="1"/>
  <c r="W11"/>
  <c r="V369" i="107"/>
  <c r="V16" i="19139" s="1"/>
  <c r="U11"/>
  <c r="T369" i="107"/>
  <c r="T16" i="19139" s="1"/>
  <c r="S11"/>
  <c r="E378" i="107"/>
  <c r="F378"/>
  <c r="CC378"/>
  <c r="CD378"/>
  <c r="CA378"/>
  <c r="CB378"/>
  <c r="BY378"/>
  <c r="BZ378"/>
  <c r="BW378"/>
  <c r="BX378"/>
  <c r="BU378"/>
  <c r="BV378"/>
  <c r="BS378"/>
  <c r="BT378"/>
  <c r="BQ378"/>
  <c r="BR378"/>
  <c r="BO378"/>
  <c r="BP378"/>
  <c r="BM378"/>
  <c r="BN378"/>
  <c r="BK378"/>
  <c r="BL378"/>
  <c r="BI378"/>
  <c r="BJ378"/>
  <c r="BG378"/>
  <c r="BH378"/>
  <c r="BE378"/>
  <c r="BF378"/>
  <c r="BC378"/>
  <c r="BD378"/>
  <c r="BA378"/>
  <c r="BB378"/>
  <c r="AY378"/>
  <c r="AZ378"/>
  <c r="AW378"/>
  <c r="AX378"/>
  <c r="AU378"/>
  <c r="AV378"/>
  <c r="AS378"/>
  <c r="AT378"/>
  <c r="AQ378"/>
  <c r="AR378"/>
  <c r="AO378"/>
  <c r="AP378"/>
  <c r="AM378"/>
  <c r="AN378"/>
  <c r="AK378"/>
  <c r="AL378"/>
  <c r="AI378"/>
  <c r="AJ378"/>
  <c r="AG378"/>
  <c r="AH378"/>
  <c r="AE378"/>
  <c r="AF378"/>
  <c r="AC378"/>
  <c r="AD378"/>
  <c r="AA378"/>
  <c r="AB378"/>
  <c r="Y378"/>
  <c r="Z378"/>
  <c r="W378"/>
  <c r="X378"/>
  <c r="U378"/>
  <c r="V378"/>
  <c r="S378"/>
  <c r="T378"/>
  <c r="Q378"/>
  <c r="R378"/>
  <c r="O378"/>
  <c r="P378"/>
  <c r="M378"/>
  <c r="N378"/>
  <c r="K378"/>
  <c r="L378"/>
  <c r="I378"/>
  <c r="J378"/>
  <c r="G378"/>
  <c r="H378"/>
  <c r="D378"/>
  <c r="C378"/>
  <c r="E379"/>
  <c r="F379"/>
  <c r="CC379"/>
  <c r="CD379"/>
  <c r="CA379"/>
  <c r="CB379"/>
  <c r="BY379"/>
  <c r="BZ379"/>
  <c r="BW379"/>
  <c r="BX379"/>
  <c r="BU379"/>
  <c r="BV379"/>
  <c r="BS379"/>
  <c r="BT379"/>
  <c r="BQ379"/>
  <c r="BR379"/>
  <c r="BO379"/>
  <c r="BP379"/>
  <c r="BM379"/>
  <c r="BN379"/>
  <c r="BK379"/>
  <c r="BL379"/>
  <c r="BI379"/>
  <c r="BJ379"/>
  <c r="BG379"/>
  <c r="BH379"/>
  <c r="BE379"/>
  <c r="BF379"/>
  <c r="BC379"/>
  <c r="BD379"/>
  <c r="BA379"/>
  <c r="BB379"/>
  <c r="AY379"/>
  <c r="AZ379"/>
  <c r="AW379"/>
  <c r="AX379"/>
  <c r="AU379"/>
  <c r="AV379"/>
  <c r="AS379"/>
  <c r="AT379"/>
  <c r="AQ379"/>
  <c r="AR379"/>
  <c r="AO379"/>
  <c r="AP379"/>
  <c r="AM379"/>
  <c r="AN379"/>
  <c r="AK379"/>
  <c r="AL379"/>
  <c r="AI379"/>
  <c r="AJ379"/>
  <c r="AG379"/>
  <c r="AH379"/>
  <c r="AE379"/>
  <c r="AF379"/>
  <c r="AC379"/>
  <c r="AD379"/>
  <c r="AA379"/>
  <c r="AB379"/>
  <c r="Y379"/>
  <c r="Z379"/>
  <c r="W379"/>
  <c r="X379"/>
  <c r="U379"/>
  <c r="V379"/>
  <c r="S379"/>
  <c r="T379"/>
  <c r="Q379"/>
  <c r="R379"/>
  <c r="O379"/>
  <c r="P379"/>
  <c r="M379"/>
  <c r="N379"/>
  <c r="K379"/>
  <c r="L379"/>
  <c r="I379"/>
  <c r="J379"/>
  <c r="G379"/>
  <c r="H379"/>
  <c r="D379"/>
  <c r="C381" s="1"/>
  <c r="J381" s="1"/>
  <c r="J19" i="19139" s="1"/>
  <c r="C379" i="107"/>
  <c r="R369"/>
  <c r="R16" i="19139" s="1"/>
  <c r="Q11"/>
  <c r="F369" i="107"/>
  <c r="F16" i="19139" s="1"/>
  <c r="E11"/>
  <c r="P369" i="107"/>
  <c r="P16" i="19139" s="1"/>
  <c r="O11"/>
  <c r="N369" i="107"/>
  <c r="N16" i="19139" s="1"/>
  <c r="M11"/>
  <c r="L369" i="107"/>
  <c r="L16" i="19139" s="1"/>
  <c r="K11"/>
  <c r="J369" i="107"/>
  <c r="J16" i="19139" s="1"/>
  <c r="I11"/>
  <c r="H369" i="107"/>
  <c r="H16" i="19139" s="1"/>
  <c r="G11"/>
  <c r="G286"/>
  <c r="C382" i="107"/>
  <c r="C383"/>
  <c r="CC382"/>
  <c r="CC383"/>
  <c r="CA382"/>
  <c r="CA383"/>
  <c r="BY382"/>
  <c r="BY383"/>
  <c r="BW382"/>
  <c r="BW383"/>
  <c r="BU382"/>
  <c r="BU383"/>
  <c r="BS382"/>
  <c r="BS383"/>
  <c r="BQ382"/>
  <c r="BQ383"/>
  <c r="BO382"/>
  <c r="BO383"/>
  <c r="BM382"/>
  <c r="BM383"/>
  <c r="BK382"/>
  <c r="BK383"/>
  <c r="BI382"/>
  <c r="BI383"/>
  <c r="BG382"/>
  <c r="BG383"/>
  <c r="BE382"/>
  <c r="BE383"/>
  <c r="BC382"/>
  <c r="BC383"/>
  <c r="BA382"/>
  <c r="BA383"/>
  <c r="AY382"/>
  <c r="AY383"/>
  <c r="AW382"/>
  <c r="AW383"/>
  <c r="AU382"/>
  <c r="AU383"/>
  <c r="AS382"/>
  <c r="AS383"/>
  <c r="AQ382"/>
  <c r="AQ383"/>
  <c r="AO382"/>
  <c r="AO383"/>
  <c r="AM382"/>
  <c r="AM383"/>
  <c r="AK382"/>
  <c r="AK383"/>
  <c r="AI382"/>
  <c r="AI383"/>
  <c r="AG382"/>
  <c r="AG383"/>
  <c r="AE382"/>
  <c r="AE383"/>
  <c r="AC382"/>
  <c r="AC383"/>
  <c r="AA382"/>
  <c r="AA383"/>
  <c r="Y382"/>
  <c r="Y383"/>
  <c r="W382"/>
  <c r="W383"/>
  <c r="U382"/>
  <c r="U383"/>
  <c r="S382"/>
  <c r="S383"/>
  <c r="Q382"/>
  <c r="Q383"/>
  <c r="E382"/>
  <c r="E383"/>
  <c r="O382"/>
  <c r="O383"/>
  <c r="M382"/>
  <c r="M383"/>
  <c r="K382"/>
  <c r="K383"/>
  <c r="I382"/>
  <c r="I383"/>
  <c r="G382"/>
  <c r="G383"/>
  <c r="D369"/>
  <c r="D16" i="19139" s="1"/>
  <c r="D367" i="107"/>
  <c r="D14" i="19139" s="1"/>
  <c r="CD367" i="107"/>
  <c r="CD14" i="19139" s="1"/>
  <c r="CB367" i="107"/>
  <c r="CB14" i="19139" s="1"/>
  <c r="BZ367" i="107"/>
  <c r="BZ14" i="19139" s="1"/>
  <c r="BX367" i="107"/>
  <c r="BX14" i="19139" s="1"/>
  <c r="BV367" i="107"/>
  <c r="BV14" i="19139" s="1"/>
  <c r="BT367" i="107"/>
  <c r="BT14" i="19139" s="1"/>
  <c r="BR367" i="107"/>
  <c r="BR14" i="19139" s="1"/>
  <c r="BP367" i="107"/>
  <c r="BP14" i="19139" s="1"/>
  <c r="BN367" i="107"/>
  <c r="BN14" i="19139" s="1"/>
  <c r="BL367" i="107"/>
  <c r="BL14" i="19139" s="1"/>
  <c r="BJ367" i="107"/>
  <c r="BJ14" i="19139" s="1"/>
  <c r="BH367" i="107"/>
  <c r="BH14" i="19139" s="1"/>
  <c r="BF367" i="107"/>
  <c r="BF14" i="19139" s="1"/>
  <c r="BD367" i="107"/>
  <c r="BD14" i="19139" s="1"/>
  <c r="BB367" i="107"/>
  <c r="BB14" i="19139" s="1"/>
  <c r="AZ367" i="107"/>
  <c r="AZ14" i="19139" s="1"/>
  <c r="AX367" i="107"/>
  <c r="AX14" i="19139" s="1"/>
  <c r="AV367" i="107"/>
  <c r="AV14" i="19139" s="1"/>
  <c r="AT367" i="107"/>
  <c r="AT14" i="19139" s="1"/>
  <c r="AR367" i="107"/>
  <c r="AR14" i="19139" s="1"/>
  <c r="AP367" i="107"/>
  <c r="AP14" i="19139" s="1"/>
  <c r="AN367" i="107"/>
  <c r="AN14" i="19139" s="1"/>
  <c r="AL367" i="107"/>
  <c r="AL14" i="19139" s="1"/>
  <c r="AJ367" i="107"/>
  <c r="AJ14" i="19139" s="1"/>
  <c r="AH367" i="107"/>
  <c r="AH14" i="19139" s="1"/>
  <c r="AF367" i="107"/>
  <c r="AF14" i="19139" s="1"/>
  <c r="AD367" i="107"/>
  <c r="AD14" i="19139" s="1"/>
  <c r="AB367" i="107"/>
  <c r="AB14" i="19139" s="1"/>
  <c r="Z367" i="107"/>
  <c r="Z14" i="19139" s="1"/>
  <c r="X367" i="107"/>
  <c r="X14" i="19139" s="1"/>
  <c r="V367" i="107"/>
  <c r="V14" i="19139" s="1"/>
  <c r="T367" i="107"/>
  <c r="T14" i="19139" s="1"/>
  <c r="R367" i="107"/>
  <c r="R14" i="19139" s="1"/>
  <c r="F367" i="107"/>
  <c r="F14" i="19139" s="1"/>
  <c r="P367" i="107"/>
  <c r="P14" i="19139" s="1"/>
  <c r="N367" i="107"/>
  <c r="N14" i="19139" s="1"/>
  <c r="L367" i="107"/>
  <c r="L14" i="19139" s="1"/>
  <c r="J367" i="107"/>
  <c r="J14" i="19139" s="1"/>
  <c r="H367" i="107"/>
  <c r="H14" i="19139" s="1"/>
  <c r="G446" i="19130"/>
  <c r="C333" i="19135"/>
  <c r="F319"/>
  <c r="C334"/>
  <c r="I348"/>
  <c r="G386"/>
  <c r="G390" s="1"/>
  <c r="G392" s="1"/>
  <c r="D109"/>
  <c r="E28" i="19128"/>
  <c r="F407" i="19129"/>
  <c r="A407"/>
  <c r="F43" i="84"/>
  <c r="C111" s="1"/>
  <c r="F40"/>
  <c r="C108" s="1"/>
  <c r="F465" i="19135"/>
  <c r="C477" s="1"/>
  <c r="F462"/>
  <c r="C474" s="1"/>
  <c r="C395"/>
  <c r="H202" i="19128"/>
  <c r="H201"/>
  <c r="G216" i="19130"/>
  <c r="F137"/>
  <c r="L82"/>
  <c r="I82"/>
  <c r="L431" i="19142" s="1"/>
  <c r="G323" i="19131"/>
  <c r="B333" s="1"/>
  <c r="D333" s="1"/>
  <c r="G324"/>
  <c r="B332" s="1"/>
  <c r="D332" s="1"/>
  <c r="A383" i="19136"/>
  <c r="E386" s="1"/>
  <c r="C376"/>
  <c r="A384"/>
  <c r="E387" s="1"/>
  <c r="C377"/>
  <c r="O181"/>
  <c r="O103"/>
  <c r="D89"/>
  <c r="D84"/>
  <c r="F78"/>
  <c r="A78"/>
  <c r="O31"/>
  <c r="E82"/>
  <c r="E81"/>
  <c r="L309" i="19134"/>
  <c r="C860"/>
  <c r="D64"/>
  <c r="D1068" i="19129"/>
  <c r="L1185" i="19134"/>
  <c r="L442"/>
  <c r="L690"/>
  <c r="L942"/>
  <c r="L194"/>
  <c r="L183" s="1"/>
  <c r="L431" s="1"/>
  <c r="L680" s="1"/>
  <c r="L931" s="1"/>
  <c r="L1175" s="1"/>
  <c r="C75"/>
  <c r="C95" s="1"/>
  <c r="B54"/>
  <c r="L70"/>
  <c r="I4" s="1"/>
  <c r="B711"/>
  <c r="B644"/>
  <c r="G1364"/>
  <c r="A789"/>
  <c r="A675"/>
  <c r="L1295"/>
  <c r="L1045"/>
  <c r="L799"/>
  <c r="L555"/>
  <c r="D753"/>
  <c r="D763" s="1"/>
  <c r="D746"/>
  <c r="G283" i="19135"/>
  <c r="G282"/>
  <c r="I282" s="1"/>
  <c r="A245" i="19129"/>
  <c r="BD245" s="1"/>
  <c r="H452" i="19134"/>
  <c r="B459" s="1"/>
  <c r="C459" s="1"/>
  <c r="H453"/>
  <c r="B460" s="1"/>
  <c r="C460" s="1"/>
  <c r="H1196"/>
  <c r="H1197"/>
  <c r="H948"/>
  <c r="C444" i="19131"/>
  <c r="B444"/>
  <c r="A445"/>
  <c r="H1192" i="19130"/>
  <c r="H446"/>
  <c r="G286" i="19131"/>
  <c r="C286"/>
  <c r="D286"/>
  <c r="E286"/>
  <c r="F286"/>
  <c r="F110" i="84"/>
  <c r="E110"/>
  <c r="I110"/>
  <c r="H110"/>
  <c r="G110"/>
  <c r="B111"/>
  <c r="B108"/>
  <c r="G694" i="19130" l="1"/>
  <c r="C395" i="19131"/>
  <c r="F404" s="1"/>
  <c r="C399"/>
  <c r="H188" i="19128"/>
  <c r="E196" s="1"/>
  <c r="G361" i="19131"/>
  <c r="I361" s="1"/>
  <c r="E373"/>
  <c r="G373" s="1"/>
  <c r="A373"/>
  <c r="H694" i="19130"/>
  <c r="B701" s="1"/>
  <c r="C701" s="1"/>
  <c r="I701"/>
  <c r="F94" i="107"/>
  <c r="E517" i="19129"/>
  <c r="D535"/>
  <c r="D544"/>
  <c r="D410"/>
  <c r="AM42" i="19137"/>
  <c r="AS42" s="1"/>
  <c r="M306" i="19129"/>
  <c r="N306" s="1"/>
  <c r="BG306" s="1"/>
  <c r="Q306"/>
  <c r="R306" s="1"/>
  <c r="M244"/>
  <c r="Q244"/>
  <c r="G954"/>
  <c r="L685" i="19130"/>
  <c r="L673" s="1"/>
  <c r="AD306" i="19129"/>
  <c r="O306"/>
  <c r="P306" s="1"/>
  <c r="C380" i="107"/>
  <c r="J380" s="1"/>
  <c r="I19" i="19139" s="1"/>
  <c r="H289" i="19134"/>
  <c r="C301" s="1"/>
  <c r="D329" s="1"/>
  <c r="I242" i="19129"/>
  <c r="L38" i="19137"/>
  <c r="R38" s="1"/>
  <c r="T380" i="107"/>
  <c r="S19" i="19139" s="1"/>
  <c r="D380" i="107"/>
  <c r="T381"/>
  <c r="T19" i="19139" s="1"/>
  <c r="D381" i="107"/>
  <c r="D826" i="19130"/>
  <c r="B318" i="19134"/>
  <c r="C320" s="1"/>
  <c r="H323" s="1"/>
  <c r="A329" s="1"/>
  <c r="B337"/>
  <c r="D814"/>
  <c r="D833"/>
  <c r="M1354" i="19130"/>
  <c r="M412" i="19142" s="1"/>
  <c r="A1165" i="19130"/>
  <c r="B1134"/>
  <c r="A1279"/>
  <c r="F360" i="19136"/>
  <c r="G229" i="19134"/>
  <c r="G224"/>
  <c r="I216"/>
  <c r="C289"/>
  <c r="C298" s="1"/>
  <c r="D362" s="1"/>
  <c r="A216"/>
  <c r="H381" i="107"/>
  <c r="H19" i="19139" s="1"/>
  <c r="V381" i="107"/>
  <c r="V19" i="19139" s="1"/>
  <c r="V380" i="107"/>
  <c r="U19" i="19139" s="1"/>
  <c r="G943" i="19130"/>
  <c r="H950"/>
  <c r="I950" s="1"/>
  <c r="H693"/>
  <c r="B700" s="1"/>
  <c r="C700" s="1"/>
  <c r="H700"/>
  <c r="I700" s="1"/>
  <c r="G1191"/>
  <c r="H1198"/>
  <c r="I1198" s="1"/>
  <c r="H949" i="19134"/>
  <c r="B956" s="1"/>
  <c r="C956" s="1"/>
  <c r="H956"/>
  <c r="I956" s="1"/>
  <c r="G445" i="19130"/>
  <c r="H452"/>
  <c r="I452" s="1"/>
  <c r="G942"/>
  <c r="H949"/>
  <c r="I949" s="1"/>
  <c r="F532" i="19129"/>
  <c r="B955" i="19134"/>
  <c r="C955" s="1"/>
  <c r="L441" i="19130"/>
  <c r="L428" s="1"/>
  <c r="L303"/>
  <c r="L800" s="1"/>
  <c r="B1203" i="19134"/>
  <c r="C1203" s="1"/>
  <c r="L1183" i="19130"/>
  <c r="L1171" s="1"/>
  <c r="L935"/>
  <c r="L923" s="1"/>
  <c r="E577" i="19129"/>
  <c r="E578"/>
  <c r="A592"/>
  <c r="F592"/>
  <c r="E358" i="19131"/>
  <c r="G358" s="1"/>
  <c r="G362" s="1"/>
  <c r="I362" s="1"/>
  <c r="D745" i="19130"/>
  <c r="D755" s="1"/>
  <c r="S807"/>
  <c r="D807"/>
  <c r="U807"/>
  <c r="L1296"/>
  <c r="I1369"/>
  <c r="I430" i="19142" s="1"/>
  <c r="I412"/>
  <c r="G1380" i="19134"/>
  <c r="G319" i="19142" s="1"/>
  <c r="G301"/>
  <c r="A451" i="19128"/>
  <c r="C461" s="1"/>
  <c r="D275" i="19142"/>
  <c r="I379"/>
  <c r="I389"/>
  <c r="L550" i="19130"/>
  <c r="L1048"/>
  <c r="B136" i="19136"/>
  <c r="G949" i="19134"/>
  <c r="F361" i="19136"/>
  <c r="F136"/>
  <c r="I136" s="1"/>
  <c r="E467"/>
  <c r="H484" s="1"/>
  <c r="F366"/>
  <c r="F362"/>
  <c r="M181" i="19141"/>
  <c r="M103"/>
  <c r="M31"/>
  <c r="F367" i="19136"/>
  <c r="F78" i="19141"/>
  <c r="O103"/>
  <c r="D89"/>
  <c r="D84"/>
  <c r="O31"/>
  <c r="O181"/>
  <c r="A78"/>
  <c r="E82"/>
  <c r="E81"/>
  <c r="C377"/>
  <c r="A384"/>
  <c r="E387" s="1"/>
  <c r="C376"/>
  <c r="A383"/>
  <c r="E386" s="1"/>
  <c r="M329" i="19134"/>
  <c r="B57" i="19140"/>
  <c r="C59" s="1"/>
  <c r="F60" s="1"/>
  <c r="B1204" i="19134"/>
  <c r="C1204" s="1"/>
  <c r="E701"/>
  <c r="F701" s="1"/>
  <c r="H708" s="1"/>
  <c r="C701"/>
  <c r="D701" s="1"/>
  <c r="E702"/>
  <c r="I702" s="1"/>
  <c r="C702"/>
  <c r="D702" s="1"/>
  <c r="C171" i="19135"/>
  <c r="C170"/>
  <c r="N243" i="19129"/>
  <c r="O243" s="1"/>
  <c r="I149" i="19136"/>
  <c r="G171" i="19135"/>
  <c r="L244" i="19129"/>
  <c r="I306"/>
  <c r="J306"/>
  <c r="F319"/>
  <c r="AT58" i="19140" s="1"/>
  <c r="C245" i="19129"/>
  <c r="E245" s="1"/>
  <c r="AD244"/>
  <c r="I71" i="19137"/>
  <c r="J71" s="1"/>
  <c r="C80"/>
  <c r="D80" s="1"/>
  <c r="E80" s="1"/>
  <c r="F80" s="1"/>
  <c r="C81"/>
  <c r="D81" s="1"/>
  <c r="E81" s="1"/>
  <c r="F81" s="1"/>
  <c r="I72"/>
  <c r="J72" s="1"/>
  <c r="U305" i="19129"/>
  <c r="V305" s="1"/>
  <c r="R305"/>
  <c r="U301"/>
  <c r="V301" s="1"/>
  <c r="R301"/>
  <c r="R297"/>
  <c r="U297"/>
  <c r="R302"/>
  <c r="U302"/>
  <c r="V302" s="1"/>
  <c r="R298"/>
  <c r="U298"/>
  <c r="V298" s="1"/>
  <c r="U307"/>
  <c r="R307"/>
  <c r="U303"/>
  <c r="V303" s="1"/>
  <c r="R303"/>
  <c r="U299"/>
  <c r="V299" s="1"/>
  <c r="R299"/>
  <c r="U304"/>
  <c r="V304" s="1"/>
  <c r="R304"/>
  <c r="U300"/>
  <c r="V300" s="1"/>
  <c r="R300"/>
  <c r="U278"/>
  <c r="V278" s="1"/>
  <c r="R278"/>
  <c r="U284"/>
  <c r="V284" s="1"/>
  <c r="R284"/>
  <c r="U285"/>
  <c r="V285" s="1"/>
  <c r="R285"/>
  <c r="R265"/>
  <c r="U265"/>
  <c r="V265" s="1"/>
  <c r="R261"/>
  <c r="U261"/>
  <c r="V261" s="1"/>
  <c r="R267"/>
  <c r="U267"/>
  <c r="V267" s="1"/>
  <c r="R317"/>
  <c r="AO54" i="19137" s="1"/>
  <c r="U317" i="19129"/>
  <c r="V317" s="1"/>
  <c r="R318"/>
  <c r="AO55" i="19137" s="1"/>
  <c r="U318" i="19129"/>
  <c r="V318" s="1"/>
  <c r="R311"/>
  <c r="AO48" i="19137" s="1"/>
  <c r="U311" i="19129"/>
  <c r="V311" s="1"/>
  <c r="U276"/>
  <c r="V276" s="1"/>
  <c r="R276"/>
  <c r="U277"/>
  <c r="V277" s="1"/>
  <c r="R277"/>
  <c r="R266"/>
  <c r="U266"/>
  <c r="V266" s="1"/>
  <c r="R262"/>
  <c r="U262"/>
  <c r="V262" s="1"/>
  <c r="R258"/>
  <c r="U258"/>
  <c r="V258" s="1"/>
  <c r="R312"/>
  <c r="AO49" i="19137" s="1"/>
  <c r="U312" i="19129"/>
  <c r="V312" s="1"/>
  <c r="R314"/>
  <c r="AO51" i="19137" s="1"/>
  <c r="U314" i="19129"/>
  <c r="V314" s="1"/>
  <c r="U315"/>
  <c r="V315" s="1"/>
  <c r="R315"/>
  <c r="AO52" i="19137" s="1"/>
  <c r="U281" i="19129"/>
  <c r="V281" s="1"/>
  <c r="R281"/>
  <c r="U282"/>
  <c r="V282" s="1"/>
  <c r="R282"/>
  <c r="U279"/>
  <c r="V279" s="1"/>
  <c r="R279"/>
  <c r="R263"/>
  <c r="U263"/>
  <c r="V263" s="1"/>
  <c r="R259"/>
  <c r="U259"/>
  <c r="V259" s="1"/>
  <c r="U316"/>
  <c r="V316" s="1"/>
  <c r="R316"/>
  <c r="AO53" i="19137" s="1"/>
  <c r="R309" i="19129"/>
  <c r="AO46" i="19137" s="1"/>
  <c r="U309" i="19129"/>
  <c r="V309" s="1"/>
  <c r="U308"/>
  <c r="V308" s="1"/>
  <c r="R308"/>
  <c r="AO45" i="19137" s="1"/>
  <c r="U275" i="19129"/>
  <c r="R275"/>
  <c r="U283"/>
  <c r="V283" s="1"/>
  <c r="R283"/>
  <c r="U280"/>
  <c r="V280" s="1"/>
  <c r="R280"/>
  <c r="R264"/>
  <c r="U264"/>
  <c r="V264" s="1"/>
  <c r="U260"/>
  <c r="V260" s="1"/>
  <c r="R260"/>
  <c r="R257"/>
  <c r="U257"/>
  <c r="R313"/>
  <c r="AO50" i="19137" s="1"/>
  <c r="U313" i="19129"/>
  <c r="V313" s="1"/>
  <c r="R310"/>
  <c r="AO47" i="19137" s="1"/>
  <c r="U310" i="19129"/>
  <c r="V310" s="1"/>
  <c r="R241"/>
  <c r="T241" s="1"/>
  <c r="U241"/>
  <c r="V241" s="1"/>
  <c r="R238"/>
  <c r="T238" s="1"/>
  <c r="U238"/>
  <c r="R243"/>
  <c r="U243"/>
  <c r="V243" s="1"/>
  <c r="R242"/>
  <c r="U242"/>
  <c r="V242" s="1"/>
  <c r="R248"/>
  <c r="U248"/>
  <c r="V248" s="1"/>
  <c r="R239"/>
  <c r="T239" s="1"/>
  <c r="U239"/>
  <c r="V239" s="1"/>
  <c r="R240"/>
  <c r="T240" s="1"/>
  <c r="U240"/>
  <c r="V240" s="1"/>
  <c r="B453" i="19130"/>
  <c r="C453" s="1"/>
  <c r="H445"/>
  <c r="B452" s="1"/>
  <c r="C452" s="1"/>
  <c r="A263" i="107"/>
  <c r="BH375"/>
  <c r="H942" i="19130"/>
  <c r="B949" s="1"/>
  <c r="C949" s="1"/>
  <c r="AF375" i="107"/>
  <c r="BT375"/>
  <c r="AT375"/>
  <c r="BL375"/>
  <c r="BX375"/>
  <c r="F269"/>
  <c r="G271" s="1"/>
  <c r="I271" s="1"/>
  <c r="E22" i="19128" s="1"/>
  <c r="H943" i="19130"/>
  <c r="B950" s="1"/>
  <c r="C950" s="1"/>
  <c r="H1191"/>
  <c r="B1198" s="1"/>
  <c r="C1198" s="1"/>
  <c r="V375" i="107"/>
  <c r="AJ375"/>
  <c r="BD375"/>
  <c r="P375"/>
  <c r="AL375"/>
  <c r="BP375"/>
  <c r="AY375"/>
  <c r="BC375"/>
  <c r="BG375"/>
  <c r="BK375"/>
  <c r="BO375"/>
  <c r="BR375"/>
  <c r="AB375"/>
  <c r="AR375"/>
  <c r="AU375"/>
  <c r="S375"/>
  <c r="X375"/>
  <c r="CA375"/>
  <c r="J375"/>
  <c r="G693" i="19130"/>
  <c r="D108" i="84"/>
  <c r="G108" s="1"/>
  <c r="W375" i="107"/>
  <c r="AA375"/>
  <c r="AE375"/>
  <c r="AI375"/>
  <c r="AN375"/>
  <c r="BB375"/>
  <c r="BZ375"/>
  <c r="F243" i="19129"/>
  <c r="P243" s="1"/>
  <c r="N375" i="107"/>
  <c r="E375"/>
  <c r="B1199" i="19130"/>
  <c r="C1199" s="1"/>
  <c r="H375" i="107"/>
  <c r="I375"/>
  <c r="M375"/>
  <c r="F375"/>
  <c r="T375"/>
  <c r="AD375"/>
  <c r="AM375"/>
  <c r="AQ375"/>
  <c r="AV375"/>
  <c r="AZ375"/>
  <c r="BJ375"/>
  <c r="BS375"/>
  <c r="BW375"/>
  <c r="CB375"/>
  <c r="D111" i="84"/>
  <c r="E111" s="1"/>
  <c r="G375" i="107"/>
  <c r="O375"/>
  <c r="U375"/>
  <c r="AC375"/>
  <c r="AK375"/>
  <c r="AS375"/>
  <c r="BA375"/>
  <c r="BI375"/>
  <c r="BQ375"/>
  <c r="BY375"/>
  <c r="K375"/>
  <c r="Q375"/>
  <c r="Y375"/>
  <c r="AG375"/>
  <c r="AO375"/>
  <c r="AW375"/>
  <c r="BE375"/>
  <c r="BM375"/>
  <c r="BU375"/>
  <c r="CC375"/>
  <c r="L375"/>
  <c r="R375"/>
  <c r="Z375"/>
  <c r="AH375"/>
  <c r="AP375"/>
  <c r="AX375"/>
  <c r="BF375"/>
  <c r="BN375"/>
  <c r="BV375"/>
  <c r="CD375"/>
  <c r="F244" i="19129"/>
  <c r="P244" s="1"/>
  <c r="D429" i="19131"/>
  <c r="CD381" i="107"/>
  <c r="CD19" i="19139" s="1"/>
  <c r="F381" i="107"/>
  <c r="F19" i="19139" s="1"/>
  <c r="CD380" i="107"/>
  <c r="CC19" i="19139" s="1"/>
  <c r="F380" i="107"/>
  <c r="E19" i="19139" s="1"/>
  <c r="S58"/>
  <c r="S59" s="1"/>
  <c r="U58"/>
  <c r="U59" s="1"/>
  <c r="W58"/>
  <c r="W59" s="1"/>
  <c r="Y58"/>
  <c r="Y59" s="1"/>
  <c r="AA58"/>
  <c r="AA59" s="1"/>
  <c r="AC58"/>
  <c r="AC59" s="1"/>
  <c r="AE58"/>
  <c r="AE59" s="1"/>
  <c r="AG58"/>
  <c r="AG59" s="1"/>
  <c r="AI58"/>
  <c r="AI59" s="1"/>
  <c r="AK58"/>
  <c r="AK59" s="1"/>
  <c r="AM58"/>
  <c r="AM59" s="1"/>
  <c r="AO58"/>
  <c r="AO59" s="1"/>
  <c r="AQ58"/>
  <c r="AQ59" s="1"/>
  <c r="AS58"/>
  <c r="AS59" s="1"/>
  <c r="AU58"/>
  <c r="AU59" s="1"/>
  <c r="AW58"/>
  <c r="AW59" s="1"/>
  <c r="AY58"/>
  <c r="AY59" s="1"/>
  <c r="BA58"/>
  <c r="BA59" s="1"/>
  <c r="BC58"/>
  <c r="BC59" s="1"/>
  <c r="BE58"/>
  <c r="BE59" s="1"/>
  <c r="BG58"/>
  <c r="BG59" s="1"/>
  <c r="BI58"/>
  <c r="BI59" s="1"/>
  <c r="BK58"/>
  <c r="BK59" s="1"/>
  <c r="BM58"/>
  <c r="BM59" s="1"/>
  <c r="BO58"/>
  <c r="BO59" s="1"/>
  <c r="BQ58"/>
  <c r="BQ59" s="1"/>
  <c r="BS58"/>
  <c r="BS59" s="1"/>
  <c r="BU58"/>
  <c r="BU59" s="1"/>
  <c r="BW58"/>
  <c r="BW59" s="1"/>
  <c r="BY58"/>
  <c r="BY59" s="1"/>
  <c r="CA58"/>
  <c r="CA59" s="1"/>
  <c r="CC58"/>
  <c r="CC59" s="1"/>
  <c r="L380" i="107"/>
  <c r="K19" i="19139" s="1"/>
  <c r="D19"/>
  <c r="L381" i="107"/>
  <c r="L19" i="19139" s="1"/>
  <c r="M58"/>
  <c r="M59" s="1"/>
  <c r="O58"/>
  <c r="O59" s="1"/>
  <c r="Q58"/>
  <c r="Q59" s="1"/>
  <c r="G389" i="107"/>
  <c r="G23" i="19139" s="1"/>
  <c r="G102" s="1"/>
  <c r="H389" i="107"/>
  <c r="H23" i="19139" s="1"/>
  <c r="H102" s="1"/>
  <c r="H388" i="107"/>
  <c r="H22" i="19139" s="1"/>
  <c r="I66" s="1"/>
  <c r="G386" i="107"/>
  <c r="G20" i="19139" s="1"/>
  <c r="G32" s="1"/>
  <c r="H386" i="107"/>
  <c r="H20" i="19139" s="1"/>
  <c r="H32" s="1"/>
  <c r="H387" i="107"/>
  <c r="H21" i="19139" s="1"/>
  <c r="H66" s="1"/>
  <c r="I389" i="107"/>
  <c r="I23" i="19139" s="1"/>
  <c r="I102" s="1"/>
  <c r="J389" i="107"/>
  <c r="J23" i="19139" s="1"/>
  <c r="J102" s="1"/>
  <c r="J388" i="107"/>
  <c r="J22" i="19139" s="1"/>
  <c r="K66" s="1"/>
  <c r="I386" i="107"/>
  <c r="I20" i="19139" s="1"/>
  <c r="I32" s="1"/>
  <c r="J386" i="107"/>
  <c r="J20" i="19139" s="1"/>
  <c r="J32" s="1"/>
  <c r="J387" i="107"/>
  <c r="J21" i="19139" s="1"/>
  <c r="J66" s="1"/>
  <c r="K389" i="107"/>
  <c r="K23" i="19139" s="1"/>
  <c r="K102" s="1"/>
  <c r="L389" i="107"/>
  <c r="L23" i="19139" s="1"/>
  <c r="L102" s="1"/>
  <c r="L388" i="107"/>
  <c r="L22" i="19139" s="1"/>
  <c r="M66" s="1"/>
  <c r="K386" i="107"/>
  <c r="K20" i="19139" s="1"/>
  <c r="K32" s="1"/>
  <c r="L386" i="107"/>
  <c r="L20" i="19139" s="1"/>
  <c r="L32" s="1"/>
  <c r="L387" i="107"/>
  <c r="L21" i="19139" s="1"/>
  <c r="L66" s="1"/>
  <c r="M389" i="107"/>
  <c r="M23" i="19139" s="1"/>
  <c r="M102" s="1"/>
  <c r="N389" i="107"/>
  <c r="N23" i="19139" s="1"/>
  <c r="N102" s="1"/>
  <c r="N388" i="107"/>
  <c r="N22" i="19139" s="1"/>
  <c r="O66" s="1"/>
  <c r="M386" i="107"/>
  <c r="M20" i="19139" s="1"/>
  <c r="M32" s="1"/>
  <c r="N386" i="107"/>
  <c r="N20" i="19139" s="1"/>
  <c r="N32" s="1"/>
  <c r="N387" i="107"/>
  <c r="N21" i="19139" s="1"/>
  <c r="N66" s="1"/>
  <c r="O389" i="107"/>
  <c r="O23" i="19139" s="1"/>
  <c r="O102" s="1"/>
  <c r="P389" i="107"/>
  <c r="P23" i="19139" s="1"/>
  <c r="P102" s="1"/>
  <c r="P388" i="107"/>
  <c r="P22" i="19139" s="1"/>
  <c r="Q66" s="1"/>
  <c r="O386" i="107"/>
  <c r="O20" i="19139" s="1"/>
  <c r="O32" s="1"/>
  <c r="P386" i="107"/>
  <c r="P20" i="19139" s="1"/>
  <c r="P32" s="1"/>
  <c r="P387" i="107"/>
  <c r="P21" i="19139" s="1"/>
  <c r="P66" s="1"/>
  <c r="F389" i="107"/>
  <c r="F23" i="19139" s="1"/>
  <c r="F102" s="1"/>
  <c r="F388" i="107"/>
  <c r="F22" i="19139" s="1"/>
  <c r="G66" s="1"/>
  <c r="F386" i="107"/>
  <c r="F20" i="19139" s="1"/>
  <c r="F32" s="1"/>
  <c r="F387" i="107"/>
  <c r="F21" i="19139" s="1"/>
  <c r="F66" s="1"/>
  <c r="R388" i="107"/>
  <c r="R22" i="19139" s="1"/>
  <c r="S66" s="1"/>
  <c r="Q389" i="107"/>
  <c r="Q23" i="19139" s="1"/>
  <c r="Q102" s="1"/>
  <c r="R389" i="107"/>
  <c r="R23" i="19139" s="1"/>
  <c r="R102" s="1"/>
  <c r="Q386" i="107"/>
  <c r="Q20" i="19139" s="1"/>
  <c r="Q32" s="1"/>
  <c r="R386" i="107"/>
  <c r="R20" i="19139" s="1"/>
  <c r="R32" s="1"/>
  <c r="R387" i="107"/>
  <c r="R21" i="19139" s="1"/>
  <c r="R66" s="1"/>
  <c r="T388" i="107"/>
  <c r="T22" i="19139" s="1"/>
  <c r="U66" s="1"/>
  <c r="S389" i="107"/>
  <c r="S23" i="19139" s="1"/>
  <c r="S102" s="1"/>
  <c r="T389" i="107"/>
  <c r="T23" i="19139" s="1"/>
  <c r="T102" s="1"/>
  <c r="S386" i="107"/>
  <c r="S20" i="19139" s="1"/>
  <c r="S32" s="1"/>
  <c r="T386" i="107"/>
  <c r="T20" i="19139" s="1"/>
  <c r="T32" s="1"/>
  <c r="T387" i="107"/>
  <c r="T21" i="19139" s="1"/>
  <c r="T66" s="1"/>
  <c r="V388" i="107"/>
  <c r="V22" i="19139" s="1"/>
  <c r="W66" s="1"/>
  <c r="U389" i="107"/>
  <c r="U23" i="19139" s="1"/>
  <c r="U102" s="1"/>
  <c r="V389" i="107"/>
  <c r="V23" i="19139" s="1"/>
  <c r="V102" s="1"/>
  <c r="U386" i="107"/>
  <c r="U20" i="19139" s="1"/>
  <c r="U32" s="1"/>
  <c r="V386" i="107"/>
  <c r="V20" i="19139" s="1"/>
  <c r="V32" s="1"/>
  <c r="V387" i="107"/>
  <c r="V21" i="19139" s="1"/>
  <c r="V66" s="1"/>
  <c r="X388" i="107"/>
  <c r="X22" i="19139" s="1"/>
  <c r="Y66" s="1"/>
  <c r="W389" i="107"/>
  <c r="W23" i="19139" s="1"/>
  <c r="W102" s="1"/>
  <c r="X389" i="107"/>
  <c r="X23" i="19139" s="1"/>
  <c r="X102" s="1"/>
  <c r="W386" i="107"/>
  <c r="W20" i="19139" s="1"/>
  <c r="W32" s="1"/>
  <c r="X386" i="107"/>
  <c r="X20" i="19139" s="1"/>
  <c r="X32" s="1"/>
  <c r="X387" i="107"/>
  <c r="X21" i="19139" s="1"/>
  <c r="X66" s="1"/>
  <c r="Z388" i="107"/>
  <c r="Z22" i="19139" s="1"/>
  <c r="AA66" s="1"/>
  <c r="Y389" i="107"/>
  <c r="Y23" i="19139" s="1"/>
  <c r="Y102" s="1"/>
  <c r="Z389" i="107"/>
  <c r="Z23" i="19139" s="1"/>
  <c r="Z102" s="1"/>
  <c r="Y386" i="107"/>
  <c r="Y20" i="19139" s="1"/>
  <c r="Y32" s="1"/>
  <c r="Z386" i="107"/>
  <c r="Z20" i="19139" s="1"/>
  <c r="Z32" s="1"/>
  <c r="Z387" i="107"/>
  <c r="Z21" i="19139" s="1"/>
  <c r="Z66" s="1"/>
  <c r="AB388" i="107"/>
  <c r="AB22" i="19139" s="1"/>
  <c r="AC66" s="1"/>
  <c r="AA389" i="107"/>
  <c r="AA23" i="19139" s="1"/>
  <c r="AA102" s="1"/>
  <c r="AB389" i="107"/>
  <c r="AB23" i="19139" s="1"/>
  <c r="AB102" s="1"/>
  <c r="AA386" i="107"/>
  <c r="AA20" i="19139" s="1"/>
  <c r="AA32" s="1"/>
  <c r="AB386" i="107"/>
  <c r="AB20" i="19139" s="1"/>
  <c r="AB32" s="1"/>
  <c r="AB387" i="107"/>
  <c r="AB21" i="19139" s="1"/>
  <c r="AB66" s="1"/>
  <c r="AD388" i="107"/>
  <c r="AD22" i="19139" s="1"/>
  <c r="AE66" s="1"/>
  <c r="AC389" i="107"/>
  <c r="AC23" i="19139" s="1"/>
  <c r="AC102" s="1"/>
  <c r="AD389" i="107"/>
  <c r="AD23" i="19139" s="1"/>
  <c r="AD102" s="1"/>
  <c r="AC386" i="107"/>
  <c r="AC20" i="19139" s="1"/>
  <c r="AC32" s="1"/>
  <c r="AD386" i="107"/>
  <c r="AD20" i="19139" s="1"/>
  <c r="AD32" s="1"/>
  <c r="AD387" i="107"/>
  <c r="AD21" i="19139" s="1"/>
  <c r="AD66" s="1"/>
  <c r="AF388" i="107"/>
  <c r="AF22" i="19139" s="1"/>
  <c r="AG66" s="1"/>
  <c r="AE389" i="107"/>
  <c r="AE23" i="19139" s="1"/>
  <c r="AE102" s="1"/>
  <c r="AF389" i="107"/>
  <c r="AF23" i="19139" s="1"/>
  <c r="AF102" s="1"/>
  <c r="AE386" i="107"/>
  <c r="AE20" i="19139" s="1"/>
  <c r="AE32" s="1"/>
  <c r="AF386" i="107"/>
  <c r="AF20" i="19139" s="1"/>
  <c r="AF32" s="1"/>
  <c r="AF387" i="107"/>
  <c r="AF21" i="19139" s="1"/>
  <c r="AF66" s="1"/>
  <c r="AH388" i="107"/>
  <c r="AH22" i="19139" s="1"/>
  <c r="AI66" s="1"/>
  <c r="AG389" i="107"/>
  <c r="AG23" i="19139" s="1"/>
  <c r="AG102" s="1"/>
  <c r="AH389" i="107"/>
  <c r="AH23" i="19139" s="1"/>
  <c r="AH102" s="1"/>
  <c r="AG386" i="107"/>
  <c r="AG20" i="19139" s="1"/>
  <c r="AG32" s="1"/>
  <c r="AH386" i="107"/>
  <c r="AH20" i="19139" s="1"/>
  <c r="AH32" s="1"/>
  <c r="AH387" i="107"/>
  <c r="AH21" i="19139" s="1"/>
  <c r="AH66" s="1"/>
  <c r="AJ388" i="107"/>
  <c r="AJ22" i="19139" s="1"/>
  <c r="AK66" s="1"/>
  <c r="AI389" i="107"/>
  <c r="AI23" i="19139" s="1"/>
  <c r="AI102" s="1"/>
  <c r="AJ389" i="107"/>
  <c r="AJ23" i="19139" s="1"/>
  <c r="AJ102" s="1"/>
  <c r="AI386" i="107"/>
  <c r="AI20" i="19139" s="1"/>
  <c r="AI32" s="1"/>
  <c r="AJ386" i="107"/>
  <c r="AJ20" i="19139" s="1"/>
  <c r="AJ32" s="1"/>
  <c r="AJ387" i="107"/>
  <c r="AJ21" i="19139" s="1"/>
  <c r="AJ66" s="1"/>
  <c r="AL388" i="107"/>
  <c r="AL22" i="19139" s="1"/>
  <c r="AM66" s="1"/>
  <c r="AK389" i="107"/>
  <c r="AK23" i="19139" s="1"/>
  <c r="AK102" s="1"/>
  <c r="AL389" i="107"/>
  <c r="AL23" i="19139" s="1"/>
  <c r="AL102" s="1"/>
  <c r="AK386" i="107"/>
  <c r="AK20" i="19139" s="1"/>
  <c r="AK32" s="1"/>
  <c r="AL386" i="107"/>
  <c r="AL20" i="19139" s="1"/>
  <c r="AL32" s="1"/>
  <c r="AL387" i="107"/>
  <c r="AL21" i="19139" s="1"/>
  <c r="AL66" s="1"/>
  <c r="AN388" i="107"/>
  <c r="AN22" i="19139" s="1"/>
  <c r="AO66" s="1"/>
  <c r="AM389" i="107"/>
  <c r="AM23" i="19139" s="1"/>
  <c r="AM102" s="1"/>
  <c r="AN389" i="107"/>
  <c r="AN23" i="19139" s="1"/>
  <c r="AN102" s="1"/>
  <c r="AM386" i="107"/>
  <c r="AM20" i="19139" s="1"/>
  <c r="AM32" s="1"/>
  <c r="AN386" i="107"/>
  <c r="AN20" i="19139" s="1"/>
  <c r="AN32" s="1"/>
  <c r="AN387" i="107"/>
  <c r="AN21" i="19139" s="1"/>
  <c r="AN66" s="1"/>
  <c r="AP388" i="107"/>
  <c r="AP22" i="19139" s="1"/>
  <c r="AQ66" s="1"/>
  <c r="AO389" i="107"/>
  <c r="AO23" i="19139" s="1"/>
  <c r="AO102" s="1"/>
  <c r="AP389" i="107"/>
  <c r="AP23" i="19139" s="1"/>
  <c r="AP102" s="1"/>
  <c r="AO386" i="107"/>
  <c r="AO20" i="19139" s="1"/>
  <c r="AO32" s="1"/>
  <c r="AP386" i="107"/>
  <c r="AP20" i="19139" s="1"/>
  <c r="AP32" s="1"/>
  <c r="AP387" i="107"/>
  <c r="AP21" i="19139" s="1"/>
  <c r="AP66" s="1"/>
  <c r="AR388" i="107"/>
  <c r="AR22" i="19139" s="1"/>
  <c r="AS66" s="1"/>
  <c r="AQ389" i="107"/>
  <c r="AQ23" i="19139" s="1"/>
  <c r="AQ102" s="1"/>
  <c r="AR389" i="107"/>
  <c r="AR23" i="19139" s="1"/>
  <c r="AR102" s="1"/>
  <c r="AQ386" i="107"/>
  <c r="AQ20" i="19139" s="1"/>
  <c r="AQ32" s="1"/>
  <c r="AR386" i="107"/>
  <c r="AR20" i="19139" s="1"/>
  <c r="AR32" s="1"/>
  <c r="AR387" i="107"/>
  <c r="AR21" i="19139" s="1"/>
  <c r="AR66" s="1"/>
  <c r="AT388" i="107"/>
  <c r="AT22" i="19139" s="1"/>
  <c r="AU66" s="1"/>
  <c r="AS389" i="107"/>
  <c r="AS23" i="19139" s="1"/>
  <c r="AS102" s="1"/>
  <c r="AT389" i="107"/>
  <c r="AT23" i="19139" s="1"/>
  <c r="AT102" s="1"/>
  <c r="AS386" i="107"/>
  <c r="AS20" i="19139" s="1"/>
  <c r="AS32" s="1"/>
  <c r="AT386" i="107"/>
  <c r="AT20" i="19139" s="1"/>
  <c r="AT32" s="1"/>
  <c r="AT387" i="107"/>
  <c r="AT21" i="19139" s="1"/>
  <c r="AT66" s="1"/>
  <c r="AV388" i="107"/>
  <c r="AV22" i="19139" s="1"/>
  <c r="AW66" s="1"/>
  <c r="AU389" i="107"/>
  <c r="AU23" i="19139" s="1"/>
  <c r="AU102" s="1"/>
  <c r="AV389" i="107"/>
  <c r="AV23" i="19139" s="1"/>
  <c r="AV102" s="1"/>
  <c r="AU386" i="107"/>
  <c r="AU20" i="19139" s="1"/>
  <c r="AU32" s="1"/>
  <c r="AV386" i="107"/>
  <c r="AV20" i="19139" s="1"/>
  <c r="AV32" s="1"/>
  <c r="AV387" i="107"/>
  <c r="AV21" i="19139" s="1"/>
  <c r="AV66" s="1"/>
  <c r="AX388" i="107"/>
  <c r="AX22" i="19139" s="1"/>
  <c r="AY66" s="1"/>
  <c r="AW389" i="107"/>
  <c r="AW23" i="19139" s="1"/>
  <c r="AW102" s="1"/>
  <c r="AX389" i="107"/>
  <c r="AX23" i="19139" s="1"/>
  <c r="AX102" s="1"/>
  <c r="AW386" i="107"/>
  <c r="AW20" i="19139" s="1"/>
  <c r="AW32" s="1"/>
  <c r="AX386" i="107"/>
  <c r="AX20" i="19139" s="1"/>
  <c r="AX32" s="1"/>
  <c r="AX387" i="107"/>
  <c r="AX21" i="19139" s="1"/>
  <c r="AX66" s="1"/>
  <c r="AZ388" i="107"/>
  <c r="AZ22" i="19139" s="1"/>
  <c r="BA66" s="1"/>
  <c r="AY389" i="107"/>
  <c r="AY23" i="19139" s="1"/>
  <c r="AY102" s="1"/>
  <c r="AZ389" i="107"/>
  <c r="AZ23" i="19139" s="1"/>
  <c r="AZ102" s="1"/>
  <c r="AY386" i="107"/>
  <c r="AY20" i="19139" s="1"/>
  <c r="AY32" s="1"/>
  <c r="AZ386" i="107"/>
  <c r="AZ20" i="19139" s="1"/>
  <c r="AZ32" s="1"/>
  <c r="AZ387" i="107"/>
  <c r="AZ21" i="19139" s="1"/>
  <c r="AZ66" s="1"/>
  <c r="BB388" i="107"/>
  <c r="BB22" i="19139" s="1"/>
  <c r="BC66" s="1"/>
  <c r="BA389" i="107"/>
  <c r="BA23" i="19139" s="1"/>
  <c r="BA102" s="1"/>
  <c r="BB389" i="107"/>
  <c r="BB23" i="19139" s="1"/>
  <c r="BB102" s="1"/>
  <c r="BA386" i="107"/>
  <c r="BA20" i="19139" s="1"/>
  <c r="BA32" s="1"/>
  <c r="BB386" i="107"/>
  <c r="BB20" i="19139" s="1"/>
  <c r="BB32" s="1"/>
  <c r="BB387" i="107"/>
  <c r="BB21" i="19139" s="1"/>
  <c r="BB66" s="1"/>
  <c r="BD388" i="107"/>
  <c r="BD22" i="19139" s="1"/>
  <c r="BE66" s="1"/>
  <c r="BC389" i="107"/>
  <c r="BC23" i="19139" s="1"/>
  <c r="BC102" s="1"/>
  <c r="BD389" i="107"/>
  <c r="BD23" i="19139" s="1"/>
  <c r="BD102" s="1"/>
  <c r="BC386" i="107"/>
  <c r="BC20" i="19139" s="1"/>
  <c r="BC32" s="1"/>
  <c r="BD386" i="107"/>
  <c r="BD20" i="19139" s="1"/>
  <c r="BD32" s="1"/>
  <c r="BD387" i="107"/>
  <c r="BD21" i="19139" s="1"/>
  <c r="BD66" s="1"/>
  <c r="BF388" i="107"/>
  <c r="BF22" i="19139" s="1"/>
  <c r="BG66" s="1"/>
  <c r="BE389" i="107"/>
  <c r="BE23" i="19139" s="1"/>
  <c r="BE102" s="1"/>
  <c r="BF389" i="107"/>
  <c r="BF23" i="19139" s="1"/>
  <c r="BF102" s="1"/>
  <c r="BE386" i="107"/>
  <c r="BE20" i="19139" s="1"/>
  <c r="BE32" s="1"/>
  <c r="BF386" i="107"/>
  <c r="BF20" i="19139" s="1"/>
  <c r="BF32" s="1"/>
  <c r="BF387" i="107"/>
  <c r="BF21" i="19139" s="1"/>
  <c r="BF66" s="1"/>
  <c r="BH388" i="107"/>
  <c r="BH22" i="19139" s="1"/>
  <c r="BI66" s="1"/>
  <c r="BG389" i="107"/>
  <c r="BG23" i="19139" s="1"/>
  <c r="BG102" s="1"/>
  <c r="BH389" i="107"/>
  <c r="BH23" i="19139" s="1"/>
  <c r="BH102" s="1"/>
  <c r="BG386" i="107"/>
  <c r="BG20" i="19139" s="1"/>
  <c r="BG32" s="1"/>
  <c r="BH386" i="107"/>
  <c r="BH20" i="19139" s="1"/>
  <c r="BH32" s="1"/>
  <c r="BH387" i="107"/>
  <c r="BH21" i="19139" s="1"/>
  <c r="BH66" s="1"/>
  <c r="BJ388" i="107"/>
  <c r="BJ22" i="19139" s="1"/>
  <c r="BK66" s="1"/>
  <c r="BI389" i="107"/>
  <c r="BI23" i="19139" s="1"/>
  <c r="BI102" s="1"/>
  <c r="BJ389" i="107"/>
  <c r="BJ23" i="19139" s="1"/>
  <c r="BJ102" s="1"/>
  <c r="BI386" i="107"/>
  <c r="BI20" i="19139" s="1"/>
  <c r="BI32" s="1"/>
  <c r="BJ386" i="107"/>
  <c r="BJ20" i="19139" s="1"/>
  <c r="BJ32" s="1"/>
  <c r="BJ387" i="107"/>
  <c r="BJ21" i="19139" s="1"/>
  <c r="BJ66" s="1"/>
  <c r="BL388" i="107"/>
  <c r="BL22" i="19139" s="1"/>
  <c r="BM66" s="1"/>
  <c r="BK389" i="107"/>
  <c r="BK23" i="19139" s="1"/>
  <c r="BK102" s="1"/>
  <c r="BL389" i="107"/>
  <c r="BL23" i="19139" s="1"/>
  <c r="BL102" s="1"/>
  <c r="BK386" i="107"/>
  <c r="BK20" i="19139" s="1"/>
  <c r="BK32" s="1"/>
  <c r="BL386" i="107"/>
  <c r="BL20" i="19139" s="1"/>
  <c r="BL32" s="1"/>
  <c r="BL387" i="107"/>
  <c r="BL21" i="19139" s="1"/>
  <c r="BL66" s="1"/>
  <c r="BN388" i="107"/>
  <c r="BN22" i="19139" s="1"/>
  <c r="BO66" s="1"/>
  <c r="BM389" i="107"/>
  <c r="BM23" i="19139" s="1"/>
  <c r="BM102" s="1"/>
  <c r="BN389" i="107"/>
  <c r="BN23" i="19139" s="1"/>
  <c r="BN102" s="1"/>
  <c r="BM386" i="107"/>
  <c r="BM20" i="19139" s="1"/>
  <c r="BM32" s="1"/>
  <c r="BN386" i="107"/>
  <c r="BN20" i="19139" s="1"/>
  <c r="BN32" s="1"/>
  <c r="BN387" i="107"/>
  <c r="BN21" i="19139" s="1"/>
  <c r="BN66" s="1"/>
  <c r="BP388" i="107"/>
  <c r="BP22" i="19139" s="1"/>
  <c r="BQ66" s="1"/>
  <c r="BO389" i="107"/>
  <c r="BO23" i="19139" s="1"/>
  <c r="BO102" s="1"/>
  <c r="BP389" i="107"/>
  <c r="BP23" i="19139" s="1"/>
  <c r="BP102" s="1"/>
  <c r="BO386" i="107"/>
  <c r="BO20" i="19139" s="1"/>
  <c r="BO32" s="1"/>
  <c r="BP386" i="107"/>
  <c r="BP20" i="19139" s="1"/>
  <c r="BP32" s="1"/>
  <c r="BP387" i="107"/>
  <c r="BP21" i="19139" s="1"/>
  <c r="BP66" s="1"/>
  <c r="BR388" i="107"/>
  <c r="BR22" i="19139" s="1"/>
  <c r="BS66" s="1"/>
  <c r="BQ389" i="107"/>
  <c r="BQ23" i="19139" s="1"/>
  <c r="BQ102" s="1"/>
  <c r="BR389" i="107"/>
  <c r="BR23" i="19139" s="1"/>
  <c r="BR102" s="1"/>
  <c r="BQ386" i="107"/>
  <c r="BQ20" i="19139" s="1"/>
  <c r="BQ32" s="1"/>
  <c r="BR386" i="107"/>
  <c r="BR20" i="19139" s="1"/>
  <c r="BR32" s="1"/>
  <c r="BR387" i="107"/>
  <c r="BR21" i="19139" s="1"/>
  <c r="BR66" s="1"/>
  <c r="BT388" i="107"/>
  <c r="BT22" i="19139" s="1"/>
  <c r="BU66" s="1"/>
  <c r="BS389" i="107"/>
  <c r="BS23" i="19139" s="1"/>
  <c r="BS102" s="1"/>
  <c r="BT389" i="107"/>
  <c r="BT23" i="19139" s="1"/>
  <c r="BT102" s="1"/>
  <c r="BS386" i="107"/>
  <c r="BS20" i="19139" s="1"/>
  <c r="BS32" s="1"/>
  <c r="BT386" i="107"/>
  <c r="BT20" i="19139" s="1"/>
  <c r="BT32" s="1"/>
  <c r="BT387" i="107"/>
  <c r="BT21" i="19139" s="1"/>
  <c r="BT66" s="1"/>
  <c r="BV388" i="107"/>
  <c r="BV22" i="19139" s="1"/>
  <c r="BW66" s="1"/>
  <c r="BU389" i="107"/>
  <c r="BU23" i="19139" s="1"/>
  <c r="BU102" s="1"/>
  <c r="BV389" i="107"/>
  <c r="BV23" i="19139" s="1"/>
  <c r="BV102" s="1"/>
  <c r="BU386" i="107"/>
  <c r="BU20" i="19139" s="1"/>
  <c r="BU32" s="1"/>
  <c r="BV386" i="107"/>
  <c r="BV20" i="19139" s="1"/>
  <c r="BV32" s="1"/>
  <c r="BV387" i="107"/>
  <c r="BV21" i="19139" s="1"/>
  <c r="BV66" s="1"/>
  <c r="BX388" i="107"/>
  <c r="BX22" i="19139" s="1"/>
  <c r="BY66" s="1"/>
  <c r="BW389" i="107"/>
  <c r="BW23" i="19139" s="1"/>
  <c r="BW102" s="1"/>
  <c r="BX389" i="107"/>
  <c r="BX23" i="19139" s="1"/>
  <c r="BX102" s="1"/>
  <c r="BW386" i="107"/>
  <c r="BW20" i="19139" s="1"/>
  <c r="BW32" s="1"/>
  <c r="BX386" i="107"/>
  <c r="BX20" i="19139" s="1"/>
  <c r="BX32" s="1"/>
  <c r="BX387" i="107"/>
  <c r="BX21" i="19139" s="1"/>
  <c r="BX66" s="1"/>
  <c r="BZ388" i="107"/>
  <c r="BZ22" i="19139" s="1"/>
  <c r="CA66" s="1"/>
  <c r="BY389" i="107"/>
  <c r="BY23" i="19139" s="1"/>
  <c r="BY102" s="1"/>
  <c r="BZ389" i="107"/>
  <c r="BZ23" i="19139" s="1"/>
  <c r="BZ102" s="1"/>
  <c r="BY386" i="107"/>
  <c r="BY20" i="19139" s="1"/>
  <c r="BY32" s="1"/>
  <c r="BZ386" i="107"/>
  <c r="BZ20" i="19139" s="1"/>
  <c r="BZ32" s="1"/>
  <c r="BZ387" i="107"/>
  <c r="BZ21" i="19139" s="1"/>
  <c r="BZ66" s="1"/>
  <c r="CB388" i="107"/>
  <c r="CB22" i="19139" s="1"/>
  <c r="CC66" s="1"/>
  <c r="CA389" i="107"/>
  <c r="CA23" i="19139" s="1"/>
  <c r="CA102" s="1"/>
  <c r="CB389" i="107"/>
  <c r="CB23" i="19139" s="1"/>
  <c r="CB102" s="1"/>
  <c r="CA386" i="107"/>
  <c r="CA20" i="19139" s="1"/>
  <c r="CA32" s="1"/>
  <c r="CB386" i="107"/>
  <c r="CB20" i="19139" s="1"/>
  <c r="CB32" s="1"/>
  <c r="CB387" i="107"/>
  <c r="CB21" i="19139" s="1"/>
  <c r="CB66" s="1"/>
  <c r="CD388" i="107"/>
  <c r="CD22" i="19139" s="1"/>
  <c r="CE66" s="1"/>
  <c r="CC389" i="107"/>
  <c r="CC23" i="19139" s="1"/>
  <c r="CC102" s="1"/>
  <c r="CD389" i="107"/>
  <c r="CD23" i="19139" s="1"/>
  <c r="CD102" s="1"/>
  <c r="CC386" i="107"/>
  <c r="CC20" i="19139" s="1"/>
  <c r="CC32" s="1"/>
  <c r="CD386" i="107"/>
  <c r="CD20" i="19139" s="1"/>
  <c r="CD32" s="1"/>
  <c r="CD387" i="107"/>
  <c r="CD21" i="19139" s="1"/>
  <c r="CD66" s="1"/>
  <c r="C388" i="107"/>
  <c r="C22" i="19139" s="1"/>
  <c r="C66" s="1"/>
  <c r="D388" i="107"/>
  <c r="D22" i="19139" s="1"/>
  <c r="E66" s="1"/>
  <c r="E389" i="107"/>
  <c r="E23" i="19139" s="1"/>
  <c r="E102" s="1"/>
  <c r="E386" i="107"/>
  <c r="E20" i="19139" s="1"/>
  <c r="E32" s="1"/>
  <c r="D389" i="107"/>
  <c r="D23" i="19139" s="1"/>
  <c r="D102" s="1"/>
  <c r="C389" i="107"/>
  <c r="C23" i="19139" s="1"/>
  <c r="C102" s="1"/>
  <c r="D386" i="107"/>
  <c r="D20" i="19139" s="1"/>
  <c r="D32" s="1"/>
  <c r="C386" i="107"/>
  <c r="C20" i="19139" s="1"/>
  <c r="C32" s="1"/>
  <c r="C387" i="107"/>
  <c r="C21" i="19139" s="1"/>
  <c r="B66" s="1"/>
  <c r="D387" i="107"/>
  <c r="D21" i="19139" s="1"/>
  <c r="D66" s="1"/>
  <c r="G374" i="107"/>
  <c r="H374"/>
  <c r="I374"/>
  <c r="J374"/>
  <c r="K374"/>
  <c r="L374"/>
  <c r="M374"/>
  <c r="N374"/>
  <c r="O374"/>
  <c r="P374"/>
  <c r="E374"/>
  <c r="F374"/>
  <c r="Q374"/>
  <c r="R374"/>
  <c r="S374"/>
  <c r="T374"/>
  <c r="U374"/>
  <c r="V374"/>
  <c r="W374"/>
  <c r="X374"/>
  <c r="Y374"/>
  <c r="Z374"/>
  <c r="AA374"/>
  <c r="AB374"/>
  <c r="AC374"/>
  <c r="AD374"/>
  <c r="AE374"/>
  <c r="AF374"/>
  <c r="AG374"/>
  <c r="AH374"/>
  <c r="AI374"/>
  <c r="AJ374"/>
  <c r="AK374"/>
  <c r="AL374"/>
  <c r="AM374"/>
  <c r="AN374"/>
  <c r="AO374"/>
  <c r="AP374"/>
  <c r="AQ374"/>
  <c r="AR374"/>
  <c r="AS374"/>
  <c r="AT374"/>
  <c r="AU374"/>
  <c r="AV374"/>
  <c r="AW374"/>
  <c r="AX374"/>
  <c r="AY374"/>
  <c r="AZ374"/>
  <c r="BA374"/>
  <c r="BB374"/>
  <c r="BC374"/>
  <c r="BD374"/>
  <c r="BE374"/>
  <c r="BF374"/>
  <c r="BG374"/>
  <c r="BH374"/>
  <c r="BI374"/>
  <c r="BJ374"/>
  <c r="BK374"/>
  <c r="BL374"/>
  <c r="BM374"/>
  <c r="BN374"/>
  <c r="BO374"/>
  <c r="BP374"/>
  <c r="BQ374"/>
  <c r="BR374"/>
  <c r="BS374"/>
  <c r="BT374"/>
  <c r="BU374"/>
  <c r="BV374"/>
  <c r="BW374"/>
  <c r="BX374"/>
  <c r="BY374"/>
  <c r="BZ374"/>
  <c r="CA374"/>
  <c r="CB374"/>
  <c r="CC374"/>
  <c r="CD374"/>
  <c r="D374"/>
  <c r="C374"/>
  <c r="D375"/>
  <c r="C375"/>
  <c r="H205" i="19128"/>
  <c r="E211" s="1"/>
  <c r="G400" i="19135"/>
  <c r="E400"/>
  <c r="I332" i="19131"/>
  <c r="H332"/>
  <c r="G332"/>
  <c r="F332"/>
  <c r="E332"/>
  <c r="I333"/>
  <c r="H333"/>
  <c r="G333"/>
  <c r="F333"/>
  <c r="E333"/>
  <c r="E82" i="19130"/>
  <c r="H274" i="19128"/>
  <c r="F225" i="19130"/>
  <c r="A210"/>
  <c r="C282"/>
  <c r="C291" s="1"/>
  <c r="D355" s="1"/>
  <c r="I210"/>
  <c r="H282"/>
  <c r="C294" s="1"/>
  <c r="D322" s="1"/>
  <c r="G218"/>
  <c r="G223"/>
  <c r="D416" i="19129"/>
  <c r="C52" i="19137" s="1"/>
  <c r="E421" i="19129"/>
  <c r="E422" s="1"/>
  <c r="H442" s="1"/>
  <c r="I109" i="19135"/>
  <c r="H109"/>
  <c r="G109"/>
  <c r="F109"/>
  <c r="E109"/>
  <c r="C400"/>
  <c r="C396"/>
  <c r="E359"/>
  <c r="G359" s="1"/>
  <c r="E358"/>
  <c r="G358" s="1"/>
  <c r="G325"/>
  <c r="B333" s="1"/>
  <c r="D333" s="1"/>
  <c r="G324"/>
  <c r="B334" s="1"/>
  <c r="D334" s="1"/>
  <c r="I321"/>
  <c r="I322"/>
  <c r="H416" i="19136"/>
  <c r="F427" s="1"/>
  <c r="P181"/>
  <c r="P103"/>
  <c r="H90"/>
  <c r="P31"/>
  <c r="H417"/>
  <c r="A427" s="1"/>
  <c r="Q181"/>
  <c r="Q103"/>
  <c r="B90"/>
  <c r="Q31"/>
  <c r="O187"/>
  <c r="O109"/>
  <c r="O37"/>
  <c r="D377"/>
  <c r="D384"/>
  <c r="D376"/>
  <c r="D383"/>
  <c r="L310" i="19134"/>
  <c r="C1108"/>
  <c r="B64"/>
  <c r="B1068" i="19129"/>
  <c r="L1186" i="19134"/>
  <c r="L443"/>
  <c r="L691"/>
  <c r="L943"/>
  <c r="I1380"/>
  <c r="I319" i="19142" s="1"/>
  <c r="I1364" i="19134"/>
  <c r="I301" i="19142" s="1"/>
  <c r="A922" i="19134"/>
  <c r="A1036"/>
  <c r="B958"/>
  <c r="B891"/>
  <c r="L1296"/>
  <c r="L1046"/>
  <c r="L800"/>
  <c r="L556"/>
  <c r="T813"/>
  <c r="R813"/>
  <c r="G287" i="19135"/>
  <c r="F287"/>
  <c r="E287"/>
  <c r="D287"/>
  <c r="C287"/>
  <c r="A246" i="19129"/>
  <c r="BD246" s="1"/>
  <c r="C445" i="19131"/>
  <c r="B445"/>
  <c r="A446"/>
  <c r="H380" i="107" l="1"/>
  <c r="G19" i="19139" s="1"/>
  <c r="E374" i="19135"/>
  <c r="G362"/>
  <c r="I362" s="1"/>
  <c r="A374"/>
  <c r="A371" i="19131"/>
  <c r="D375"/>
  <c r="A375"/>
  <c r="C19" i="19139"/>
  <c r="M1369" i="19130"/>
  <c r="J319" i="19142" s="1"/>
  <c r="I708" i="19134"/>
  <c r="G100" i="107"/>
  <c r="G101" s="1"/>
  <c r="AQ365"/>
  <c r="AQ12" i="19139" s="1"/>
  <c r="AA365" i="107"/>
  <c r="AA12" i="19139" s="1"/>
  <c r="E365" i="107"/>
  <c r="E12" i="19139" s="1"/>
  <c r="E58" s="1"/>
  <c r="E59" s="1"/>
  <c r="Y365" i="107"/>
  <c r="Y12" i="19139" s="1"/>
  <c r="BI365" i="107"/>
  <c r="BI12" i="19139" s="1"/>
  <c r="AE365" i="107"/>
  <c r="AE12" i="19139" s="1"/>
  <c r="BW365" i="107"/>
  <c r="BW12" i="19139" s="1"/>
  <c r="AY365" i="107"/>
  <c r="AY12" i="19139" s="1"/>
  <c r="CC365" i="107"/>
  <c r="CC12" i="19139" s="1"/>
  <c r="Q365" i="107"/>
  <c r="Q12" i="19139" s="1"/>
  <c r="BA365" i="107"/>
  <c r="BA12" i="19139" s="1"/>
  <c r="C365" i="107"/>
  <c r="C12" i="19139" s="1"/>
  <c r="I282" s="1"/>
  <c r="W365" i="107"/>
  <c r="W12" i="19139" s="1"/>
  <c r="S365" i="107"/>
  <c r="S12" i="19139" s="1"/>
  <c r="BU365" i="107"/>
  <c r="BU12" i="19139" s="1"/>
  <c r="I365" i="107"/>
  <c r="I12" i="19139" s="1"/>
  <c r="I58" s="1"/>
  <c r="I59" s="1"/>
  <c r="AS365" i="107"/>
  <c r="AS12" i="19139" s="1"/>
  <c r="CA365" i="107"/>
  <c r="CA12" i="19139" s="1"/>
  <c r="O365" i="107"/>
  <c r="O12" i="19139" s="1"/>
  <c r="BO365" i="107"/>
  <c r="BO12" i="19139" s="1"/>
  <c r="BM365" i="107"/>
  <c r="BM12" i="19139" s="1"/>
  <c r="F128" i="107"/>
  <c r="H152" s="1"/>
  <c r="A160" s="1"/>
  <c r="AK365"/>
  <c r="AK12" i="19139" s="1"/>
  <c r="BS365" i="107"/>
  <c r="BS12" i="19139" s="1"/>
  <c r="AI365" i="107"/>
  <c r="AI12" i="19139" s="1"/>
  <c r="BE365" i="107"/>
  <c r="BE12" i="19139" s="1"/>
  <c r="AC365" i="107"/>
  <c r="AC12" i="19139" s="1"/>
  <c r="BK365" i="107"/>
  <c r="BK12" i="19139" s="1"/>
  <c r="K365" i="107"/>
  <c r="K12" i="19139" s="1"/>
  <c r="K58" s="1"/>
  <c r="K59" s="1"/>
  <c r="BG365" i="107"/>
  <c r="BG12" i="19139" s="1"/>
  <c r="AW365" i="107"/>
  <c r="AW12" i="19139" s="1"/>
  <c r="G365" i="107"/>
  <c r="G12" i="19139" s="1"/>
  <c r="G58" s="1"/>
  <c r="G59" s="1"/>
  <c r="U365" i="107"/>
  <c r="U12" i="19139" s="1"/>
  <c r="BC365" i="107"/>
  <c r="BC12" i="19139" s="1"/>
  <c r="AO365" i="107"/>
  <c r="AO12" i="19139" s="1"/>
  <c r="BY365" i="107"/>
  <c r="BY12" i="19139" s="1"/>
  <c r="M365" i="107"/>
  <c r="M12" i="19139" s="1"/>
  <c r="AU365" i="107"/>
  <c r="AU12" i="19139" s="1"/>
  <c r="AG365" i="107"/>
  <c r="AG12" i="19139" s="1"/>
  <c r="BQ365" i="107"/>
  <c r="BQ12" i="19139" s="1"/>
  <c r="AM365" i="107"/>
  <c r="AM12" i="19139" s="1"/>
  <c r="D604" i="19129"/>
  <c r="D595"/>
  <c r="B541"/>
  <c r="A95" i="19137" s="1"/>
  <c r="G98" s="1"/>
  <c r="B540" i="19129"/>
  <c r="B416"/>
  <c r="A52" i="19137" s="1"/>
  <c r="G55" s="1"/>
  <c r="B415" i="19129"/>
  <c r="AM43" i="19137"/>
  <c r="AS43" s="1"/>
  <c r="Q245" i="19129"/>
  <c r="M245"/>
  <c r="I243"/>
  <c r="L39" i="19137"/>
  <c r="R39" s="1"/>
  <c r="N34"/>
  <c r="F321" i="19134"/>
  <c r="M322" i="19130"/>
  <c r="B330"/>
  <c r="H240" i="19134"/>
  <c r="E279" s="1"/>
  <c r="O8" s="1"/>
  <c r="D236" i="1" s="1"/>
  <c r="L551" i="19130"/>
  <c r="H251" i="19134"/>
  <c r="E280" s="1"/>
  <c r="O9" s="1"/>
  <c r="D237" i="1" s="1"/>
  <c r="L1297" i="19130"/>
  <c r="D541" i="19129"/>
  <c r="F543" s="1"/>
  <c r="L1049" i="19130"/>
  <c r="E546" i="19129"/>
  <c r="E547" s="1"/>
  <c r="H569" s="1"/>
  <c r="AF260"/>
  <c r="AF280"/>
  <c r="AF279"/>
  <c r="AF281"/>
  <c r="AF276"/>
  <c r="AF284"/>
  <c r="AF300"/>
  <c r="AF299"/>
  <c r="AF301"/>
  <c r="AF240"/>
  <c r="AF248"/>
  <c r="AF243"/>
  <c r="AF241"/>
  <c r="AF313"/>
  <c r="AF309"/>
  <c r="AF259"/>
  <c r="AF314"/>
  <c r="AF258"/>
  <c r="AF266"/>
  <c r="AF318"/>
  <c r="AF267"/>
  <c r="AF265"/>
  <c r="AF302"/>
  <c r="AF283"/>
  <c r="AF308"/>
  <c r="AF316"/>
  <c r="AF282"/>
  <c r="AF315"/>
  <c r="AF277"/>
  <c r="AF285"/>
  <c r="AF278"/>
  <c r="AF304"/>
  <c r="AF303"/>
  <c r="AF305"/>
  <c r="AF239"/>
  <c r="AF242"/>
  <c r="AF310"/>
  <c r="AF264"/>
  <c r="AF263"/>
  <c r="AF312"/>
  <c r="AF262"/>
  <c r="AF311"/>
  <c r="AF317"/>
  <c r="AF261"/>
  <c r="D601"/>
  <c r="E606"/>
  <c r="E607" s="1"/>
  <c r="H629" s="1"/>
  <c r="E441"/>
  <c r="E442"/>
  <c r="E443"/>
  <c r="G363" i="19131"/>
  <c r="D367" s="1"/>
  <c r="AF298" i="19129"/>
  <c r="N244"/>
  <c r="O244" s="1"/>
  <c r="L40" i="19137" s="1"/>
  <c r="R40" s="1"/>
  <c r="F451" i="19128"/>
  <c r="C462" s="1"/>
  <c r="B275" i="19142"/>
  <c r="N8" i="19134"/>
  <c r="C236" i="1" s="1"/>
  <c r="A49" i="19140"/>
  <c r="C71"/>
  <c r="B497" i="19136"/>
  <c r="F484"/>
  <c r="F497"/>
  <c r="I497" s="1"/>
  <c r="P31" i="19141"/>
  <c r="P181"/>
  <c r="H416"/>
  <c r="F427" s="1"/>
  <c r="H90"/>
  <c r="P103"/>
  <c r="O109"/>
  <c r="O37"/>
  <c r="O187"/>
  <c r="D384"/>
  <c r="D377"/>
  <c r="D383"/>
  <c r="D376"/>
  <c r="B90"/>
  <c r="Q31"/>
  <c r="Q181"/>
  <c r="H417"/>
  <c r="A427" s="1"/>
  <c r="Q103"/>
  <c r="F702" i="19134"/>
  <c r="S43" i="19136"/>
  <c r="T43" s="1"/>
  <c r="H61" i="19140"/>
  <c r="I58"/>
  <c r="Q310" i="19130"/>
  <c r="R312" s="1"/>
  <c r="U313" s="1"/>
  <c r="B311"/>
  <c r="C313" s="1"/>
  <c r="H701" i="19134"/>
  <c r="I701"/>
  <c r="L245" i="19129"/>
  <c r="U306"/>
  <c r="V306" s="1"/>
  <c r="C246"/>
  <c r="L246" s="1"/>
  <c r="B456"/>
  <c r="C73" i="19137"/>
  <c r="G62"/>
  <c r="H322" i="19129"/>
  <c r="AD245"/>
  <c r="V297"/>
  <c r="V275"/>
  <c r="U286"/>
  <c r="V238"/>
  <c r="V257"/>
  <c r="U268"/>
  <c r="AU283"/>
  <c r="AU308"/>
  <c r="AP308"/>
  <c r="AT308" s="1"/>
  <c r="AU316"/>
  <c r="AP316"/>
  <c r="AQ316" s="1"/>
  <c r="AU282"/>
  <c r="AP315"/>
  <c r="AQ315" s="1"/>
  <c r="AU315"/>
  <c r="AU277"/>
  <c r="AU285"/>
  <c r="AU278"/>
  <c r="AU304"/>
  <c r="AP304"/>
  <c r="AS304" s="1"/>
  <c r="AP303"/>
  <c r="AT303" s="1"/>
  <c r="AU303"/>
  <c r="AP301"/>
  <c r="AS301" s="1"/>
  <c r="AU301"/>
  <c r="AU310"/>
  <c r="AP310"/>
  <c r="AQ310" s="1"/>
  <c r="AU264"/>
  <c r="AU263"/>
  <c r="AU312"/>
  <c r="AP312"/>
  <c r="AQ312" s="1"/>
  <c r="AU262"/>
  <c r="AP311"/>
  <c r="AQ311" s="1"/>
  <c r="AU311"/>
  <c r="AP317"/>
  <c r="AR317" s="1"/>
  <c r="AU317"/>
  <c r="AU261"/>
  <c r="AP298"/>
  <c r="AS298" s="1"/>
  <c r="AU298"/>
  <c r="AU260"/>
  <c r="AU280"/>
  <c r="AU279"/>
  <c r="AU281"/>
  <c r="AU276"/>
  <c r="AU284"/>
  <c r="AP300"/>
  <c r="AT300" s="1"/>
  <c r="AU300"/>
  <c r="AU299"/>
  <c r="AP299"/>
  <c r="AS299" s="1"/>
  <c r="AP305"/>
  <c r="AT305" s="1"/>
  <c r="AU305"/>
  <c r="AP313"/>
  <c r="AQ313" s="1"/>
  <c r="AU313"/>
  <c r="AP309"/>
  <c r="AR309" s="1"/>
  <c r="AU309"/>
  <c r="AU259"/>
  <c r="AU314"/>
  <c r="AP314"/>
  <c r="AS314" s="1"/>
  <c r="AU258"/>
  <c r="AU266"/>
  <c r="AU318"/>
  <c r="AP318"/>
  <c r="AS318" s="1"/>
  <c r="AU267"/>
  <c r="AU265"/>
  <c r="AP302"/>
  <c r="AT302" s="1"/>
  <c r="AU302"/>
  <c r="AP285"/>
  <c r="AS285" s="1"/>
  <c r="AP284"/>
  <c r="AT284" s="1"/>
  <c r="AP283"/>
  <c r="AQ283" s="1"/>
  <c r="AP282"/>
  <c r="AR282" s="1"/>
  <c r="AP281"/>
  <c r="AR281" s="1"/>
  <c r="AP280"/>
  <c r="AT280" s="1"/>
  <c r="AP279"/>
  <c r="AQ279" s="1"/>
  <c r="AP278"/>
  <c r="AS278" s="1"/>
  <c r="AP277"/>
  <c r="AT277" s="1"/>
  <c r="AP276"/>
  <c r="AT276" s="1"/>
  <c r="AP267"/>
  <c r="AR267" s="1"/>
  <c r="AP266"/>
  <c r="AT266" s="1"/>
  <c r="AP265"/>
  <c r="AT265" s="1"/>
  <c r="AP264"/>
  <c r="AR264" s="1"/>
  <c r="AP263"/>
  <c r="AS263" s="1"/>
  <c r="AP262"/>
  <c r="AR262" s="1"/>
  <c r="AP261"/>
  <c r="AS261" s="1"/>
  <c r="AP260"/>
  <c r="AS260" s="1"/>
  <c r="AU248"/>
  <c r="AU243"/>
  <c r="AU242"/>
  <c r="AU241"/>
  <c r="AU240"/>
  <c r="AU239"/>
  <c r="AP259"/>
  <c r="AT259" s="1"/>
  <c r="AP258"/>
  <c r="AT258" s="1"/>
  <c r="AP239"/>
  <c r="AR239" s="1"/>
  <c r="AP242"/>
  <c r="AQ242" s="1"/>
  <c r="AP240"/>
  <c r="AR240" s="1"/>
  <c r="AP248"/>
  <c r="AR248" s="1"/>
  <c r="AP243"/>
  <c r="AR243" s="1"/>
  <c r="AP241"/>
  <c r="AS241" s="1"/>
  <c r="AN308"/>
  <c r="AO308"/>
  <c r="AM308"/>
  <c r="AN316"/>
  <c r="AM316"/>
  <c r="AO316"/>
  <c r="AN315"/>
  <c r="AM315"/>
  <c r="AO315"/>
  <c r="AO304"/>
  <c r="AM304"/>
  <c r="AN304"/>
  <c r="AN303"/>
  <c r="AM303"/>
  <c r="AO303"/>
  <c r="AN301"/>
  <c r="AM301"/>
  <c r="AO301"/>
  <c r="AN310"/>
  <c r="AM310"/>
  <c r="AO310"/>
  <c r="AO264"/>
  <c r="AM264"/>
  <c r="AN264"/>
  <c r="AO263"/>
  <c r="AN263"/>
  <c r="AM263"/>
  <c r="AN312"/>
  <c r="AM312"/>
  <c r="AO312"/>
  <c r="AO262"/>
  <c r="AM262"/>
  <c r="AN262"/>
  <c r="AN311"/>
  <c r="AM311"/>
  <c r="AO311"/>
  <c r="AN317"/>
  <c r="AM317"/>
  <c r="AO317"/>
  <c r="AO261"/>
  <c r="AN261"/>
  <c r="AM261"/>
  <c r="AM298"/>
  <c r="AO298"/>
  <c r="AN298"/>
  <c r="AO260"/>
  <c r="AM260"/>
  <c r="AN260"/>
  <c r="AO300"/>
  <c r="AM300"/>
  <c r="AN300"/>
  <c r="AN299"/>
  <c r="AM299"/>
  <c r="AO299"/>
  <c r="AN305"/>
  <c r="AM305"/>
  <c r="AO305"/>
  <c r="AN313"/>
  <c r="AM313"/>
  <c r="AO313"/>
  <c r="AN309"/>
  <c r="AM309"/>
  <c r="AO309"/>
  <c r="AO259"/>
  <c r="AN259"/>
  <c r="AM259"/>
  <c r="AN314"/>
  <c r="AM314"/>
  <c r="AO314"/>
  <c r="AO258"/>
  <c r="AM258"/>
  <c r="AN258"/>
  <c r="AO266"/>
  <c r="AM266"/>
  <c r="AN266"/>
  <c r="AN318"/>
  <c r="AM318"/>
  <c r="AO318"/>
  <c r="AO267"/>
  <c r="AN267"/>
  <c r="AM267"/>
  <c r="AO265"/>
  <c r="AN265"/>
  <c r="AM265"/>
  <c r="AM302"/>
  <c r="AN302"/>
  <c r="AO302"/>
  <c r="AO283"/>
  <c r="AM283"/>
  <c r="AN283"/>
  <c r="AO282"/>
  <c r="AM282"/>
  <c r="AN282"/>
  <c r="AN277"/>
  <c r="AO277"/>
  <c r="AM277"/>
  <c r="AM285"/>
  <c r="AN285"/>
  <c r="AO285"/>
  <c r="AO278"/>
  <c r="AM278"/>
  <c r="AN278"/>
  <c r="AM242"/>
  <c r="AO242"/>
  <c r="AN242"/>
  <c r="AM280"/>
  <c r="AN280"/>
  <c r="AO280"/>
  <c r="AM279"/>
  <c r="AN279"/>
  <c r="AO279"/>
  <c r="AN281"/>
  <c r="AO281"/>
  <c r="AM281"/>
  <c r="AM276"/>
  <c r="AN276"/>
  <c r="AO276"/>
  <c r="AM284"/>
  <c r="AN284"/>
  <c r="AO284"/>
  <c r="AO239"/>
  <c r="AN239"/>
  <c r="AM239"/>
  <c r="AM240"/>
  <c r="AN240"/>
  <c r="AO240"/>
  <c r="AM248"/>
  <c r="AO248"/>
  <c r="AN248"/>
  <c r="AO243"/>
  <c r="AN243"/>
  <c r="AM243"/>
  <c r="AO241"/>
  <c r="AN241"/>
  <c r="AM241"/>
  <c r="V307"/>
  <c r="D451"/>
  <c r="J81" i="19137"/>
  <c r="G81"/>
  <c r="H81" s="1"/>
  <c r="G80"/>
  <c r="H80" s="1"/>
  <c r="J80"/>
  <c r="AK318" i="19129"/>
  <c r="AI318"/>
  <c r="AK317"/>
  <c r="AI317"/>
  <c r="AI316"/>
  <c r="AK316"/>
  <c r="AK315"/>
  <c r="AI315"/>
  <c r="AI314"/>
  <c r="AK314"/>
  <c r="AK313"/>
  <c r="AI313"/>
  <c r="AI312"/>
  <c r="AK312"/>
  <c r="AK311"/>
  <c r="AI311"/>
  <c r="AK310"/>
  <c r="AI310"/>
  <c r="AK309"/>
  <c r="AI309"/>
  <c r="AK308"/>
  <c r="AI308"/>
  <c r="AI305"/>
  <c r="AK305"/>
  <c r="AK304"/>
  <c r="AI304"/>
  <c r="AI303"/>
  <c r="AK303"/>
  <c r="AI302"/>
  <c r="AK302"/>
  <c r="AI301"/>
  <c r="AK301"/>
  <c r="AK300"/>
  <c r="AI300"/>
  <c r="AI299"/>
  <c r="AK299"/>
  <c r="AK298"/>
  <c r="AI298"/>
  <c r="AI285"/>
  <c r="AK285"/>
  <c r="AI284"/>
  <c r="AK284"/>
  <c r="AK283"/>
  <c r="AI283"/>
  <c r="AI282"/>
  <c r="AK282"/>
  <c r="AI281"/>
  <c r="AK281"/>
  <c r="AI280"/>
  <c r="AK280"/>
  <c r="AK279"/>
  <c r="AI279"/>
  <c r="AI278"/>
  <c r="AK278"/>
  <c r="AI277"/>
  <c r="AK277"/>
  <c r="AI276"/>
  <c r="AK276"/>
  <c r="AI267"/>
  <c r="AK267"/>
  <c r="AI266"/>
  <c r="AK266"/>
  <c r="AK265"/>
  <c r="AI265"/>
  <c r="AI264"/>
  <c r="AK264"/>
  <c r="AI263"/>
  <c r="AK263"/>
  <c r="AI262"/>
  <c r="AK262"/>
  <c r="AI261"/>
  <c r="AK261"/>
  <c r="AI260"/>
  <c r="AK260"/>
  <c r="AI259"/>
  <c r="AK259"/>
  <c r="AI258"/>
  <c r="AK258"/>
  <c r="AK248"/>
  <c r="AI248"/>
  <c r="AI243"/>
  <c r="AK243"/>
  <c r="AK242"/>
  <c r="AI242"/>
  <c r="AI241"/>
  <c r="AK241"/>
  <c r="AK240"/>
  <c r="AI240"/>
  <c r="AI239"/>
  <c r="AK239"/>
  <c r="F422"/>
  <c r="W300"/>
  <c r="AG300"/>
  <c r="AG299"/>
  <c r="W299"/>
  <c r="T302"/>
  <c r="AO39" i="19137"/>
  <c r="AO34"/>
  <c r="T297" i="19129"/>
  <c r="AG305"/>
  <c r="W305"/>
  <c r="T300"/>
  <c r="AO37" i="19137"/>
  <c r="T299" i="19129"/>
  <c r="AO36" i="19137"/>
  <c r="T307" i="19129"/>
  <c r="AO44" i="19137"/>
  <c r="W302" i="19129"/>
  <c r="AG302"/>
  <c r="T305"/>
  <c r="AO42" i="19137"/>
  <c r="AG304" i="19129"/>
  <c r="W304"/>
  <c r="AG303"/>
  <c r="W303"/>
  <c r="T298"/>
  <c r="AO35" i="19137"/>
  <c r="AG301" i="19129"/>
  <c r="W301"/>
  <c r="AO41" i="19137"/>
  <c r="T304" i="19129"/>
  <c r="T303"/>
  <c r="AO40" i="19137"/>
  <c r="W298" i="19129"/>
  <c r="AG298"/>
  <c r="AO43" i="19137"/>
  <c r="T306" i="19129"/>
  <c r="T301"/>
  <c r="AO38" i="19137"/>
  <c r="N36"/>
  <c r="N37"/>
  <c r="T310" i="19129"/>
  <c r="W34" i="19137"/>
  <c r="T257" i="19129"/>
  <c r="W41" i="19137"/>
  <c r="T264" i="19129"/>
  <c r="W283"/>
  <c r="AE283" s="1"/>
  <c r="AG283"/>
  <c r="W308"/>
  <c r="AG308"/>
  <c r="W316"/>
  <c r="AY316" s="1"/>
  <c r="AG316"/>
  <c r="W40" i="19137"/>
  <c r="T263" i="19129"/>
  <c r="W282"/>
  <c r="AE282" s="1"/>
  <c r="AG282"/>
  <c r="W315"/>
  <c r="AY315" s="1"/>
  <c r="AG315"/>
  <c r="T312"/>
  <c r="W39" i="19137"/>
  <c r="T262" i="19129"/>
  <c r="AG277"/>
  <c r="W277"/>
  <c r="AE277" s="1"/>
  <c r="T311"/>
  <c r="T317"/>
  <c r="W38" i="19137"/>
  <c r="T261" i="19129"/>
  <c r="AG285"/>
  <c r="W285"/>
  <c r="AE285" s="1"/>
  <c r="AG278"/>
  <c r="W278"/>
  <c r="AE278" s="1"/>
  <c r="W310"/>
  <c r="AW310" s="1"/>
  <c r="AG310"/>
  <c r="W264"/>
  <c r="AE264" s="1"/>
  <c r="AG264"/>
  <c r="T283"/>
  <c r="AF42" i="19137"/>
  <c r="T308" i="19129"/>
  <c r="T316"/>
  <c r="W263"/>
  <c r="AE263" s="1"/>
  <c r="AG263"/>
  <c r="AF41" i="19137"/>
  <c r="T282" i="19129"/>
  <c r="T315"/>
  <c r="W312"/>
  <c r="AW312" s="1"/>
  <c r="AG312"/>
  <c r="W262"/>
  <c r="AE262" s="1"/>
  <c r="AG262"/>
  <c r="AF36" i="19137"/>
  <c r="T277" i="19129"/>
  <c r="W311"/>
  <c r="AW311" s="1"/>
  <c r="AG311"/>
  <c r="W317"/>
  <c r="AG317"/>
  <c r="W261"/>
  <c r="AE261" s="1"/>
  <c r="AG261"/>
  <c r="AF44" i="19137"/>
  <c r="T285" i="19129"/>
  <c r="T278"/>
  <c r="AF37" i="19137"/>
  <c r="T313" i="19129"/>
  <c r="W260"/>
  <c r="AG260"/>
  <c r="W280"/>
  <c r="AE280" s="1"/>
  <c r="AG280"/>
  <c r="T309"/>
  <c r="W36" i="19137"/>
  <c r="T259" i="19129"/>
  <c r="W279"/>
  <c r="AE279" s="1"/>
  <c r="AG279"/>
  <c r="W281"/>
  <c r="AE281" s="1"/>
  <c r="AG281"/>
  <c r="T314"/>
  <c r="W35" i="19137"/>
  <c r="T258" i="19129"/>
  <c r="W43" i="19137"/>
  <c r="T266" i="19129"/>
  <c r="AG276"/>
  <c r="W276"/>
  <c r="AE276" s="1"/>
  <c r="T318"/>
  <c r="W44" i="19137"/>
  <c r="T267" i="19129"/>
  <c r="W42" i="19137"/>
  <c r="T265" i="19129"/>
  <c r="AG284"/>
  <c r="W284"/>
  <c r="AE284" s="1"/>
  <c r="W313"/>
  <c r="AY313" s="1"/>
  <c r="AG313"/>
  <c r="T260"/>
  <c r="W37" i="19137"/>
  <c r="T280" i="19129"/>
  <c r="AF39" i="19137"/>
  <c r="T275" i="19129"/>
  <c r="AF34" i="19137"/>
  <c r="W309" i="19129"/>
  <c r="AG309"/>
  <c r="W259"/>
  <c r="AG259"/>
  <c r="AF38" i="19137"/>
  <c r="T279" i="19129"/>
  <c r="T281"/>
  <c r="AF40" i="19137"/>
  <c r="W314" i="19129"/>
  <c r="AW314" s="1"/>
  <c r="AG314"/>
  <c r="W258"/>
  <c r="AG258"/>
  <c r="W266"/>
  <c r="AE266" s="1"/>
  <c r="AG266"/>
  <c r="AF35" i="19137"/>
  <c r="T276" i="19129"/>
  <c r="W318"/>
  <c r="AW318" s="1"/>
  <c r="AG318"/>
  <c r="W267"/>
  <c r="AE267" s="1"/>
  <c r="AG267"/>
  <c r="W265"/>
  <c r="AE265" s="1"/>
  <c r="AG265"/>
  <c r="T284"/>
  <c r="AF43" i="19137"/>
  <c r="W240" i="19129"/>
  <c r="AE240" s="1"/>
  <c r="AG240"/>
  <c r="W248"/>
  <c r="AE248" s="1"/>
  <c r="AG248"/>
  <c r="W243"/>
  <c r="AE243" s="1"/>
  <c r="AG243"/>
  <c r="W241"/>
  <c r="AE241" s="1"/>
  <c r="AG241"/>
  <c r="W239"/>
  <c r="AG239"/>
  <c r="W242"/>
  <c r="AE242" s="1"/>
  <c r="AG242"/>
  <c r="N44" i="19137"/>
  <c r="T248" i="19129"/>
  <c r="N39" i="19137"/>
  <c r="T243" i="19129"/>
  <c r="N35" i="19137"/>
  <c r="R244" i="19129"/>
  <c r="U244"/>
  <c r="V244" s="1"/>
  <c r="N38" i="19137"/>
  <c r="T242" i="19129"/>
  <c r="D36" i="19137"/>
  <c r="D35"/>
  <c r="H111" i="84"/>
  <c r="E108"/>
  <c r="F108"/>
  <c r="F213" i="19128"/>
  <c r="G244" s="1"/>
  <c r="F259" s="1"/>
  <c r="D261" s="1"/>
  <c r="D493" s="1"/>
  <c r="F493" s="1"/>
  <c r="I108" i="84"/>
  <c r="F111"/>
  <c r="G111"/>
  <c r="I111"/>
  <c r="H108"/>
  <c r="I244" i="19129"/>
  <c r="E429" i="19131"/>
  <c r="D430" s="1"/>
  <c r="R58" i="19139"/>
  <c r="P58"/>
  <c r="N58"/>
  <c r="L58"/>
  <c r="CD58"/>
  <c r="CB58"/>
  <c r="BZ58"/>
  <c r="BX58"/>
  <c r="BV58"/>
  <c r="BT58"/>
  <c r="BR58"/>
  <c r="BP58"/>
  <c r="BN58"/>
  <c r="BL58"/>
  <c r="BJ58"/>
  <c r="BH58"/>
  <c r="BF58"/>
  <c r="BD58"/>
  <c r="BB58"/>
  <c r="AZ58"/>
  <c r="AX58"/>
  <c r="AV58"/>
  <c r="AT58"/>
  <c r="AR58"/>
  <c r="AP58"/>
  <c r="AN58"/>
  <c r="AL58"/>
  <c r="AJ58"/>
  <c r="AH58"/>
  <c r="AF58"/>
  <c r="AD58"/>
  <c r="AB58"/>
  <c r="Z58"/>
  <c r="X58"/>
  <c r="V58"/>
  <c r="T58"/>
  <c r="I334" i="19135"/>
  <c r="H334"/>
  <c r="G334"/>
  <c r="F334"/>
  <c r="E334"/>
  <c r="I333"/>
  <c r="H333"/>
  <c r="G333"/>
  <c r="F333"/>
  <c r="E333"/>
  <c r="G364"/>
  <c r="G363"/>
  <c r="I363" s="1"/>
  <c r="F405"/>
  <c r="D430"/>
  <c r="F424" i="19129"/>
  <c r="E426" s="1"/>
  <c r="F418"/>
  <c r="H234" i="19130"/>
  <c r="H244"/>
  <c r="F456" i="19136"/>
  <c r="B456"/>
  <c r="F428"/>
  <c r="M1380" i="19134"/>
  <c r="M1364"/>
  <c r="M301" i="19142" s="1"/>
  <c r="A1170" i="19134"/>
  <c r="A1285"/>
  <c r="A1206"/>
  <c r="B1139"/>
  <c r="L1297"/>
  <c r="L1047"/>
  <c r="L801"/>
  <c r="L557"/>
  <c r="G701"/>
  <c r="A247" i="19129"/>
  <c r="BD247" s="1"/>
  <c r="BD249" s="1"/>
  <c r="C446" i="19131"/>
  <c r="B446"/>
  <c r="A447"/>
  <c r="J430" i="19142" l="1"/>
  <c r="AW373" i="107"/>
  <c r="AW376" s="1"/>
  <c r="AW17" i="19139" s="1"/>
  <c r="F377" i="19131"/>
  <c r="A377"/>
  <c r="G374" i="19135"/>
  <c r="D376"/>
  <c r="A376"/>
  <c r="A372"/>
  <c r="BQ373" i="107"/>
  <c r="BQ376" s="1"/>
  <c r="BQ17" i="19139" s="1"/>
  <c r="AY373" i="107"/>
  <c r="AY376" s="1"/>
  <c r="AY17" i="19139" s="1"/>
  <c r="M319" i="19142"/>
  <c r="AD373" i="107"/>
  <c r="AD376" s="1"/>
  <c r="AD17" i="19139" s="1"/>
  <c r="BV373" i="107"/>
  <c r="BV376" s="1"/>
  <c r="BV17" i="19139" s="1"/>
  <c r="AZ373" i="107"/>
  <c r="AZ376" s="1"/>
  <c r="AZ17" i="19139" s="1"/>
  <c r="C58"/>
  <c r="D58" s="1"/>
  <c r="M158" i="107" s="1"/>
  <c r="Y60" i="19139"/>
  <c r="Y373" i="107"/>
  <c r="Y376" s="1"/>
  <c r="Y17" i="19139" s="1"/>
  <c r="BO373" i="107"/>
  <c r="BO376" s="1"/>
  <c r="BO17" i="19139" s="1"/>
  <c r="BY373" i="107"/>
  <c r="BY376" s="1"/>
  <c r="BY17" i="19139" s="1"/>
  <c r="BS373" i="107"/>
  <c r="BS376" s="1"/>
  <c r="BS17" i="19139" s="1"/>
  <c r="BR373" i="107"/>
  <c r="BR376" s="1"/>
  <c r="BR17" i="19139" s="1"/>
  <c r="BK60"/>
  <c r="BS60"/>
  <c r="BZ373" i="107"/>
  <c r="BZ376" s="1"/>
  <c r="BZ17" i="19139" s="1"/>
  <c r="D373" i="107"/>
  <c r="D376" s="1"/>
  <c r="D17" i="19139" s="1"/>
  <c r="BT373" i="107"/>
  <c r="BT376" s="1"/>
  <c r="BT17" i="19139" s="1"/>
  <c r="M430" i="19142"/>
  <c r="AY60" i="19139"/>
  <c r="BO60"/>
  <c r="BL373" i="107"/>
  <c r="BL376" s="1"/>
  <c r="BL17" i="19139" s="1"/>
  <c r="Z373" i="107"/>
  <c r="Z376" s="1"/>
  <c r="Z17" i="19139" s="1"/>
  <c r="J373" i="107"/>
  <c r="J376" s="1"/>
  <c r="J17" i="19139" s="1"/>
  <c r="I373" i="107"/>
  <c r="I376" s="1"/>
  <c r="I17" i="19139" s="1"/>
  <c r="BP373" i="107"/>
  <c r="BP376" s="1"/>
  <c r="BP17" i="19139" s="1"/>
  <c r="H373" i="107"/>
  <c r="H376" s="1"/>
  <c r="H17" i="19139" s="1"/>
  <c r="G373" i="107"/>
  <c r="G376" s="1"/>
  <c r="G17" i="19139" s="1"/>
  <c r="BK373" i="107"/>
  <c r="BK376" s="1"/>
  <c r="BK17" i="19139" s="1"/>
  <c r="C373" i="107"/>
  <c r="C376" s="1"/>
  <c r="C17" i="19139" s="1"/>
  <c r="BW373" i="107"/>
  <c r="BW376" s="1"/>
  <c r="BW17" i="19139" s="1"/>
  <c r="AG60"/>
  <c r="AO60"/>
  <c r="AW60"/>
  <c r="BU60"/>
  <c r="AC373" i="107"/>
  <c r="AC376" s="1"/>
  <c r="AC17" i="19139" s="1"/>
  <c r="R373" i="107"/>
  <c r="R376" s="1"/>
  <c r="R17" i="19139" s="1"/>
  <c r="BE60"/>
  <c r="Q60"/>
  <c r="N11" i="107"/>
  <c r="AA373"/>
  <c r="AA376" s="1"/>
  <c r="AA17" i="19139" s="1"/>
  <c r="W60"/>
  <c r="N373" i="107"/>
  <c r="N376" s="1"/>
  <c r="N17" i="19139" s="1"/>
  <c r="AI373" i="107"/>
  <c r="AI376" s="1"/>
  <c r="AI17" i="19139" s="1"/>
  <c r="BN373" i="107"/>
  <c r="BN376" s="1"/>
  <c r="BN17" i="19139" s="1"/>
  <c r="V373" i="107"/>
  <c r="V376" s="1"/>
  <c r="V17" i="19139" s="1"/>
  <c r="AM60"/>
  <c r="U60"/>
  <c r="BQ60"/>
  <c r="BY60"/>
  <c r="AA60"/>
  <c r="BG60"/>
  <c r="BF373" i="107"/>
  <c r="BF376" s="1"/>
  <c r="BF17" i="19139" s="1"/>
  <c r="AV373" i="107"/>
  <c r="AV376" s="1"/>
  <c r="AV17" i="19139" s="1"/>
  <c r="BD373" i="107"/>
  <c r="BD376" s="1"/>
  <c r="BD17" i="19139" s="1"/>
  <c r="BE373" i="107"/>
  <c r="BE376" s="1"/>
  <c r="BE17" i="19139" s="1"/>
  <c r="CA373" i="107"/>
  <c r="CA376" s="1"/>
  <c r="CA17" i="19139" s="1"/>
  <c r="AU373" i="107"/>
  <c r="AU376" s="1"/>
  <c r="AU17" i="19139" s="1"/>
  <c r="BC373" i="107"/>
  <c r="BC376" s="1"/>
  <c r="BC17" i="19139" s="1"/>
  <c r="AE373" i="107"/>
  <c r="AE376" s="1"/>
  <c r="AE17" i="19139" s="1"/>
  <c r="AE60"/>
  <c r="AU60"/>
  <c r="BC60"/>
  <c r="CA60"/>
  <c r="AF373" i="107"/>
  <c r="AF376" s="1"/>
  <c r="AF17" i="19139" s="1"/>
  <c r="CB373" i="107"/>
  <c r="CB376" s="1"/>
  <c r="CB17" i="19139" s="1"/>
  <c r="T373" i="107"/>
  <c r="T376" s="1"/>
  <c r="T17" i="19139" s="1"/>
  <c r="S373" i="107"/>
  <c r="S376" s="1"/>
  <c r="S17" i="19139" s="1"/>
  <c r="BH373" i="107"/>
  <c r="BH376" s="1"/>
  <c r="BH17" i="19139" s="1"/>
  <c r="BG373" i="107"/>
  <c r="BG376" s="1"/>
  <c r="BG17" i="19139" s="1"/>
  <c r="Q373" i="107"/>
  <c r="Q376" s="1"/>
  <c r="Q17" i="19139" s="1"/>
  <c r="AB373" i="107"/>
  <c r="AB376" s="1"/>
  <c r="AB17" i="19139" s="1"/>
  <c r="AS60"/>
  <c r="BI60"/>
  <c r="M60"/>
  <c r="BI373" i="107"/>
  <c r="BI376" s="1"/>
  <c r="BI17" i="19139" s="1"/>
  <c r="BJ373" i="107"/>
  <c r="BJ376" s="1"/>
  <c r="BJ17" i="19139" s="1"/>
  <c r="AS373" i="107"/>
  <c r="AS376" s="1"/>
  <c r="AS17" i="19139" s="1"/>
  <c r="W373" i="107"/>
  <c r="W376" s="1"/>
  <c r="W17" i="19139" s="1"/>
  <c r="L373" i="107"/>
  <c r="L376" s="1"/>
  <c r="L17" i="19139" s="1"/>
  <c r="AM373" i="107"/>
  <c r="AM376" s="1"/>
  <c r="AM17" i="19139" s="1"/>
  <c r="BM60"/>
  <c r="CC60"/>
  <c r="AT373" i="107"/>
  <c r="AT376" s="1"/>
  <c r="AT17" i="19139" s="1"/>
  <c r="X373" i="107"/>
  <c r="X376" s="1"/>
  <c r="X17" i="19139" s="1"/>
  <c r="CD373" i="107"/>
  <c r="CD376" s="1"/>
  <c r="CD17" i="19139" s="1"/>
  <c r="CC373" i="107"/>
  <c r="CC376" s="1"/>
  <c r="CC17" i="19139" s="1"/>
  <c r="U373" i="107"/>
  <c r="U376" s="1"/>
  <c r="U17" i="19139" s="1"/>
  <c r="AN373" i="107"/>
  <c r="AN376" s="1"/>
  <c r="AN17" i="19139" s="1"/>
  <c r="BM373" i="107"/>
  <c r="BM376" s="1"/>
  <c r="BM17" i="19139" s="1"/>
  <c r="K373" i="107"/>
  <c r="K376" s="1"/>
  <c r="K17" i="19139" s="1"/>
  <c r="AQ373" i="107"/>
  <c r="AQ376" s="1"/>
  <c r="AQ17" i="19139" s="1"/>
  <c r="AI60"/>
  <c r="AQ60"/>
  <c r="K60"/>
  <c r="M373" i="107"/>
  <c r="M376" s="1"/>
  <c r="M17" i="19139" s="1"/>
  <c r="AJ373" i="107"/>
  <c r="AJ376" s="1"/>
  <c r="AJ17" i="19139" s="1"/>
  <c r="AR373" i="107"/>
  <c r="AR376" s="1"/>
  <c r="AR17" i="19139" s="1"/>
  <c r="BW60"/>
  <c r="P373" i="107"/>
  <c r="P376" s="1"/>
  <c r="P17" i="19139" s="1"/>
  <c r="AP373" i="107"/>
  <c r="AP376" s="1"/>
  <c r="AP17" i="19139" s="1"/>
  <c r="AX373" i="107"/>
  <c r="AX376" s="1"/>
  <c r="AX17" i="19139" s="1"/>
  <c r="E373" i="107"/>
  <c r="E376" s="1"/>
  <c r="E17" i="19139" s="1"/>
  <c r="AK373" i="107"/>
  <c r="AK376" s="1"/>
  <c r="AK17" i="19139" s="1"/>
  <c r="AC60"/>
  <c r="AK60"/>
  <c r="BA60"/>
  <c r="O373" i="107"/>
  <c r="O376" s="1"/>
  <c r="O17" i="19139" s="1"/>
  <c r="BA373" i="107"/>
  <c r="BA376" s="1"/>
  <c r="BA17" i="19139" s="1"/>
  <c r="BB373" i="107"/>
  <c r="BB376" s="1"/>
  <c r="BB17" i="19139" s="1"/>
  <c r="F373" i="107"/>
  <c r="F376" s="1"/>
  <c r="F17" i="19139" s="1"/>
  <c r="AL373" i="107"/>
  <c r="AL376" s="1"/>
  <c r="AL17" i="19139" s="1"/>
  <c r="O60"/>
  <c r="AO373" i="107"/>
  <c r="AO376" s="1"/>
  <c r="AO17" i="19139" s="1"/>
  <c r="BU373" i="107"/>
  <c r="BU376" s="1"/>
  <c r="BU17" i="19139" s="1"/>
  <c r="BX373" i="107"/>
  <c r="BX376" s="1"/>
  <c r="BX17" i="19139" s="1"/>
  <c r="AH373" i="107"/>
  <c r="AH376" s="1"/>
  <c r="AH17" i="19139" s="1"/>
  <c r="AG373" i="107"/>
  <c r="AG376" s="1"/>
  <c r="AG17" i="19139" s="1"/>
  <c r="F58"/>
  <c r="E60" s="1"/>
  <c r="J58"/>
  <c r="I60" s="1"/>
  <c r="H58"/>
  <c r="G60" s="1"/>
  <c r="E370" i="107"/>
  <c r="BS370"/>
  <c r="G370"/>
  <c r="AQ370"/>
  <c r="BY370"/>
  <c r="M370"/>
  <c r="BE370"/>
  <c r="BK370"/>
  <c r="AI370"/>
  <c r="BQ370"/>
  <c r="Q370"/>
  <c r="BC370"/>
  <c r="AA370"/>
  <c r="BI370"/>
  <c r="BU370"/>
  <c r="BM370"/>
  <c r="AU370"/>
  <c r="S370"/>
  <c r="BA370"/>
  <c r="Y370"/>
  <c r="AG370"/>
  <c r="AM370"/>
  <c r="BW370"/>
  <c r="K370"/>
  <c r="AS370"/>
  <c r="AE370"/>
  <c r="BO370"/>
  <c r="AK370"/>
  <c r="AW370"/>
  <c r="CC370"/>
  <c r="C370"/>
  <c r="W370"/>
  <c r="BG370"/>
  <c r="AC370"/>
  <c r="I370"/>
  <c r="AO370"/>
  <c r="CA370"/>
  <c r="O370"/>
  <c r="AY370"/>
  <c r="F143"/>
  <c r="U370"/>
  <c r="G442" i="19129"/>
  <c r="D438"/>
  <c r="D439" s="1"/>
  <c r="F439" s="1"/>
  <c r="B601"/>
  <c r="A103" i="19137" s="1"/>
  <c r="G106" s="1"/>
  <c r="B600" i="19129"/>
  <c r="E367" i="19131"/>
  <c r="C367"/>
  <c r="F367"/>
  <c r="C95" i="19137"/>
  <c r="AJ258" i="19129"/>
  <c r="E629"/>
  <c r="E628"/>
  <c r="E630"/>
  <c r="AL317"/>
  <c r="AV317"/>
  <c r="AX317" s="1"/>
  <c r="AW317"/>
  <c r="AY317"/>
  <c r="I252" i="19134"/>
  <c r="I241"/>
  <c r="AL316" i="19129"/>
  <c r="AV316"/>
  <c r="AX316" s="1"/>
  <c r="AW316"/>
  <c r="F327" i="19130"/>
  <c r="F328" s="1"/>
  <c r="D280" i="19134"/>
  <c r="N9" s="1"/>
  <c r="C237" i="1" s="1"/>
  <c r="F334" i="19134"/>
  <c r="F335" s="1"/>
  <c r="H702"/>
  <c r="B709" s="1"/>
  <c r="C709" s="1"/>
  <c r="H709"/>
  <c r="I709" s="1"/>
  <c r="E568" i="19129"/>
  <c r="F547"/>
  <c r="R31" i="19136"/>
  <c r="R31" i="19141"/>
  <c r="E570" i="19129"/>
  <c r="D636"/>
  <c r="E569"/>
  <c r="F549"/>
  <c r="E552" s="1"/>
  <c r="AF244"/>
  <c r="AF307"/>
  <c r="AF238"/>
  <c r="AF297"/>
  <c r="AF306"/>
  <c r="AF275"/>
  <c r="F603"/>
  <c r="C103" i="19137"/>
  <c r="D637" i="19129"/>
  <c r="D638" s="1"/>
  <c r="F607"/>
  <c r="F609"/>
  <c r="E612" s="1"/>
  <c r="G441"/>
  <c r="G443" s="1"/>
  <c r="E71" i="19140"/>
  <c r="G367" i="19131"/>
  <c r="F261" i="19128"/>
  <c r="E155" i="19142"/>
  <c r="G155" s="1"/>
  <c r="AJ239" i="19129"/>
  <c r="AJ259"/>
  <c r="AL258"/>
  <c r="AY258"/>
  <c r="AV258"/>
  <c r="AX258" s="1"/>
  <c r="AW258"/>
  <c r="F428" i="19141"/>
  <c r="G702" i="19134"/>
  <c r="B456" i="19141"/>
  <c r="F456"/>
  <c r="B708" i="19134"/>
  <c r="C708" s="1"/>
  <c r="F314" i="19130"/>
  <c r="H316"/>
  <c r="A322" s="1"/>
  <c r="E246" i="19129"/>
  <c r="AL318"/>
  <c r="AY318"/>
  <c r="AV318"/>
  <c r="AX318" s="1"/>
  <c r="AM297"/>
  <c r="AJ260"/>
  <c r="N245"/>
  <c r="O245" s="1"/>
  <c r="AL239"/>
  <c r="AL241"/>
  <c r="AL314"/>
  <c r="AL240"/>
  <c r="AL313"/>
  <c r="AL315"/>
  <c r="AL259"/>
  <c r="AV239"/>
  <c r="AX239" s="1"/>
  <c r="AY241"/>
  <c r="AY314"/>
  <c r="AY259"/>
  <c r="AW313"/>
  <c r="AW240"/>
  <c r="AW315"/>
  <c r="AV241"/>
  <c r="AX241" s="1"/>
  <c r="AV259"/>
  <c r="AX259" s="1"/>
  <c r="AV313"/>
  <c r="AX313" s="1"/>
  <c r="AW241"/>
  <c r="AY240"/>
  <c r="AW239"/>
  <c r="AV315"/>
  <c r="AX315" s="1"/>
  <c r="AV240"/>
  <c r="AX240" s="1"/>
  <c r="AV314"/>
  <c r="AX314" s="1"/>
  <c r="AW259"/>
  <c r="AY239"/>
  <c r="AL243"/>
  <c r="AL310"/>
  <c r="AL260"/>
  <c r="AL312"/>
  <c r="AL242"/>
  <c r="AL311"/>
  <c r="AV242"/>
  <c r="AX242" s="1"/>
  <c r="AY243"/>
  <c r="AV260"/>
  <c r="AX260" s="1"/>
  <c r="AY311"/>
  <c r="AV310"/>
  <c r="AX310" s="1"/>
  <c r="AY242"/>
  <c r="AW260"/>
  <c r="AY312"/>
  <c r="AY310"/>
  <c r="AW242"/>
  <c r="AV243"/>
  <c r="AX243" s="1"/>
  <c r="AW243"/>
  <c r="AY260"/>
  <c r="AV311"/>
  <c r="AX311" s="1"/>
  <c r="AV312"/>
  <c r="AX312" s="1"/>
  <c r="W306"/>
  <c r="X306" s="1"/>
  <c r="Y306" s="1"/>
  <c r="Z306" s="1"/>
  <c r="AO306"/>
  <c r="AI306"/>
  <c r="AM306"/>
  <c r="AG306"/>
  <c r="AK306"/>
  <c r="AN306"/>
  <c r="AU306"/>
  <c r="AP306"/>
  <c r="AT306" s="1"/>
  <c r="U319"/>
  <c r="AI297"/>
  <c r="AN297"/>
  <c r="W297"/>
  <c r="AE297" s="1"/>
  <c r="AK297"/>
  <c r="AO297"/>
  <c r="AG297"/>
  <c r="C247"/>
  <c r="L247" s="1"/>
  <c r="L249" s="1"/>
  <c r="D73" i="19137"/>
  <c r="E73" s="1"/>
  <c r="F73" s="1"/>
  <c r="G73" s="1"/>
  <c r="B37" s="1"/>
  <c r="H37" s="1"/>
  <c r="B89"/>
  <c r="C89" s="1"/>
  <c r="H73"/>
  <c r="AJ310" i="19129"/>
  <c r="AW303"/>
  <c r="AY305"/>
  <c r="AJ317"/>
  <c r="AJ312"/>
  <c r="AJ315"/>
  <c r="AE308"/>
  <c r="AW304"/>
  <c r="AW299"/>
  <c r="AJ318"/>
  <c r="AJ314"/>
  <c r="AE309"/>
  <c r="AJ313"/>
  <c r="AJ311"/>
  <c r="AJ316"/>
  <c r="AE298"/>
  <c r="AW302"/>
  <c r="AY300"/>
  <c r="AU297"/>
  <c r="AP297"/>
  <c r="AS297" s="1"/>
  <c r="AG275"/>
  <c r="V286"/>
  <c r="D455" s="1"/>
  <c r="W275"/>
  <c r="AE275" s="1"/>
  <c r="AE286" s="1"/>
  <c r="G455" s="1"/>
  <c r="AI275"/>
  <c r="AN275"/>
  <c r="AN286" s="1"/>
  <c r="C485" s="1"/>
  <c r="AO275"/>
  <c r="AO286" s="1"/>
  <c r="E485" s="1"/>
  <c r="AK275"/>
  <c r="AM275"/>
  <c r="AM286" s="1"/>
  <c r="B485" s="1"/>
  <c r="AP275"/>
  <c r="AT275" s="1"/>
  <c r="AU275"/>
  <c r="AU286" s="1"/>
  <c r="AN257"/>
  <c r="AN268" s="1"/>
  <c r="C484" s="1"/>
  <c r="V268"/>
  <c r="D454" s="1"/>
  <c r="AO257"/>
  <c r="AO268" s="1"/>
  <c r="E484" s="1"/>
  <c r="W257"/>
  <c r="AE257" s="1"/>
  <c r="AI257"/>
  <c r="AG257"/>
  <c r="AK257"/>
  <c r="AP257"/>
  <c r="AR257" s="1"/>
  <c r="AM257"/>
  <c r="AM268" s="1"/>
  <c r="B484" s="1"/>
  <c r="W238"/>
  <c r="AE238" s="1"/>
  <c r="AI238"/>
  <c r="AO238"/>
  <c r="AM238"/>
  <c r="AG238"/>
  <c r="AK238"/>
  <c r="AN238"/>
  <c r="AP238"/>
  <c r="AS238" s="1"/>
  <c r="AU238"/>
  <c r="AF257"/>
  <c r="AU257"/>
  <c r="AR313"/>
  <c r="AR311"/>
  <c r="AL309"/>
  <c r="AQ309"/>
  <c r="AT309"/>
  <c r="AS309"/>
  <c r="AJ309"/>
  <c r="AL308"/>
  <c r="AR308"/>
  <c r="AJ308"/>
  <c r="AS308"/>
  <c r="AQ308"/>
  <c r="AL305"/>
  <c r="AS305"/>
  <c r="AQ305"/>
  <c r="AR305"/>
  <c r="AJ305"/>
  <c r="AL304"/>
  <c r="AT304"/>
  <c r="AQ304"/>
  <c r="AJ304"/>
  <c r="AR304"/>
  <c r="AL303"/>
  <c r="AQ303"/>
  <c r="AS303"/>
  <c r="AJ303"/>
  <c r="AR303"/>
  <c r="AL302"/>
  <c r="AS302"/>
  <c r="AJ302"/>
  <c r="AQ302"/>
  <c r="AR302"/>
  <c r="AL301"/>
  <c r="AV301"/>
  <c r="AX301" s="1"/>
  <c r="AT301"/>
  <c r="AR301"/>
  <c r="AJ301"/>
  <c r="AQ301"/>
  <c r="AL300"/>
  <c r="AJ300"/>
  <c r="AQ300"/>
  <c r="AS300"/>
  <c r="AR300"/>
  <c r="AL299"/>
  <c r="AT299"/>
  <c r="AQ299"/>
  <c r="AR299"/>
  <c r="AJ299"/>
  <c r="AL298"/>
  <c r="AT298"/>
  <c r="AJ298"/>
  <c r="AR298"/>
  <c r="AQ298"/>
  <c r="AL267"/>
  <c r="AJ267"/>
  <c r="AL266"/>
  <c r="AJ266"/>
  <c r="AL265"/>
  <c r="AJ265"/>
  <c r="AL264"/>
  <c r="AJ264"/>
  <c r="AL263"/>
  <c r="AJ263"/>
  <c r="AL262"/>
  <c r="AJ262"/>
  <c r="AL261"/>
  <c r="AJ261"/>
  <c r="AJ276"/>
  <c r="AJ278"/>
  <c r="AJ280"/>
  <c r="AJ282"/>
  <c r="AJ284"/>
  <c r="AL276"/>
  <c r="AL278"/>
  <c r="AL280"/>
  <c r="AL282"/>
  <c r="AL284"/>
  <c r="AL248"/>
  <c r="AJ277"/>
  <c r="AL279"/>
  <c r="AJ281"/>
  <c r="AL283"/>
  <c r="AJ285"/>
  <c r="AJ248"/>
  <c r="AL277"/>
  <c r="AJ279"/>
  <c r="AL281"/>
  <c r="AJ283"/>
  <c r="AL285"/>
  <c r="AJ242"/>
  <c r="AJ243"/>
  <c r="AJ240"/>
  <c r="AJ241"/>
  <c r="AS248"/>
  <c r="AT315"/>
  <c r="AS317"/>
  <c r="AS312"/>
  <c r="AS316"/>
  <c r="AK307"/>
  <c r="AU307"/>
  <c r="AP307"/>
  <c r="AY302"/>
  <c r="AY265"/>
  <c r="AV266"/>
  <c r="AX266" s="1"/>
  <c r="AR314"/>
  <c r="AV309"/>
  <c r="AX309" s="1"/>
  <c r="AS240"/>
  <c r="AW305"/>
  <c r="AV300"/>
  <c r="AX300" s="1"/>
  <c r="AW281"/>
  <c r="AY279"/>
  <c r="AV280"/>
  <c r="AX280" s="1"/>
  <c r="AW298"/>
  <c r="AY261"/>
  <c r="AW262"/>
  <c r="AV263"/>
  <c r="AX263" s="1"/>
  <c r="AY264"/>
  <c r="AS310"/>
  <c r="AS239"/>
  <c r="AW301"/>
  <c r="AY303"/>
  <c r="AY304"/>
  <c r="AV304"/>
  <c r="AX304" s="1"/>
  <c r="AW278"/>
  <c r="AV285"/>
  <c r="AX285" s="1"/>
  <c r="AW277"/>
  <c r="AY282"/>
  <c r="AV308"/>
  <c r="AX308" s="1"/>
  <c r="AY308"/>
  <c r="AV283"/>
  <c r="AX283" s="1"/>
  <c r="AV302"/>
  <c r="AX302" s="1"/>
  <c r="AY267"/>
  <c r="AR318"/>
  <c r="AT318"/>
  <c r="AW266"/>
  <c r="AT314"/>
  <c r="AV299"/>
  <c r="AX299" s="1"/>
  <c r="AW300"/>
  <c r="AV284"/>
  <c r="AX284" s="1"/>
  <c r="AV276"/>
  <c r="AX276" s="1"/>
  <c r="AY281"/>
  <c r="AW280"/>
  <c r="AY262"/>
  <c r="AR312"/>
  <c r="AW263"/>
  <c r="AR310"/>
  <c r="AS242"/>
  <c r="AY301"/>
  <c r="AY278"/>
  <c r="AW285"/>
  <c r="AR316"/>
  <c r="AW283"/>
  <c r="AV265"/>
  <c r="AX265" s="1"/>
  <c r="AQ318"/>
  <c r="AY266"/>
  <c r="AQ314"/>
  <c r="AW309"/>
  <c r="AS313"/>
  <c r="AS243"/>
  <c r="AW248"/>
  <c r="AV305"/>
  <c r="AX305" s="1"/>
  <c r="AY299"/>
  <c r="AW284"/>
  <c r="AW276"/>
  <c r="AV279"/>
  <c r="AX279" s="1"/>
  <c r="AY280"/>
  <c r="AY298"/>
  <c r="AV298"/>
  <c r="AX298" s="1"/>
  <c r="AV261"/>
  <c r="AX261" s="1"/>
  <c r="AT317"/>
  <c r="AQ317"/>
  <c r="AS311"/>
  <c r="AT312"/>
  <c r="AV264"/>
  <c r="AX264" s="1"/>
  <c r="AT310"/>
  <c r="AY277"/>
  <c r="AR315"/>
  <c r="AV282"/>
  <c r="AX282" s="1"/>
  <c r="AW282"/>
  <c r="AT316"/>
  <c r="AW308"/>
  <c r="AY283"/>
  <c r="AW265"/>
  <c r="AV267"/>
  <c r="AX267" s="1"/>
  <c r="AW267"/>
  <c r="AY309"/>
  <c r="AT313"/>
  <c r="AY248"/>
  <c r="AY284"/>
  <c r="AY276"/>
  <c r="AV281"/>
  <c r="AX281" s="1"/>
  <c r="AW279"/>
  <c r="AW261"/>
  <c r="AT311"/>
  <c r="AV262"/>
  <c r="AX262" s="1"/>
  <c r="AY263"/>
  <c r="AW264"/>
  <c r="AV303"/>
  <c r="AX303" s="1"/>
  <c r="AV278"/>
  <c r="AX278" s="1"/>
  <c r="AY285"/>
  <c r="AV277"/>
  <c r="AX277" s="1"/>
  <c r="AS315"/>
  <c r="AG307"/>
  <c r="AT285"/>
  <c r="AQ285"/>
  <c r="AR285"/>
  <c r="AQ284"/>
  <c r="AR284"/>
  <c r="AS284"/>
  <c r="AR283"/>
  <c r="AT283"/>
  <c r="AS283"/>
  <c r="AS282"/>
  <c r="AT282"/>
  <c r="AQ282"/>
  <c r="AS281"/>
  <c r="AT281"/>
  <c r="AQ281"/>
  <c r="AQ280"/>
  <c r="AR280"/>
  <c r="AS280"/>
  <c r="AR279"/>
  <c r="AS279"/>
  <c r="AT279"/>
  <c r="AT278"/>
  <c r="AQ278"/>
  <c r="AR278"/>
  <c r="AQ277"/>
  <c r="AR277"/>
  <c r="AS277"/>
  <c r="AQ276"/>
  <c r="AR276"/>
  <c r="AS276"/>
  <c r="AS267"/>
  <c r="AT267"/>
  <c r="AQ267"/>
  <c r="AR266"/>
  <c r="AQ266"/>
  <c r="AS266"/>
  <c r="AQ265"/>
  <c r="AR265"/>
  <c r="AS265"/>
  <c r="AS264"/>
  <c r="AT264"/>
  <c r="AQ264"/>
  <c r="AQ263"/>
  <c r="AT263"/>
  <c r="AR263"/>
  <c r="AT262"/>
  <c r="AQ262"/>
  <c r="AS262"/>
  <c r="AQ261"/>
  <c r="AR261"/>
  <c r="AT261"/>
  <c r="AQ260"/>
  <c r="AR260"/>
  <c r="AT260"/>
  <c r="AV248"/>
  <c r="AX248" s="1"/>
  <c r="AT248"/>
  <c r="AQ248"/>
  <c r="AU244"/>
  <c r="AS259"/>
  <c r="AQ259"/>
  <c r="AR259"/>
  <c r="AQ258"/>
  <c r="AR258"/>
  <c r="AS258"/>
  <c r="AR241"/>
  <c r="AT239"/>
  <c r="AT243"/>
  <c r="AT240"/>
  <c r="AQ241"/>
  <c r="AP244"/>
  <c r="AR244" s="1"/>
  <c r="AR242"/>
  <c r="AT242"/>
  <c r="AQ239"/>
  <c r="AT241"/>
  <c r="AQ243"/>
  <c r="AQ240"/>
  <c r="AI307"/>
  <c r="AN307"/>
  <c r="AM307"/>
  <c r="AO307"/>
  <c r="AO244"/>
  <c r="AN244"/>
  <c r="AM244"/>
  <c r="V319"/>
  <c r="D456" s="1"/>
  <c r="W307"/>
  <c r="E451"/>
  <c r="E436"/>
  <c r="G451" s="1"/>
  <c r="X301"/>
  <c r="AE301"/>
  <c r="X304"/>
  <c r="AE304"/>
  <c r="AE239"/>
  <c r="AE318"/>
  <c r="AE314"/>
  <c r="AE313"/>
  <c r="AE317"/>
  <c r="AE312"/>
  <c r="AE316"/>
  <c r="X302"/>
  <c r="AB302" s="1"/>
  <c r="AE302"/>
  <c r="AE260"/>
  <c r="AE310"/>
  <c r="X303"/>
  <c r="AE303"/>
  <c r="X305"/>
  <c r="AE305"/>
  <c r="X299"/>
  <c r="AB299" s="1"/>
  <c r="AE299"/>
  <c r="AE258"/>
  <c r="AE259"/>
  <c r="AE311"/>
  <c r="AE315"/>
  <c r="X300"/>
  <c r="Y300" s="1"/>
  <c r="Z300" s="1"/>
  <c r="AE300"/>
  <c r="AK244"/>
  <c r="AI244"/>
  <c r="AH300"/>
  <c r="AH301"/>
  <c r="AH304"/>
  <c r="AH299"/>
  <c r="AH302"/>
  <c r="AH303"/>
  <c r="AH298"/>
  <c r="X298"/>
  <c r="AC298" s="1"/>
  <c r="AH305"/>
  <c r="AH318"/>
  <c r="AH317"/>
  <c r="AH315"/>
  <c r="AH314"/>
  <c r="AH313"/>
  <c r="AH312"/>
  <c r="AH309"/>
  <c r="AH308"/>
  <c r="AH280"/>
  <c r="AH279"/>
  <c r="AH266"/>
  <c r="AH265"/>
  <c r="AH243"/>
  <c r="AH240"/>
  <c r="AH239"/>
  <c r="AH242"/>
  <c r="X239"/>
  <c r="AC239" s="1"/>
  <c r="X243"/>
  <c r="AC243" s="1"/>
  <c r="X240"/>
  <c r="AC240" s="1"/>
  <c r="X265"/>
  <c r="AB265" s="1"/>
  <c r="X318"/>
  <c r="AB318" s="1"/>
  <c r="X266"/>
  <c r="AB266" s="1"/>
  <c r="X314"/>
  <c r="AB314" s="1"/>
  <c r="X309"/>
  <c r="X313"/>
  <c r="AB313" s="1"/>
  <c r="X279"/>
  <c r="AB279" s="1"/>
  <c r="X280"/>
  <c r="AB280" s="1"/>
  <c r="X317"/>
  <c r="AB317" s="1"/>
  <c r="X312"/>
  <c r="Y312" s="1"/>
  <c r="Z312" s="1"/>
  <c r="X315"/>
  <c r="Y315" s="1"/>
  <c r="Z315" s="1"/>
  <c r="X308"/>
  <c r="X278"/>
  <c r="AB278" s="1"/>
  <c r="X242"/>
  <c r="AC242" s="1"/>
  <c r="X241"/>
  <c r="AC241" s="1"/>
  <c r="X248"/>
  <c r="AC248" s="1"/>
  <c r="X267"/>
  <c r="AB267" s="1"/>
  <c r="X258"/>
  <c r="Y258" s="1"/>
  <c r="Z258" s="1"/>
  <c r="X259"/>
  <c r="Y259" s="1"/>
  <c r="Z259" s="1"/>
  <c r="X281"/>
  <c r="AB281" s="1"/>
  <c r="X260"/>
  <c r="Y260" s="1"/>
  <c r="Z260" s="1"/>
  <c r="X261"/>
  <c r="AB261" s="1"/>
  <c r="X311"/>
  <c r="AC311" s="1"/>
  <c r="X262"/>
  <c r="AB262" s="1"/>
  <c r="X263"/>
  <c r="AB263" s="1"/>
  <c r="X264"/>
  <c r="AB264" s="1"/>
  <c r="X310"/>
  <c r="AB310" s="1"/>
  <c r="X282"/>
  <c r="AB282" s="1"/>
  <c r="X316"/>
  <c r="AB316" s="1"/>
  <c r="X283"/>
  <c r="AB283" s="1"/>
  <c r="X284"/>
  <c r="AB284" s="1"/>
  <c r="X276"/>
  <c r="AB276" s="1"/>
  <c r="X285"/>
  <c r="AB285" s="1"/>
  <c r="X277"/>
  <c r="AB277" s="1"/>
  <c r="AH241"/>
  <c r="AH248"/>
  <c r="AH267"/>
  <c r="AH258"/>
  <c r="AH259"/>
  <c r="AH281"/>
  <c r="AH260"/>
  <c r="AH261"/>
  <c r="AH311"/>
  <c r="AH262"/>
  <c r="AH263"/>
  <c r="AH264"/>
  <c r="AH310"/>
  <c r="AH282"/>
  <c r="AH316"/>
  <c r="AH283"/>
  <c r="AH278"/>
  <c r="AH284"/>
  <c r="AH276"/>
  <c r="AH285"/>
  <c r="AH277"/>
  <c r="W244"/>
  <c r="AE244" s="1"/>
  <c r="AG244"/>
  <c r="R245"/>
  <c r="U245"/>
  <c r="V245" s="1"/>
  <c r="N40" i="19137"/>
  <c r="T244" i="19129"/>
  <c r="I399"/>
  <c r="G160" i="107"/>
  <c r="T8" i="19134"/>
  <c r="I236" i="1" s="1"/>
  <c r="F245" i="19129"/>
  <c r="P245" s="1"/>
  <c r="Z8" i="19134"/>
  <c r="O236" i="1" s="1"/>
  <c r="F429" i="19131"/>
  <c r="A411" s="1"/>
  <c r="E430"/>
  <c r="S60" i="19139"/>
  <c r="W314" i="19130"/>
  <c r="X311"/>
  <c r="D273"/>
  <c r="N9" s="1"/>
  <c r="C274" i="1" s="1"/>
  <c r="E273" i="19130"/>
  <c r="O9" s="1"/>
  <c r="D274" i="1" s="1"/>
  <c r="H245" i="19130"/>
  <c r="H235"/>
  <c r="E272"/>
  <c r="O8" s="1"/>
  <c r="D273" i="1" s="1"/>
  <c r="N8" i="19130"/>
  <c r="C273" i="1" s="1"/>
  <c r="I426" i="19129"/>
  <c r="E430" i="19135"/>
  <c r="D431" s="1"/>
  <c r="G368"/>
  <c r="F368"/>
  <c r="E368"/>
  <c r="D368"/>
  <c r="C368"/>
  <c r="C431" i="19136"/>
  <c r="B430"/>
  <c r="I456"/>
  <c r="G772" i="19130"/>
  <c r="I628"/>
  <c r="H716"/>
  <c r="C447" i="19131"/>
  <c r="A448"/>
  <c r="A449" s="1"/>
  <c r="B449" s="1"/>
  <c r="B447"/>
  <c r="F378" i="19135" l="1"/>
  <c r="A378"/>
  <c r="M157" i="107"/>
  <c r="F288" i="19139"/>
  <c r="C59"/>
  <c r="M159" i="107" s="1"/>
  <c r="N12"/>
  <c r="H208"/>
  <c r="W377"/>
  <c r="W18" i="19139" s="1"/>
  <c r="W128"/>
  <c r="X377" i="107"/>
  <c r="X18" i="19139" s="1"/>
  <c r="K128"/>
  <c r="K129" s="1"/>
  <c r="L377" i="107"/>
  <c r="L18" i="19139" s="1"/>
  <c r="K377" i="107"/>
  <c r="K18" i="19139" s="1"/>
  <c r="BN377" i="107"/>
  <c r="BN18" i="19139" s="1"/>
  <c r="BM377" i="107"/>
  <c r="BM18" i="19139" s="1"/>
  <c r="BM128"/>
  <c r="BL377" i="107"/>
  <c r="BL18" i="19139" s="1"/>
  <c r="BK377" i="107"/>
  <c r="BK18" i="19139" s="1"/>
  <c r="BK128"/>
  <c r="AZ377" i="107"/>
  <c r="AZ18" i="19139" s="1"/>
  <c r="AY377" i="107"/>
  <c r="AY18" i="19139" s="1"/>
  <c r="AY128"/>
  <c r="C128"/>
  <c r="M207" i="107" s="1"/>
  <c r="C377"/>
  <c r="C18" i="19139" s="1"/>
  <c r="D377" i="107"/>
  <c r="D18" i="19139" s="1"/>
  <c r="BW128"/>
  <c r="BW129" s="1"/>
  <c r="BW377" i="107"/>
  <c r="BW18" i="19139" s="1"/>
  <c r="BX377" i="107"/>
  <c r="BX18" i="19139" s="1"/>
  <c r="BU128"/>
  <c r="BU129" s="1"/>
  <c r="BV377" i="107"/>
  <c r="BV18" i="19139" s="1"/>
  <c r="BU377" i="107"/>
  <c r="BU18" i="19139" s="1"/>
  <c r="BE128"/>
  <c r="BE129" s="1"/>
  <c r="BE377" i="107"/>
  <c r="BE18" i="19139" s="1"/>
  <c r="BF377" i="107"/>
  <c r="BF18" i="19139" s="1"/>
  <c r="P377" i="107"/>
  <c r="P18" i="19139" s="1"/>
  <c r="O128"/>
  <c r="O377" i="107"/>
  <c r="O18" i="19139" s="1"/>
  <c r="CC128"/>
  <c r="CC129" s="1"/>
  <c r="CC377" i="107"/>
  <c r="CC18" i="19139" s="1"/>
  <c r="CD377" i="107"/>
  <c r="CD18" i="19139" s="1"/>
  <c r="AN377" i="107"/>
  <c r="AN18" i="19139" s="1"/>
  <c r="AM377" i="107"/>
  <c r="AM18" i="19139" s="1"/>
  <c r="AM128"/>
  <c r="BI128"/>
  <c r="BI129" s="1"/>
  <c r="BI377" i="107"/>
  <c r="BI18" i="19139" s="1"/>
  <c r="BJ377" i="107"/>
  <c r="BJ18" i="19139" s="1"/>
  <c r="M128"/>
  <c r="M129" s="1"/>
  <c r="N377" i="107"/>
  <c r="N18" i="19139" s="1"/>
  <c r="M377" i="107"/>
  <c r="M18" i="19139" s="1"/>
  <c r="CA128"/>
  <c r="CA129" s="1"/>
  <c r="CB377" i="107"/>
  <c r="CB18" i="19139" s="1"/>
  <c r="CA377" i="107"/>
  <c r="CA18" i="19139" s="1"/>
  <c r="AW377" i="107"/>
  <c r="AW18" i="19139" s="1"/>
  <c r="AX377" i="107"/>
  <c r="AX18" i="19139" s="1"/>
  <c r="AW128"/>
  <c r="AG128"/>
  <c r="AG129" s="1"/>
  <c r="AG377" i="107"/>
  <c r="AG18" i="19139" s="1"/>
  <c r="AH377" i="107"/>
  <c r="AH18" i="19139" s="1"/>
  <c r="AA377" i="107"/>
  <c r="AA18" i="19139" s="1"/>
  <c r="AA128"/>
  <c r="AB377" i="107"/>
  <c r="AB18" i="19139" s="1"/>
  <c r="BZ377" i="107"/>
  <c r="BZ18" i="19139" s="1"/>
  <c r="BY128"/>
  <c r="BY377" i="107"/>
  <c r="BY18" i="19139" s="1"/>
  <c r="AP377" i="107"/>
  <c r="AP18" i="19139" s="1"/>
  <c r="AO128"/>
  <c r="AO377" i="107"/>
  <c r="AO18" i="19139" s="1"/>
  <c r="AL377" i="107"/>
  <c r="AL18" i="19139" s="1"/>
  <c r="AK128"/>
  <c r="AK377" i="107"/>
  <c r="AK18" i="19139" s="1"/>
  <c r="Z377" i="107"/>
  <c r="Z18" i="19139" s="1"/>
  <c r="Y377" i="107"/>
  <c r="Y18" i="19139" s="1"/>
  <c r="Y128"/>
  <c r="BD377" i="107"/>
  <c r="BD18" i="19139" s="1"/>
  <c r="BC377" i="107"/>
  <c r="BC18" i="19139" s="1"/>
  <c r="BC128"/>
  <c r="AR377" i="107"/>
  <c r="AR18" i="19139" s="1"/>
  <c r="AQ128"/>
  <c r="AQ377" i="107"/>
  <c r="AQ18" i="19139" s="1"/>
  <c r="J377" i="107"/>
  <c r="J18" i="19139" s="1"/>
  <c r="I128"/>
  <c r="I377" i="107"/>
  <c r="I18" i="19139" s="1"/>
  <c r="BO128"/>
  <c r="BO129" s="1"/>
  <c r="BP377" i="107"/>
  <c r="BP18" i="19139" s="1"/>
  <c r="BO377" i="107"/>
  <c r="BO18" i="19139" s="1"/>
  <c r="BB377" i="107"/>
  <c r="BB18" i="19139" s="1"/>
  <c r="BA377" i="107"/>
  <c r="BA18" i="19139" s="1"/>
  <c r="BA128"/>
  <c r="Q128"/>
  <c r="Q129" s="1"/>
  <c r="R377" i="107"/>
  <c r="R18" i="19139" s="1"/>
  <c r="Q377" i="107"/>
  <c r="Q18" i="19139" s="1"/>
  <c r="H377" i="107"/>
  <c r="H18" i="19139" s="1"/>
  <c r="G377" i="107"/>
  <c r="G18" i="19139" s="1"/>
  <c r="G128"/>
  <c r="AD377" i="107"/>
  <c r="AD18" i="19139" s="1"/>
  <c r="AC377" i="107"/>
  <c r="AC18" i="19139" s="1"/>
  <c r="AC128"/>
  <c r="AE377" i="107"/>
  <c r="AE18" i="19139" s="1"/>
  <c r="AF377" i="107"/>
  <c r="AF18" i="19139" s="1"/>
  <c r="AE128"/>
  <c r="S128"/>
  <c r="S129" s="1"/>
  <c r="T377" i="107"/>
  <c r="T18" i="19139" s="1"/>
  <c r="S377" i="107"/>
  <c r="S18" i="19139" s="1"/>
  <c r="BQ377" i="107"/>
  <c r="BQ18" i="19139" s="1"/>
  <c r="BQ128"/>
  <c r="BR377" i="107"/>
  <c r="BR18" i="19139" s="1"/>
  <c r="BS377" i="107"/>
  <c r="BS18" i="19139" s="1"/>
  <c r="BT377" i="107"/>
  <c r="BT18" i="19139" s="1"/>
  <c r="BS128"/>
  <c r="U128"/>
  <c r="U129" s="1"/>
  <c r="U377" i="107"/>
  <c r="U18" i="19139" s="1"/>
  <c r="V377" i="107"/>
  <c r="V18" i="19139" s="1"/>
  <c r="BG128"/>
  <c r="BG129" s="1"/>
  <c r="BG377" i="107"/>
  <c r="BG18" i="19139" s="1"/>
  <c r="BH377" i="107"/>
  <c r="BH18" i="19139" s="1"/>
  <c r="AS377" i="107"/>
  <c r="AS18" i="19139" s="1"/>
  <c r="AT377" i="107"/>
  <c r="AT18" i="19139" s="1"/>
  <c r="AS128"/>
  <c r="AU128"/>
  <c r="AU129" s="1"/>
  <c r="AU377" i="107"/>
  <c r="AU18" i="19139" s="1"/>
  <c r="AV377" i="107"/>
  <c r="AV18" i="19139" s="1"/>
  <c r="AI128"/>
  <c r="AI129" s="1"/>
  <c r="AJ377" i="107"/>
  <c r="AJ18" i="19139" s="1"/>
  <c r="AI377" i="107"/>
  <c r="AI18" i="19139" s="1"/>
  <c r="E128"/>
  <c r="E129" s="1"/>
  <c r="E377" i="107"/>
  <c r="E18" i="19139" s="1"/>
  <c r="F377" i="107"/>
  <c r="F18" i="19139" s="1"/>
  <c r="E636" i="19129"/>
  <c r="C677" s="1"/>
  <c r="G629"/>
  <c r="I637" s="1"/>
  <c r="M246"/>
  <c r="N246" s="1"/>
  <c r="O246" s="1"/>
  <c r="Q246"/>
  <c r="U246" s="1"/>
  <c r="V246" s="1"/>
  <c r="AV238"/>
  <c r="AX238" s="1"/>
  <c r="I245"/>
  <c r="L41" i="19137"/>
  <c r="R41" s="1"/>
  <c r="AC317" i="19129"/>
  <c r="AB258"/>
  <c r="AC316"/>
  <c r="AB243"/>
  <c r="AB242"/>
  <c r="AB239"/>
  <c r="AY297"/>
  <c r="AB259"/>
  <c r="AV297"/>
  <c r="AX297" s="1"/>
  <c r="AB240"/>
  <c r="AB241"/>
  <c r="AB315"/>
  <c r="AB260"/>
  <c r="I552"/>
  <c r="F636" s="1"/>
  <c r="B668"/>
  <c r="G569"/>
  <c r="I636" s="1"/>
  <c r="B524"/>
  <c r="F559"/>
  <c r="G568"/>
  <c r="H636" s="1"/>
  <c r="C668"/>
  <c r="E668"/>
  <c r="L668"/>
  <c r="H668" s="1"/>
  <c r="L677"/>
  <c r="G570"/>
  <c r="J636" s="1"/>
  <c r="AB298"/>
  <c r="AB248"/>
  <c r="AB311"/>
  <c r="AB300"/>
  <c r="AB312"/>
  <c r="AF245"/>
  <c r="AC304"/>
  <c r="AB304"/>
  <c r="AC308"/>
  <c r="AB308"/>
  <c r="AC305"/>
  <c r="AB305"/>
  <c r="AB306"/>
  <c r="AC309"/>
  <c r="AB309"/>
  <c r="AC301"/>
  <c r="AB301"/>
  <c r="AC303"/>
  <c r="AB303"/>
  <c r="E669"/>
  <c r="L669"/>
  <c r="H669" s="1"/>
  <c r="C669"/>
  <c r="L678"/>
  <c r="B669"/>
  <c r="G628"/>
  <c r="E637"/>
  <c r="B584"/>
  <c r="I612"/>
  <c r="F619"/>
  <c r="AL275"/>
  <c r="AL286" s="1"/>
  <c r="J455" s="1"/>
  <c r="AW238"/>
  <c r="AL238"/>
  <c r="AH306"/>
  <c r="Q8" i="19134"/>
  <c r="F236" i="1" s="1"/>
  <c r="AC258" i="19129"/>
  <c r="AV257"/>
  <c r="AX257" s="1"/>
  <c r="AX268" s="1"/>
  <c r="D495" s="1"/>
  <c r="AY257"/>
  <c r="AY268" s="1"/>
  <c r="F495" s="1"/>
  <c r="W8" i="19134"/>
  <c r="L236" i="1" s="1"/>
  <c r="I456" i="19141"/>
  <c r="C431"/>
  <c r="B430"/>
  <c r="AD246" i="19129"/>
  <c r="AE306"/>
  <c r="E247"/>
  <c r="AY306"/>
  <c r="AW306"/>
  <c r="AJ306"/>
  <c r="AC318"/>
  <c r="AL306"/>
  <c r="AV306"/>
  <c r="AX306" s="1"/>
  <c r="AR306"/>
  <c r="AQ306"/>
  <c r="AS306"/>
  <c r="AL257"/>
  <c r="AL268" s="1"/>
  <c r="J454" s="1"/>
  <c r="AW257"/>
  <c r="AW268" s="1"/>
  <c r="C495" s="1"/>
  <c r="AH238"/>
  <c r="X297"/>
  <c r="AC297" s="1"/>
  <c r="AH297"/>
  <c r="AJ297"/>
  <c r="AY238"/>
  <c r="AC259"/>
  <c r="AC314"/>
  <c r="AC315"/>
  <c r="AC313"/>
  <c r="F277" i="19139"/>
  <c r="I288"/>
  <c r="C60"/>
  <c r="AL244" i="19129"/>
  <c r="AW297"/>
  <c r="AL297"/>
  <c r="AC260"/>
  <c r="AC310"/>
  <c r="AC312"/>
  <c r="AW244"/>
  <c r="AY244"/>
  <c r="AV244"/>
  <c r="AX244" s="1"/>
  <c r="AN319"/>
  <c r="C486" s="1"/>
  <c r="AP319"/>
  <c r="AR297"/>
  <c r="AT297"/>
  <c r="AQ297"/>
  <c r="AO319"/>
  <c r="E486" s="1"/>
  <c r="C82" i="19137"/>
  <c r="D82" s="1"/>
  <c r="E82" s="1"/>
  <c r="F82" s="1"/>
  <c r="I73"/>
  <c r="X238" i="19129"/>
  <c r="AB238" s="1"/>
  <c r="AU319"/>
  <c r="X307"/>
  <c r="AY275"/>
  <c r="AY286" s="1"/>
  <c r="F496" s="1"/>
  <c r="AW275"/>
  <c r="AW286" s="1"/>
  <c r="C496" s="1"/>
  <c r="AR275"/>
  <c r="AR286" s="1"/>
  <c r="G485" s="1"/>
  <c r="W286"/>
  <c r="E455" s="1"/>
  <c r="AS275"/>
  <c r="AS286" s="1"/>
  <c r="H485" s="1"/>
  <c r="AH275"/>
  <c r="AH286" s="1"/>
  <c r="H455" s="1"/>
  <c r="AV275"/>
  <c r="AV286" s="1"/>
  <c r="B496" s="1"/>
  <c r="X275"/>
  <c r="AJ275"/>
  <c r="AJ286" s="1"/>
  <c r="I455" s="1"/>
  <c r="AQ275"/>
  <c r="AQ286" s="1"/>
  <c r="F485" s="1"/>
  <c r="AS257"/>
  <c r="AS268" s="1"/>
  <c r="H484" s="1"/>
  <c r="W268"/>
  <c r="E454" s="1"/>
  <c r="AT257"/>
  <c r="AT268" s="1"/>
  <c r="J484" s="1"/>
  <c r="AJ257"/>
  <c r="AJ268" s="1"/>
  <c r="I454" s="1"/>
  <c r="X257"/>
  <c r="X268" s="1"/>
  <c r="F454" s="1"/>
  <c r="AH257"/>
  <c r="AH268" s="1"/>
  <c r="H454" s="1"/>
  <c r="AQ257"/>
  <c r="AQ268" s="1"/>
  <c r="F484" s="1"/>
  <c r="AU268"/>
  <c r="AJ238"/>
  <c r="AQ238"/>
  <c r="AT238"/>
  <c r="AR238"/>
  <c r="AL307"/>
  <c r="AS307"/>
  <c r="AT307"/>
  <c r="AQ307"/>
  <c r="AJ307"/>
  <c r="AR307"/>
  <c r="AJ244"/>
  <c r="AV307"/>
  <c r="AX307" s="1"/>
  <c r="AS244"/>
  <c r="AY307"/>
  <c r="AW307"/>
  <c r="AT286"/>
  <c r="J485" s="1"/>
  <c r="AU245"/>
  <c r="AR268"/>
  <c r="G484" s="1"/>
  <c r="AT244"/>
  <c r="AP245"/>
  <c r="AQ245" s="1"/>
  <c r="AQ244"/>
  <c r="AM319"/>
  <c r="B486" s="1"/>
  <c r="AO245"/>
  <c r="AN245"/>
  <c r="AM245"/>
  <c r="W319"/>
  <c r="E456" s="1"/>
  <c r="AH307"/>
  <c r="AE307"/>
  <c r="Y305"/>
  <c r="Z305" s="1"/>
  <c r="AC306"/>
  <c r="Y301"/>
  <c r="Z301" s="1"/>
  <c r="AC302"/>
  <c r="D427"/>
  <c r="F432" s="1"/>
  <c r="F451"/>
  <c r="Y299"/>
  <c r="Z299" s="1"/>
  <c r="AC299"/>
  <c r="Y303"/>
  <c r="Z303" s="1"/>
  <c r="Y302"/>
  <c r="Z302" s="1"/>
  <c r="Y304"/>
  <c r="Z304" s="1"/>
  <c r="AC300"/>
  <c r="AE268"/>
  <c r="G454" s="1"/>
  <c r="AI245"/>
  <c r="AK245"/>
  <c r="Y265"/>
  <c r="Z265" s="1"/>
  <c r="AC265"/>
  <c r="Y262"/>
  <c r="Z262" s="1"/>
  <c r="AC262"/>
  <c r="Y267"/>
  <c r="Z267" s="1"/>
  <c r="AC267"/>
  <c r="Y298"/>
  <c r="Z298" s="1"/>
  <c r="AC263"/>
  <c r="Y266"/>
  <c r="Z266" s="1"/>
  <c r="AC266"/>
  <c r="Y264"/>
  <c r="Z264" s="1"/>
  <c r="AC264"/>
  <c r="Y261"/>
  <c r="Z261" s="1"/>
  <c r="AC261"/>
  <c r="Y284"/>
  <c r="Z284" s="1"/>
  <c r="AC284"/>
  <c r="AC281"/>
  <c r="Y276"/>
  <c r="Z276" s="1"/>
  <c r="AC276"/>
  <c r="Y282"/>
  <c r="Z282" s="1"/>
  <c r="AC282"/>
  <c r="AC278"/>
  <c r="AC285"/>
  <c r="AC279"/>
  <c r="AC277"/>
  <c r="Y283"/>
  <c r="Z283" s="1"/>
  <c r="AC283"/>
  <c r="AC280"/>
  <c r="Y309"/>
  <c r="Z309" s="1"/>
  <c r="Y308"/>
  <c r="Z308" s="1"/>
  <c r="Y317"/>
  <c r="Z317" s="1"/>
  <c r="Y316"/>
  <c r="Z316" s="1"/>
  <c r="Y314"/>
  <c r="Z314" s="1"/>
  <c r="Y311"/>
  <c r="Z311" s="1"/>
  <c r="Y310"/>
  <c r="Z310" s="1"/>
  <c r="Y285"/>
  <c r="Z285" s="1"/>
  <c r="Y281"/>
  <c r="Z281" s="1"/>
  <c r="Y280"/>
  <c r="Z280" s="1"/>
  <c r="Y279"/>
  <c r="Z279" s="1"/>
  <c r="Y278"/>
  <c r="Z278" s="1"/>
  <c r="Y277"/>
  <c r="Z277" s="1"/>
  <c r="Y263"/>
  <c r="Z263" s="1"/>
  <c r="AH244"/>
  <c r="Y313"/>
  <c r="Z313" s="1"/>
  <c r="Y318"/>
  <c r="Z318" s="1"/>
  <c r="X244"/>
  <c r="AC244" s="1"/>
  <c r="Y248"/>
  <c r="Z248" s="1"/>
  <c r="Y242"/>
  <c r="Z242" s="1"/>
  <c r="Y243"/>
  <c r="Z243" s="1"/>
  <c r="Y241"/>
  <c r="Z241" s="1"/>
  <c r="Y240"/>
  <c r="Z240" s="1"/>
  <c r="Y239"/>
  <c r="Z239" s="1"/>
  <c r="W245"/>
  <c r="AE245" s="1"/>
  <c r="AG245"/>
  <c r="N41" i="19137"/>
  <c r="T245" i="19129"/>
  <c r="F430" i="19131"/>
  <c r="C410" s="1"/>
  <c r="D431"/>
  <c r="D431" i="19129"/>
  <c r="F431" s="1"/>
  <c r="E158" i="107"/>
  <c r="G161"/>
  <c r="A161"/>
  <c r="F246" i="19129"/>
  <c r="P246" s="1"/>
  <c r="F430" i="19135"/>
  <c r="A412" s="1"/>
  <c r="E431"/>
  <c r="D432" s="1"/>
  <c r="F433" i="19129"/>
  <c r="F457" i="19136"/>
  <c r="B457"/>
  <c r="F445"/>
  <c r="B445"/>
  <c r="F430"/>
  <c r="C791" i="19130"/>
  <c r="D791" s="1"/>
  <c r="C788"/>
  <c r="D788" s="1"/>
  <c r="H772"/>
  <c r="H773" s="1"/>
  <c r="C448" i="19131"/>
  <c r="B448"/>
  <c r="F276" i="19139" l="1"/>
  <c r="BH128"/>
  <c r="BG130" s="1"/>
  <c r="V128"/>
  <c r="U130" s="1"/>
  <c r="AH128"/>
  <c r="AG130" s="1"/>
  <c r="C129"/>
  <c r="M209" i="107" s="1"/>
  <c r="BV128" i="19139"/>
  <c r="BU130" s="1"/>
  <c r="D128"/>
  <c r="M208" i="107" s="1"/>
  <c r="T128" i="19139"/>
  <c r="S130" s="1"/>
  <c r="BP128"/>
  <c r="BO130" s="1"/>
  <c r="R128"/>
  <c r="Q130" s="1"/>
  <c r="AO129"/>
  <c r="AP128"/>
  <c r="AO130" s="1"/>
  <c r="BA129"/>
  <c r="BB128"/>
  <c r="BA130" s="1"/>
  <c r="I129"/>
  <c r="J128"/>
  <c r="I130" s="1"/>
  <c r="Y129"/>
  <c r="Z128"/>
  <c r="Y130" s="1"/>
  <c r="BJ128"/>
  <c r="BI130" s="1"/>
  <c r="BK129"/>
  <c r="BL128"/>
  <c r="BK130" s="1"/>
  <c r="BS129"/>
  <c r="BT128"/>
  <c r="BS130" s="1"/>
  <c r="G129"/>
  <c r="H128"/>
  <c r="G130" s="1"/>
  <c r="F128"/>
  <c r="E130" s="1"/>
  <c r="BY129"/>
  <c r="BZ128"/>
  <c r="BY130" s="1"/>
  <c r="N128"/>
  <c r="M130" s="1"/>
  <c r="AM129"/>
  <c r="AN128"/>
  <c r="AM130" s="1"/>
  <c r="O129"/>
  <c r="P128"/>
  <c r="O130" s="1"/>
  <c r="AE129"/>
  <c r="AF128"/>
  <c r="AE130" s="1"/>
  <c r="AQ129"/>
  <c r="AR128"/>
  <c r="AQ130" s="1"/>
  <c r="AW129"/>
  <c r="AX128"/>
  <c r="AW130" s="1"/>
  <c r="BM129"/>
  <c r="BN128"/>
  <c r="BM130" s="1"/>
  <c r="W129"/>
  <c r="X128"/>
  <c r="W130" s="1"/>
  <c r="AV128"/>
  <c r="AU130" s="1"/>
  <c r="AK129"/>
  <c r="AL128"/>
  <c r="AK130" s="1"/>
  <c r="BF128"/>
  <c r="BE130" s="1"/>
  <c r="BQ129"/>
  <c r="BR128"/>
  <c r="BQ130" s="1"/>
  <c r="BC129"/>
  <c r="BD128"/>
  <c r="BC130" s="1"/>
  <c r="AA129"/>
  <c r="AB128"/>
  <c r="AA130" s="1"/>
  <c r="AY129"/>
  <c r="AZ128"/>
  <c r="AY130" s="1"/>
  <c r="B210" i="107"/>
  <c r="H210"/>
  <c r="AJ128" i="19139"/>
  <c r="AI130" s="1"/>
  <c r="AS129"/>
  <c r="AT128"/>
  <c r="AS130" s="1"/>
  <c r="AC129"/>
  <c r="AD128"/>
  <c r="AC130" s="1"/>
  <c r="CB128"/>
  <c r="CA130" s="1"/>
  <c r="CD128"/>
  <c r="CC130" s="1"/>
  <c r="BX128"/>
  <c r="BW130" s="1"/>
  <c r="L128"/>
  <c r="K130" s="1"/>
  <c r="B677" i="19129"/>
  <c r="D677" s="1"/>
  <c r="F677"/>
  <c r="R246"/>
  <c r="N42" i="19137" s="1"/>
  <c r="B670" i="19129"/>
  <c r="H670"/>
  <c r="E670"/>
  <c r="C670"/>
  <c r="Q247"/>
  <c r="U247" s="1"/>
  <c r="V247" s="1"/>
  <c r="M247"/>
  <c r="N247" s="1"/>
  <c r="O247" s="1"/>
  <c r="AB257"/>
  <c r="I246"/>
  <c r="L42" i="19137"/>
  <c r="R42" s="1"/>
  <c r="H637" i="19129"/>
  <c r="H638" s="1"/>
  <c r="D647" s="1"/>
  <c r="P53" s="1"/>
  <c r="G630"/>
  <c r="J637" s="1"/>
  <c r="J638" s="1"/>
  <c r="D649" s="1"/>
  <c r="J668"/>
  <c r="G668"/>
  <c r="F668"/>
  <c r="J669"/>
  <c r="F669"/>
  <c r="G669"/>
  <c r="D557"/>
  <c r="F557" s="1"/>
  <c r="AB297"/>
  <c r="AB244"/>
  <c r="D553"/>
  <c r="F558" s="1"/>
  <c r="I797" i="19130"/>
  <c r="I795"/>
  <c r="Y275" i="19129"/>
  <c r="Z275" s="1"/>
  <c r="AB275"/>
  <c r="Y307"/>
  <c r="Z307" s="1"/>
  <c r="AB307"/>
  <c r="AF246"/>
  <c r="E638"/>
  <c r="F717" s="1"/>
  <c r="I638"/>
  <c r="D648" s="1"/>
  <c r="F678"/>
  <c r="C678"/>
  <c r="C679" s="1"/>
  <c r="B678"/>
  <c r="D617"/>
  <c r="F617" s="1"/>
  <c r="F637"/>
  <c r="F638" s="1"/>
  <c r="D613"/>
  <c r="F618" s="1"/>
  <c r="F247"/>
  <c r="P247" s="1"/>
  <c r="AD247"/>
  <c r="E249"/>
  <c r="B453" s="1"/>
  <c r="AV268"/>
  <c r="B495" s="1"/>
  <c r="AY319"/>
  <c r="F497" s="1"/>
  <c r="AE319"/>
  <c r="G456" s="1"/>
  <c r="F445" i="19141"/>
  <c r="B445"/>
  <c r="F430"/>
  <c r="B457"/>
  <c r="F457"/>
  <c r="F804" i="19130"/>
  <c r="AX319" i="19129"/>
  <c r="D497" s="1"/>
  <c r="AS319"/>
  <c r="H486" s="1"/>
  <c r="AJ319"/>
  <c r="I456" s="1"/>
  <c r="AC257"/>
  <c r="Y297"/>
  <c r="Z297" s="1"/>
  <c r="AH319"/>
  <c r="H456" s="1"/>
  <c r="Y238"/>
  <c r="Z238" s="1"/>
  <c r="AW319"/>
  <c r="C497" s="1"/>
  <c r="AL319"/>
  <c r="J456" s="1"/>
  <c r="AC238"/>
  <c r="AL245"/>
  <c r="AY245"/>
  <c r="AV245"/>
  <c r="AX245" s="1"/>
  <c r="AW245"/>
  <c r="AT319"/>
  <c r="J486" s="1"/>
  <c r="AQ319"/>
  <c r="F486" s="1"/>
  <c r="AR319"/>
  <c r="G486" s="1"/>
  <c r="J82" i="19137"/>
  <c r="G82"/>
  <c r="H82" s="1"/>
  <c r="J73"/>
  <c r="D37"/>
  <c r="X319" i="19129"/>
  <c r="F456" s="1"/>
  <c r="AC307"/>
  <c r="AC275"/>
  <c r="AX275"/>
  <c r="AX286" s="1"/>
  <c r="D496" s="1"/>
  <c r="X286"/>
  <c r="F455" s="1"/>
  <c r="Y257"/>
  <c r="Z257" s="1"/>
  <c r="AJ245"/>
  <c r="AS245"/>
  <c r="AV319"/>
  <c r="B497" s="1"/>
  <c r="AU246"/>
  <c r="AP246"/>
  <c r="AR246" s="1"/>
  <c r="AR245"/>
  <c r="AT245"/>
  <c r="AN246"/>
  <c r="AM246"/>
  <c r="AO246"/>
  <c r="AK246"/>
  <c r="AI246"/>
  <c r="AH245"/>
  <c r="Y244"/>
  <c r="Z244" s="1"/>
  <c r="X245"/>
  <c r="W246"/>
  <c r="AE246" s="1"/>
  <c r="AG246"/>
  <c r="E431" i="19131"/>
  <c r="D432" s="1"/>
  <c r="D306" i="107"/>
  <c r="G162"/>
  <c r="A163" s="1"/>
  <c r="A162"/>
  <c r="H158"/>
  <c r="F167"/>
  <c r="G169" s="1"/>
  <c r="I169" s="1"/>
  <c r="F431" i="19135"/>
  <c r="C411" s="1"/>
  <c r="E432"/>
  <c r="D433" s="1"/>
  <c r="F446" i="19136"/>
  <c r="I446" s="1"/>
  <c r="B446"/>
  <c r="I445"/>
  <c r="I457"/>
  <c r="I458" s="1"/>
  <c r="F458"/>
  <c r="B603" s="1"/>
  <c r="C603" s="1"/>
  <c r="I788" i="19130"/>
  <c r="H788"/>
  <c r="G788"/>
  <c r="F788"/>
  <c r="E788"/>
  <c r="I791"/>
  <c r="H791"/>
  <c r="G791"/>
  <c r="F791"/>
  <c r="E791"/>
  <c r="D222" i="19128"/>
  <c r="G245" s="1"/>
  <c r="G246" s="1"/>
  <c r="T246" i="19129" l="1"/>
  <c r="C130" i="19139"/>
  <c r="B211" i="107"/>
  <c r="H211"/>
  <c r="B679" i="19129"/>
  <c r="F679"/>
  <c r="G670"/>
  <c r="J670"/>
  <c r="F670"/>
  <c r="I247"/>
  <c r="L43" i="19137"/>
  <c r="R43" s="1"/>
  <c r="F807" i="19130"/>
  <c r="AC245" i="19129"/>
  <c r="AB245"/>
  <c r="AF247"/>
  <c r="D678"/>
  <c r="D679" s="1"/>
  <c r="R247"/>
  <c r="N43" i="19137" s="1"/>
  <c r="D62"/>
  <c r="E322" i="19129"/>
  <c r="F249"/>
  <c r="C70" i="19137"/>
  <c r="D70" s="1"/>
  <c r="E70" s="1"/>
  <c r="F70" s="1"/>
  <c r="G70" s="1"/>
  <c r="B34" s="1"/>
  <c r="H34" s="1"/>
  <c r="I457" i="19141"/>
  <c r="I458" s="1"/>
  <c r="F458"/>
  <c r="B603" s="1"/>
  <c r="C603" s="1"/>
  <c r="I445"/>
  <c r="F446"/>
  <c r="I446" s="1"/>
  <c r="B446"/>
  <c r="E432" i="19131"/>
  <c r="U249" i="19129"/>
  <c r="AL246"/>
  <c r="AJ246"/>
  <c r="AS246"/>
  <c r="AW246"/>
  <c r="AY246"/>
  <c r="AU247"/>
  <c r="AU249" s="1"/>
  <c r="AV246"/>
  <c r="AX246" s="1"/>
  <c r="AT246"/>
  <c r="AQ246"/>
  <c r="AP247"/>
  <c r="AS247" s="1"/>
  <c r="AO247"/>
  <c r="AO249" s="1"/>
  <c r="E483" s="1"/>
  <c r="E487" s="1"/>
  <c r="AN247"/>
  <c r="AN249" s="1"/>
  <c r="C483" s="1"/>
  <c r="C487" s="1"/>
  <c r="AM247"/>
  <c r="V249"/>
  <c r="D453" s="1"/>
  <c r="AI247"/>
  <c r="AI249" s="1"/>
  <c r="AK247"/>
  <c r="AH246"/>
  <c r="X246"/>
  <c r="AB246" s="1"/>
  <c r="Y245"/>
  <c r="Z245" s="1"/>
  <c r="W247"/>
  <c r="AW247" s="1"/>
  <c r="AG247"/>
  <c r="F431" i="19131"/>
  <c r="E410" s="1"/>
  <c r="G163" i="107"/>
  <c r="F166" s="1"/>
  <c r="F447" i="19136"/>
  <c r="B591" s="1"/>
  <c r="C591" s="1"/>
  <c r="I447"/>
  <c r="D591" s="1"/>
  <c r="H591" s="1"/>
  <c r="F432" i="19135"/>
  <c r="E411" s="1"/>
  <c r="E433"/>
  <c r="D434" s="1"/>
  <c r="D603" i="19136"/>
  <c r="H603" s="1"/>
  <c r="H459"/>
  <c r="B212" i="107" l="1"/>
  <c r="D307"/>
  <c r="H308" s="1"/>
  <c r="I309" s="1"/>
  <c r="H212"/>
  <c r="G217"/>
  <c r="G219" s="1"/>
  <c r="I219" s="1"/>
  <c r="C111" i="19128"/>
  <c r="E71" i="19134"/>
  <c r="E282" i="19142" s="1"/>
  <c r="E662" i="19129"/>
  <c r="F647" s="1"/>
  <c r="D72" i="19134"/>
  <c r="D49" i="19129"/>
  <c r="A561" s="1"/>
  <c r="C73"/>
  <c r="C823"/>
  <c r="C824" s="1"/>
  <c r="B750"/>
  <c r="D751" s="1"/>
  <c r="T247"/>
  <c r="H70" i="19137"/>
  <c r="I70" s="1"/>
  <c r="J70" s="1"/>
  <c r="B86"/>
  <c r="C86" s="1"/>
  <c r="F432" i="19131"/>
  <c r="G410" s="1"/>
  <c r="D433"/>
  <c r="D603" i="19141"/>
  <c r="H603" s="1"/>
  <c r="H459"/>
  <c r="I447"/>
  <c r="F447"/>
  <c r="B591" s="1"/>
  <c r="C591" s="1"/>
  <c r="AL247" i="19129"/>
  <c r="AL249" s="1"/>
  <c r="J453" s="1"/>
  <c r="AJ247"/>
  <c r="AJ249" s="1"/>
  <c r="I453" s="1"/>
  <c r="AW249"/>
  <c r="C494" s="1"/>
  <c r="C498" s="1"/>
  <c r="AY247"/>
  <c r="AY249" s="1"/>
  <c r="F494" s="1"/>
  <c r="F498" s="1"/>
  <c r="AV247"/>
  <c r="AR247"/>
  <c r="AR249" s="1"/>
  <c r="G483" s="1"/>
  <c r="G487" s="1"/>
  <c r="AQ247"/>
  <c r="AQ249" s="1"/>
  <c r="F483" s="1"/>
  <c r="F487" s="1"/>
  <c r="AT247"/>
  <c r="AT249" s="1"/>
  <c r="J483" s="1"/>
  <c r="J487" s="1"/>
  <c r="AS249"/>
  <c r="H483" s="1"/>
  <c r="H487" s="1"/>
  <c r="AM249"/>
  <c r="B483" s="1"/>
  <c r="B487" s="1"/>
  <c r="W249"/>
  <c r="E453" s="1"/>
  <c r="AE247"/>
  <c r="AE249" s="1"/>
  <c r="G453" s="1"/>
  <c r="AC246"/>
  <c r="Y246"/>
  <c r="Z246" s="1"/>
  <c r="AH247"/>
  <c r="AH249" s="1"/>
  <c r="H453" s="1"/>
  <c r="X247"/>
  <c r="X249" s="1"/>
  <c r="F453" s="1"/>
  <c r="G172" i="107"/>
  <c r="B189" s="1"/>
  <c r="D189" s="1"/>
  <c r="G170"/>
  <c r="I170" s="1"/>
  <c r="E20" i="19128" s="1"/>
  <c r="H448" i="19136"/>
  <c r="F433" i="19135"/>
  <c r="G411" s="1"/>
  <c r="E434"/>
  <c r="D435" s="1"/>
  <c r="G591" i="19136"/>
  <c r="E591"/>
  <c r="F591" s="1"/>
  <c r="G603"/>
  <c r="E603"/>
  <c r="F603" s="1"/>
  <c r="H213" i="107" l="1"/>
  <c r="G216" s="1"/>
  <c r="B213"/>
  <c r="A621" i="19129"/>
  <c r="A712"/>
  <c r="E764"/>
  <c r="G787"/>
  <c r="D787"/>
  <c r="D283" i="19142"/>
  <c r="C68" i="19134"/>
  <c r="C279" i="19142" s="1"/>
  <c r="B926" i="19129"/>
  <c r="D927" s="1"/>
  <c r="B1042"/>
  <c r="D1043" s="1"/>
  <c r="C20" i="19142"/>
  <c r="E660" i="19129"/>
  <c r="F649" s="1"/>
  <c r="A51"/>
  <c r="F51"/>
  <c r="B87"/>
  <c r="B34" i="19142" s="1"/>
  <c r="B58" i="19129"/>
  <c r="B5" i="19142" s="1"/>
  <c r="E59" i="19134"/>
  <c r="A65" i="19129"/>
  <c r="E650" s="1"/>
  <c r="E115" i="19128"/>
  <c r="C142"/>
  <c r="AB247" i="19129"/>
  <c r="D34" i="19137"/>
  <c r="C79"/>
  <c r="D79" s="1"/>
  <c r="E79" s="1"/>
  <c r="F79" s="1"/>
  <c r="J79" s="1"/>
  <c r="E433" i="19131"/>
  <c r="D434" s="1"/>
  <c r="G603" i="19141"/>
  <c r="E603"/>
  <c r="F603" s="1"/>
  <c r="H448"/>
  <c r="D591"/>
  <c r="H591" s="1"/>
  <c r="AV249" i="19129"/>
  <c r="B494" s="1"/>
  <c r="B498" s="1"/>
  <c r="AX247"/>
  <c r="AX249" s="1"/>
  <c r="D494" s="1"/>
  <c r="D498" s="1"/>
  <c r="Y247"/>
  <c r="Z247" s="1"/>
  <c r="AC247"/>
  <c r="H189" i="107"/>
  <c r="I189"/>
  <c r="E189"/>
  <c r="F189"/>
  <c r="G189"/>
  <c r="F434" i="19135"/>
  <c r="E435"/>
  <c r="D436" s="1"/>
  <c r="G221" i="107" l="1"/>
  <c r="B236" s="1"/>
  <c r="D236" s="1"/>
  <c r="G220"/>
  <c r="I220" s="1"/>
  <c r="E21" i="19128" s="1"/>
  <c r="I712" i="19129"/>
  <c r="E713" s="1"/>
  <c r="E715" s="1"/>
  <c r="F718" s="1"/>
  <c r="F719" s="1"/>
  <c r="I561"/>
  <c r="A12" i="19142"/>
  <c r="BA311" i="19129"/>
  <c r="BB311" s="1"/>
  <c r="BA318"/>
  <c r="BB318" s="1"/>
  <c r="BA308"/>
  <c r="BB308" s="1"/>
  <c r="BA248"/>
  <c r="BB248" s="1"/>
  <c r="BA258"/>
  <c r="BB258" s="1"/>
  <c r="BA300"/>
  <c r="BB300" s="1"/>
  <c r="BA262"/>
  <c r="BB262" s="1"/>
  <c r="BA304"/>
  <c r="BB304" s="1"/>
  <c r="BA281"/>
  <c r="BB281" s="1"/>
  <c r="BA279"/>
  <c r="BB279" s="1"/>
  <c r="BA284"/>
  <c r="BB284" s="1"/>
  <c r="BA240"/>
  <c r="BB240" s="1"/>
  <c r="I621"/>
  <c r="BA315"/>
  <c r="BB315" s="1"/>
  <c r="BA309"/>
  <c r="BB309" s="1"/>
  <c r="BA312"/>
  <c r="BB312" s="1"/>
  <c r="BA267"/>
  <c r="BB267" s="1"/>
  <c r="BA299"/>
  <c r="BB299" s="1"/>
  <c r="BA301"/>
  <c r="BB301" s="1"/>
  <c r="BA303"/>
  <c r="BB303" s="1"/>
  <c r="BA265"/>
  <c r="BB265" s="1"/>
  <c r="BA278"/>
  <c r="BB278" s="1"/>
  <c r="BA280"/>
  <c r="BB280" s="1"/>
  <c r="BA277"/>
  <c r="BB277" s="1"/>
  <c r="BA241"/>
  <c r="BB241" s="1"/>
  <c r="BA310"/>
  <c r="BB310" s="1"/>
  <c r="BA313"/>
  <c r="BB313" s="1"/>
  <c r="BA316"/>
  <c r="BB316" s="1"/>
  <c r="BA297"/>
  <c r="BA259"/>
  <c r="BB259" s="1"/>
  <c r="BA261"/>
  <c r="BB261" s="1"/>
  <c r="BA263"/>
  <c r="BB263" s="1"/>
  <c r="BA307"/>
  <c r="BB307" s="1"/>
  <c r="BA276"/>
  <c r="BB276" s="1"/>
  <c r="BA275"/>
  <c r="BA285"/>
  <c r="BB285" s="1"/>
  <c r="BA257"/>
  <c r="B84" i="19134"/>
  <c r="BA314" i="19129"/>
  <c r="BB314" s="1"/>
  <c r="BA317"/>
  <c r="BB317" s="1"/>
  <c r="BA238"/>
  <c r="BA298"/>
  <c r="BB298" s="1"/>
  <c r="BA260"/>
  <c r="BB260" s="1"/>
  <c r="BA302"/>
  <c r="BB302" s="1"/>
  <c r="BA264"/>
  <c r="BB264" s="1"/>
  <c r="BA266"/>
  <c r="BB266" s="1"/>
  <c r="BA282"/>
  <c r="BB282" s="1"/>
  <c r="BA283"/>
  <c r="BB283" s="1"/>
  <c r="BA239"/>
  <c r="BB239" s="1"/>
  <c r="BA305"/>
  <c r="BB305" s="1"/>
  <c r="BA243"/>
  <c r="BB243" s="1"/>
  <c r="G650"/>
  <c r="BA242"/>
  <c r="BB242" s="1"/>
  <c r="BA306"/>
  <c r="BB306" s="1"/>
  <c r="BA244"/>
  <c r="BB244" s="1"/>
  <c r="BA245"/>
  <c r="BB245" s="1"/>
  <c r="BA246"/>
  <c r="BB246" s="1"/>
  <c r="BA247"/>
  <c r="BB247" s="1"/>
  <c r="E417" i="19128"/>
  <c r="H290" i="19134"/>
  <c r="C302" s="1"/>
  <c r="D302" s="1"/>
  <c r="C538"/>
  <c r="C547" s="1"/>
  <c r="D547" s="1"/>
  <c r="H787"/>
  <c r="H538"/>
  <c r="C550" s="1"/>
  <c r="D550" s="1"/>
  <c r="C290"/>
  <c r="C299" s="1"/>
  <c r="D299" s="1"/>
  <c r="C787"/>
  <c r="E26"/>
  <c r="C1034"/>
  <c r="C1283"/>
  <c r="C1292" s="1"/>
  <c r="D1292" s="1"/>
  <c r="H1034"/>
  <c r="H1283"/>
  <c r="C1295" s="1"/>
  <c r="D1295" s="1"/>
  <c r="E57"/>
  <c r="E390" i="19128"/>
  <c r="F789" i="19129"/>
  <c r="B789"/>
  <c r="D113" i="19128"/>
  <c r="E146"/>
  <c r="D144" s="1"/>
  <c r="E84" i="19129"/>
  <c r="E31" i="19142" s="1"/>
  <c r="E89" i="19129"/>
  <c r="E36" i="19142" s="1"/>
  <c r="F739" i="19129"/>
  <c r="B766"/>
  <c r="E766"/>
  <c r="E767" s="1"/>
  <c r="E769" s="1"/>
  <c r="E774"/>
  <c r="G79" i="19137"/>
  <c r="H79" s="1"/>
  <c r="E434" i="19131"/>
  <c r="D435" s="1"/>
  <c r="F433"/>
  <c r="E591" i="19141"/>
  <c r="F591" s="1"/>
  <c r="G591"/>
  <c r="F435" i="19135"/>
  <c r="E436"/>
  <c r="D437" s="1"/>
  <c r="H236" i="107" l="1"/>
  <c r="G236"/>
  <c r="F236"/>
  <c r="I236"/>
  <c r="E236"/>
  <c r="E622" i="19129"/>
  <c r="E623" s="1"/>
  <c r="G637" s="1"/>
  <c r="G638" s="1"/>
  <c r="D625"/>
  <c r="D626" s="1"/>
  <c r="F626" s="1"/>
  <c r="E562"/>
  <c r="E563" s="1"/>
  <c r="G563" s="1"/>
  <c r="D565"/>
  <c r="D566" s="1"/>
  <c r="F566" s="1"/>
  <c r="H769"/>
  <c r="M56" s="1"/>
  <c r="G769"/>
  <c r="I789"/>
  <c r="H789"/>
  <c r="G547" i="19134"/>
  <c r="I547"/>
  <c r="F547"/>
  <c r="E547"/>
  <c r="H547"/>
  <c r="BE246" i="19129"/>
  <c r="BC246"/>
  <c r="BE242"/>
  <c r="BC242"/>
  <c r="BE239"/>
  <c r="BC239"/>
  <c r="BC264"/>
  <c r="BE264"/>
  <c r="BB238"/>
  <c r="BA249"/>
  <c r="BB257"/>
  <c r="BA268"/>
  <c r="BC307"/>
  <c r="BE307"/>
  <c r="BB297"/>
  <c r="BA319"/>
  <c r="BE241"/>
  <c r="BC241"/>
  <c r="BC265"/>
  <c r="BE265"/>
  <c r="BC267"/>
  <c r="BE267"/>
  <c r="BC281"/>
  <c r="BE281"/>
  <c r="BC258"/>
  <c r="BE258"/>
  <c r="BC311"/>
  <c r="BE311"/>
  <c r="G431" i="19128"/>
  <c r="D388"/>
  <c r="G1292" i="19134"/>
  <c r="F1292"/>
  <c r="I1292"/>
  <c r="E1292"/>
  <c r="H1292"/>
  <c r="F299"/>
  <c r="I299"/>
  <c r="G299"/>
  <c r="H299"/>
  <c r="E299"/>
  <c r="F302"/>
  <c r="E302"/>
  <c r="G302"/>
  <c r="H302"/>
  <c r="I302"/>
  <c r="BE245" i="19129"/>
  <c r="BC245"/>
  <c r="BC283"/>
  <c r="BE283"/>
  <c r="BC302"/>
  <c r="BE302"/>
  <c r="BC317"/>
  <c r="BE317"/>
  <c r="BC285"/>
  <c r="BE285"/>
  <c r="BC263"/>
  <c r="BE263"/>
  <c r="BC316"/>
  <c r="BE316"/>
  <c r="BC277"/>
  <c r="BE277"/>
  <c r="BC303"/>
  <c r="BE303"/>
  <c r="BC312"/>
  <c r="BE312"/>
  <c r="BE240"/>
  <c r="BC240"/>
  <c r="BC304"/>
  <c r="BE304"/>
  <c r="BE248"/>
  <c r="BC248"/>
  <c r="E974"/>
  <c r="F813"/>
  <c r="D813"/>
  <c r="F740"/>
  <c r="E859"/>
  <c r="F100" i="19134"/>
  <c r="F84" s="1"/>
  <c r="E415" i="19128"/>
  <c r="F550" i="19134"/>
  <c r="G550"/>
  <c r="E550"/>
  <c r="I550"/>
  <c r="H550"/>
  <c r="BC244" i="19129"/>
  <c r="BE244"/>
  <c r="BE243"/>
  <c r="BC243"/>
  <c r="BC282"/>
  <c r="BE282"/>
  <c r="BC260"/>
  <c r="BE260"/>
  <c r="BC314"/>
  <c r="BE314"/>
  <c r="BB275"/>
  <c r="BA286"/>
  <c r="BC261"/>
  <c r="BE261"/>
  <c r="BE313"/>
  <c r="BC313"/>
  <c r="BC280"/>
  <c r="BE280"/>
  <c r="BC301"/>
  <c r="BE301"/>
  <c r="BE309"/>
  <c r="BC309"/>
  <c r="BC284"/>
  <c r="BE284"/>
  <c r="BC262"/>
  <c r="BE262"/>
  <c r="BC308"/>
  <c r="BE308"/>
  <c r="B776"/>
  <c r="E776"/>
  <c r="E777" s="1"/>
  <c r="E779" s="1"/>
  <c r="H1295" i="19134"/>
  <c r="G1295"/>
  <c r="F1295"/>
  <c r="I1295"/>
  <c r="E1295"/>
  <c r="E247" i="19142"/>
  <c r="H1113" i="19134"/>
  <c r="C1180" s="1"/>
  <c r="D1180" s="1"/>
  <c r="C865"/>
  <c r="C929" s="1"/>
  <c r="D929" s="1"/>
  <c r="C29"/>
  <c r="C618"/>
  <c r="C682" s="1"/>
  <c r="D682" s="1"/>
  <c r="H120"/>
  <c r="C187" s="1"/>
  <c r="D187" s="1"/>
  <c r="C120"/>
  <c r="C184" s="1"/>
  <c r="D184" s="1"/>
  <c r="H865"/>
  <c r="C932" s="1"/>
  <c r="D932" s="1"/>
  <c r="C1113"/>
  <c r="C1177" s="1"/>
  <c r="D1177" s="1"/>
  <c r="H369"/>
  <c r="C436" s="1"/>
  <c r="D436" s="1"/>
  <c r="C369"/>
  <c r="C433" s="1"/>
  <c r="D433" s="1"/>
  <c r="H618"/>
  <c r="C685" s="1"/>
  <c r="D685" s="1"/>
  <c r="BE247" i="19129"/>
  <c r="BC247"/>
  <c r="BC306"/>
  <c r="BE306"/>
  <c r="BC305"/>
  <c r="BE305"/>
  <c r="BC266"/>
  <c r="BE266"/>
  <c r="BC298"/>
  <c r="BE298"/>
  <c r="L320" i="19142"/>
  <c r="F1135" i="19134"/>
  <c r="A376" i="19128"/>
  <c r="BC276" i="19129"/>
  <c r="BE276"/>
  <c r="BC259"/>
  <c r="BE259"/>
  <c r="BC310"/>
  <c r="BE310"/>
  <c r="BC278"/>
  <c r="BE278"/>
  <c r="BC299"/>
  <c r="BE299"/>
  <c r="BC315"/>
  <c r="BE315"/>
  <c r="BC279"/>
  <c r="BE279"/>
  <c r="BC300"/>
  <c r="BE300"/>
  <c r="BC318"/>
  <c r="BE318"/>
  <c r="F723"/>
  <c r="D55" s="1"/>
  <c r="F722"/>
  <c r="F721"/>
  <c r="F720"/>
  <c r="E435" i="19131"/>
  <c r="D436" s="1"/>
  <c r="F434"/>
  <c r="D449" i="19128"/>
  <c r="D459" s="1"/>
  <c r="H381"/>
  <c r="I377" s="1"/>
  <c r="R319" i="19136"/>
  <c r="R318" i="19141"/>
  <c r="F436" i="19135"/>
  <c r="E437"/>
  <c r="D438" s="1"/>
  <c r="N47" i="19129" l="1"/>
  <c r="N56"/>
  <c r="G623"/>
  <c r="G636"/>
  <c r="H84" i="19134"/>
  <c r="B320" i="19142" s="1"/>
  <c r="D84" i="19134"/>
  <c r="F320" i="19142" s="1"/>
  <c r="H1177" i="19134"/>
  <c r="F1177"/>
  <c r="I1177"/>
  <c r="E1177"/>
  <c r="G1177"/>
  <c r="F682"/>
  <c r="I682"/>
  <c r="E682"/>
  <c r="H682"/>
  <c r="G682"/>
  <c r="BE297" i="19129"/>
  <c r="BE319" s="1"/>
  <c r="BC297"/>
  <c r="BC319" s="1"/>
  <c r="BB319"/>
  <c r="BC257"/>
  <c r="BC268" s="1"/>
  <c r="BE257"/>
  <c r="BE268" s="1"/>
  <c r="BB268"/>
  <c r="H1350" i="19134"/>
  <c r="G1215"/>
  <c r="H1351"/>
  <c r="F1137"/>
  <c r="D1251"/>
  <c r="D1261" s="1"/>
  <c r="G685"/>
  <c r="F685"/>
  <c r="I685"/>
  <c r="E685"/>
  <c r="H685"/>
  <c r="H932"/>
  <c r="G932"/>
  <c r="E932"/>
  <c r="I932"/>
  <c r="F932"/>
  <c r="C392" i="19128"/>
  <c r="F462" s="1"/>
  <c r="D98" i="19134"/>
  <c r="C62"/>
  <c r="F907" i="19129"/>
  <c r="F878"/>
  <c r="F879" s="1"/>
  <c r="D893"/>
  <c r="D864"/>
  <c r="D1009"/>
  <c r="F995"/>
  <c r="F994" s="1"/>
  <c r="F997" s="1"/>
  <c r="D980"/>
  <c r="F1024"/>
  <c r="F1023" s="1"/>
  <c r="F1026" s="1"/>
  <c r="E485" i="19128"/>
  <c r="A62" i="19129"/>
  <c r="A9" i="19142" s="1"/>
  <c r="A69" i="19129"/>
  <c r="A16" i="19142" s="1"/>
  <c r="I433" i="19134"/>
  <c r="E433"/>
  <c r="H433"/>
  <c r="G433"/>
  <c r="F433"/>
  <c r="G184"/>
  <c r="I184"/>
  <c r="F184"/>
  <c r="H184"/>
  <c r="E184"/>
  <c r="I929"/>
  <c r="H929"/>
  <c r="F929"/>
  <c r="E929"/>
  <c r="G929"/>
  <c r="G779" i="19129"/>
  <c r="H779"/>
  <c r="M47" s="1"/>
  <c r="BE238"/>
  <c r="BE249" s="1"/>
  <c r="BC238"/>
  <c r="BC249" s="1"/>
  <c r="BB249"/>
  <c r="F640" i="19134"/>
  <c r="H436"/>
  <c r="G436"/>
  <c r="E436"/>
  <c r="F436"/>
  <c r="I436"/>
  <c r="G187"/>
  <c r="H187"/>
  <c r="F187"/>
  <c r="E187"/>
  <c r="I187"/>
  <c r="H1180"/>
  <c r="I1180"/>
  <c r="E1180"/>
  <c r="F1180"/>
  <c r="G1180"/>
  <c r="BE275" i="19129"/>
  <c r="BE286" s="1"/>
  <c r="BB286"/>
  <c r="BC275"/>
  <c r="BC286" s="1"/>
  <c r="AH106" i="19140"/>
  <c r="AH128"/>
  <c r="F437" i="19135"/>
  <c r="E436" i="19131"/>
  <c r="D437" s="1"/>
  <c r="F435"/>
  <c r="G421" i="19128"/>
  <c r="E438" i="19135"/>
  <c r="D439" s="1"/>
  <c r="F391" i="19134" l="1"/>
  <c r="H604" s="1"/>
  <c r="H605" s="1"/>
  <c r="D320" i="19142"/>
  <c r="F377" i="19128"/>
  <c r="F887" i="19134"/>
  <c r="G967" s="1"/>
  <c r="H320" i="19142"/>
  <c r="A1012" i="19129"/>
  <c r="A1011"/>
  <c r="D1012"/>
  <c r="D1013" s="1"/>
  <c r="D1011"/>
  <c r="C1282" i="19134"/>
  <c r="C1291" s="1"/>
  <c r="D1357" s="1"/>
  <c r="F1224"/>
  <c r="H1282"/>
  <c r="C1294" s="1"/>
  <c r="D1323" s="1"/>
  <c r="I1209"/>
  <c r="A1209"/>
  <c r="G1217"/>
  <c r="G1222"/>
  <c r="G720"/>
  <c r="D755"/>
  <c r="D765" s="1"/>
  <c r="F642"/>
  <c r="H851"/>
  <c r="H852" s="1"/>
  <c r="A866" i="19129"/>
  <c r="A867"/>
  <c r="D867"/>
  <c r="D868" s="1"/>
  <c r="D866"/>
  <c r="C273" i="19142"/>
  <c r="C249" s="1"/>
  <c r="C1070" i="19129"/>
  <c r="F69" i="19134"/>
  <c r="H1365"/>
  <c r="H302" i="19142" s="1"/>
  <c r="E68" i="19134"/>
  <c r="D983" i="19129"/>
  <c r="D984" s="1"/>
  <c r="A983"/>
  <c r="A982"/>
  <c r="D982"/>
  <c r="A895"/>
  <c r="D896"/>
  <c r="D897" s="1"/>
  <c r="A896"/>
  <c r="D895"/>
  <c r="F881"/>
  <c r="F906"/>
  <c r="F909" s="1"/>
  <c r="E437" i="19131"/>
  <c r="D438" s="1"/>
  <c r="F436"/>
  <c r="F438" i="19135"/>
  <c r="E439"/>
  <c r="D440" s="1"/>
  <c r="F393" i="19134" l="1"/>
  <c r="C537" s="1"/>
  <c r="C546" s="1"/>
  <c r="D611" s="1"/>
  <c r="G471"/>
  <c r="D506"/>
  <c r="D516" s="1"/>
  <c r="F889"/>
  <c r="G974" s="1"/>
  <c r="D1002"/>
  <c r="D1012" s="1"/>
  <c r="H1099"/>
  <c r="H1100" s="1"/>
  <c r="E279" i="19142"/>
  <c r="I963" i="19134"/>
  <c r="H1244"/>
  <c r="H1233"/>
  <c r="I1012" i="19129"/>
  <c r="I1013" s="1"/>
  <c r="I1015"/>
  <c r="I1016" s="1"/>
  <c r="I896"/>
  <c r="I897" s="1"/>
  <c r="I899"/>
  <c r="I900" s="1"/>
  <c r="I716" i="19134"/>
  <c r="F280" i="19142"/>
  <c r="I870" i="19129"/>
  <c r="I871" s="1"/>
  <c r="I867"/>
  <c r="I868" s="1"/>
  <c r="A714" i="19134"/>
  <c r="F729"/>
  <c r="C786"/>
  <c r="I714"/>
  <c r="G722"/>
  <c r="G727"/>
  <c r="H786"/>
  <c r="B1332"/>
  <c r="P1310"/>
  <c r="Q1314" s="1"/>
  <c r="T1315" s="1"/>
  <c r="B1312"/>
  <c r="C1314" s="1"/>
  <c r="M1323"/>
  <c r="I986" i="19129"/>
  <c r="I987" s="1"/>
  <c r="I983"/>
  <c r="I984" s="1"/>
  <c r="D1079"/>
  <c r="D1077" s="1"/>
  <c r="F330" i="19130"/>
  <c r="C331" s="1"/>
  <c r="F332" s="1"/>
  <c r="F439" i="19135"/>
  <c r="E438" i="19131"/>
  <c r="D439" s="1"/>
  <c r="F437"/>
  <c r="E440" i="19135"/>
  <c r="D441" s="1"/>
  <c r="G473" i="19134" l="1"/>
  <c r="G478"/>
  <c r="I465"/>
  <c r="A465"/>
  <c r="F480"/>
  <c r="M577" s="1"/>
  <c r="H537"/>
  <c r="C549" s="1"/>
  <c r="D577" s="1"/>
  <c r="F976"/>
  <c r="B1062" s="1"/>
  <c r="C1033"/>
  <c r="H1033"/>
  <c r="I961"/>
  <c r="G969"/>
  <c r="H995" s="1"/>
  <c r="A961"/>
  <c r="F1032" i="19129"/>
  <c r="F1034" s="1"/>
  <c r="H738" i="19134"/>
  <c r="H748"/>
  <c r="G976" i="19129"/>
  <c r="S987"/>
  <c r="F1003"/>
  <c r="F1005" s="1"/>
  <c r="V1316" i="19134"/>
  <c r="W1311"/>
  <c r="O68"/>
  <c r="H724"/>
  <c r="I637"/>
  <c r="G780"/>
  <c r="C795" s="1"/>
  <c r="D858" s="1"/>
  <c r="M987" i="19129"/>
  <c r="B976"/>
  <c r="B814" i="19134"/>
  <c r="P813"/>
  <c r="Q815" s="1"/>
  <c r="T816" s="1"/>
  <c r="B833"/>
  <c r="M825"/>
  <c r="M822" s="1"/>
  <c r="G887" i="19129"/>
  <c r="F889" s="1"/>
  <c r="B857"/>
  <c r="M922"/>
  <c r="F915"/>
  <c r="F917" s="1"/>
  <c r="H1234" i="19134"/>
  <c r="E1272"/>
  <c r="O69"/>
  <c r="I884"/>
  <c r="G1027"/>
  <c r="H971"/>
  <c r="H1317"/>
  <c r="A1323" s="1"/>
  <c r="F1315"/>
  <c r="H857" i="19129"/>
  <c r="S922"/>
  <c r="F1329" i="19134"/>
  <c r="F1330" s="1"/>
  <c r="F1332" s="1"/>
  <c r="C1333" s="1"/>
  <c r="AF9" s="1"/>
  <c r="U237" i="1" s="1"/>
  <c r="E1273" i="19134"/>
  <c r="AA9" s="1"/>
  <c r="P237" i="1" s="1"/>
  <c r="H1245" i="19134"/>
  <c r="D1273"/>
  <c r="AB9" i="19130"/>
  <c r="E439" i="19131"/>
  <c r="D440" s="1"/>
  <c r="F438"/>
  <c r="F440" i="19135"/>
  <c r="E441"/>
  <c r="D442" s="1"/>
  <c r="C1037" i="19130"/>
  <c r="C1040"/>
  <c r="D1040" s="1"/>
  <c r="B586" i="19134" l="1"/>
  <c r="H499"/>
  <c r="I500" s="1"/>
  <c r="B566"/>
  <c r="C568" s="1"/>
  <c r="H571" s="1"/>
  <c r="A577" s="1"/>
  <c r="R564"/>
  <c r="S566" s="1"/>
  <c r="V567" s="1"/>
  <c r="Y565" s="1"/>
  <c r="H489"/>
  <c r="E527" s="1"/>
  <c r="M1073"/>
  <c r="B1081"/>
  <c r="P1059"/>
  <c r="Q1063" s="1"/>
  <c r="T1064" s="1"/>
  <c r="V1065" s="1"/>
  <c r="H985"/>
  <c r="H986" s="1"/>
  <c r="C798"/>
  <c r="D825" s="1"/>
  <c r="B1005" i="19129"/>
  <c r="F1334" i="19134"/>
  <c r="B889" i="19129"/>
  <c r="Z9" i="19134"/>
  <c r="O237" i="1" s="1"/>
  <c r="H749" i="19134"/>
  <c r="F830"/>
  <c r="F831" s="1"/>
  <c r="E777"/>
  <c r="U9" s="1"/>
  <c r="J237" i="1" s="1"/>
  <c r="D777" i="19134"/>
  <c r="T9" s="1"/>
  <c r="I237" i="1" s="1"/>
  <c r="S1048" i="19129"/>
  <c r="I1049"/>
  <c r="F121" i="19128"/>
  <c r="S984" i="19129"/>
  <c r="G971"/>
  <c r="E776" i="19134"/>
  <c r="U8" s="1"/>
  <c r="J236" i="1" s="1"/>
  <c r="H739" i="19134"/>
  <c r="B917" i="19129"/>
  <c r="B854"/>
  <c r="M927"/>
  <c r="M919"/>
  <c r="F91" i="19128"/>
  <c r="A932" i="19129"/>
  <c r="V817" i="19134"/>
  <c r="H996"/>
  <c r="D1024"/>
  <c r="F1078"/>
  <c r="F1079" s="1"/>
  <c r="F1081" s="1"/>
  <c r="E1024"/>
  <c r="X9" s="1"/>
  <c r="M237" i="1" s="1"/>
  <c r="B1034" i="19129"/>
  <c r="H1027" i="19134"/>
  <c r="C1046"/>
  <c r="D1046" s="1"/>
  <c r="C1043"/>
  <c r="D1043" s="1"/>
  <c r="AA8"/>
  <c r="P236" i="1" s="1"/>
  <c r="C1042" i="19134"/>
  <c r="D1106" s="1"/>
  <c r="C1045"/>
  <c r="D1073" s="1"/>
  <c r="I931" i="19129"/>
  <c r="S919"/>
  <c r="U926"/>
  <c r="F92" i="19128"/>
  <c r="H854" i="19129"/>
  <c r="C799" i="19134"/>
  <c r="D799" s="1"/>
  <c r="H780"/>
  <c r="W814" s="1"/>
  <c r="C796"/>
  <c r="D796" s="1"/>
  <c r="B971" i="19129"/>
  <c r="A1048"/>
  <c r="F122" i="19128"/>
  <c r="M984" i="19129"/>
  <c r="M1047"/>
  <c r="Q274" i="1"/>
  <c r="E440" i="19131"/>
  <c r="D441" s="1"/>
  <c r="F439"/>
  <c r="D1037" i="19130"/>
  <c r="G1037" s="1"/>
  <c r="F441" i="19135"/>
  <c r="G433" i="19131"/>
  <c r="E442" i="19135"/>
  <c r="D443" s="1"/>
  <c r="G434"/>
  <c r="E1040" i="19130"/>
  <c r="F1040"/>
  <c r="G1040"/>
  <c r="H1040"/>
  <c r="I1040"/>
  <c r="D528" i="19134" l="1"/>
  <c r="Q9" s="1"/>
  <c r="F237" i="1" s="1"/>
  <c r="C1082" i="19134"/>
  <c r="F1083" s="1"/>
  <c r="E528"/>
  <c r="R9" s="1"/>
  <c r="G237" i="1" s="1"/>
  <c r="F582" i="19134"/>
  <c r="F583" s="1"/>
  <c r="F586" s="1"/>
  <c r="C587" s="1"/>
  <c r="AC9" s="1"/>
  <c r="F569"/>
  <c r="I490"/>
  <c r="X569"/>
  <c r="W1060"/>
  <c r="E1023"/>
  <c r="X8" s="1"/>
  <c r="M236" i="1" s="1"/>
  <c r="I796" i="19134"/>
  <c r="H796"/>
  <c r="E796"/>
  <c r="G796"/>
  <c r="F796"/>
  <c r="W9"/>
  <c r="L237" i="1" s="1"/>
  <c r="E932" i="19129"/>
  <c r="F931"/>
  <c r="A123" i="19128"/>
  <c r="F123"/>
  <c r="I133" s="1"/>
  <c r="A124"/>
  <c r="F124"/>
  <c r="A131" s="1"/>
  <c r="I805" i="19134"/>
  <c r="I802"/>
  <c r="H781"/>
  <c r="F811"/>
  <c r="F814" s="1"/>
  <c r="R8"/>
  <c r="G236" i="1" s="1"/>
  <c r="I1043" i="19134"/>
  <c r="H1043"/>
  <c r="G1043"/>
  <c r="F1043"/>
  <c r="E1043"/>
  <c r="A93" i="19128"/>
  <c r="F93"/>
  <c r="B1048" i="19129"/>
  <c r="D1048"/>
  <c r="F94" i="19128"/>
  <c r="A94"/>
  <c r="H1028" i="19134"/>
  <c r="I1052"/>
  <c r="I1049"/>
  <c r="F1059"/>
  <c r="F1062" s="1"/>
  <c r="C1064" s="1"/>
  <c r="F1061" i="19129"/>
  <c r="A1061"/>
  <c r="I799" i="19134"/>
  <c r="E799"/>
  <c r="H799"/>
  <c r="G799"/>
  <c r="F799"/>
  <c r="F946" i="19129"/>
  <c r="A946"/>
  <c r="F1046" i="19134"/>
  <c r="E1046"/>
  <c r="G1046"/>
  <c r="I1046"/>
  <c r="H1046"/>
  <c r="F833"/>
  <c r="C834" s="1"/>
  <c r="I1037" i="19130"/>
  <c r="E1037"/>
  <c r="H1037"/>
  <c r="F1037"/>
  <c r="E441" i="19131"/>
  <c r="D442" s="1"/>
  <c r="F442" i="19135"/>
  <c r="F440" i="19131"/>
  <c r="M433"/>
  <c r="H433"/>
  <c r="G434" s="1"/>
  <c r="L433"/>
  <c r="E443" i="19135"/>
  <c r="D444" s="1"/>
  <c r="H434"/>
  <c r="G435" s="1"/>
  <c r="M434"/>
  <c r="L434"/>
  <c r="AE9" i="19134" l="1"/>
  <c r="T237" i="1" s="1"/>
  <c r="F588" i="19134"/>
  <c r="R237" i="1"/>
  <c r="A1062" i="19129"/>
  <c r="F1062"/>
  <c r="C134" i="19128"/>
  <c r="F126"/>
  <c r="F125"/>
  <c r="F134"/>
  <c r="F1065" i="19134"/>
  <c r="H1067"/>
  <c r="A1073" s="1"/>
  <c r="A104" i="19128"/>
  <c r="F95"/>
  <c r="F96"/>
  <c r="I5" i="19130" s="1"/>
  <c r="H100" i="19128"/>
  <c r="M819" i="19134"/>
  <c r="M823" s="1"/>
  <c r="C816"/>
  <c r="F945" i="19129"/>
  <c r="A945"/>
  <c r="F1063"/>
  <c r="I1070" s="1"/>
  <c r="A1063"/>
  <c r="F944"/>
  <c r="A955" s="1"/>
  <c r="A944"/>
  <c r="F835" i="19134"/>
  <c r="AD9"/>
  <c r="S237" i="1" s="1"/>
  <c r="F441" i="19131"/>
  <c r="E442"/>
  <c r="D443" s="1"/>
  <c r="F443" i="19135"/>
  <c r="M434" i="19131"/>
  <c r="H434"/>
  <c r="L434"/>
  <c r="O433"/>
  <c r="N433"/>
  <c r="I433"/>
  <c r="E444" i="19135"/>
  <c r="D445" s="1"/>
  <c r="H435"/>
  <c r="G436" s="1"/>
  <c r="M435"/>
  <c r="L435"/>
  <c r="O434"/>
  <c r="N434"/>
  <c r="I434"/>
  <c r="C959" i="19129" l="1"/>
  <c r="J948"/>
  <c r="J949" s="1"/>
  <c r="H6" i="19136"/>
  <c r="D188" s="1"/>
  <c r="I6" i="19130"/>
  <c r="I46" s="1"/>
  <c r="C1117" s="1"/>
  <c r="M66" i="19134"/>
  <c r="I215"/>
  <c r="I217" s="1"/>
  <c r="N66" s="1"/>
  <c r="H819"/>
  <c r="A825" s="1"/>
  <c r="F817"/>
  <c r="D129" i="19131"/>
  <c r="H6" i="19134"/>
  <c r="F176" i="19131"/>
  <c r="C56" i="19128"/>
  <c r="L14" i="19140" s="1"/>
  <c r="D226" i="19128"/>
  <c r="D228" s="1"/>
  <c r="A36" i="19134"/>
  <c r="I5"/>
  <c r="H4" i="19141"/>
  <c r="D104" s="1"/>
  <c r="F178" i="19135"/>
  <c r="G54" i="19128"/>
  <c r="L15" i="19140" s="1"/>
  <c r="H6" i="19130"/>
  <c r="D227" i="19128"/>
  <c r="D229" s="1"/>
  <c r="J1065" i="19129"/>
  <c r="J1066" s="1"/>
  <c r="E1065" s="1"/>
  <c r="A1072" s="1"/>
  <c r="G1075"/>
  <c r="I209" i="19130"/>
  <c r="I211" s="1"/>
  <c r="N63" s="1"/>
  <c r="M63"/>
  <c r="G104" i="19128"/>
  <c r="H4" i="19136" s="1"/>
  <c r="C103" i="19128"/>
  <c r="F103"/>
  <c r="I6" i="19134"/>
  <c r="A44" s="1"/>
  <c r="C1123" s="1"/>
  <c r="H6" i="19141"/>
  <c r="E443" i="19131"/>
  <c r="D444" s="1"/>
  <c r="F442"/>
  <c r="F444" i="19135"/>
  <c r="O434" i="19131"/>
  <c r="G435"/>
  <c r="N434"/>
  <c r="I434"/>
  <c r="E445" i="19135"/>
  <c r="D446" s="1"/>
  <c r="H436"/>
  <c r="M436"/>
  <c r="L436"/>
  <c r="I435"/>
  <c r="O435"/>
  <c r="N435"/>
  <c r="D474" i="19131"/>
  <c r="I474" s="1"/>
  <c r="E948" i="19129" l="1"/>
  <c r="H957" s="1"/>
  <c r="G960" s="1"/>
  <c r="C1127" i="19134"/>
  <c r="D1150" s="1"/>
  <c r="D1149"/>
  <c r="E1122"/>
  <c r="C1120"/>
  <c r="C108" i="19141"/>
  <c r="D102" s="1"/>
  <c r="A108"/>
  <c r="A99"/>
  <c r="C467"/>
  <c r="C1114" i="19130"/>
  <c r="D1144" s="1"/>
  <c r="C1121"/>
  <c r="D131" i="19135"/>
  <c r="H5" i="19130"/>
  <c r="B40" s="1"/>
  <c r="F151" i="19135"/>
  <c r="H227" i="19128"/>
  <c r="H229" s="1"/>
  <c r="E180" i="19131"/>
  <c r="C180"/>
  <c r="A192" i="19136"/>
  <c r="A206" s="1"/>
  <c r="C527"/>
  <c r="C192"/>
  <c r="A183"/>
  <c r="H226" i="19128"/>
  <c r="H228" s="1"/>
  <c r="F149" i="19131"/>
  <c r="H5" i="19134"/>
  <c r="I45" s="1"/>
  <c r="M67"/>
  <c r="I464"/>
  <c r="I466" s="1"/>
  <c r="N67" s="1"/>
  <c r="C1075" i="19129"/>
  <c r="D1075"/>
  <c r="D188" i="19141"/>
  <c r="D318"/>
  <c r="D104" i="19136"/>
  <c r="D318"/>
  <c r="E1075" i="19129"/>
  <c r="C182" i="19135"/>
  <c r="E182"/>
  <c r="D231" i="19128"/>
  <c r="D132" i="19131"/>
  <c r="D127"/>
  <c r="I457" i="19130"/>
  <c r="M64"/>
  <c r="E444" i="19131"/>
  <c r="D445" s="1"/>
  <c r="F443"/>
  <c r="F445" i="19135"/>
  <c r="E474" i="19131"/>
  <c r="F474"/>
  <c r="G474"/>
  <c r="H474"/>
  <c r="M435"/>
  <c r="H435"/>
  <c r="G436" s="1"/>
  <c r="L435"/>
  <c r="E446" i="19135"/>
  <c r="D447" s="1"/>
  <c r="I436"/>
  <c r="G437"/>
  <c r="O436"/>
  <c r="N436"/>
  <c r="E959" i="19129" l="1"/>
  <c r="M65" i="19130" s="1"/>
  <c r="F959" i="19129"/>
  <c r="I954" i="19130" s="1"/>
  <c r="H231" i="19128"/>
  <c r="D233" s="1"/>
  <c r="G248" s="1"/>
  <c r="F182" i="19131"/>
  <c r="G188" s="1"/>
  <c r="G199" s="1"/>
  <c r="E215" s="1"/>
  <c r="F184" i="19135"/>
  <c r="G191" s="1"/>
  <c r="G202" s="1"/>
  <c r="G217" s="1"/>
  <c r="M67" i="19130"/>
  <c r="I1203"/>
  <c r="M70" i="19134"/>
  <c r="I1208"/>
  <c r="I1210" s="1"/>
  <c r="N70" s="1"/>
  <c r="C153" i="19131"/>
  <c r="E153"/>
  <c r="D186" i="19136"/>
  <c r="F218" s="1"/>
  <c r="B529"/>
  <c r="F220"/>
  <c r="I220" s="1"/>
  <c r="B220"/>
  <c r="D128" i="19135"/>
  <c r="D134"/>
  <c r="C467" i="19136"/>
  <c r="A108"/>
  <c r="C108"/>
  <c r="D102" s="1"/>
  <c r="A99"/>
  <c r="D1145" i="19130"/>
  <c r="D1149" s="1"/>
  <c r="I1149" s="1"/>
  <c r="E1116"/>
  <c r="D1244" s="1"/>
  <c r="D1254" s="1"/>
  <c r="D1255" s="1"/>
  <c r="D1333" s="1"/>
  <c r="B144" i="19141"/>
  <c r="F145"/>
  <c r="G144"/>
  <c r="B145"/>
  <c r="F144"/>
  <c r="A465"/>
  <c r="B132"/>
  <c r="A207" i="19136"/>
  <c r="B232"/>
  <c r="F232"/>
  <c r="G232"/>
  <c r="G231"/>
  <c r="A533"/>
  <c r="C155" i="19135"/>
  <c r="E155"/>
  <c r="D1147" i="19130"/>
  <c r="B117" i="19141"/>
  <c r="A117"/>
  <c r="G145"/>
  <c r="A470"/>
  <c r="G146"/>
  <c r="B146"/>
  <c r="F146"/>
  <c r="D1152" i="19134"/>
  <c r="D1153"/>
  <c r="M68"/>
  <c r="I713"/>
  <c r="I715" s="1"/>
  <c r="N68" s="1"/>
  <c r="A183" i="19141"/>
  <c r="A192"/>
  <c r="A206" s="1"/>
  <c r="C527"/>
  <c r="C192"/>
  <c r="D186" s="1"/>
  <c r="M69" i="19134"/>
  <c r="I960"/>
  <c r="I962" s="1"/>
  <c r="N69" s="1"/>
  <c r="C130"/>
  <c r="F44"/>
  <c r="C628" s="1"/>
  <c r="H45"/>
  <c r="C379" s="1"/>
  <c r="E44"/>
  <c r="C875" s="1"/>
  <c r="B231" i="19136"/>
  <c r="F231"/>
  <c r="B230"/>
  <c r="A525"/>
  <c r="F230"/>
  <c r="G230"/>
  <c r="E42" i="19130"/>
  <c r="C619" s="1"/>
  <c r="G44"/>
  <c r="C868" s="1"/>
  <c r="C41"/>
  <c r="C372" s="1"/>
  <c r="C123"/>
  <c r="F132" i="19141"/>
  <c r="F135"/>
  <c r="D94"/>
  <c r="G132" s="1"/>
  <c r="B135"/>
  <c r="B468"/>
  <c r="B134"/>
  <c r="F134"/>
  <c r="I134" s="1"/>
  <c r="D1154" i="19134"/>
  <c r="I1154" s="1"/>
  <c r="D1250"/>
  <c r="E445" i="19131"/>
  <c r="D446" s="1"/>
  <c r="F444"/>
  <c r="F446" i="19135"/>
  <c r="M436" i="19131"/>
  <c r="H436"/>
  <c r="L436"/>
  <c r="O435"/>
  <c r="N435"/>
  <c r="I435"/>
  <c r="E447" i="19135"/>
  <c r="D448" s="1"/>
  <c r="H437"/>
  <c r="M437"/>
  <c r="L437"/>
  <c r="I705" i="19130" l="1"/>
  <c r="M66"/>
  <c r="C189" i="19131"/>
  <c r="D200" s="1"/>
  <c r="F215" s="1"/>
  <c r="G189"/>
  <c r="G200" s="1"/>
  <c r="G215" s="1"/>
  <c r="C188"/>
  <c r="D199" s="1"/>
  <c r="D215" s="1"/>
  <c r="B218" i="19136"/>
  <c r="I231"/>
  <c r="D1148" i="19130"/>
  <c r="I1148" s="1"/>
  <c r="C190" i="19135"/>
  <c r="D201" s="1"/>
  <c r="D217" s="1"/>
  <c r="I132" i="19141"/>
  <c r="G190" i="19135"/>
  <c r="G201" s="1"/>
  <c r="E217" s="1"/>
  <c r="C191"/>
  <c r="D202" s="1"/>
  <c r="F217" s="1"/>
  <c r="F156"/>
  <c r="G162" s="1"/>
  <c r="G173" s="1"/>
  <c r="E216" s="1"/>
  <c r="I232" i="19136"/>
  <c r="B574"/>
  <c r="F574"/>
  <c r="D654" i="19134"/>
  <c r="C625"/>
  <c r="C632"/>
  <c r="A207" i="19141"/>
  <c r="A533"/>
  <c r="A321"/>
  <c r="G231"/>
  <c r="B232"/>
  <c r="F232"/>
  <c r="G232"/>
  <c r="I1156" i="19134"/>
  <c r="I1153"/>
  <c r="F141" i="19141"/>
  <c r="I141" s="1"/>
  <c r="B140"/>
  <c r="B141"/>
  <c r="F140"/>
  <c r="I140" s="1"/>
  <c r="F146" i="19136"/>
  <c r="A117"/>
  <c r="B146"/>
  <c r="A470"/>
  <c r="B117"/>
  <c r="G145"/>
  <c r="G146"/>
  <c r="A321"/>
  <c r="F575"/>
  <c r="I575" s="1"/>
  <c r="B575"/>
  <c r="C865" i="19130"/>
  <c r="D895" s="1"/>
  <c r="C872"/>
  <c r="C616"/>
  <c r="C646" s="1"/>
  <c r="C623"/>
  <c r="C134" i="19134"/>
  <c r="C127"/>
  <c r="D156"/>
  <c r="D159" s="1"/>
  <c r="B221" i="19141"/>
  <c r="D177"/>
  <c r="G218" s="1"/>
  <c r="B231"/>
  <c r="B230"/>
  <c r="A525"/>
  <c r="G230"/>
  <c r="A316"/>
  <c r="F230"/>
  <c r="F231"/>
  <c r="B218"/>
  <c r="F218"/>
  <c r="I1152" i="19134"/>
  <c r="D1156"/>
  <c r="E1158" s="1"/>
  <c r="G1163" s="1"/>
  <c r="I1163" s="1"/>
  <c r="A483" i="19141"/>
  <c r="A484"/>
  <c r="A549" i="19136"/>
  <c r="A548"/>
  <c r="B132"/>
  <c r="D94"/>
  <c r="B135"/>
  <c r="F135"/>
  <c r="D177"/>
  <c r="G218" s="1"/>
  <c r="I218" s="1"/>
  <c r="D1252" i="19134"/>
  <c r="D1260"/>
  <c r="D1262" s="1"/>
  <c r="F511" i="19141"/>
  <c r="I511" s="1"/>
  <c r="B511"/>
  <c r="C120" i="19130"/>
  <c r="D150" s="1"/>
  <c r="C127"/>
  <c r="D901" i="19134"/>
  <c r="C879"/>
  <c r="D902" s="1"/>
  <c r="C872"/>
  <c r="B220" i="19141"/>
  <c r="D322"/>
  <c r="B529"/>
  <c r="F220"/>
  <c r="I220" s="1"/>
  <c r="F221"/>
  <c r="I146"/>
  <c r="I1147" i="19130"/>
  <c r="F227" i="19136"/>
  <c r="B227"/>
  <c r="B510" i="19141"/>
  <c r="F510"/>
  <c r="I145"/>
  <c r="F253" i="19128"/>
  <c r="G253" s="1"/>
  <c r="F252"/>
  <c r="B145" i="19136"/>
  <c r="A465"/>
  <c r="F144"/>
  <c r="F145"/>
  <c r="B144"/>
  <c r="G144"/>
  <c r="F132"/>
  <c r="A316"/>
  <c r="B221"/>
  <c r="G135" i="19141"/>
  <c r="I135" s="1"/>
  <c r="F133"/>
  <c r="G133"/>
  <c r="B133"/>
  <c r="C376" i="19130"/>
  <c r="C369"/>
  <c r="D398" s="1"/>
  <c r="I230" i="19136"/>
  <c r="F236"/>
  <c r="C383" i="19134"/>
  <c r="D406" s="1"/>
  <c r="C376"/>
  <c r="D405"/>
  <c r="I144" i="19141"/>
  <c r="F150"/>
  <c r="B468" i="19136"/>
  <c r="B134"/>
  <c r="F134"/>
  <c r="I134" s="1"/>
  <c r="D322"/>
  <c r="F221"/>
  <c r="F154" i="19131"/>
  <c r="F445"/>
  <c r="E446"/>
  <c r="D447" s="1"/>
  <c r="F447" i="19135"/>
  <c r="O436" i="19131"/>
  <c r="N436"/>
  <c r="I436"/>
  <c r="G437"/>
  <c r="E448" i="19135"/>
  <c r="D449" s="1"/>
  <c r="I437"/>
  <c r="G438"/>
  <c r="O437"/>
  <c r="N437"/>
  <c r="E874" i="19134" l="1"/>
  <c r="D1001" s="1"/>
  <c r="D1003" s="1"/>
  <c r="G252" i="19128"/>
  <c r="O174" s="1"/>
  <c r="N174"/>
  <c r="I231" i="19141"/>
  <c r="C163" i="19135"/>
  <c r="D174" s="1"/>
  <c r="F216" s="1"/>
  <c r="F219" s="1"/>
  <c r="E219"/>
  <c r="C397" s="1"/>
  <c r="G430" s="1"/>
  <c r="I1151" i="19130"/>
  <c r="F1247" s="1"/>
  <c r="D1151"/>
  <c r="E1153" s="1"/>
  <c r="G1158" s="1"/>
  <c r="I1158" s="1"/>
  <c r="I145" i="19136"/>
  <c r="G163" i="19135"/>
  <c r="G174" s="1"/>
  <c r="G216" s="1"/>
  <c r="G219" s="1"/>
  <c r="C162"/>
  <c r="D173" s="1"/>
  <c r="D216" s="1"/>
  <c r="D219" s="1"/>
  <c r="G227" s="1"/>
  <c r="B237" s="1"/>
  <c r="D237" s="1"/>
  <c r="I218" i="19141"/>
  <c r="G221"/>
  <c r="I221" s="1"/>
  <c r="I150"/>
  <c r="E378" i="19134"/>
  <c r="D505" s="1"/>
  <c r="I133" i="19141"/>
  <c r="I142" s="1"/>
  <c r="I232"/>
  <c r="D360" i="19136"/>
  <c r="E366"/>
  <c r="E362"/>
  <c r="D368"/>
  <c r="C367"/>
  <c r="D361"/>
  <c r="E367"/>
  <c r="C360"/>
  <c r="E361"/>
  <c r="D362"/>
  <c r="C368"/>
  <c r="C366"/>
  <c r="C362"/>
  <c r="E360"/>
  <c r="D366"/>
  <c r="C361"/>
  <c r="E368"/>
  <c r="D367"/>
  <c r="N111"/>
  <c r="N39"/>
  <c r="N189"/>
  <c r="I510" i="19141"/>
  <c r="I227" i="19136"/>
  <c r="C366" i="19141"/>
  <c r="D361"/>
  <c r="E362"/>
  <c r="D368"/>
  <c r="C361"/>
  <c r="C368"/>
  <c r="D360"/>
  <c r="E361"/>
  <c r="D362"/>
  <c r="D367"/>
  <c r="C360"/>
  <c r="E368"/>
  <c r="D366"/>
  <c r="E360"/>
  <c r="E366"/>
  <c r="C362"/>
  <c r="E367"/>
  <c r="C367"/>
  <c r="D906" i="19134"/>
  <c r="I906" s="1"/>
  <c r="F142" i="19141"/>
  <c r="F574"/>
  <c r="B574"/>
  <c r="D649" i="19130"/>
  <c r="B141" i="19136"/>
  <c r="F140"/>
  <c r="I140" s="1"/>
  <c r="B140"/>
  <c r="F141"/>
  <c r="I141" s="1"/>
  <c r="I146"/>
  <c r="A549" i="19141"/>
  <c r="A548"/>
  <c r="D657" i="19134"/>
  <c r="G160" i="19131"/>
  <c r="G171" s="1"/>
  <c r="E214" s="1"/>
  <c r="E217" s="1"/>
  <c r="C161"/>
  <c r="D172" s="1"/>
  <c r="F214" s="1"/>
  <c r="F217" s="1"/>
  <c r="C160"/>
  <c r="D171" s="1"/>
  <c r="D214" s="1"/>
  <c r="D217" s="1"/>
  <c r="G161"/>
  <c r="G172" s="1"/>
  <c r="G214" s="1"/>
  <c r="G217" s="1"/>
  <c r="B511" i="19136"/>
  <c r="F511"/>
  <c r="I511" s="1"/>
  <c r="D408" i="19134"/>
  <c r="D409"/>
  <c r="I409" s="1"/>
  <c r="I236" i="19136"/>
  <c r="D904" i="19134"/>
  <c r="D905"/>
  <c r="I905" s="1"/>
  <c r="E550" i="19136"/>
  <c r="E551"/>
  <c r="F580" s="1"/>
  <c r="I580" s="1"/>
  <c r="F236" i="19141"/>
  <c r="I230"/>
  <c r="F219"/>
  <c r="B219"/>
  <c r="G219"/>
  <c r="D896" i="19130"/>
  <c r="D900" s="1"/>
  <c r="I900" s="1"/>
  <c r="E867"/>
  <c r="D995" s="1"/>
  <c r="D1005" s="1"/>
  <c r="D1006" s="1"/>
  <c r="D1086" s="1"/>
  <c r="A483" i="19136"/>
  <c r="A484"/>
  <c r="F227" i="19141"/>
  <c r="B227"/>
  <c r="I574" i="19136"/>
  <c r="I151" i="19141"/>
  <c r="N38"/>
  <c r="N110"/>
  <c r="N188"/>
  <c r="D401" i="19130"/>
  <c r="F150" i="19136"/>
  <c r="I144"/>
  <c r="D151" i="19130"/>
  <c r="D155" s="1"/>
  <c r="I155" s="1"/>
  <c r="E122"/>
  <c r="D250" s="1"/>
  <c r="G221" i="19136"/>
  <c r="I221" s="1"/>
  <c r="G219"/>
  <c r="F219"/>
  <c r="B219"/>
  <c r="G135"/>
  <c r="I135" s="1"/>
  <c r="B133"/>
  <c r="F133"/>
  <c r="G133"/>
  <c r="C487" i="19141"/>
  <c r="B515"/>
  <c r="F515"/>
  <c r="I515" s="1"/>
  <c r="B486"/>
  <c r="D898" i="19130"/>
  <c r="G1167" i="19134"/>
  <c r="G1168" s="1"/>
  <c r="B1179" s="1"/>
  <c r="D1179" s="1"/>
  <c r="E1159"/>
  <c r="F1253"/>
  <c r="E627"/>
  <c r="D655"/>
  <c r="D410"/>
  <c r="I410" s="1"/>
  <c r="D399" i="19130"/>
  <c r="D403" s="1"/>
  <c r="I403" s="1"/>
  <c r="E371"/>
  <c r="D498" s="1"/>
  <c r="D508" s="1"/>
  <c r="D509" s="1"/>
  <c r="D587" s="1"/>
  <c r="F510" i="19136"/>
  <c r="B510"/>
  <c r="F575" i="19141"/>
  <c r="I575" s="1"/>
  <c r="B575"/>
  <c r="D153" i="19130"/>
  <c r="D1341" i="19134"/>
  <c r="B1341"/>
  <c r="G132" i="19136"/>
  <c r="I132" s="1"/>
  <c r="C647" i="19130"/>
  <c r="D651" s="1"/>
  <c r="I651" s="1"/>
  <c r="E618"/>
  <c r="D746" s="1"/>
  <c r="D756" s="1"/>
  <c r="D757" s="1"/>
  <c r="D835" s="1"/>
  <c r="F446" i="19131"/>
  <c r="E447"/>
  <c r="D448" s="1"/>
  <c r="F448" i="19135"/>
  <c r="M437" i="19131"/>
  <c r="H437"/>
  <c r="L437"/>
  <c r="E449" i="19135"/>
  <c r="F449" s="1"/>
  <c r="H438"/>
  <c r="M438"/>
  <c r="L438"/>
  <c r="E1154" i="19130" l="1"/>
  <c r="G1159" s="1"/>
  <c r="I1159" s="1"/>
  <c r="I1129" s="1"/>
  <c r="T67" s="1"/>
  <c r="G228" i="19135"/>
  <c r="B236" s="1"/>
  <c r="D236" s="1"/>
  <c r="G236" s="1"/>
  <c r="G1162" i="19130"/>
  <c r="G1163" s="1"/>
  <c r="B1174" s="1"/>
  <c r="D1174" s="1"/>
  <c r="G1174" s="1"/>
  <c r="G225" i="19135"/>
  <c r="I225" s="1"/>
  <c r="G224"/>
  <c r="I224" s="1"/>
  <c r="D154" i="19130"/>
  <c r="I154" s="1"/>
  <c r="D899"/>
  <c r="I899" s="1"/>
  <c r="D1011" i="19134"/>
  <c r="D1013" s="1"/>
  <c r="D1090" s="1"/>
  <c r="G222" i="19131"/>
  <c r="I222" s="1"/>
  <c r="I150" i="19136"/>
  <c r="F228" i="19141"/>
  <c r="M111" s="1"/>
  <c r="I133" i="19136"/>
  <c r="I142" s="1"/>
  <c r="D659" i="19134"/>
  <c r="I659" s="1"/>
  <c r="D754"/>
  <c r="I1179"/>
  <c r="H1179"/>
  <c r="G1179"/>
  <c r="E1179"/>
  <c r="F1179"/>
  <c r="I898" i="19130"/>
  <c r="A154" i="19141"/>
  <c r="F154"/>
  <c r="F161"/>
  <c r="F163" s="1"/>
  <c r="E168" s="1"/>
  <c r="I219"/>
  <c r="I228" s="1"/>
  <c r="D908" i="19134"/>
  <c r="E910" s="1"/>
  <c r="G915" s="1"/>
  <c r="I915" s="1"/>
  <c r="I908"/>
  <c r="G223" i="19131"/>
  <c r="I223" s="1"/>
  <c r="G225"/>
  <c r="B235" s="1"/>
  <c r="D235" s="1"/>
  <c r="I657" i="19134"/>
  <c r="I649" i="19130"/>
  <c r="I904" i="19134"/>
  <c r="H366" i="19141"/>
  <c r="H360"/>
  <c r="E375" s="1"/>
  <c r="F375" s="1"/>
  <c r="H367" i="19136"/>
  <c r="G376" s="1"/>
  <c r="H361"/>
  <c r="E376" s="1"/>
  <c r="F376" s="1"/>
  <c r="H366"/>
  <c r="H360"/>
  <c r="E375" s="1"/>
  <c r="F375" s="1"/>
  <c r="F501" i="19141"/>
  <c r="I501" s="1"/>
  <c r="B500"/>
  <c r="F500"/>
  <c r="I500" s="1"/>
  <c r="B501"/>
  <c r="D402" i="19130"/>
  <c r="I402" s="1"/>
  <c r="E237" i="19135"/>
  <c r="I237"/>
  <c r="H237"/>
  <c r="F237"/>
  <c r="G237"/>
  <c r="F579" i="19136"/>
  <c r="I579" s="1"/>
  <c r="B579"/>
  <c r="D650" i="19130"/>
  <c r="I650" s="1"/>
  <c r="I153"/>
  <c r="I510" i="19136"/>
  <c r="D507" i="19134"/>
  <c r="D515"/>
  <c r="D517" s="1"/>
  <c r="H1254"/>
  <c r="F1263"/>
  <c r="C1274"/>
  <c r="H1253"/>
  <c r="H430" i="19135"/>
  <c r="M430"/>
  <c r="L430"/>
  <c r="F516" i="19141"/>
  <c r="I516" s="1"/>
  <c r="B516"/>
  <c r="D252" i="19130"/>
  <c r="D260"/>
  <c r="D262" s="1"/>
  <c r="N188" i="19136"/>
  <c r="N38"/>
  <c r="I151"/>
  <c r="N110"/>
  <c r="I401" i="19130"/>
  <c r="B515" i="19136"/>
  <c r="B486"/>
  <c r="C487"/>
  <c r="F515"/>
  <c r="I515" s="1"/>
  <c r="N39" i="19141"/>
  <c r="N189"/>
  <c r="N111"/>
  <c r="B565" i="19136"/>
  <c r="F565"/>
  <c r="I565" s="1"/>
  <c r="C396" i="19131"/>
  <c r="G429" s="1"/>
  <c r="G226"/>
  <c r="B234" s="1"/>
  <c r="D234" s="1"/>
  <c r="E551" i="19141"/>
  <c r="B580" s="1"/>
  <c r="E550"/>
  <c r="A155"/>
  <c r="M38"/>
  <c r="A156"/>
  <c r="M110"/>
  <c r="M188"/>
  <c r="F155"/>
  <c r="F156"/>
  <c r="G156" s="1"/>
  <c r="H367"/>
  <c r="G376" s="1"/>
  <c r="H361"/>
  <c r="E376" s="1"/>
  <c r="F376" s="1"/>
  <c r="G1164" i="19134"/>
  <c r="I1164" s="1"/>
  <c r="I1135" s="1"/>
  <c r="T70" s="1"/>
  <c r="G1165"/>
  <c r="B1176" s="1"/>
  <c r="D1176" s="1"/>
  <c r="I219" i="19136"/>
  <c r="I228" s="1"/>
  <c r="F228"/>
  <c r="H1247" i="19130"/>
  <c r="F1257"/>
  <c r="C1268"/>
  <c r="F142" i="19136"/>
  <c r="I227" i="19141"/>
  <c r="I236" s="1"/>
  <c r="B580" i="19136"/>
  <c r="I408" i="19134"/>
  <c r="D412"/>
  <c r="E414" s="1"/>
  <c r="G419" s="1"/>
  <c r="I419" s="1"/>
  <c r="I412"/>
  <c r="D658"/>
  <c r="I658" s="1"/>
  <c r="I574" i="19141"/>
  <c r="H362"/>
  <c r="E377" s="1"/>
  <c r="F377" s="1"/>
  <c r="H368"/>
  <c r="G377" s="1"/>
  <c r="H368" i="19136"/>
  <c r="G377" s="1"/>
  <c r="H362"/>
  <c r="E377" s="1"/>
  <c r="F377" s="1"/>
  <c r="F447" i="19131"/>
  <c r="E448"/>
  <c r="D454" s="1"/>
  <c r="G456" s="1"/>
  <c r="I456" s="1"/>
  <c r="D455" i="19135"/>
  <c r="G457" s="1"/>
  <c r="I457" s="1"/>
  <c r="O437" i="19131"/>
  <c r="N437"/>
  <c r="I437"/>
  <c r="G438"/>
  <c r="I438" i="19135"/>
  <c r="G439"/>
  <c r="O438"/>
  <c r="N438"/>
  <c r="G1160" i="19130" l="1"/>
  <c r="B1171" s="1"/>
  <c r="D1171" s="1"/>
  <c r="G1171" s="1"/>
  <c r="H236" i="19135"/>
  <c r="I1174" i="19130"/>
  <c r="E236" i="19135"/>
  <c r="I236"/>
  <c r="F236"/>
  <c r="H1174" i="19130"/>
  <c r="F1174"/>
  <c r="E1174"/>
  <c r="I157"/>
  <c r="AI110" i="19140" s="1"/>
  <c r="D157" i="19130"/>
  <c r="E159" s="1"/>
  <c r="G164" s="1"/>
  <c r="I164" s="1"/>
  <c r="I902"/>
  <c r="G913" s="1"/>
  <c r="G914" s="1"/>
  <c r="B925" s="1"/>
  <c r="D925" s="1"/>
  <c r="D902"/>
  <c r="E904" s="1"/>
  <c r="G909" s="1"/>
  <c r="I909" s="1"/>
  <c r="B1090" i="19134"/>
  <c r="M189" i="19141"/>
  <c r="E240"/>
  <c r="F240" s="1"/>
  <c r="A240"/>
  <c r="M39"/>
  <c r="E486" i="19128"/>
  <c r="E487" s="1"/>
  <c r="A241" i="19141"/>
  <c r="E241"/>
  <c r="F241" s="1"/>
  <c r="D405" i="19130"/>
  <c r="E407" s="1"/>
  <c r="G412" s="1"/>
  <c r="I412" s="1"/>
  <c r="I405"/>
  <c r="E408" s="1"/>
  <c r="C1269"/>
  <c r="Y11" s="1"/>
  <c r="N276" i="1" s="1"/>
  <c r="H1257" i="19130"/>
  <c r="A154" i="19136"/>
  <c r="F161"/>
  <c r="F163" s="1"/>
  <c r="E167" s="1"/>
  <c r="F154"/>
  <c r="B383" i="19141"/>
  <c r="C383" s="1"/>
  <c r="H376"/>
  <c r="I376" s="1"/>
  <c r="H234" i="19131"/>
  <c r="F234"/>
  <c r="E234"/>
  <c r="I234"/>
  <c r="G234"/>
  <c r="F501" i="19136"/>
  <c r="I501" s="1"/>
  <c r="B501"/>
  <c r="B500"/>
  <c r="F500"/>
  <c r="I500" s="1"/>
  <c r="H1263" i="19134"/>
  <c r="C1275"/>
  <c r="Y11" s="1"/>
  <c r="N239" i="1" s="1"/>
  <c r="H1264" i="19134"/>
  <c r="G1306" s="1"/>
  <c r="F1176"/>
  <c r="E1176"/>
  <c r="H1176"/>
  <c r="G1176"/>
  <c r="I1176"/>
  <c r="C171" i="19141"/>
  <c r="Q104"/>
  <c r="Q182"/>
  <c r="H464"/>
  <c r="A476" s="1"/>
  <c r="Q32"/>
  <c r="M429" i="19131"/>
  <c r="H429"/>
  <c r="L429"/>
  <c r="B516" i="19136"/>
  <c r="F516"/>
  <c r="I516" s="1"/>
  <c r="O430" i="19135"/>
  <c r="N430"/>
  <c r="G431"/>
  <c r="I430"/>
  <c r="H1255" i="19134"/>
  <c r="D1274"/>
  <c r="E1274"/>
  <c r="R318" i="19136"/>
  <c r="B382"/>
  <c r="G375"/>
  <c r="H375" s="1"/>
  <c r="I375" s="1"/>
  <c r="P42" s="1"/>
  <c r="R319" i="19141"/>
  <c r="G375"/>
  <c r="H375" s="1"/>
  <c r="I375" s="1"/>
  <c r="P42" s="1"/>
  <c r="B382"/>
  <c r="I653" i="19130"/>
  <c r="G235" i="19131"/>
  <c r="F235"/>
  <c r="H235"/>
  <c r="E235"/>
  <c r="I235"/>
  <c r="A239" i="19141"/>
  <c r="F245"/>
  <c r="F247" s="1"/>
  <c r="E239"/>
  <c r="F565"/>
  <c r="I565" s="1"/>
  <c r="B565"/>
  <c r="D595" i="19134"/>
  <c r="B595"/>
  <c r="I661"/>
  <c r="E167" i="19141"/>
  <c r="O104"/>
  <c r="A164"/>
  <c r="F164"/>
  <c r="O182"/>
  <c r="O32"/>
  <c r="D764" i="19134"/>
  <c r="D766" s="1"/>
  <c r="D756"/>
  <c r="F508"/>
  <c r="G423"/>
  <c r="G424" s="1"/>
  <c r="B435" s="1"/>
  <c r="D435" s="1"/>
  <c r="E415"/>
  <c r="H377" i="19136"/>
  <c r="I377" s="1"/>
  <c r="B384"/>
  <c r="C384" s="1"/>
  <c r="M38"/>
  <c r="E477" i="19128"/>
  <c r="M188" i="19136"/>
  <c r="F155"/>
  <c r="A155"/>
  <c r="F156"/>
  <c r="G156" s="1"/>
  <c r="A156"/>
  <c r="M110"/>
  <c r="M111"/>
  <c r="E240"/>
  <c r="M39"/>
  <c r="A240"/>
  <c r="M189"/>
  <c r="E241"/>
  <c r="F241" s="1"/>
  <c r="A241"/>
  <c r="B384" i="19141"/>
  <c r="C384" s="1"/>
  <c r="H377"/>
  <c r="I377" s="1"/>
  <c r="Y10" i="19130"/>
  <c r="A239" i="19136"/>
  <c r="E239"/>
  <c r="F245"/>
  <c r="F247" s="1"/>
  <c r="N32" i="19141"/>
  <c r="N182"/>
  <c r="G155"/>
  <c r="N104"/>
  <c r="F580"/>
  <c r="I580" s="1"/>
  <c r="B579"/>
  <c r="F579"/>
  <c r="I579" s="1"/>
  <c r="D339" i="19130"/>
  <c r="B339"/>
  <c r="Y10" i="19134"/>
  <c r="N238" i="1" s="1"/>
  <c r="H376" i="19136"/>
  <c r="I376" s="1"/>
  <c r="B383"/>
  <c r="C383" s="1"/>
  <c r="D653" i="19130"/>
  <c r="D655" s="1"/>
  <c r="G660" s="1"/>
  <c r="I660" s="1"/>
  <c r="D661" i="19134"/>
  <c r="E663" s="1"/>
  <c r="G668" s="1"/>
  <c r="I668" s="1"/>
  <c r="F1004"/>
  <c r="G919"/>
  <c r="G920" s="1"/>
  <c r="B931" s="1"/>
  <c r="D931" s="1"/>
  <c r="E911"/>
  <c r="M104" i="19141"/>
  <c r="M32"/>
  <c r="M182"/>
  <c r="G154"/>
  <c r="F448" i="19131"/>
  <c r="M438"/>
  <c r="H438"/>
  <c r="L438"/>
  <c r="H439" i="19135"/>
  <c r="M439"/>
  <c r="L439"/>
  <c r="E1171" i="19130" l="1"/>
  <c r="H1171"/>
  <c r="F1171"/>
  <c r="I1171"/>
  <c r="E905"/>
  <c r="G910" s="1"/>
  <c r="I910" s="1"/>
  <c r="I880" s="1"/>
  <c r="T66" s="1"/>
  <c r="F998"/>
  <c r="C1019" s="1"/>
  <c r="N33" i="19141"/>
  <c r="E160" i="19130"/>
  <c r="G165" s="1"/>
  <c r="I165" s="1"/>
  <c r="I135" s="1"/>
  <c r="T63" s="1"/>
  <c r="F253"/>
  <c r="H254" s="1"/>
  <c r="G168"/>
  <c r="G169" s="1"/>
  <c r="B180" s="1"/>
  <c r="D180" s="1"/>
  <c r="F180" s="1"/>
  <c r="G416"/>
  <c r="G417" s="1"/>
  <c r="B428" s="1"/>
  <c r="D428" s="1"/>
  <c r="E428" s="1"/>
  <c r="C1270"/>
  <c r="C1272" s="1"/>
  <c r="B1288" s="1"/>
  <c r="N183" i="19141"/>
  <c r="F501" i="19130"/>
  <c r="H501" s="1"/>
  <c r="C1276" i="19134"/>
  <c r="C1278" s="1"/>
  <c r="B1294" s="1"/>
  <c r="D1294" s="1"/>
  <c r="N105" i="19141"/>
  <c r="G925" i="19130"/>
  <c r="H925"/>
  <c r="F925"/>
  <c r="I925"/>
  <c r="E925"/>
  <c r="F1014" i="19134"/>
  <c r="H1004"/>
  <c r="H1005"/>
  <c r="C1025"/>
  <c r="O105" i="19136"/>
  <c r="F248"/>
  <c r="O183"/>
  <c r="O33"/>
  <c r="A248"/>
  <c r="N275" i="1"/>
  <c r="N277" s="1"/>
  <c r="Y12" i="19130"/>
  <c r="Y26" s="1"/>
  <c r="G917" i="19134"/>
  <c r="B928" s="1"/>
  <c r="D928" s="1"/>
  <c r="G916"/>
  <c r="I916" s="1"/>
  <c r="I887" s="1"/>
  <c r="T69" s="1"/>
  <c r="M183" i="19136"/>
  <c r="M33"/>
  <c r="F239"/>
  <c r="M105"/>
  <c r="E252"/>
  <c r="N32"/>
  <c r="N104"/>
  <c r="N182"/>
  <c r="G155"/>
  <c r="F14" i="19137"/>
  <c r="E384" i="19136"/>
  <c r="F518" i="19134"/>
  <c r="H509"/>
  <c r="H508"/>
  <c r="C529"/>
  <c r="M105" i="19141"/>
  <c r="F239"/>
  <c r="M33"/>
  <c r="M183"/>
  <c r="F749" i="19130"/>
  <c r="D656"/>
  <c r="G664"/>
  <c r="G665" s="1"/>
  <c r="B676" s="1"/>
  <c r="D676" s="1"/>
  <c r="AA10" i="19134"/>
  <c r="P238" i="1" s="1"/>
  <c r="M431" i="19135"/>
  <c r="H431"/>
  <c r="L431"/>
  <c r="E168" i="19136"/>
  <c r="F164"/>
  <c r="O182"/>
  <c r="A164"/>
  <c r="O104"/>
  <c r="O32"/>
  <c r="I931" i="19134"/>
  <c r="E931"/>
  <c r="H931"/>
  <c r="F931"/>
  <c r="G931"/>
  <c r="F13" i="19137"/>
  <c r="E383" i="19136"/>
  <c r="O14" i="19137"/>
  <c r="E384" i="19141"/>
  <c r="E251" i="19136"/>
  <c r="N183"/>
  <c r="N105"/>
  <c r="N33"/>
  <c r="F240"/>
  <c r="P32" i="19141"/>
  <c r="P182"/>
  <c r="G171"/>
  <c r="H463"/>
  <c r="F475" s="1"/>
  <c r="F476" s="1"/>
  <c r="P104"/>
  <c r="E252"/>
  <c r="A248"/>
  <c r="O33"/>
  <c r="O183"/>
  <c r="O105"/>
  <c r="F248"/>
  <c r="E251"/>
  <c r="C382"/>
  <c r="L9" i="19137"/>
  <c r="L10" s="1"/>
  <c r="L11" s="1"/>
  <c r="C382" i="19136"/>
  <c r="C9" i="19137"/>
  <c r="C10" s="1"/>
  <c r="C11" s="1"/>
  <c r="Z10" i="19134"/>
  <c r="O238" i="1" s="1"/>
  <c r="B513" i="19141"/>
  <c r="F513"/>
  <c r="G413" i="19130"/>
  <c r="I413" s="1"/>
  <c r="I384" s="1"/>
  <c r="T64" s="1"/>
  <c r="G414"/>
  <c r="B425" s="1"/>
  <c r="D425" s="1"/>
  <c r="G421" i="19134"/>
  <c r="B432" s="1"/>
  <c r="D432" s="1"/>
  <c r="G420"/>
  <c r="I420" s="1"/>
  <c r="I391" s="1"/>
  <c r="T67" s="1"/>
  <c r="D842"/>
  <c r="B842"/>
  <c r="O38" i="19141"/>
  <c r="O188"/>
  <c r="O110"/>
  <c r="G672" i="19134"/>
  <c r="G673" s="1"/>
  <c r="B684" s="1"/>
  <c r="D684" s="1"/>
  <c r="F757"/>
  <c r="E664"/>
  <c r="O429" i="19131"/>
  <c r="N429"/>
  <c r="G430"/>
  <c r="I429"/>
  <c r="E1275" i="19134"/>
  <c r="AA11" s="1"/>
  <c r="P239" i="1" s="1"/>
  <c r="F1337" i="19134"/>
  <c r="H1265"/>
  <c r="D1275"/>
  <c r="Z11" s="1"/>
  <c r="O239" i="1" s="1"/>
  <c r="O13" i="19137"/>
  <c r="E383" i="19141"/>
  <c r="F1008" i="19130"/>
  <c r="P182" i="19136"/>
  <c r="H463"/>
  <c r="F475" s="1"/>
  <c r="G171"/>
  <c r="P104"/>
  <c r="P32"/>
  <c r="E435" i="19134"/>
  <c r="I435"/>
  <c r="G435"/>
  <c r="H435"/>
  <c r="F435"/>
  <c r="N240" i="1"/>
  <c r="M104" i="19136"/>
  <c r="M32"/>
  <c r="G154"/>
  <c r="M182"/>
  <c r="O438" i="19131"/>
  <c r="N438"/>
  <c r="I438"/>
  <c r="G439"/>
  <c r="I439" i="19135"/>
  <c r="G440"/>
  <c r="O439"/>
  <c r="N439"/>
  <c r="G911" i="19130" l="1"/>
  <c r="B922" s="1"/>
  <c r="D922" s="1"/>
  <c r="H922" s="1"/>
  <c r="G166"/>
  <c r="B177" s="1"/>
  <c r="D177" s="1"/>
  <c r="E177" s="1"/>
  <c r="H998"/>
  <c r="H253"/>
  <c r="F263"/>
  <c r="H263" s="1"/>
  <c r="C274"/>
  <c r="M10" s="1"/>
  <c r="G180"/>
  <c r="H180"/>
  <c r="E180"/>
  <c r="I180"/>
  <c r="F428"/>
  <c r="G428"/>
  <c r="I428"/>
  <c r="H428"/>
  <c r="C522"/>
  <c r="P10" s="1"/>
  <c r="E275" i="1" s="1"/>
  <c r="F511" i="19130"/>
  <c r="H511" s="1"/>
  <c r="P240" i="1"/>
  <c r="Y12" i="19134"/>
  <c r="Y26" s="1"/>
  <c r="E258" i="19141"/>
  <c r="G258" s="1"/>
  <c r="O240" i="1"/>
  <c r="G425" i="19130"/>
  <c r="E425"/>
  <c r="H425"/>
  <c r="I425"/>
  <c r="F425"/>
  <c r="O111" i="19141"/>
  <c r="O39"/>
  <c r="O189"/>
  <c r="D529" i="19134"/>
  <c r="I510"/>
  <c r="E529"/>
  <c r="G1294"/>
  <c r="H1294"/>
  <c r="F1294"/>
  <c r="E1294"/>
  <c r="I1294"/>
  <c r="V10" i="19130"/>
  <c r="G669" i="19134"/>
  <c r="I669" s="1"/>
  <c r="I640" s="1"/>
  <c r="T68" s="1"/>
  <c r="G670"/>
  <c r="B681" s="1"/>
  <c r="D681" s="1"/>
  <c r="D1276"/>
  <c r="H525" i="19141"/>
  <c r="A540" s="1"/>
  <c r="Q105"/>
  <c r="Q33"/>
  <c r="C255"/>
  <c r="Q183"/>
  <c r="F383" i="19136"/>
  <c r="I383"/>
  <c r="G383"/>
  <c r="H383"/>
  <c r="Q32"/>
  <c r="Q182"/>
  <c r="Q104"/>
  <c r="C171"/>
  <c r="H464"/>
  <c r="A476" s="1"/>
  <c r="F476" s="1"/>
  <c r="E1276" i="19134"/>
  <c r="H749" i="19130"/>
  <c r="C770"/>
  <c r="F759"/>
  <c r="H518" i="19134"/>
  <c r="C530"/>
  <c r="P11" s="1"/>
  <c r="E239" i="1" s="1"/>
  <c r="H519" i="19134"/>
  <c r="I383" i="19141"/>
  <c r="F383"/>
  <c r="G383"/>
  <c r="H383"/>
  <c r="F9" i="19137"/>
  <c r="E382" i="19136"/>
  <c r="O188"/>
  <c r="O110"/>
  <c r="O38"/>
  <c r="G662" i="19130"/>
  <c r="B673" s="1"/>
  <c r="D673" s="1"/>
  <c r="G661"/>
  <c r="I661" s="1"/>
  <c r="I631" s="1"/>
  <c r="T65" s="1"/>
  <c r="O39" i="19136"/>
  <c r="O111"/>
  <c r="O189"/>
  <c r="H1006" i="19134"/>
  <c r="E1025"/>
  <c r="D1025"/>
  <c r="C1020" i="19130"/>
  <c r="V11" s="1"/>
  <c r="K276" i="1" s="1"/>
  <c r="H1008" i="19130"/>
  <c r="L430" i="19131"/>
  <c r="M430"/>
  <c r="H430"/>
  <c r="F767" i="19134"/>
  <c r="H757"/>
  <c r="C778"/>
  <c r="H758"/>
  <c r="I513" i="19141"/>
  <c r="E382"/>
  <c r="O9" i="19137"/>
  <c r="H524" i="19136"/>
  <c r="F539" s="1"/>
  <c r="P105"/>
  <c r="P33"/>
  <c r="G255"/>
  <c r="P183"/>
  <c r="P10" i="19134"/>
  <c r="E238" i="1" s="1"/>
  <c r="H384" i="19136"/>
  <c r="F384"/>
  <c r="I384"/>
  <c r="G384"/>
  <c r="H928" i="19134"/>
  <c r="I928"/>
  <c r="G928"/>
  <c r="E928"/>
  <c r="F928"/>
  <c r="H1014"/>
  <c r="H1015"/>
  <c r="G1056" s="1"/>
  <c r="C1026"/>
  <c r="V11" s="1"/>
  <c r="K239" i="1" s="1"/>
  <c r="H255" i="19130"/>
  <c r="E274"/>
  <c r="D274"/>
  <c r="N10" s="1"/>
  <c r="C479" i="19141"/>
  <c r="G478" s="1"/>
  <c r="B478"/>
  <c r="Q105" i="19136"/>
  <c r="H525"/>
  <c r="A540" s="1"/>
  <c r="Q33"/>
  <c r="Q183"/>
  <c r="C255"/>
  <c r="E258"/>
  <c r="F1338" i="19134"/>
  <c r="F1341" s="1"/>
  <c r="C1343" s="1"/>
  <c r="G1326"/>
  <c r="H684"/>
  <c r="I684"/>
  <c r="G684"/>
  <c r="F684"/>
  <c r="E684"/>
  <c r="G432"/>
  <c r="H432"/>
  <c r="I432"/>
  <c r="F432"/>
  <c r="E432"/>
  <c r="P33" i="19141"/>
  <c r="G255"/>
  <c r="P105"/>
  <c r="P183"/>
  <c r="H524"/>
  <c r="F539" s="1"/>
  <c r="F384"/>
  <c r="H384"/>
  <c r="I384"/>
  <c r="G384"/>
  <c r="I431" i="19135"/>
  <c r="G432"/>
  <c r="O431"/>
  <c r="N431"/>
  <c r="F676" i="19130"/>
  <c r="E676"/>
  <c r="I676"/>
  <c r="G676"/>
  <c r="H676"/>
  <c r="H1302"/>
  <c r="J1178"/>
  <c r="J1295"/>
  <c r="V10" i="19134"/>
  <c r="K238" i="1" s="1"/>
  <c r="M439" i="19131"/>
  <c r="H439"/>
  <c r="L439"/>
  <c r="H440" i="19135"/>
  <c r="M440"/>
  <c r="L440"/>
  <c r="C275" i="19130" l="1"/>
  <c r="M11" s="1"/>
  <c r="B276" i="1" s="1"/>
  <c r="G922" i="19130"/>
  <c r="F922"/>
  <c r="E922"/>
  <c r="I922"/>
  <c r="F177"/>
  <c r="I177"/>
  <c r="G177"/>
  <c r="H177"/>
  <c r="H264"/>
  <c r="G305" s="1"/>
  <c r="E163" i="19142"/>
  <c r="G163" s="1"/>
  <c r="C523" i="19130"/>
  <c r="P11" s="1"/>
  <c r="I1184" i="19134"/>
  <c r="I1302"/>
  <c r="H1309"/>
  <c r="E489" i="19128"/>
  <c r="D497" s="1"/>
  <c r="F497" s="1"/>
  <c r="C531" i="19134"/>
  <c r="P12" s="1"/>
  <c r="P26" s="1"/>
  <c r="C1027"/>
  <c r="V12" s="1"/>
  <c r="V26" s="1"/>
  <c r="E480" i="19128"/>
  <c r="D496" s="1"/>
  <c r="F496" s="1"/>
  <c r="B499" i="19141"/>
  <c r="F499"/>
  <c r="I499" s="1"/>
  <c r="F382" i="19136"/>
  <c r="H382"/>
  <c r="G382"/>
  <c r="I382"/>
  <c r="E530" i="19134"/>
  <c r="R11" s="1"/>
  <c r="G239" i="1" s="1"/>
  <c r="F591" i="19134"/>
  <c r="D530"/>
  <c r="Q11" s="1"/>
  <c r="F239" i="1" s="1"/>
  <c r="I520" i="19134"/>
  <c r="M432" i="19135"/>
  <c r="H432"/>
  <c r="L432"/>
  <c r="C275" i="1"/>
  <c r="H767" i="19134"/>
  <c r="C779"/>
  <c r="S11" s="1"/>
  <c r="H239" i="1" s="1"/>
  <c r="H768" i="19134"/>
  <c r="W10"/>
  <c r="L238" i="1" s="1"/>
  <c r="F10" i="19137"/>
  <c r="F11"/>
  <c r="E240" i="1"/>
  <c r="F577" i="19141"/>
  <c r="B577"/>
  <c r="C1021" i="19130"/>
  <c r="C1023" s="1"/>
  <c r="B1039" s="1"/>
  <c r="R10" i="19134"/>
  <c r="G238" i="1" s="1"/>
  <c r="F540" i="19141"/>
  <c r="B275" i="1"/>
  <c r="AF11" i="19134"/>
  <c r="F1344"/>
  <c r="E161" i="19142"/>
  <c r="G161" s="1"/>
  <c r="G258" i="19136"/>
  <c r="F577"/>
  <c r="B577"/>
  <c r="F514" i="19141"/>
  <c r="B514"/>
  <c r="O10" i="19130"/>
  <c r="K240" i="1"/>
  <c r="O11" i="19137"/>
  <c r="O10"/>
  <c r="D778" i="19134"/>
  <c r="H759"/>
  <c r="E778"/>
  <c r="X10"/>
  <c r="M238" i="1" s="1"/>
  <c r="E1278" i="19134"/>
  <c r="AA12"/>
  <c r="AA26" s="1"/>
  <c r="F1316" s="1"/>
  <c r="C1323" s="1"/>
  <c r="E1323" s="1"/>
  <c r="F1323" s="1"/>
  <c r="I1323" s="1"/>
  <c r="Z12"/>
  <c r="Z26" s="1"/>
  <c r="D1278"/>
  <c r="B1291" s="1"/>
  <c r="D1291" s="1"/>
  <c r="F1276"/>
  <c r="I1276" s="1"/>
  <c r="P70" s="1"/>
  <c r="V12" i="19130"/>
  <c r="V26" s="1"/>
  <c r="K275" i="1"/>
  <c r="K277" s="1"/>
  <c r="F540" i="19136"/>
  <c r="F673" i="19130"/>
  <c r="E673"/>
  <c r="G673"/>
  <c r="H673"/>
  <c r="I673"/>
  <c r="S10"/>
  <c r="G560" i="19134"/>
  <c r="B498" i="19141"/>
  <c r="F498"/>
  <c r="H1016" i="19134"/>
  <c r="E1026"/>
  <c r="X11" s="1"/>
  <c r="M239" i="1" s="1"/>
  <c r="F1086" i="19134"/>
  <c r="D1026"/>
  <c r="W11" s="1"/>
  <c r="L239" i="1" s="1"/>
  <c r="F382" i="19141"/>
  <c r="H382"/>
  <c r="G382"/>
  <c r="I382"/>
  <c r="S10" i="19134"/>
  <c r="H238" i="1" s="1"/>
  <c r="N430" i="19131"/>
  <c r="G431"/>
  <c r="I430"/>
  <c r="O430"/>
  <c r="C479" i="19136"/>
  <c r="B478"/>
  <c r="C771" i="19130"/>
  <c r="S11" s="1"/>
  <c r="H276" i="1" s="1"/>
  <c r="H759" i="19130"/>
  <c r="F513" i="19136"/>
  <c r="B513"/>
  <c r="H681" i="19134"/>
  <c r="E681"/>
  <c r="F681"/>
  <c r="I681"/>
  <c r="G681"/>
  <c r="Q10"/>
  <c r="F238" i="1" s="1"/>
  <c r="O439" i="19131"/>
  <c r="N439"/>
  <c r="I439"/>
  <c r="G440"/>
  <c r="I440" i="19135"/>
  <c r="G441"/>
  <c r="O440"/>
  <c r="N440"/>
  <c r="M12" i="19130" l="1"/>
  <c r="M26" s="1"/>
  <c r="B277" i="1"/>
  <c r="C276" i="19130"/>
  <c r="C278" s="1"/>
  <c r="B294" s="1"/>
  <c r="D294" s="1"/>
  <c r="F294" s="1"/>
  <c r="E275"/>
  <c r="O11" s="1"/>
  <c r="D276" i="1" s="1"/>
  <c r="F335" i="19130"/>
  <c r="F336" s="1"/>
  <c r="F339" s="1"/>
  <c r="C341" s="1"/>
  <c r="D275"/>
  <c r="D276" s="1"/>
  <c r="H265"/>
  <c r="C524"/>
  <c r="C526" s="1"/>
  <c r="B542" s="1"/>
  <c r="G480" i="19128"/>
  <c r="C780" i="19134"/>
  <c r="S12" s="1"/>
  <c r="S26" s="1"/>
  <c r="C533"/>
  <c r="B549" s="1"/>
  <c r="D549" s="1"/>
  <c r="F549" s="1"/>
  <c r="D531"/>
  <c r="D533" s="1"/>
  <c r="B546" s="1"/>
  <c r="D546" s="1"/>
  <c r="C1029"/>
  <c r="B1045" s="1"/>
  <c r="D1045" s="1"/>
  <c r="G1045" s="1"/>
  <c r="G489" i="19128"/>
  <c r="L240" i="1"/>
  <c r="E531" i="19134"/>
  <c r="M240" i="1"/>
  <c r="H240"/>
  <c r="H1055" i="19130"/>
  <c r="J1047"/>
  <c r="J929"/>
  <c r="U10" i="19134"/>
  <c r="J238" i="1" s="1"/>
  <c r="I514" i="19141"/>
  <c r="I518" s="1"/>
  <c r="F518"/>
  <c r="B604" s="1"/>
  <c r="C604" s="1"/>
  <c r="B543"/>
  <c r="C544"/>
  <c r="F240" i="1"/>
  <c r="H1059" i="19134"/>
  <c r="I936"/>
  <c r="I1053"/>
  <c r="E276" i="1"/>
  <c r="E277" s="1"/>
  <c r="P12" i="19130"/>
  <c r="P26" s="1"/>
  <c r="F514" i="19136"/>
  <c r="I514" s="1"/>
  <c r="B514"/>
  <c r="H431" i="19131"/>
  <c r="M431"/>
  <c r="L431"/>
  <c r="I498" i="19141"/>
  <c r="I502" s="1"/>
  <c r="F502"/>
  <c r="B592" s="1"/>
  <c r="C592" s="1"/>
  <c r="C772" i="19130"/>
  <c r="C774" s="1"/>
  <c r="B790" s="1"/>
  <c r="C544" i="19136"/>
  <c r="B543"/>
  <c r="G1291" i="19134"/>
  <c r="F1291"/>
  <c r="I1291"/>
  <c r="H1291"/>
  <c r="E1291"/>
  <c r="E1027"/>
  <c r="I577" i="19141"/>
  <c r="D1027" i="19134"/>
  <c r="G809"/>
  <c r="E779"/>
  <c r="U11" s="1"/>
  <c r="J239" i="1" s="1"/>
  <c r="D779" i="19134"/>
  <c r="T11" s="1"/>
  <c r="I239" i="1" s="1"/>
  <c r="F838" i="19134"/>
  <c r="H769"/>
  <c r="G433" i="19135"/>
  <c r="N432"/>
  <c r="I432"/>
  <c r="O432"/>
  <c r="F592" i="19134"/>
  <c r="F595" s="1"/>
  <c r="C597" s="1"/>
  <c r="G580"/>
  <c r="I513" i="19136"/>
  <c r="F498"/>
  <c r="B498"/>
  <c r="G478"/>
  <c r="F1087" i="19134"/>
  <c r="F1090" s="1"/>
  <c r="C1092" s="1"/>
  <c r="G1076"/>
  <c r="H275" i="1"/>
  <c r="H277" s="1"/>
  <c r="S12" i="19130"/>
  <c r="S26" s="1"/>
  <c r="I1299" i="19134"/>
  <c r="H1346"/>
  <c r="B1357" s="1"/>
  <c r="E1357" s="1"/>
  <c r="F1357" s="1"/>
  <c r="I1357" s="1"/>
  <c r="T10"/>
  <c r="I238" i="1" s="1"/>
  <c r="H563" i="19134"/>
  <c r="I557"/>
  <c r="I440"/>
  <c r="D275" i="1"/>
  <c r="I577" i="19136"/>
  <c r="U239" i="1"/>
  <c r="AF12" i="19134"/>
  <c r="G240" i="1"/>
  <c r="M440" i="19131"/>
  <c r="H440"/>
  <c r="L440"/>
  <c r="H441" i="19135"/>
  <c r="G442" s="1"/>
  <c r="M441"/>
  <c r="L441"/>
  <c r="H308" i="19130" l="1"/>
  <c r="J301"/>
  <c r="J184"/>
  <c r="H294"/>
  <c r="I294"/>
  <c r="G294"/>
  <c r="E294"/>
  <c r="G325"/>
  <c r="E276"/>
  <c r="E278" s="1"/>
  <c r="O12"/>
  <c r="O26" s="1"/>
  <c r="F315" s="1"/>
  <c r="C322" s="1"/>
  <c r="E322" s="1"/>
  <c r="F322" s="1"/>
  <c r="I322" s="1"/>
  <c r="D277" i="1"/>
  <c r="N11" i="19130"/>
  <c r="N12" s="1"/>
  <c r="N26" s="1"/>
  <c r="C782" i="19134"/>
  <c r="B798" s="1"/>
  <c r="D798" s="1"/>
  <c r="E798" s="1"/>
  <c r="E1045"/>
  <c r="H1045"/>
  <c r="F1045"/>
  <c r="I1045"/>
  <c r="E549"/>
  <c r="H549"/>
  <c r="G549"/>
  <c r="I549"/>
  <c r="F531"/>
  <c r="I531" s="1"/>
  <c r="P67" s="1"/>
  <c r="Q12"/>
  <c r="Q26" s="1"/>
  <c r="H600" s="1"/>
  <c r="B611" s="1"/>
  <c r="E611" s="1"/>
  <c r="F611" s="1"/>
  <c r="I611" s="1"/>
  <c r="R12"/>
  <c r="R26" s="1"/>
  <c r="F570" s="1"/>
  <c r="C577" s="1"/>
  <c r="E577" s="1"/>
  <c r="F577" s="1"/>
  <c r="I577" s="1"/>
  <c r="E533"/>
  <c r="I240" i="1"/>
  <c r="D780" i="19134"/>
  <c r="D782" s="1"/>
  <c r="B795" s="1"/>
  <c r="D795" s="1"/>
  <c r="F518" i="19136"/>
  <c r="B604" s="1"/>
  <c r="C604" s="1"/>
  <c r="F499"/>
  <c r="I499" s="1"/>
  <c r="B499"/>
  <c r="G828" i="19134"/>
  <c r="F839"/>
  <c r="F842" s="1"/>
  <c r="C844" s="1"/>
  <c r="W12"/>
  <c r="W26" s="1"/>
  <c r="D1029"/>
  <c r="B1042" s="1"/>
  <c r="D1042" s="1"/>
  <c r="F1027"/>
  <c r="I1027" s="1"/>
  <c r="P69" s="1"/>
  <c r="F578" i="19136"/>
  <c r="B578"/>
  <c r="I503" i="19141"/>
  <c r="D592"/>
  <c r="I519"/>
  <c r="D604"/>
  <c r="D278" i="19130"/>
  <c r="B291" s="1"/>
  <c r="D291" s="1"/>
  <c r="AB11"/>
  <c r="F342"/>
  <c r="I498" i="19136"/>
  <c r="G546" i="19134"/>
  <c r="H546"/>
  <c r="E546"/>
  <c r="F546"/>
  <c r="I546"/>
  <c r="F598"/>
  <c r="AC11"/>
  <c r="L433" i="19135"/>
  <c r="H433"/>
  <c r="M433"/>
  <c r="F562" i="19136"/>
  <c r="B562"/>
  <c r="G542"/>
  <c r="I518"/>
  <c r="F562" i="19141"/>
  <c r="B562"/>
  <c r="G542"/>
  <c r="E780" i="19134"/>
  <c r="AF26"/>
  <c r="H1347" s="1"/>
  <c r="H1348" s="1"/>
  <c r="H1349" s="1"/>
  <c r="A1357" s="1"/>
  <c r="U240" i="1"/>
  <c r="G432" i="19131"/>
  <c r="N431"/>
  <c r="I431"/>
  <c r="O431"/>
  <c r="H804" i="19130"/>
  <c r="J797"/>
  <c r="J680"/>
  <c r="AE11" i="19134"/>
  <c r="F1093"/>
  <c r="E1029"/>
  <c r="X12"/>
  <c r="X26" s="1"/>
  <c r="F1066" s="1"/>
  <c r="C1073" s="1"/>
  <c r="E1073" s="1"/>
  <c r="F1073" s="1"/>
  <c r="I1073" s="1"/>
  <c r="H556" i="19130"/>
  <c r="J432"/>
  <c r="J549"/>
  <c r="H811" i="19134"/>
  <c r="I689"/>
  <c r="I806"/>
  <c r="F578" i="19141"/>
  <c r="B578"/>
  <c r="J240" i="1"/>
  <c r="O440" i="19131"/>
  <c r="N440"/>
  <c r="I440"/>
  <c r="G441"/>
  <c r="H442" i="19135"/>
  <c r="M442"/>
  <c r="L442"/>
  <c r="I441"/>
  <c r="O441"/>
  <c r="N441"/>
  <c r="R239" i="1" l="1"/>
  <c r="AC12" i="19134"/>
  <c r="Q276" i="1"/>
  <c r="Q277" s="1"/>
  <c r="AB12" i="19130"/>
  <c r="AB26" s="1"/>
  <c r="H345" s="1"/>
  <c r="H346" s="1"/>
  <c r="H347" s="1"/>
  <c r="A355" s="1"/>
  <c r="C276" i="1"/>
  <c r="C277" s="1"/>
  <c r="F276" i="19130"/>
  <c r="I276" s="1"/>
  <c r="P63" s="1"/>
  <c r="F798" i="19134"/>
  <c r="I798"/>
  <c r="H798"/>
  <c r="G798"/>
  <c r="I554"/>
  <c r="T12"/>
  <c r="T26" s="1"/>
  <c r="H847" s="1"/>
  <c r="B858" s="1"/>
  <c r="E858" s="1"/>
  <c r="F858" s="1"/>
  <c r="I858" s="1"/>
  <c r="I502" i="19136"/>
  <c r="D592" s="1"/>
  <c r="F502"/>
  <c r="B592" s="1"/>
  <c r="C592" s="1"/>
  <c r="H1095" i="19134"/>
  <c r="B1106" s="1"/>
  <c r="E1106" s="1"/>
  <c r="F1106" s="1"/>
  <c r="I1106" s="1"/>
  <c r="I1050"/>
  <c r="I578" i="19141"/>
  <c r="I581" s="1"/>
  <c r="F581"/>
  <c r="B605" s="1"/>
  <c r="C605" s="1"/>
  <c r="I562"/>
  <c r="I562" i="19136"/>
  <c r="I578"/>
  <c r="I581" s="1"/>
  <c r="F581"/>
  <c r="B605" s="1"/>
  <c r="C605" s="1"/>
  <c r="H604" i="19141"/>
  <c r="E604"/>
  <c r="G604"/>
  <c r="H795" i="19134"/>
  <c r="I795"/>
  <c r="F795"/>
  <c r="E795"/>
  <c r="G795"/>
  <c r="U12"/>
  <c r="U26" s="1"/>
  <c r="F818" s="1"/>
  <c r="C825" s="1"/>
  <c r="E825" s="1"/>
  <c r="F825" s="1"/>
  <c r="I825" s="1"/>
  <c r="E782"/>
  <c r="D604" i="19136"/>
  <c r="I519"/>
  <c r="H592" i="19141"/>
  <c r="E592"/>
  <c r="G592"/>
  <c r="J298" i="19130"/>
  <c r="H344"/>
  <c r="B355" s="1"/>
  <c r="E355" s="1"/>
  <c r="F355" s="1"/>
  <c r="I355" s="1"/>
  <c r="T239" i="1"/>
  <c r="AE12" i="19134"/>
  <c r="M432" i="19131"/>
  <c r="H432"/>
  <c r="L432"/>
  <c r="B563" i="19141"/>
  <c r="F563"/>
  <c r="I563" s="1"/>
  <c r="B563" i="19136"/>
  <c r="F563"/>
  <c r="I563" s="1"/>
  <c r="O433" i="19135"/>
  <c r="N433"/>
  <c r="I433"/>
  <c r="H291" i="19130"/>
  <c r="E291"/>
  <c r="G291"/>
  <c r="I291"/>
  <c r="F291"/>
  <c r="G1042" i="19134"/>
  <c r="F1042"/>
  <c r="I1042"/>
  <c r="E1042"/>
  <c r="H1042"/>
  <c r="AD11"/>
  <c r="F845"/>
  <c r="F780"/>
  <c r="I780" s="1"/>
  <c r="P68" s="1"/>
  <c r="M441" i="19131"/>
  <c r="H441"/>
  <c r="L441"/>
  <c r="I442" i="19135"/>
  <c r="G443"/>
  <c r="O442"/>
  <c r="N442"/>
  <c r="C82" i="19130"/>
  <c r="F82"/>
  <c r="F1129"/>
  <c r="I274" i="19128"/>
  <c r="R240" i="1" l="1"/>
  <c r="AC26" i="19134"/>
  <c r="H601" s="1"/>
  <c r="H602" s="1"/>
  <c r="H603" s="1"/>
  <c r="A611" s="1"/>
  <c r="S239" i="1"/>
  <c r="AD12" i="19134"/>
  <c r="I803"/>
  <c r="I503" i="19136"/>
  <c r="I566" i="19141"/>
  <c r="I567" s="1"/>
  <c r="I432" i="19131"/>
  <c r="O432"/>
  <c r="N432"/>
  <c r="F592" i="19141"/>
  <c r="F604"/>
  <c r="H592" i="19136"/>
  <c r="E592"/>
  <c r="G592"/>
  <c r="F566" i="19141"/>
  <c r="B593" s="1"/>
  <c r="C593" s="1"/>
  <c r="C594" s="1"/>
  <c r="C606"/>
  <c r="D605"/>
  <c r="I582"/>
  <c r="C606" i="19136"/>
  <c r="F566"/>
  <c r="B593" s="1"/>
  <c r="C593" s="1"/>
  <c r="T240" i="1"/>
  <c r="AE26" i="19134"/>
  <c r="H1096" s="1"/>
  <c r="H1097" s="1"/>
  <c r="H1098" s="1"/>
  <c r="A1106" s="1"/>
  <c r="H604" i="19136"/>
  <c r="G604"/>
  <c r="E604"/>
  <c r="I582"/>
  <c r="D605"/>
  <c r="I566"/>
  <c r="G1210" i="19130"/>
  <c r="H1342"/>
  <c r="H1343"/>
  <c r="H431" i="19142"/>
  <c r="F431"/>
  <c r="D431"/>
  <c r="B431"/>
  <c r="F880" i="19130"/>
  <c r="F384"/>
  <c r="G323" i="19128"/>
  <c r="G332"/>
  <c r="G333" s="1"/>
  <c r="E363"/>
  <c r="O441" i="19131"/>
  <c r="N441"/>
  <c r="I441"/>
  <c r="G442"/>
  <c r="C274" i="19128"/>
  <c r="G315" s="1"/>
  <c r="D1245" i="19130"/>
  <c r="F1131"/>
  <c r="C1276" s="1"/>
  <c r="C1285" s="1"/>
  <c r="D1349" s="1"/>
  <c r="H443" i="19135"/>
  <c r="M443"/>
  <c r="L443"/>
  <c r="F631" i="19130"/>
  <c r="S240" i="1" l="1"/>
  <c r="AD26" i="19134"/>
  <c r="H848" s="1"/>
  <c r="H849" s="1"/>
  <c r="H850" s="1"/>
  <c r="A858" s="1"/>
  <c r="D593" i="19141"/>
  <c r="H593" s="1"/>
  <c r="H594" s="1"/>
  <c r="H605" i="19136"/>
  <c r="H606" s="1"/>
  <c r="G605"/>
  <c r="G606" s="1"/>
  <c r="E605"/>
  <c r="F605" s="1"/>
  <c r="F604"/>
  <c r="D593"/>
  <c r="I567"/>
  <c r="C594"/>
  <c r="H605" i="19141"/>
  <c r="H606" s="1"/>
  <c r="G605"/>
  <c r="G606" s="1"/>
  <c r="E605"/>
  <c r="F592" i="19136"/>
  <c r="G961" i="19130"/>
  <c r="H1094"/>
  <c r="H1095" s="1"/>
  <c r="D499"/>
  <c r="D500" s="1"/>
  <c r="H596"/>
  <c r="H597" s="1"/>
  <c r="A458"/>
  <c r="F882"/>
  <c r="A955" s="1"/>
  <c r="F386"/>
  <c r="G466" s="1"/>
  <c r="D996"/>
  <c r="D997" s="1"/>
  <c r="G464"/>
  <c r="D1246"/>
  <c r="D1256"/>
  <c r="A1204"/>
  <c r="M442" i="19131"/>
  <c r="H442"/>
  <c r="L442"/>
  <c r="F319" i="19128"/>
  <c r="G322"/>
  <c r="F327" s="1"/>
  <c r="G1217" i="19130"/>
  <c r="I1204"/>
  <c r="I1205" s="1"/>
  <c r="N67" s="1"/>
  <c r="G1212"/>
  <c r="H1276"/>
  <c r="C1288" s="1"/>
  <c r="F1219"/>
  <c r="I443" i="19135"/>
  <c r="G444"/>
  <c r="O443"/>
  <c r="N443"/>
  <c r="G712" i="19130"/>
  <c r="F633"/>
  <c r="H844" s="1"/>
  <c r="H845" s="1"/>
  <c r="D747"/>
  <c r="E593" i="19141" l="1"/>
  <c r="F593" s="1"/>
  <c r="G593"/>
  <c r="G594" s="1"/>
  <c r="B614" s="1"/>
  <c r="D614" s="1"/>
  <c r="B617"/>
  <c r="D617" s="1"/>
  <c r="H617" s="1"/>
  <c r="E606" i="19136"/>
  <c r="F605" i="19141"/>
  <c r="E606"/>
  <c r="H593" i="19136"/>
  <c r="H594" s="1"/>
  <c r="B617" s="1"/>
  <c r="D617" s="1"/>
  <c r="E593"/>
  <c r="G593"/>
  <c r="G594" s="1"/>
  <c r="B614" s="1"/>
  <c r="D614" s="1"/>
  <c r="G530" i="19130"/>
  <c r="C542" s="1"/>
  <c r="D570" s="1"/>
  <c r="B1333"/>
  <c r="B1324"/>
  <c r="D510"/>
  <c r="D1007"/>
  <c r="H1027"/>
  <c r="C1039" s="1"/>
  <c r="D1039" s="1"/>
  <c r="F970"/>
  <c r="G963"/>
  <c r="I955"/>
  <c r="I956" s="1"/>
  <c r="N66" s="1"/>
  <c r="G968"/>
  <c r="F473"/>
  <c r="I458"/>
  <c r="I459" s="1"/>
  <c r="N64" s="1"/>
  <c r="C1027"/>
  <c r="C1036" s="1"/>
  <c r="D1101" s="1"/>
  <c r="C530"/>
  <c r="C539" s="1"/>
  <c r="D603" s="1"/>
  <c r="P20" i="19140"/>
  <c r="G471" i="19130"/>
  <c r="H512" s="1"/>
  <c r="H1258"/>
  <c r="D748"/>
  <c r="D758"/>
  <c r="Q1304"/>
  <c r="R1306" s="1"/>
  <c r="U1307" s="1"/>
  <c r="V1309" s="1"/>
  <c r="M1316"/>
  <c r="B1305"/>
  <c r="C1307" s="1"/>
  <c r="F1308" s="1"/>
  <c r="X1305" s="1"/>
  <c r="E335" i="19128"/>
  <c r="E359" s="1"/>
  <c r="E361" s="1"/>
  <c r="E365" s="1"/>
  <c r="D494" s="1"/>
  <c r="F494" s="1"/>
  <c r="O442" i="19131"/>
  <c r="N442"/>
  <c r="I442"/>
  <c r="G443"/>
  <c r="H1228" i="19130"/>
  <c r="H1238"/>
  <c r="F1321" s="1"/>
  <c r="F1322" s="1"/>
  <c r="H1248"/>
  <c r="D1316"/>
  <c r="D1288"/>
  <c r="H444" i="19135"/>
  <c r="M444"/>
  <c r="L444"/>
  <c r="A706" i="19130"/>
  <c r="C778"/>
  <c r="C787" s="1"/>
  <c r="D851" s="1"/>
  <c r="H778"/>
  <c r="C790" s="1"/>
  <c r="F721"/>
  <c r="G719"/>
  <c r="G714"/>
  <c r="I706"/>
  <c r="I707" s="1"/>
  <c r="N65" s="1"/>
  <c r="I617" i="19141" l="1"/>
  <c r="E594"/>
  <c r="E614"/>
  <c r="G614"/>
  <c r="H614"/>
  <c r="F614"/>
  <c r="I614"/>
  <c r="E617"/>
  <c r="G617"/>
  <c r="F617"/>
  <c r="E594" i="19136"/>
  <c r="F593"/>
  <c r="P43" s="1"/>
  <c r="H614"/>
  <c r="G614"/>
  <c r="F614"/>
  <c r="E614"/>
  <c r="I614"/>
  <c r="F617"/>
  <c r="E617"/>
  <c r="I617"/>
  <c r="G617"/>
  <c r="H617"/>
  <c r="P43" i="19141"/>
  <c r="D542" i="19130"/>
  <c r="I542" s="1"/>
  <c r="B835"/>
  <c r="B826"/>
  <c r="B587"/>
  <c r="B578"/>
  <c r="B1058"/>
  <c r="C1060" s="1"/>
  <c r="F1061" s="1"/>
  <c r="B1077"/>
  <c r="D1069"/>
  <c r="M1069"/>
  <c r="P1056"/>
  <c r="Q1058" s="1"/>
  <c r="T1059" s="1"/>
  <c r="W1057" s="1"/>
  <c r="B1086"/>
  <c r="H979"/>
  <c r="H980" s="1"/>
  <c r="H989"/>
  <c r="F1074" s="1"/>
  <c r="F1075" s="1"/>
  <c r="H999"/>
  <c r="H1000" s="1"/>
  <c r="H1009"/>
  <c r="F1082" s="1"/>
  <c r="G1072" s="1"/>
  <c r="P558"/>
  <c r="Q562" s="1"/>
  <c r="T563" s="1"/>
  <c r="W559" s="1"/>
  <c r="M570"/>
  <c r="B559"/>
  <c r="C561" s="1"/>
  <c r="H564" s="1"/>
  <c r="A570" s="1"/>
  <c r="H492"/>
  <c r="F575" s="1"/>
  <c r="F576" s="1"/>
  <c r="H482"/>
  <c r="E520" s="1"/>
  <c r="R8" s="1"/>
  <c r="G273" i="1" s="1"/>
  <c r="H502" i="19130"/>
  <c r="E522" s="1"/>
  <c r="R10" s="1"/>
  <c r="G275" i="1" s="1"/>
  <c r="G365" i="19128"/>
  <c r="E157" i="19142"/>
  <c r="G157" s="1"/>
  <c r="F1329" i="19130"/>
  <c r="G1319" s="1"/>
  <c r="H760"/>
  <c r="D455" i="19128"/>
  <c r="D461" s="1"/>
  <c r="I455"/>
  <c r="D462" s="1"/>
  <c r="W1308" i="19130"/>
  <c r="H1310"/>
  <c r="A1316" s="1"/>
  <c r="B807"/>
  <c r="C809" s="1"/>
  <c r="H812" s="1"/>
  <c r="A818" s="1"/>
  <c r="M818"/>
  <c r="H750"/>
  <c r="M443" i="19131"/>
  <c r="H443"/>
  <c r="L443"/>
  <c r="E1288" i="19130"/>
  <c r="G1288"/>
  <c r="I1288"/>
  <c r="F1288"/>
  <c r="H1288"/>
  <c r="E1268"/>
  <c r="AA10" s="1"/>
  <c r="P275" i="1" s="1"/>
  <c r="H1249" i="19130"/>
  <c r="D1268"/>
  <c r="Z10" s="1"/>
  <c r="O275" i="1" s="1"/>
  <c r="D1267" i="19130"/>
  <c r="Z9" s="1"/>
  <c r="O274" i="1" s="1"/>
  <c r="E1267" i="19130"/>
  <c r="AA9" s="1"/>
  <c r="P274" i="1" s="1"/>
  <c r="H1239" i="19130"/>
  <c r="G1299"/>
  <c r="Q8"/>
  <c r="F273" i="1" s="1"/>
  <c r="W8" i="19130"/>
  <c r="L273" i="1" s="1"/>
  <c r="D1269" i="19130"/>
  <c r="Z11" s="1"/>
  <c r="O276" i="1" s="1"/>
  <c r="E1269" i="19130"/>
  <c r="AA11" s="1"/>
  <c r="P276" i="1" s="1"/>
  <c r="H1259" i="19130"/>
  <c r="E1266"/>
  <c r="AA8" s="1"/>
  <c r="P273" i="1" s="1"/>
  <c r="H1229" i="19130"/>
  <c r="Z8"/>
  <c r="O273" i="1" s="1"/>
  <c r="H1039" i="19130"/>
  <c r="F1039"/>
  <c r="I1039"/>
  <c r="G1039"/>
  <c r="E1039"/>
  <c r="I444" i="19135"/>
  <c r="G445"/>
  <c r="O444"/>
  <c r="N444"/>
  <c r="Q807" i="19130"/>
  <c r="R809" s="1"/>
  <c r="U810" s="1"/>
  <c r="H730"/>
  <c r="H740"/>
  <c r="F823" s="1"/>
  <c r="D818"/>
  <c r="D790"/>
  <c r="H542" l="1"/>
  <c r="F542"/>
  <c r="G542"/>
  <c r="E542"/>
  <c r="H1063"/>
  <c r="A1069" s="1"/>
  <c r="F824"/>
  <c r="E521"/>
  <c r="R9" s="1"/>
  <c r="G274" i="1" s="1"/>
  <c r="H990" i="19130"/>
  <c r="H493"/>
  <c r="O277" i="1"/>
  <c r="P277"/>
  <c r="E1017" i="19130"/>
  <c r="X8" s="1"/>
  <c r="M273" i="1" s="1"/>
  <c r="H483" i="19130"/>
  <c r="V564"/>
  <c r="E1018"/>
  <c r="X9" s="1"/>
  <c r="M274" i="1" s="1"/>
  <c r="V1060" i="19130"/>
  <c r="F562"/>
  <c r="U1061"/>
  <c r="D1019"/>
  <c r="W10" s="1"/>
  <c r="L275" i="1" s="1"/>
  <c r="D1018" i="19130"/>
  <c r="W9" s="1"/>
  <c r="L274" i="1" s="1"/>
  <c r="E1019" i="19130"/>
  <c r="X10" s="1"/>
  <c r="M275" i="1" s="1"/>
  <c r="D521" i="19130"/>
  <c r="Q9" s="1"/>
  <c r="F274" i="1" s="1"/>
  <c r="G553" i="19130"/>
  <c r="D522"/>
  <c r="Q10" s="1"/>
  <c r="F275" i="1" s="1"/>
  <c r="H503" i="19130"/>
  <c r="E462" i="19128"/>
  <c r="G462" s="1"/>
  <c r="F1330" i="19130"/>
  <c r="AA12"/>
  <c r="AA26" s="1"/>
  <c r="F1309" s="1"/>
  <c r="C1316" s="1"/>
  <c r="E1316" s="1"/>
  <c r="F1316" s="1"/>
  <c r="I1316" s="1"/>
  <c r="Z12"/>
  <c r="Z26" s="1"/>
  <c r="H1010"/>
  <c r="F1083" s="1"/>
  <c r="G1052"/>
  <c r="D1020"/>
  <c r="E1020"/>
  <c r="X11" s="1"/>
  <c r="M276" i="1" s="1"/>
  <c r="D770" i="19130"/>
  <c r="T10" s="1"/>
  <c r="I275" i="1" s="1"/>
  <c r="F831" i="19130"/>
  <c r="F832" s="1"/>
  <c r="H513"/>
  <c r="E523"/>
  <c r="F583"/>
  <c r="F584" s="1"/>
  <c r="D523"/>
  <c r="A384" i="19128"/>
  <c r="A379" s="1"/>
  <c r="I449"/>
  <c r="D460" s="1"/>
  <c r="F810" i="19130"/>
  <c r="H751"/>
  <c r="E770"/>
  <c r="U10" s="1"/>
  <c r="J275" i="1" s="1"/>
  <c r="E1270" i="19130"/>
  <c r="E1272" s="1"/>
  <c r="W811"/>
  <c r="O443" i="19131"/>
  <c r="N443"/>
  <c r="I443"/>
  <c r="G444"/>
  <c r="D1270" i="19130"/>
  <c r="H445" i="19135"/>
  <c r="M445"/>
  <c r="L445"/>
  <c r="I790" i="19130"/>
  <c r="H790"/>
  <c r="G790"/>
  <c r="F790"/>
  <c r="E790"/>
  <c r="X808"/>
  <c r="W812"/>
  <c r="D771"/>
  <c r="T11" s="1"/>
  <c r="I276" i="1" s="1"/>
  <c r="E769" i="19130"/>
  <c r="U9" s="1"/>
  <c r="J274" i="1" s="1"/>
  <c r="D769" i="19130"/>
  <c r="T9" s="1"/>
  <c r="I274" i="1" s="1"/>
  <c r="H741" i="19130"/>
  <c r="E768"/>
  <c r="U8" s="1"/>
  <c r="J273" i="1" s="1"/>
  <c r="T8" i="19130"/>
  <c r="I273" i="1" s="1"/>
  <c r="H731" i="19130"/>
  <c r="F587" l="1"/>
  <c r="C589" s="1"/>
  <c r="F578"/>
  <c r="C579" s="1"/>
  <c r="F1086"/>
  <c r="C1088" s="1"/>
  <c r="F1077"/>
  <c r="F826"/>
  <c r="C827" s="1"/>
  <c r="F1333"/>
  <c r="C1335" s="1"/>
  <c r="F1324"/>
  <c r="C1325" s="1"/>
  <c r="J1292"/>
  <c r="H1338"/>
  <c r="B1349" s="1"/>
  <c r="E1349" s="1"/>
  <c r="F1349" s="1"/>
  <c r="I277" i="1"/>
  <c r="M277"/>
  <c r="X12" i="19130"/>
  <c r="X26" s="1"/>
  <c r="F1062" s="1"/>
  <c r="C1069" s="1"/>
  <c r="E1069" s="1"/>
  <c r="F1069" s="1"/>
  <c r="I1069" s="1"/>
  <c r="E1021"/>
  <c r="E1023" s="1"/>
  <c r="D1021"/>
  <c r="D1023" s="1"/>
  <c r="B1036" s="1"/>
  <c r="D1036" s="1"/>
  <c r="G1036" s="1"/>
  <c r="W11"/>
  <c r="E524"/>
  <c r="E526" s="1"/>
  <c r="R11"/>
  <c r="T12"/>
  <c r="T26" s="1"/>
  <c r="D524"/>
  <c r="D526" s="1"/>
  <c r="B539" s="1"/>
  <c r="D539" s="1"/>
  <c r="Q11"/>
  <c r="H761"/>
  <c r="E771"/>
  <c r="U11" s="1"/>
  <c r="G801"/>
  <c r="G821"/>
  <c r="F835"/>
  <c r="C837" s="1"/>
  <c r="G573"/>
  <c r="G430" i="19128"/>
  <c r="G439"/>
  <c r="G440" s="1"/>
  <c r="E470"/>
  <c r="G422"/>
  <c r="F426" s="1"/>
  <c r="E460"/>
  <c r="G460" s="1"/>
  <c r="E461"/>
  <c r="G461" s="1"/>
  <c r="F1270" i="19130"/>
  <c r="D1272"/>
  <c r="B1285" s="1"/>
  <c r="D1285" s="1"/>
  <c r="F1285" s="1"/>
  <c r="M444" i="19131"/>
  <c r="H444"/>
  <c r="L444"/>
  <c r="I445" i="19135"/>
  <c r="G446"/>
  <c r="O445"/>
  <c r="N445"/>
  <c r="D772" i="19130"/>
  <c r="F590" l="1"/>
  <c r="AC11"/>
  <c r="R276" i="1" s="1"/>
  <c r="AF11" i="19130"/>
  <c r="U276" i="1" s="1"/>
  <c r="F838" i="19130"/>
  <c r="AD11"/>
  <c r="S276" i="1" s="1"/>
  <c r="F1089" i="19130"/>
  <c r="AE11"/>
  <c r="T276" i="1" s="1"/>
  <c r="C1078" i="19130"/>
  <c r="AE9" s="1"/>
  <c r="M979"/>
  <c r="N979" s="1"/>
  <c r="H1092"/>
  <c r="H1093" s="1"/>
  <c r="A1101" s="1"/>
  <c r="F580"/>
  <c r="AC9"/>
  <c r="F1326"/>
  <c r="AF9"/>
  <c r="F828"/>
  <c r="AD9"/>
  <c r="F1336"/>
  <c r="I1349"/>
  <c r="J794"/>
  <c r="H840"/>
  <c r="R12"/>
  <c r="R26" s="1"/>
  <c r="F563" s="1"/>
  <c r="C570" s="1"/>
  <c r="E570" s="1"/>
  <c r="F570" s="1"/>
  <c r="I570" s="1"/>
  <c r="G276" i="1"/>
  <c r="G277" s="1"/>
  <c r="U12" i="19130"/>
  <c r="U26" s="1"/>
  <c r="F811" s="1"/>
  <c r="C818" s="1"/>
  <c r="E818" s="1"/>
  <c r="F818" s="1"/>
  <c r="I818" s="1"/>
  <c r="J276" i="1"/>
  <c r="J277" s="1"/>
  <c r="W12" i="19130"/>
  <c r="W26" s="1"/>
  <c r="L276" i="1"/>
  <c r="L277" s="1"/>
  <c r="Q12" i="19130"/>
  <c r="Q26" s="1"/>
  <c r="F276" i="1"/>
  <c r="F277" s="1"/>
  <c r="F524" i="19130"/>
  <c r="I524" s="1"/>
  <c r="P64" s="1"/>
  <c r="F1036"/>
  <c r="E772"/>
  <c r="E774" s="1"/>
  <c r="H1036"/>
  <c r="E1036"/>
  <c r="I1036"/>
  <c r="F1021"/>
  <c r="I1021" s="1"/>
  <c r="P66" s="1"/>
  <c r="G463" i="19128"/>
  <c r="G464" s="1"/>
  <c r="E467" s="1"/>
  <c r="G429"/>
  <c r="F434" s="1"/>
  <c r="I1270" i="19130"/>
  <c r="P67" s="1"/>
  <c r="E1285"/>
  <c r="H1285"/>
  <c r="G1285"/>
  <c r="I1285"/>
  <c r="O444" i="19131"/>
  <c r="N444"/>
  <c r="I444"/>
  <c r="G445"/>
  <c r="H539" i="19130"/>
  <c r="F539"/>
  <c r="I539"/>
  <c r="G539"/>
  <c r="E539"/>
  <c r="H446" i="19135"/>
  <c r="M446"/>
  <c r="L446"/>
  <c r="D774" i="19130"/>
  <c r="B787" s="1"/>
  <c r="D787" s="1"/>
  <c r="B851" l="1"/>
  <c r="E851" s="1"/>
  <c r="F851" s="1"/>
  <c r="I851" s="1"/>
  <c r="F1079"/>
  <c r="U274" i="1"/>
  <c r="U277" s="1"/>
  <c r="AF12" i="19130"/>
  <c r="AF26" s="1"/>
  <c r="H1339" s="1"/>
  <c r="H1340" s="1"/>
  <c r="H1341" s="1"/>
  <c r="A1349" s="1"/>
  <c r="T274" i="1"/>
  <c r="T277" s="1"/>
  <c r="AE12" i="19130"/>
  <c r="AE26" s="1"/>
  <c r="S274" i="1"/>
  <c r="S277" s="1"/>
  <c r="AD12" i="19130"/>
  <c r="AD26" s="1"/>
  <c r="H841" s="1"/>
  <c r="H842" s="1"/>
  <c r="H843" s="1"/>
  <c r="A851" s="1"/>
  <c r="AC12"/>
  <c r="AC26" s="1"/>
  <c r="H593" s="1"/>
  <c r="H594" s="1"/>
  <c r="H595" s="1"/>
  <c r="A603" s="1"/>
  <c r="R274" i="1"/>
  <c r="R277" s="1"/>
  <c r="J1044" i="19130"/>
  <c r="H1091"/>
  <c r="J546"/>
  <c r="H592"/>
  <c r="F772"/>
  <c r="I772" s="1"/>
  <c r="P65" s="1"/>
  <c r="E442" i="19128"/>
  <c r="E466" s="1"/>
  <c r="E468" s="1"/>
  <c r="E472" s="1"/>
  <c r="D495" s="1"/>
  <c r="F495" s="1"/>
  <c r="M445" i="19131"/>
  <c r="H445"/>
  <c r="L445"/>
  <c r="G447" i="19135"/>
  <c r="I446"/>
  <c r="O446"/>
  <c r="N446"/>
  <c r="I787" i="19130"/>
  <c r="H787"/>
  <c r="G787"/>
  <c r="F787"/>
  <c r="E787"/>
  <c r="B1101" l="1"/>
  <c r="E1101" s="1"/>
  <c r="F1101" s="1"/>
  <c r="I1101" s="1"/>
  <c r="B603"/>
  <c r="E603" s="1"/>
  <c r="F603" s="1"/>
  <c r="I603" s="1"/>
  <c r="G472" i="19128"/>
  <c r="E159" i="19142"/>
  <c r="G159" s="1"/>
  <c r="E376" i="19129"/>
  <c r="B70" i="19140"/>
  <c r="B72" s="1"/>
  <c r="A346" i="19129"/>
  <c r="B450"/>
  <c r="O445" i="19131"/>
  <c r="N445"/>
  <c r="I445"/>
  <c r="G446"/>
  <c r="H447" i="19135"/>
  <c r="M447"/>
  <c r="L447"/>
  <c r="F346" i="19129"/>
  <c r="E330"/>
  <c r="B452" l="1"/>
  <c r="F72" i="19140"/>
  <c r="D72"/>
  <c r="E23"/>
  <c r="E331" i="19129"/>
  <c r="O352" s="1"/>
  <c r="E332"/>
  <c r="M446" i="19131"/>
  <c r="H446"/>
  <c r="L446"/>
  <c r="I447" i="19135"/>
  <c r="O447"/>
  <c r="N447"/>
  <c r="G448"/>
  <c r="D355" i="19129"/>
  <c r="C43" i="19137" s="1"/>
  <c r="E360" i="19129"/>
  <c r="E361" s="1"/>
  <c r="C70" i="19140" l="1"/>
  <c r="C72" s="1"/>
  <c r="C74" s="1"/>
  <c r="A75" s="1"/>
  <c r="H383" i="19129"/>
  <c r="D349"/>
  <c r="D358"/>
  <c r="B457"/>
  <c r="B458" s="1"/>
  <c r="E696" s="1"/>
  <c r="F34" i="19140"/>
  <c r="F29"/>
  <c r="F35"/>
  <c r="F30"/>
  <c r="F36" s="1"/>
  <c r="F27"/>
  <c r="F32" s="1"/>
  <c r="F28"/>
  <c r="F33"/>
  <c r="E383" i="19129"/>
  <c r="E384"/>
  <c r="E382"/>
  <c r="D450"/>
  <c r="D457" s="1"/>
  <c r="F361"/>
  <c r="O446" i="19131"/>
  <c r="N446"/>
  <c r="I446"/>
  <c r="G447"/>
  <c r="H448" i="19135"/>
  <c r="M448"/>
  <c r="L448"/>
  <c r="F363" i="19129"/>
  <c r="D366" s="1"/>
  <c r="D379" s="1"/>
  <c r="F357"/>
  <c r="A76" i="19140" l="1"/>
  <c r="E70"/>
  <c r="E72" s="1"/>
  <c r="D380" i="19129"/>
  <c r="F380" s="1"/>
  <c r="E733"/>
  <c r="E698"/>
  <c r="E700" s="1"/>
  <c r="F703" s="1"/>
  <c r="B355"/>
  <c r="A43" i="19137" s="1"/>
  <c r="G46" s="1"/>
  <c r="B354" i="19129"/>
  <c r="B48" i="19140"/>
  <c r="G48" s="1"/>
  <c r="I48" s="1"/>
  <c r="E450" i="19129"/>
  <c r="E377"/>
  <c r="G377" s="1"/>
  <c r="G383"/>
  <c r="I450" s="1"/>
  <c r="G382"/>
  <c r="H450" s="1"/>
  <c r="G384"/>
  <c r="J450" s="1"/>
  <c r="F373"/>
  <c r="I338"/>
  <c r="M447" i="19131"/>
  <c r="H447"/>
  <c r="L447"/>
  <c r="I448" i="19135"/>
  <c r="O448"/>
  <c r="N448"/>
  <c r="G449"/>
  <c r="H366" i="19129"/>
  <c r="E452" l="1"/>
  <c r="I451"/>
  <c r="E24" i="19140"/>
  <c r="F39"/>
  <c r="F42"/>
  <c r="F38"/>
  <c r="G450" i="19129"/>
  <c r="D371"/>
  <c r="F371" s="1"/>
  <c r="F450"/>
  <c r="F457" s="1"/>
  <c r="D367"/>
  <c r="F372" s="1"/>
  <c r="O447" i="19131"/>
  <c r="N447"/>
  <c r="I447"/>
  <c r="G448"/>
  <c r="H449" i="19135"/>
  <c r="M449"/>
  <c r="L449"/>
  <c r="B812" i="19129"/>
  <c r="H723"/>
  <c r="I820" l="1"/>
  <c r="E826" s="1"/>
  <c r="G452"/>
  <c r="E457"/>
  <c r="E458" s="1"/>
  <c r="I452"/>
  <c r="F40" i="19140"/>
  <c r="F41"/>
  <c r="H451" i="19129"/>
  <c r="J451"/>
  <c r="C472"/>
  <c r="B52" i="19142" s="1"/>
  <c r="M448" i="19131"/>
  <c r="H448"/>
  <c r="L448"/>
  <c r="A826" i="19129"/>
  <c r="I449" i="19135"/>
  <c r="O449"/>
  <c r="O451" s="1"/>
  <c r="N449"/>
  <c r="N451" s="1"/>
  <c r="G450"/>
  <c r="G436" i="19129"/>
  <c r="G828" l="1"/>
  <c r="I828" s="1"/>
  <c r="O56" s="1"/>
  <c r="A828"/>
  <c r="P46"/>
  <c r="F702"/>
  <c r="F704" s="1"/>
  <c r="F708" s="1"/>
  <c r="I55" s="1"/>
  <c r="E476" i="19128" s="1"/>
  <c r="E478" s="1"/>
  <c r="G457" i="19129"/>
  <c r="D727" s="1"/>
  <c r="E729" s="1"/>
  <c r="G729" s="1"/>
  <c r="J452"/>
  <c r="H452"/>
  <c r="I457"/>
  <c r="O448" i="19131"/>
  <c r="O450" s="1"/>
  <c r="G449"/>
  <c r="I448"/>
  <c r="N448"/>
  <c r="N450" s="1"/>
  <c r="M450" i="19135"/>
  <c r="M451" s="1"/>
  <c r="D454" s="1"/>
  <c r="G459" s="1"/>
  <c r="B474" s="1"/>
  <c r="D474" s="1"/>
  <c r="L450"/>
  <c r="L451" s="1"/>
  <c r="D453" s="1"/>
  <c r="G460" s="1"/>
  <c r="H828" i="19129" l="1"/>
  <c r="F705"/>
  <c r="F706"/>
  <c r="J62"/>
  <c r="J9" i="19142" s="1"/>
  <c r="G458" i="19129"/>
  <c r="O41" s="1"/>
  <c r="I458"/>
  <c r="D464" s="1"/>
  <c r="F707"/>
  <c r="H457"/>
  <c r="H458" s="1"/>
  <c r="J457"/>
  <c r="J458" s="1"/>
  <c r="D465" s="1"/>
  <c r="F465" s="1"/>
  <c r="D7" i="19136"/>
  <c r="C302" s="1"/>
  <c r="C401" s="1"/>
  <c r="D401" s="1"/>
  <c r="D7" i="19141"/>
  <c r="M449" i="19131"/>
  <c r="M450" s="1"/>
  <c r="D453" s="1"/>
  <c r="G458" s="1"/>
  <c r="B473" s="1"/>
  <c r="D473" s="1"/>
  <c r="L449"/>
  <c r="L450" s="1"/>
  <c r="D452" s="1"/>
  <c r="G459" s="1"/>
  <c r="I474" i="19135"/>
  <c r="H474"/>
  <c r="G474"/>
  <c r="F474"/>
  <c r="E474"/>
  <c r="B477"/>
  <c r="D477" s="1"/>
  <c r="G458"/>
  <c r="I458" s="1"/>
  <c r="E29" i="19128" s="1"/>
  <c r="I812" i="19129"/>
  <c r="I836" s="1"/>
  <c r="J69"/>
  <c r="J16" i="19142" s="1"/>
  <c r="H708" i="19129"/>
  <c r="D463" l="1"/>
  <c r="P45"/>
  <c r="G306" i="19136"/>
  <c r="C618" s="1"/>
  <c r="D618" s="1"/>
  <c r="I618" s="1"/>
  <c r="C306"/>
  <c r="C615" s="1"/>
  <c r="D615" s="1"/>
  <c r="G615" s="1"/>
  <c r="G306" i="19141"/>
  <c r="C618" s="1"/>
  <c r="D618" s="1"/>
  <c r="C302"/>
  <c r="C401" s="1"/>
  <c r="D401" s="1"/>
  <c r="C306"/>
  <c r="C615" s="1"/>
  <c r="D615" s="1"/>
  <c r="G302"/>
  <c r="C404" s="1"/>
  <c r="D404" s="1"/>
  <c r="G302" i="19136"/>
  <c r="C404" s="1"/>
  <c r="D404" s="1"/>
  <c r="G404" s="1"/>
  <c r="B476" i="19131"/>
  <c r="D476" s="1"/>
  <c r="G457"/>
  <c r="I457" s="1"/>
  <c r="E36" i="19128" s="1"/>
  <c r="H473" i="19131"/>
  <c r="I473"/>
  <c r="E473"/>
  <c r="G473"/>
  <c r="F473"/>
  <c r="I477" i="19135"/>
  <c r="H477"/>
  <c r="G477"/>
  <c r="F477"/>
  <c r="E477"/>
  <c r="E842" i="19129"/>
  <c r="G844" s="1"/>
  <c r="A842"/>
  <c r="I401" i="19136"/>
  <c r="H401"/>
  <c r="G401"/>
  <c r="F401"/>
  <c r="E401"/>
  <c r="J48" i="19129" l="1"/>
  <c r="Q45"/>
  <c r="F463"/>
  <c r="H618" i="19136"/>
  <c r="E618"/>
  <c r="I615"/>
  <c r="G618"/>
  <c r="F615"/>
  <c r="F618"/>
  <c r="E615"/>
  <c r="H615"/>
  <c r="F404"/>
  <c r="E618" i="19141"/>
  <c r="I618"/>
  <c r="H618"/>
  <c r="G618"/>
  <c r="F618"/>
  <c r="F401"/>
  <c r="E401"/>
  <c r="I401"/>
  <c r="H401"/>
  <c r="G401"/>
  <c r="E404" i="19136"/>
  <c r="I404"/>
  <c r="G615" i="19141"/>
  <c r="F615"/>
  <c r="I615"/>
  <c r="H615"/>
  <c r="E615"/>
  <c r="H404"/>
  <c r="G404"/>
  <c r="F404"/>
  <c r="E404"/>
  <c r="I404"/>
  <c r="H404" i="19136"/>
  <c r="A844" i="19129"/>
  <c r="I476" i="19131"/>
  <c r="H476"/>
  <c r="G476"/>
  <c r="F476"/>
  <c r="E476"/>
  <c r="I844" i="19129"/>
  <c r="O47" s="1"/>
  <c r="H844"/>
  <c r="E129" i="19134"/>
  <c r="D157"/>
  <c r="I159" s="1"/>
  <c r="D161" l="1"/>
  <c r="I161" s="1"/>
  <c r="D160"/>
  <c r="F257"/>
  <c r="F259" s="1"/>
  <c r="D163" l="1"/>
  <c r="E165" s="1"/>
  <c r="G170" s="1"/>
  <c r="I170" s="1"/>
  <c r="I160"/>
  <c r="I84" i="19140" s="1"/>
  <c r="F267" i="19134"/>
  <c r="F269" s="1"/>
  <c r="I163"/>
  <c r="G174" s="1"/>
  <c r="G175" s="1"/>
  <c r="B186" s="1"/>
  <c r="D186" s="1"/>
  <c r="B346" l="1"/>
  <c r="D346"/>
  <c r="F186"/>
  <c r="G186"/>
  <c r="H186"/>
  <c r="I186"/>
  <c r="E186"/>
  <c r="F260"/>
  <c r="E166"/>
  <c r="F270" l="1"/>
  <c r="C281"/>
  <c r="M10" s="1"/>
  <c r="B238" i="1" s="1"/>
  <c r="H260" i="19134"/>
  <c r="I261"/>
  <c r="G171"/>
  <c r="I171" s="1"/>
  <c r="G172"/>
  <c r="B183" s="1"/>
  <c r="D183" s="1"/>
  <c r="H271" l="1"/>
  <c r="I142"/>
  <c r="T66" s="1"/>
  <c r="C282"/>
  <c r="H270"/>
  <c r="F183"/>
  <c r="G183"/>
  <c r="I183"/>
  <c r="H183"/>
  <c r="E183"/>
  <c r="I262"/>
  <c r="D281"/>
  <c r="N10" s="1"/>
  <c r="C238" i="1" s="1"/>
  <c r="E281" i="19134"/>
  <c r="O10" s="1"/>
  <c r="D238" i="1" s="1"/>
  <c r="F342" i="19134" l="1"/>
  <c r="G312"/>
  <c r="C283"/>
  <c r="C285" s="1"/>
  <c r="B301" s="1"/>
  <c r="D301" s="1"/>
  <c r="M11"/>
  <c r="D282"/>
  <c r="E282"/>
  <c r="I272"/>
  <c r="M12" l="1"/>
  <c r="M26" s="1"/>
  <c r="H315" s="1"/>
  <c r="B239" i="1"/>
  <c r="B240" s="1"/>
  <c r="F343" i="19134"/>
  <c r="G331"/>
  <c r="D283"/>
  <c r="D285" s="1"/>
  <c r="B298" s="1"/>
  <c r="D298" s="1"/>
  <c r="N11"/>
  <c r="E283"/>
  <c r="E285" s="1"/>
  <c r="O11"/>
  <c r="H301"/>
  <c r="I301"/>
  <c r="G301"/>
  <c r="E301"/>
  <c r="F301"/>
  <c r="F337" l="1"/>
  <c r="C338" s="1"/>
  <c r="J190"/>
  <c r="O12"/>
  <c r="O26" s="1"/>
  <c r="D239" i="1"/>
  <c r="D240" s="1"/>
  <c r="I309" i="19134"/>
  <c r="N12"/>
  <c r="N26" s="1"/>
  <c r="C239" i="1"/>
  <c r="C240" s="1"/>
  <c r="I298" i="19134"/>
  <c r="F346"/>
  <c r="F283"/>
  <c r="I283" s="1"/>
  <c r="P66" s="1"/>
  <c r="E298"/>
  <c r="G298"/>
  <c r="H298"/>
  <c r="F298"/>
  <c r="F339" l="1"/>
  <c r="AB9"/>
  <c r="C348"/>
  <c r="AB11" s="1"/>
  <c r="Q239" i="1" s="1"/>
  <c r="I306" i="19134"/>
  <c r="H351"/>
  <c r="F322"/>
  <c r="C329" s="1"/>
  <c r="E329" s="1"/>
  <c r="F329" s="1"/>
  <c r="I329" s="1"/>
  <c r="B362" l="1"/>
  <c r="E362" s="1"/>
  <c r="F362" s="1"/>
  <c r="I362" s="1"/>
  <c r="AB12"/>
  <c r="AB26" s="1"/>
  <c r="Q237" i="1"/>
  <c r="F349" i="19134"/>
  <c r="Q240" i="1" l="1"/>
  <c r="H352" i="19134"/>
  <c r="H353" s="1"/>
  <c r="H354" s="1"/>
  <c r="A362" s="1"/>
  <c r="C197" i="19130"/>
  <c r="D197" l="1"/>
  <c r="E197"/>
  <c r="A204"/>
  <c r="I197" l="1"/>
  <c r="F197"/>
  <c r="H204" l="1"/>
  <c r="I204" s="1"/>
  <c r="G197"/>
  <c r="H197"/>
  <c r="B204" s="1"/>
  <c r="C204" s="1"/>
</calcChain>
</file>

<file path=xl/sharedStrings.xml><?xml version="1.0" encoding="utf-8"?>
<sst xmlns="http://schemas.openxmlformats.org/spreadsheetml/2006/main" count="14004" uniqueCount="2297">
  <si>
    <t>kn/sq.m</t>
  </si>
  <si>
    <t>kn / cum</t>
  </si>
  <si>
    <t>kn Truck</t>
  </si>
  <si>
    <t>kn / sq.m</t>
  </si>
  <si>
    <t xml:space="preserve">kn </t>
  </si>
  <si>
    <t>m</t>
  </si>
  <si>
    <t xml:space="preserve">Allowable stress and Design Constant </t>
  </si>
  <si>
    <t>N / sq.mm</t>
  </si>
  <si>
    <t>fy  =</t>
  </si>
  <si>
    <t>R  = 0.5fc K J =</t>
  </si>
  <si>
    <t>n  =  Es / Ec  =</t>
  </si>
  <si>
    <t>Es =</t>
  </si>
  <si>
    <t>J  = 1- K/3 =</t>
  </si>
  <si>
    <r>
      <t>Effective depth from Momemt , d</t>
    </r>
    <r>
      <rPr>
        <sz val="8"/>
        <rFont val="Arial"/>
        <family val="2"/>
      </rPr>
      <t>m</t>
    </r>
    <r>
      <rPr>
        <sz val="10"/>
        <rFont val="Arial"/>
        <family val="2"/>
      </rPr>
      <t xml:space="preserve">  =</t>
    </r>
  </si>
  <si>
    <r>
      <t>Effective depth from Shear , d</t>
    </r>
    <r>
      <rPr>
        <sz val="8"/>
        <rFont val="Arial"/>
        <family val="2"/>
      </rPr>
      <t>s</t>
    </r>
    <r>
      <rPr>
        <sz val="10"/>
        <rFont val="Arial"/>
        <family val="2"/>
      </rPr>
      <t xml:space="preserve">  =</t>
    </r>
  </si>
  <si>
    <r>
      <t>(V x 10^3) / (v</t>
    </r>
    <r>
      <rPr>
        <sz val="7"/>
        <rFont val="Arial"/>
        <family val="2"/>
      </rPr>
      <t>c</t>
    </r>
    <r>
      <rPr>
        <sz val="10"/>
        <rFont val="Arial"/>
        <family val="2"/>
      </rPr>
      <t xml:space="preserve"> x b)</t>
    </r>
  </si>
  <si>
    <t>Reinforcement Area, As =</t>
  </si>
  <si>
    <t>(M x 10^6) / (fs x J x d)</t>
  </si>
  <si>
    <t>((M x 10^6) / (R x b))^0.5</t>
  </si>
  <si>
    <t>Where, M in kn-m, V in kn and b, d, dm, ds in mm and As in sq.mm / m</t>
  </si>
  <si>
    <t>A.1 )  Concrete &amp; Earth load</t>
  </si>
  <si>
    <t>kn</t>
  </si>
  <si>
    <t>C/S</t>
  </si>
  <si>
    <t>R/S</t>
  </si>
  <si>
    <t>Number of Vents =</t>
  </si>
  <si>
    <t>A.2 )  Water Load</t>
  </si>
  <si>
    <t>U/S</t>
  </si>
  <si>
    <t>D/S</t>
  </si>
  <si>
    <t>Upstream part  =</t>
  </si>
  <si>
    <t>Downstream part  =</t>
  </si>
  <si>
    <t>Central part  =</t>
  </si>
  <si>
    <t>A.3 )  Uplift</t>
  </si>
  <si>
    <t>Uplift Pressure   =</t>
  </si>
  <si>
    <t>From C/S to R/S  :</t>
  </si>
  <si>
    <t>From R/S to C/S  :</t>
  </si>
  <si>
    <t>=</t>
  </si>
  <si>
    <t xml:space="preserve">Total </t>
  </si>
  <si>
    <t>( i )</t>
  </si>
  <si>
    <t>( ii )</t>
  </si>
  <si>
    <t>Uplift  =</t>
  </si>
  <si>
    <t>Sliding  =</t>
  </si>
  <si>
    <t>C1</t>
  </si>
  <si>
    <t>C2</t>
  </si>
  <si>
    <t>Ca  =</t>
  </si>
  <si>
    <t>P2</t>
  </si>
  <si>
    <t>P1</t>
  </si>
  <si>
    <t>m PWD</t>
  </si>
  <si>
    <t>metre</t>
  </si>
  <si>
    <t>% ( from Uplift pressure diagram)</t>
  </si>
  <si>
    <t>Corrected pressure at E2</t>
  </si>
  <si>
    <t>Corrected pressure at C1</t>
  </si>
  <si>
    <t>EL.</t>
  </si>
  <si>
    <t>(HWL in R/S)</t>
  </si>
  <si>
    <t>Invert level=</t>
  </si>
  <si>
    <t>cfs</t>
  </si>
  <si>
    <t>ft.</t>
  </si>
  <si>
    <t>Depth of scour is determined by Lacey's regime scour depth</t>
  </si>
  <si>
    <t>Total floor length , b         =</t>
  </si>
  <si>
    <t>u/s</t>
  </si>
  <si>
    <t>d/s</t>
  </si>
  <si>
    <t>b =</t>
  </si>
  <si>
    <t xml:space="preserve">Chute Block :    </t>
  </si>
  <si>
    <t xml:space="preserve">Baffle Block  :            </t>
  </si>
  <si>
    <t>End sill         :</t>
  </si>
  <si>
    <r>
      <t>height  (Hs) =0.2y</t>
    </r>
    <r>
      <rPr>
        <sz val="6"/>
        <rFont val="Arial"/>
        <family val="2"/>
      </rPr>
      <t>2</t>
    </r>
    <r>
      <rPr>
        <sz val="10"/>
        <rFont val="Arial"/>
        <family val="2"/>
      </rPr>
      <t xml:space="preserve"> =</t>
    </r>
  </si>
  <si>
    <t>Chute blocks</t>
  </si>
  <si>
    <t>End sill</t>
  </si>
  <si>
    <t>when  y1=</t>
  </si>
  <si>
    <t>then  R.H.S. of above equation =</t>
  </si>
  <si>
    <t>E1</t>
  </si>
  <si>
    <t>b  =</t>
  </si>
  <si>
    <t>d  =</t>
  </si>
  <si>
    <t>%</t>
  </si>
  <si>
    <t>D  =</t>
  </si>
  <si>
    <t>b'  =</t>
  </si>
  <si>
    <t>( + Ve )</t>
  </si>
  <si>
    <t>% ( +Ve )</t>
  </si>
  <si>
    <t>%  ( - Ve )</t>
  </si>
  <si>
    <t>(corrected)</t>
  </si>
  <si>
    <t>C/S (d/s)</t>
  </si>
  <si>
    <t>R/S (u/s)</t>
  </si>
  <si>
    <t>Percentage of pressure when high water in R/S  &amp; low water in C/S</t>
  </si>
  <si>
    <t xml:space="preserve">               a</t>
  </si>
  <si>
    <t xml:space="preserve">         d</t>
  </si>
  <si>
    <t xml:space="preserve">          e</t>
  </si>
  <si>
    <t xml:space="preserve">      Specific weight of concrete   </t>
  </si>
  <si>
    <t xml:space="preserve"> </t>
  </si>
  <si>
    <r>
      <t xml:space="preserve">Velocity at section </t>
    </r>
    <r>
      <rPr>
        <b/>
        <sz val="10"/>
        <rFont val="Arial"/>
        <family val="2"/>
      </rPr>
      <t>1-1</t>
    </r>
    <r>
      <rPr>
        <sz val="10"/>
        <rFont val="Arial"/>
        <family val="2"/>
      </rPr>
      <t xml:space="preserve"> ,   V</t>
    </r>
    <r>
      <rPr>
        <sz val="6"/>
        <rFont val="Arial"/>
        <family val="2"/>
      </rPr>
      <t>1</t>
    </r>
    <r>
      <rPr>
        <sz val="10"/>
        <rFont val="Arial"/>
        <family val="2"/>
      </rPr>
      <t xml:space="preserve">  =</t>
    </r>
  </si>
  <si>
    <t>Maximum head difference  =</t>
  </si>
  <si>
    <t>For flow passing along the side</t>
  </si>
  <si>
    <t>Vh  =</t>
  </si>
  <si>
    <t>Horizontal path along vertical surface</t>
  </si>
  <si>
    <t>hn    =</t>
  </si>
  <si>
    <t>Horizontal path along vertical surface normal to axis of structure</t>
  </si>
  <si>
    <t>Return wall</t>
  </si>
  <si>
    <t>L /y2</t>
  </si>
  <si>
    <t>L1 / y2</t>
  </si>
  <si>
    <t>X / y2</t>
  </si>
  <si>
    <t>mm</t>
  </si>
  <si>
    <t>Provided</t>
  </si>
  <si>
    <t>% ( + Ve )</t>
  </si>
  <si>
    <r>
      <t>q</t>
    </r>
    <r>
      <rPr>
        <sz val="5"/>
        <rFont val="Arial"/>
        <family val="2"/>
      </rPr>
      <t>1</t>
    </r>
    <r>
      <rPr>
        <sz val="10"/>
        <rFont val="Arial"/>
        <family val="2"/>
      </rPr>
      <t xml:space="preserve"> / y</t>
    </r>
    <r>
      <rPr>
        <sz val="6"/>
        <rFont val="Arial"/>
        <family val="2"/>
      </rPr>
      <t>1</t>
    </r>
    <r>
      <rPr>
        <sz val="10"/>
        <rFont val="Arial"/>
        <family val="2"/>
      </rPr>
      <t xml:space="preserve">   =</t>
    </r>
  </si>
  <si>
    <r>
      <t>Ls  =  0.75</t>
    </r>
    <r>
      <rPr>
        <sz val="12"/>
        <rFont val="Symbol"/>
        <family val="1"/>
        <charset val="2"/>
      </rPr>
      <t>å</t>
    </r>
    <r>
      <rPr>
        <sz val="12"/>
        <rFont val="Times New Roman"/>
        <family val="1"/>
      </rPr>
      <t>V</t>
    </r>
    <r>
      <rPr>
        <vertAlign val="subscript"/>
        <sz val="12"/>
        <rFont val="Times New Roman"/>
        <family val="1"/>
      </rPr>
      <t>h</t>
    </r>
    <r>
      <rPr>
        <sz val="12"/>
        <rFont val="Times New Roman"/>
        <family val="1"/>
      </rPr>
      <t xml:space="preserve">  +  </t>
    </r>
    <r>
      <rPr>
        <sz val="12"/>
        <rFont val="Symbol"/>
        <family val="1"/>
        <charset val="2"/>
      </rPr>
      <t>å</t>
    </r>
    <r>
      <rPr>
        <sz val="12"/>
        <rFont val="Times New Roman"/>
        <family val="1"/>
      </rPr>
      <t>h</t>
    </r>
    <r>
      <rPr>
        <vertAlign val="subscript"/>
        <sz val="12"/>
        <rFont val="Times New Roman"/>
        <family val="1"/>
      </rPr>
      <t xml:space="preserve">n          </t>
    </r>
    <r>
      <rPr>
        <sz val="12"/>
        <rFont val="Times New Roman"/>
        <family val="1"/>
      </rPr>
      <t>(From design manual, Vol-1, Page 21)</t>
    </r>
  </si>
  <si>
    <r>
      <t>Corrections for PC</t>
    </r>
    <r>
      <rPr>
        <b/>
        <u/>
        <sz val="6"/>
        <rFont val="Arial"/>
        <family val="2"/>
      </rPr>
      <t>1</t>
    </r>
  </si>
  <si>
    <t>sq. mm</t>
  </si>
  <si>
    <t>Height of Headwall, h</t>
  </si>
  <si>
    <t>Equivalent height as surcharge</t>
  </si>
  <si>
    <t>kn-m</t>
  </si>
  <si>
    <r>
      <t>d</t>
    </r>
    <r>
      <rPr>
        <sz val="10"/>
        <rFont val="Arial"/>
        <family val="2"/>
      </rPr>
      <t xml:space="preserve"> </t>
    </r>
    <r>
      <rPr>
        <sz val="7"/>
        <rFont val="Arial"/>
        <family val="2"/>
      </rPr>
      <t xml:space="preserve">provided </t>
    </r>
  </si>
  <si>
    <t>Bar size</t>
  </si>
  <si>
    <t>Horizontal</t>
  </si>
  <si>
    <t>Vertical</t>
  </si>
  <si>
    <t>No. of Vent</t>
  </si>
  <si>
    <t xml:space="preserve">Wheel load </t>
  </si>
  <si>
    <t>h =</t>
  </si>
  <si>
    <t>sq. m</t>
  </si>
  <si>
    <t>Load from top slab( from above)</t>
  </si>
  <si>
    <t>a</t>
  </si>
  <si>
    <t>b</t>
  </si>
  <si>
    <t>kn / sq. m</t>
  </si>
  <si>
    <t>Abutment</t>
  </si>
  <si>
    <t>h2 =</t>
  </si>
  <si>
    <t>triangular pressure diagram (dotted line) in the earth face. As this simplification is on the</t>
  </si>
  <si>
    <t>Mx</t>
  </si>
  <si>
    <t>My</t>
  </si>
  <si>
    <t>Headwall</t>
  </si>
  <si>
    <t>kn / m</t>
  </si>
  <si>
    <t>Pier</t>
  </si>
  <si>
    <t>sq. mm / m</t>
  </si>
  <si>
    <t>Design shear,Vd</t>
  </si>
  <si>
    <t>Design Moment,Md</t>
  </si>
  <si>
    <t>h</t>
  </si>
  <si>
    <t>h1</t>
  </si>
  <si>
    <t>h2</t>
  </si>
  <si>
    <t>h3</t>
  </si>
  <si>
    <t>WW</t>
  </si>
  <si>
    <t>D</t>
  </si>
  <si>
    <t>Cylinder  quadrant</t>
  </si>
  <si>
    <t>Simplified straight line</t>
  </si>
  <si>
    <t>Straight line transition</t>
  </si>
  <si>
    <t>Square ended transition</t>
  </si>
  <si>
    <t>Well rounded transition</t>
  </si>
  <si>
    <t>Square entrance</t>
  </si>
  <si>
    <t xml:space="preserve">      Type of entrance</t>
  </si>
  <si>
    <t>D/H</t>
  </si>
  <si>
    <r>
      <t>C</t>
    </r>
    <r>
      <rPr>
        <sz val="8"/>
        <rFont val="Arial"/>
        <family val="2"/>
      </rPr>
      <t>q</t>
    </r>
  </si>
  <si>
    <r>
      <t>C</t>
    </r>
    <r>
      <rPr>
        <sz val="8"/>
        <rFont val="Arial"/>
        <family val="2"/>
      </rPr>
      <t>c</t>
    </r>
  </si>
  <si>
    <t>Invert Level=</t>
  </si>
  <si>
    <t>From Design Manual ( Page = 29)</t>
  </si>
  <si>
    <t>EL</t>
  </si>
  <si>
    <t>Project :</t>
  </si>
  <si>
    <t>Location :</t>
  </si>
  <si>
    <t>Division :</t>
  </si>
  <si>
    <t>Chainage :</t>
  </si>
  <si>
    <t>Name of the Work :</t>
  </si>
  <si>
    <t>m, PWD</t>
  </si>
  <si>
    <t>m          x</t>
  </si>
  <si>
    <t>Pre Monsoon :</t>
  </si>
  <si>
    <t>C/S  water level :</t>
  </si>
  <si>
    <t>R/S  water level :</t>
  </si>
  <si>
    <t>Post Monsoon :</t>
  </si>
  <si>
    <t>C-3</t>
  </si>
  <si>
    <t>C-5</t>
  </si>
  <si>
    <t>HFL</t>
  </si>
  <si>
    <t>HFL-.3</t>
  </si>
  <si>
    <t>IL +1.5D+  0.2</t>
  </si>
  <si>
    <t>IL +1.5D-  0.2</t>
  </si>
  <si>
    <t>Free Wier</t>
  </si>
  <si>
    <t>Condition :</t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</si>
  <si>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</t>
    </r>
  </si>
  <si>
    <t>H1 =</t>
  </si>
  <si>
    <t>H2 =</t>
  </si>
  <si>
    <t>H2</t>
  </si>
  <si>
    <t>Inlet not submerged</t>
  </si>
  <si>
    <t>Page 2-39</t>
  </si>
  <si>
    <t>Page 5-18</t>
  </si>
  <si>
    <t>Warped transition</t>
  </si>
  <si>
    <t>C =</t>
  </si>
  <si>
    <r>
      <t xml:space="preserve">Q  = C b </t>
    </r>
    <r>
      <rPr>
        <sz val="7"/>
        <rFont val="Arial"/>
        <family val="2"/>
      </rPr>
      <t xml:space="preserve"> 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3/2</t>
    </r>
    <r>
      <rPr>
        <sz val="10"/>
        <rFont val="Arial"/>
        <family val="2"/>
      </rPr>
      <t xml:space="preserve">  =</t>
    </r>
  </si>
  <si>
    <t>cumec</t>
  </si>
  <si>
    <t>D =</t>
  </si>
  <si>
    <t>Free Orifice</t>
  </si>
  <si>
    <t>Inlet submerged</t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</si>
  <si>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&gt;= 1.5 D,  H</t>
    </r>
    <r>
      <rPr>
        <vertAlign val="subscript"/>
        <sz val="10"/>
        <rFont val="Arial"/>
        <family val="2"/>
      </rPr>
      <t xml:space="preserve">2 </t>
    </r>
    <r>
      <rPr>
        <sz val="10"/>
        <rFont val="Arial"/>
        <family val="2"/>
      </rPr>
      <t xml:space="preserve">&lt;= D   </t>
    </r>
  </si>
  <si>
    <t>Vent Hydraulically short</t>
  </si>
  <si>
    <t xml:space="preserve">Outlet not submerged </t>
  </si>
  <si>
    <t>H1</t>
  </si>
  <si>
    <t>D/H1 =</t>
  </si>
  <si>
    <t>Cq =</t>
  </si>
  <si>
    <t>Ab =</t>
  </si>
  <si>
    <r>
      <t>m/sec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</si>
  <si>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&gt;  D,  H</t>
    </r>
    <r>
      <rPr>
        <vertAlign val="subscript"/>
        <sz val="10"/>
        <rFont val="Arial"/>
        <family val="2"/>
      </rPr>
      <t xml:space="preserve">2 </t>
    </r>
    <r>
      <rPr>
        <sz val="10"/>
        <rFont val="Arial"/>
        <family val="2"/>
      </rPr>
      <t xml:space="preserve">&gt; D   </t>
    </r>
  </si>
  <si>
    <t>Submerged Orifice</t>
  </si>
  <si>
    <t xml:space="preserve">Outlet submerged </t>
  </si>
  <si>
    <t>Full flow ( outlet control )</t>
  </si>
  <si>
    <r>
      <rPr>
        <sz val="10"/>
        <rFont val="Times New Roman"/>
        <family val="1"/>
      </rPr>
      <t>Δ</t>
    </r>
    <r>
      <rPr>
        <sz val="10"/>
        <rFont val="Arial"/>
        <family val="2"/>
      </rPr>
      <t>H =</t>
    </r>
  </si>
  <si>
    <r>
      <t xml:space="preserve">Q = C A </t>
    </r>
    <r>
      <rPr>
        <sz val="10"/>
        <rFont val="Times New Roman"/>
        <family val="1"/>
      </rPr>
      <t>√</t>
    </r>
    <r>
      <rPr>
        <sz val="10"/>
        <rFont val="Arial"/>
        <family val="2"/>
      </rPr>
      <t xml:space="preserve">  2g  </t>
    </r>
    <r>
      <rPr>
        <sz val="10"/>
        <rFont val="Times New Roman"/>
        <family val="1"/>
      </rPr>
      <t>Δ</t>
    </r>
    <r>
      <rPr>
        <sz val="10"/>
        <rFont val="Arial"/>
        <family val="2"/>
      </rPr>
      <t>H =</t>
    </r>
  </si>
  <si>
    <t>A =</t>
  </si>
  <si>
    <t>cumec  =</t>
  </si>
  <si>
    <t>Size of vent</t>
  </si>
  <si>
    <t xml:space="preserve">Discharge ,  Q  </t>
  </si>
  <si>
    <t>cumec/m</t>
  </si>
  <si>
    <t>m/sec</t>
  </si>
  <si>
    <t>Angle of flaring of d/s wing wall   =</t>
  </si>
  <si>
    <t>No. of pier  =</t>
  </si>
  <si>
    <t>Velocity at exit, V =</t>
  </si>
  <si>
    <t>m/s</t>
  </si>
  <si>
    <r>
      <t>Average bed material Size, d</t>
    </r>
    <r>
      <rPr>
        <vertAlign val="subscript"/>
        <sz val="10"/>
        <rFont val="Arial"/>
        <family val="2"/>
      </rPr>
      <t xml:space="preserve">50 </t>
    </r>
    <r>
      <rPr>
        <sz val="10"/>
        <rFont val="Arial"/>
        <family val="2"/>
      </rPr>
      <t>=</t>
    </r>
  </si>
  <si>
    <r>
      <t>Scour Depth  , R = 1.35 (q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/f)</t>
    </r>
    <r>
      <rPr>
        <vertAlign val="superscript"/>
        <sz val="10"/>
        <rFont val="Arial"/>
        <family val="2"/>
      </rPr>
      <t>1/3</t>
    </r>
    <r>
      <rPr>
        <sz val="10"/>
        <rFont val="Arial"/>
        <family val="2"/>
      </rPr>
      <t xml:space="preserve">  =</t>
    </r>
  </si>
  <si>
    <r>
      <t>Silt factor , f = 1.76 (d</t>
    </r>
    <r>
      <rPr>
        <sz val="6"/>
        <rFont val="Arial"/>
        <family val="2"/>
      </rPr>
      <t>50</t>
    </r>
    <r>
      <rPr>
        <sz val="10"/>
        <rFont val="Arial"/>
        <family val="2"/>
      </rPr>
      <t>)^0.5   =</t>
    </r>
  </si>
  <si>
    <t>Scour Depth below floor D = 1.5 R - y2 =</t>
  </si>
  <si>
    <t>Maximum Seepage Head, H =</t>
  </si>
  <si>
    <t>Total Floor length, b =</t>
  </si>
  <si>
    <t xml:space="preserve">Depth of C/S cutoff wall, d  = </t>
  </si>
  <si>
    <t xml:space="preserve"> =         1/</t>
  </si>
  <si>
    <r>
      <rPr>
        <sz val="10"/>
        <rFont val="Calibri"/>
        <family val="2"/>
      </rPr>
      <t>λ</t>
    </r>
    <r>
      <rPr>
        <sz val="10"/>
        <rFont val="Arial"/>
        <family val="2"/>
      </rPr>
      <t xml:space="preserve"> = [  1 +  √ (1+ a2 ) ] / 2  =</t>
    </r>
  </si>
  <si>
    <r>
      <t xml:space="preserve">GE =  (H /d)  X  1 / ( </t>
    </r>
    <r>
      <rPr>
        <sz val="10"/>
        <rFont val="Calibri"/>
        <family val="2"/>
      </rPr>
      <t xml:space="preserve">π  </t>
    </r>
    <r>
      <rPr>
        <sz val="10"/>
        <rFont val="Times New Roman"/>
        <family val="1"/>
      </rPr>
      <t>√</t>
    </r>
    <r>
      <rPr>
        <sz val="10"/>
        <rFont val="Arial"/>
        <family val="2"/>
      </rPr>
      <t xml:space="preserve"> </t>
    </r>
    <r>
      <rPr>
        <sz val="10"/>
        <rFont val="Calibri"/>
        <family val="2"/>
      </rPr>
      <t>λ</t>
    </r>
    <r>
      <rPr>
        <sz val="10"/>
        <rFont val="Arial"/>
        <family val="2"/>
      </rPr>
      <t xml:space="preserve"> )  =</t>
    </r>
  </si>
  <si>
    <t>Length of Inverted filter , 1.5 D =</t>
  </si>
  <si>
    <t>Length of Launching Apron, 2 D =</t>
  </si>
  <si>
    <t>Length of Retaining wall, 1.5 D =</t>
  </si>
  <si>
    <t>Creep Length, Lu =</t>
  </si>
  <si>
    <t>E2</t>
  </si>
  <si>
    <t>Total Floor Length,  b =</t>
  </si>
  <si>
    <t>Depth of C/S Cut off,  d =</t>
  </si>
  <si>
    <t>Sluice Type</t>
  </si>
  <si>
    <t>Drainage</t>
  </si>
  <si>
    <t>Flushing</t>
  </si>
  <si>
    <t>Distance between two cutoff  =</t>
  </si>
  <si>
    <r>
      <t>Correction  =  19 ( D/b' )</t>
    </r>
    <r>
      <rPr>
        <vertAlign val="superscript"/>
        <sz val="10"/>
        <rFont val="Calibri"/>
        <family val="2"/>
      </rPr>
      <t>½</t>
    </r>
    <r>
      <rPr>
        <sz val="10"/>
        <rFont val="Arial"/>
        <family val="2"/>
      </rPr>
      <t xml:space="preserve"> x (d + D)/b  =</t>
    </r>
  </si>
  <si>
    <t>i)  Effect of downstream cutoff on upstream cutoff :</t>
  </si>
  <si>
    <t>ii)  Correction for floor thickness :</t>
  </si>
  <si>
    <t>Thickness throughout the floor length   =</t>
  </si>
  <si>
    <t>Distance between C1 &amp; D1,  d =</t>
  </si>
  <si>
    <t>Depth of D/S Cut off,  d =</t>
  </si>
  <si>
    <t>Distance between two cutoff   =</t>
  </si>
  <si>
    <t>Total floor length                 =</t>
  </si>
  <si>
    <t>Correction  =  19 ( D/b' )^0.5 x (d + D)/b  =</t>
  </si>
  <si>
    <t>Distance between E2 &amp; D2,  d =</t>
  </si>
  <si>
    <t>Distance between two cutoff =</t>
  </si>
  <si>
    <t>Total floor length =</t>
  </si>
  <si>
    <t>ii)  Correction for depth :</t>
  </si>
  <si>
    <t xml:space="preserve">i)  Effect of u/s cutoff on downstream cutoff : </t>
  </si>
  <si>
    <t>ii)  Correction for froor thickness :</t>
  </si>
  <si>
    <t>Depth of R/S Cut off,  d =</t>
  </si>
  <si>
    <t>Depth of R/S cutoff  =</t>
  </si>
  <si>
    <t>Depth of C/S cutoff  =</t>
  </si>
  <si>
    <t>i)  Effect of C/S cutoff on R/S cutoff :</t>
  </si>
  <si>
    <t xml:space="preserve">i)  Effect of R/S cutoff on C/S cutoff : </t>
  </si>
  <si>
    <t>Unit Wt of Concrete=</t>
  </si>
  <si>
    <t>Unit Wt of Water=</t>
  </si>
  <si>
    <t>kn/m3</t>
  </si>
  <si>
    <t>Kn/m3</t>
  </si>
  <si>
    <r>
      <t>PE</t>
    </r>
    <r>
      <rPr>
        <sz val="6"/>
        <rFont val="Arial"/>
        <family val="2"/>
      </rPr>
      <t>1</t>
    </r>
    <r>
      <rPr>
        <sz val="10"/>
        <rFont val="Arial"/>
        <family val="2"/>
      </rPr>
      <t xml:space="preserve">  =</t>
    </r>
  </si>
  <si>
    <r>
      <t>PC</t>
    </r>
    <r>
      <rPr>
        <sz val="6"/>
        <rFont val="Arial"/>
        <family val="2"/>
      </rPr>
      <t>2</t>
    </r>
    <r>
      <rPr>
        <sz val="10"/>
        <rFont val="Arial"/>
        <family val="2"/>
      </rPr>
      <t xml:space="preserve">   =</t>
    </r>
  </si>
  <si>
    <t xml:space="preserve">%         </t>
  </si>
  <si>
    <r>
      <rPr>
        <sz val="10"/>
        <rFont val="Calibri"/>
        <family val="2"/>
      </rPr>
      <t>λ</t>
    </r>
    <r>
      <rPr>
        <sz val="10"/>
        <rFont val="Arial"/>
        <family val="2"/>
      </rPr>
      <t xml:space="preserve"> = [  1 +  √ (1+ </t>
    </r>
    <r>
      <rPr>
        <sz val="10"/>
        <rFont val="Times New Roman"/>
        <family val="1"/>
      </rPr>
      <t>α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) ] / 2  =</t>
    </r>
  </si>
  <si>
    <r>
      <t>PE  = COS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(1 - 2 / </t>
    </r>
    <r>
      <rPr>
        <sz val="10"/>
        <rFont val="Calibri"/>
        <family val="2"/>
      </rPr>
      <t xml:space="preserve">λ </t>
    </r>
    <r>
      <rPr>
        <sz val="10"/>
        <rFont val="Arial"/>
        <family val="2"/>
      </rPr>
      <t xml:space="preserve">) / </t>
    </r>
    <r>
      <rPr>
        <sz val="10"/>
        <rFont val="Calibri"/>
        <family val="2"/>
      </rPr>
      <t>π  =</t>
    </r>
  </si>
  <si>
    <t>PD  = COS-1 (1 - 1 / λ ) / π  =</t>
  </si>
  <si>
    <r>
      <t>PD</t>
    </r>
    <r>
      <rPr>
        <sz val="6"/>
        <rFont val="Arial"/>
        <family val="2"/>
      </rPr>
      <t>1</t>
    </r>
    <r>
      <rPr>
        <sz val="10"/>
        <rFont val="Arial"/>
        <family val="2"/>
      </rPr>
      <t xml:space="preserve"> = 100  - PD  =</t>
    </r>
  </si>
  <si>
    <r>
      <t>PC</t>
    </r>
    <r>
      <rPr>
        <sz val="6"/>
        <rFont val="Arial"/>
        <family val="2"/>
      </rPr>
      <t>1</t>
    </r>
    <r>
      <rPr>
        <sz val="10"/>
        <rFont val="Arial"/>
        <family val="2"/>
      </rPr>
      <t xml:space="preserve"> = 100 - PE  =</t>
    </r>
  </si>
  <si>
    <t>Correction       =        (PD1 - PC1) x thickness / d =</t>
  </si>
  <si>
    <r>
      <t>PE2</t>
    </r>
    <r>
      <rPr>
        <sz val="10"/>
        <rFont val="Arial"/>
        <family val="2"/>
      </rPr>
      <t xml:space="preserve"> =  PE  =</t>
    </r>
  </si>
  <si>
    <r>
      <t>PD</t>
    </r>
    <r>
      <rPr>
        <sz val="6"/>
        <rFont val="Arial"/>
        <family val="2"/>
      </rPr>
      <t>2</t>
    </r>
    <r>
      <rPr>
        <sz val="10"/>
        <rFont val="Arial"/>
        <family val="2"/>
      </rPr>
      <t xml:space="preserve"> =  PD  =</t>
    </r>
  </si>
  <si>
    <r>
      <t>Correction = (PE</t>
    </r>
    <r>
      <rPr>
        <sz val="7"/>
        <rFont val="Arial"/>
        <family val="2"/>
      </rPr>
      <t>2</t>
    </r>
    <r>
      <rPr>
        <sz val="10"/>
        <rFont val="Arial"/>
        <family val="2"/>
      </rPr>
      <t xml:space="preserve"> - PD</t>
    </r>
    <r>
      <rPr>
        <sz val="7"/>
        <rFont val="Arial"/>
        <family val="2"/>
      </rPr>
      <t>2</t>
    </r>
    <r>
      <rPr>
        <sz val="10"/>
        <rFont val="Arial"/>
        <family val="2"/>
      </rPr>
      <t>) x thickness / d =</t>
    </r>
  </si>
  <si>
    <t>PC1 =</t>
  </si>
  <si>
    <t>%  (corrected)</t>
  </si>
  <si>
    <t xml:space="preserve">%  </t>
  </si>
  <si>
    <t>Depth of r/s cut off (rear end)   =</t>
  </si>
  <si>
    <t>Depth of c/s cut off  (near end)  =</t>
  </si>
  <si>
    <t>Depth of r/s Cutoff       =</t>
  </si>
  <si>
    <t>Correction = (PD1 - PC1) x thickness / d =</t>
  </si>
  <si>
    <r>
      <t>Critical depth,  yc  = (q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g )</t>
    </r>
    <r>
      <rPr>
        <vertAlign val="superscript"/>
        <sz val="10"/>
        <rFont val="Arial"/>
        <family val="2"/>
      </rPr>
      <t>1/3</t>
    </r>
    <r>
      <rPr>
        <sz val="10"/>
        <rFont val="Arial"/>
        <family val="2"/>
      </rPr>
      <t xml:space="preserve"> =</t>
    </r>
  </si>
  <si>
    <t>MKS</t>
  </si>
  <si>
    <t>FPS</t>
  </si>
  <si>
    <t>Value of C For Condition - 5</t>
  </si>
  <si>
    <t xml:space="preserve">When Data not available </t>
  </si>
  <si>
    <r>
      <t xml:space="preserve">/ </t>
    </r>
    <r>
      <rPr>
        <sz val="12"/>
        <rFont val="Arial"/>
        <family val="2"/>
      </rPr>
      <t>y</t>
    </r>
    <r>
      <rPr>
        <vertAlign val="subscript"/>
        <sz val="12"/>
        <rFont val="Arial"/>
        <family val="2"/>
      </rPr>
      <t>1</t>
    </r>
    <r>
      <rPr>
        <vertAlign val="superscript"/>
        <sz val="12"/>
        <rFont val="Arial"/>
        <family val="2"/>
      </rPr>
      <t>2</t>
    </r>
    <r>
      <rPr>
        <sz val="7"/>
        <rFont val="Arial"/>
        <family val="2"/>
      </rPr>
      <t xml:space="preserve"> </t>
    </r>
  </si>
  <si>
    <r>
      <rPr>
        <sz val="12"/>
        <rFont val="Arial"/>
        <family val="2"/>
      </rPr>
      <t xml:space="preserve"> =  y</t>
    </r>
    <r>
      <rPr>
        <vertAlign val="subscript"/>
        <sz val="12"/>
        <rFont val="Arial"/>
        <family val="2"/>
      </rPr>
      <t>1</t>
    </r>
    <r>
      <rPr>
        <sz val="12"/>
        <rFont val="Arial"/>
        <family val="2"/>
      </rPr>
      <t xml:space="preserve"> +</t>
    </r>
    <r>
      <rPr>
        <sz val="10"/>
        <rFont val="Arial"/>
        <family val="2"/>
      </rPr>
      <t xml:space="preserve"> </t>
    </r>
  </si>
  <si>
    <r>
      <t xml:space="preserve">Froud number at sec </t>
    </r>
    <r>
      <rPr>
        <b/>
        <sz val="10"/>
        <rFont val="Arial"/>
        <family val="2"/>
      </rPr>
      <t>1-1</t>
    </r>
    <r>
      <rPr>
        <sz val="10"/>
        <rFont val="Arial"/>
        <family val="2"/>
      </rPr>
      <t xml:space="preserve"> , F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=V</t>
    </r>
    <r>
      <rPr>
        <vertAlign val="subscript"/>
        <sz val="10"/>
        <rFont val="Arial"/>
        <family val="2"/>
      </rPr>
      <t xml:space="preserve">1 </t>
    </r>
    <r>
      <rPr>
        <sz val="10"/>
        <rFont val="Arial"/>
        <family val="2"/>
      </rPr>
      <t>/ g y</t>
    </r>
    <r>
      <rPr>
        <vertAlign val="subscript"/>
        <sz val="10"/>
        <rFont val="Arial"/>
        <family val="2"/>
      </rPr>
      <t>1</t>
    </r>
    <r>
      <rPr>
        <vertAlign val="superscript"/>
        <sz val="10"/>
        <rFont val="Arial"/>
        <family val="2"/>
      </rPr>
      <t>0.5</t>
    </r>
    <r>
      <rPr>
        <sz val="10"/>
        <rFont val="Arial"/>
        <family val="2"/>
      </rPr>
      <t xml:space="preserve">  =</t>
    </r>
  </si>
  <si>
    <t>When depth of diversion channel</t>
  </si>
  <si>
    <t>h &lt; = 3.0 then use Side Slope =1:1.5</t>
  </si>
  <si>
    <t>h &gt; 3.0 then use Side Slope =1:2, h&gt;2</t>
  </si>
  <si>
    <t>h &gt; = 5.0 m then use berm</t>
  </si>
  <si>
    <t>Discharge ,  Q   =</t>
  </si>
  <si>
    <r>
      <t xml:space="preserve"> = </t>
    </r>
    <r>
      <rPr>
        <sz val="10"/>
        <rFont val="Calibri"/>
        <family val="2"/>
      </rPr>
      <t xml:space="preserve">½ </t>
    </r>
    <r>
      <rPr>
        <sz val="10"/>
        <rFont val="Arial"/>
        <family val="2"/>
      </rPr>
      <t>{ ( 1 + 8 F</t>
    </r>
    <r>
      <rPr>
        <vertAlign val="subscript"/>
        <sz val="10"/>
        <rFont val="Arial"/>
        <family val="2"/>
      </rPr>
      <t>1</t>
    </r>
    <r>
      <rPr>
        <vertAlign val="superscript"/>
        <sz val="10"/>
        <rFont val="Arial"/>
        <family val="2"/>
      </rPr>
      <t xml:space="preserve">2 </t>
    </r>
    <r>
      <rPr>
        <sz val="10"/>
        <rFont val="Arial"/>
        <family val="2"/>
      </rPr>
      <t xml:space="preserve">) </t>
    </r>
    <r>
      <rPr>
        <vertAlign val="superscript"/>
        <sz val="10"/>
        <rFont val="Arial"/>
        <family val="2"/>
      </rPr>
      <t xml:space="preserve">0.5 </t>
    </r>
    <r>
      <rPr>
        <sz val="10"/>
        <rFont val="Arial"/>
        <family val="2"/>
      </rPr>
      <t>- 1 }  =</t>
    </r>
  </si>
  <si>
    <t>Monsoon</t>
  </si>
  <si>
    <t xml:space="preserve">Depth of R/S cutoff wall, d  = </t>
  </si>
  <si>
    <t>R/S water retension head for designing c/s floor thickness  =</t>
  </si>
  <si>
    <t>C/S water retension head for designing r/s floor thickness  =</t>
  </si>
  <si>
    <t>D. Design of Cutoff Wall :</t>
  </si>
  <si>
    <t>E. Design for Seepage :</t>
  </si>
  <si>
    <t>E1. Check for exit gradient    (Khosla's Theory)</t>
  </si>
  <si>
    <t>E2. Check for Hydraulic gradient against Creep Length (Lane's Theory)</t>
  </si>
  <si>
    <t>E3. Check for Hydraulic gradient against Side Seepage (Lane's Theory)</t>
  </si>
  <si>
    <t>Retention Level :</t>
  </si>
  <si>
    <t>Pre mons</t>
  </si>
  <si>
    <t>Post mon</t>
  </si>
  <si>
    <t>Head Diff  ( m )  =</t>
  </si>
  <si>
    <t>b) C/S Floor  : Considering High water in R/S  &amp;  low in C/S (Monsoon)</t>
  </si>
  <si>
    <t>UWC = unit weight of concrete  =</t>
  </si>
  <si>
    <t>UWW = unit weight of water  =</t>
  </si>
  <si>
    <t>c</t>
  </si>
  <si>
    <t>d</t>
  </si>
  <si>
    <t>e</t>
  </si>
  <si>
    <t>f</t>
  </si>
  <si>
    <t>Percentage of pressure when water retention in C/S  &amp;  dry in R/S</t>
  </si>
  <si>
    <t>F. Calculation of Uplift Pressure under steady seepage ( Khosla's Theory )</t>
  </si>
  <si>
    <t>y2</t>
  </si>
  <si>
    <t>y1</t>
  </si>
  <si>
    <t>L/y2  =</t>
  </si>
  <si>
    <t>X/y2  =</t>
  </si>
  <si>
    <t>L1/y2  =</t>
  </si>
  <si>
    <t>X  =</t>
  </si>
  <si>
    <t>L1 =</t>
  </si>
  <si>
    <t>L =</t>
  </si>
  <si>
    <t>Provide, b2  =</t>
  </si>
  <si>
    <t>Minmum cutoff length = 0.90 m</t>
  </si>
  <si>
    <t>C/S  (u/s)</t>
  </si>
  <si>
    <t>R/S (d/s)</t>
  </si>
  <si>
    <t>C/S  (d/s)</t>
  </si>
  <si>
    <t>HGL</t>
  </si>
  <si>
    <t>°     =</t>
  </si>
  <si>
    <t>rad</t>
  </si>
  <si>
    <t>m   Load =</t>
  </si>
  <si>
    <t>Imposed load on operating deck  :</t>
  </si>
  <si>
    <t>Unit Weight of Dry soil  :</t>
  </si>
  <si>
    <t>Unit Weight of Moist soil  :</t>
  </si>
  <si>
    <t>Unit Weight of Saturated Soil   :</t>
  </si>
  <si>
    <t>Unit Weight of Water    :</t>
  </si>
  <si>
    <t>Unit Weight of RCC :</t>
  </si>
  <si>
    <t>Abutment width =</t>
  </si>
  <si>
    <t>Bot slab =</t>
  </si>
  <si>
    <t>Pier Width =</t>
  </si>
  <si>
    <t>Base Width =</t>
  </si>
  <si>
    <t>Base Length  =</t>
  </si>
  <si>
    <t>Top slab Thickness =</t>
  </si>
  <si>
    <t>Bot slab Thickness =</t>
  </si>
  <si>
    <t>Top slab =</t>
  </si>
  <si>
    <t>Pier =</t>
  </si>
  <si>
    <t>Height of Pier =</t>
  </si>
  <si>
    <t>Abutment  =</t>
  </si>
  <si>
    <t>Kn</t>
  </si>
  <si>
    <t>a) Barrel :</t>
  </si>
  <si>
    <t>Self Weight of</t>
  </si>
  <si>
    <t>Wt of Concrete =</t>
  </si>
  <si>
    <t>Earth :</t>
  </si>
  <si>
    <t>Barrel Length  =</t>
  </si>
  <si>
    <t>Barrel Width   =</t>
  </si>
  <si>
    <t>Height of earth =</t>
  </si>
  <si>
    <t xml:space="preserve">Wt of Earth = </t>
  </si>
  <si>
    <t xml:space="preserve">Total Wt of Earth = </t>
  </si>
  <si>
    <t>Total Load Barrel =</t>
  </si>
  <si>
    <t>On R/S Part:</t>
  </si>
  <si>
    <t>On C/S Part:</t>
  </si>
  <si>
    <t>Total Load of C/S gate Part =</t>
  </si>
  <si>
    <t>b) Head Wall :</t>
  </si>
  <si>
    <t>Length =</t>
  </si>
  <si>
    <t>Thickness =</t>
  </si>
  <si>
    <t>Height =</t>
  </si>
  <si>
    <t>Self Weight of Head wall =</t>
  </si>
  <si>
    <t>d) R/S Gate Part :</t>
  </si>
  <si>
    <t>Total Load of R/S gate Part =</t>
  </si>
  <si>
    <t>A.4 )  Net Horizontal Water Pressure :</t>
  </si>
  <si>
    <r>
      <t xml:space="preserve">For Foundation soil ,  </t>
    </r>
    <r>
      <rPr>
        <sz val="10"/>
        <rFont val="Times New Roman"/>
        <family val="1"/>
      </rPr>
      <t>φ</t>
    </r>
    <r>
      <rPr>
        <sz val="10"/>
        <rFont val="Arial"/>
        <family val="2"/>
      </rPr>
      <t xml:space="preserve"> = </t>
    </r>
  </si>
  <si>
    <t>Case 2 :   When R/S Water Level is higher than C/S Water Level ( Monsoon)</t>
  </si>
  <si>
    <t>Case 1 :  When C/S Water Level is higher than R/S Water Level ( Pre monsoon )</t>
  </si>
  <si>
    <t>Case 2:</t>
  </si>
  <si>
    <t>Case 1 :</t>
  </si>
  <si>
    <t>Total Water Load =</t>
  </si>
  <si>
    <t>Max Uplift Pressure   =</t>
  </si>
  <si>
    <t>Max Water Load =</t>
  </si>
  <si>
    <t>Concrete :</t>
  </si>
  <si>
    <t>Live Load :</t>
  </si>
  <si>
    <t>Gate hoisting load &amp; Accessories =</t>
  </si>
  <si>
    <t xml:space="preserve">On operating deck  : </t>
  </si>
  <si>
    <t>Total Concrete &amp; Earth Load of Central Part =</t>
  </si>
  <si>
    <t xml:space="preserve">Floor : </t>
  </si>
  <si>
    <t>Pile Cap =</t>
  </si>
  <si>
    <t>(lower)</t>
  </si>
  <si>
    <t>m,PWD</t>
  </si>
  <si>
    <t>Inner width =</t>
  </si>
  <si>
    <t>A.  Calculation of Discharge under different flow condition :</t>
  </si>
  <si>
    <t>HYDRAULIC DESIGN 0F  REGULATOR</t>
  </si>
  <si>
    <t>C/S Slope of embkt =</t>
  </si>
  <si>
    <t>R/S Slope of embkt =</t>
  </si>
  <si>
    <t xml:space="preserve">: 1  </t>
  </si>
  <si>
    <t>: 1</t>
  </si>
  <si>
    <t xml:space="preserve">m          </t>
  </si>
  <si>
    <t>C/S floor level =</t>
  </si>
  <si>
    <t>R/S floor level =</t>
  </si>
  <si>
    <t>No. of vents  =</t>
  </si>
  <si>
    <t xml:space="preserve">Post monsoon Drainage </t>
  </si>
  <si>
    <t xml:space="preserve">Pre monsoon Drainage </t>
  </si>
  <si>
    <t>RHS</t>
  </si>
  <si>
    <t>Pre Monsoon : R/S water level =</t>
  </si>
  <si>
    <t>Selected :</t>
  </si>
  <si>
    <t>height    = y1   =</t>
  </si>
  <si>
    <t>Baffle block</t>
  </si>
  <si>
    <t>Discharge at the end of wing wall, Q  =</t>
  </si>
  <si>
    <r>
      <t>Discharge per unit width at exit , q</t>
    </r>
    <r>
      <rPr>
        <sz val="7"/>
        <rFont val="Arial"/>
        <family val="2"/>
      </rPr>
      <t>2</t>
    </r>
    <r>
      <rPr>
        <sz val="10"/>
        <rFont val="Arial"/>
        <family val="2"/>
      </rPr>
      <t xml:space="preserve">   =</t>
    </r>
  </si>
  <si>
    <t>Water depth at exit =</t>
  </si>
  <si>
    <t>Width (w) = 0.7 y1  =</t>
  </si>
  <si>
    <t>Spacing (s) = 0.7y1 =</t>
  </si>
  <si>
    <r>
      <t>Spacing (s)  =0.15y</t>
    </r>
    <r>
      <rPr>
        <sz val="6"/>
        <rFont val="Arial"/>
        <family val="2"/>
      </rPr>
      <t>2</t>
    </r>
    <r>
      <rPr>
        <sz val="10"/>
        <rFont val="Arial"/>
        <family val="2"/>
      </rPr>
      <t>=</t>
    </r>
  </si>
  <si>
    <t>Spacing (s)  = 0.7y1 =</t>
  </si>
  <si>
    <t>Top width = 0.2 y1  =</t>
  </si>
  <si>
    <t>Bottom width = 0.2 y1 +y1 =</t>
  </si>
  <si>
    <r>
      <t>Width (w) = 0.15y</t>
    </r>
    <r>
      <rPr>
        <sz val="6"/>
        <rFont val="Arial"/>
        <family val="2"/>
      </rPr>
      <t>2</t>
    </r>
    <r>
      <rPr>
        <sz val="10"/>
        <rFont val="Arial"/>
        <family val="2"/>
      </rPr>
      <t xml:space="preserve"> =</t>
    </r>
  </si>
  <si>
    <t>Top width = 0.2 Hs  =</t>
  </si>
  <si>
    <t>Bot width  = 0.2 Hs + 2Hs =</t>
  </si>
  <si>
    <t>( with stop log operaton)</t>
  </si>
  <si>
    <t xml:space="preserve"> (On operating deck) :</t>
  </si>
  <si>
    <t>Base width (outer)=</t>
  </si>
  <si>
    <t>(above barrel)</t>
  </si>
  <si>
    <t>Live load  =</t>
  </si>
  <si>
    <t>Unit Weight of Dry soil                                                              :</t>
  </si>
  <si>
    <t>Unit Weight of Moist soil                                                              :</t>
  </si>
  <si>
    <t>Unit Weight of Saturated Soil                                                      :</t>
  </si>
  <si>
    <t>Unit Weight of Water                                                                  :</t>
  </si>
  <si>
    <r>
      <t xml:space="preserve">Backfill soil above barrel,  </t>
    </r>
    <r>
      <rPr>
        <sz val="10"/>
        <rFont val="Times New Roman"/>
        <family val="1"/>
      </rPr>
      <t>φ</t>
    </r>
    <r>
      <rPr>
        <sz val="10"/>
        <rFont val="Arial"/>
        <family val="2"/>
      </rPr>
      <t xml:space="preserve"> = </t>
    </r>
  </si>
  <si>
    <t>f 'c  =</t>
  </si>
  <si>
    <r>
      <t>N / mm</t>
    </r>
    <r>
      <rPr>
        <vertAlign val="superscript"/>
        <sz val="10"/>
        <rFont val="Arial"/>
        <family val="2"/>
      </rPr>
      <t>2</t>
    </r>
  </si>
  <si>
    <t>Clear Cover :</t>
  </si>
  <si>
    <t>Adjacent to Earth  =</t>
  </si>
  <si>
    <t>Adjacent to Water/exposed or other =</t>
  </si>
  <si>
    <t>fc  =  0.45 f'c  =</t>
  </si>
  <si>
    <t>fs  = 0.45 fy  =</t>
  </si>
  <si>
    <t>r = fs/fc =</t>
  </si>
  <si>
    <t>K  = n / (n+r) =</t>
  </si>
  <si>
    <t>R  = 0.5 fc K J =</t>
  </si>
  <si>
    <r>
      <t xml:space="preserve">Punching shear = 0.17 </t>
    </r>
    <r>
      <rPr>
        <sz val="10"/>
        <rFont val="Times New Roman"/>
        <family val="1"/>
      </rPr>
      <t>√</t>
    </r>
    <r>
      <rPr>
        <sz val="10"/>
        <rFont val="Arial"/>
        <family val="2"/>
      </rPr>
      <t xml:space="preserve"> f 'c =</t>
    </r>
  </si>
  <si>
    <t>Temperature Reinforcement :</t>
  </si>
  <si>
    <t>Length , L &lt; = 9.00m</t>
  </si>
  <si>
    <t>Earth Face =</t>
  </si>
  <si>
    <r>
      <rPr>
        <sz val="11"/>
        <rFont val="Arial"/>
        <family val="2"/>
      </rPr>
      <t>bt   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/m</t>
    </r>
  </si>
  <si>
    <t>Direct Sun =</t>
  </si>
  <si>
    <t>Not Earth, Not Sun i,e others =</t>
  </si>
  <si>
    <t>When  Length , L &gt; 9.00m increase 0.05%  i,e</t>
  </si>
  <si>
    <r>
      <t>bt   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/m</t>
    </r>
  </si>
  <si>
    <t>Exposed Face =</t>
  </si>
  <si>
    <t>Top Face</t>
  </si>
  <si>
    <t>Main</t>
  </si>
  <si>
    <t>Binder</t>
  </si>
  <si>
    <t>Bottom Face</t>
  </si>
  <si>
    <t>For temperature reinforcement, Maximum Concrete thickness =</t>
  </si>
  <si>
    <t xml:space="preserve">Wall : </t>
  </si>
  <si>
    <r>
      <t>Ec = 4730</t>
    </r>
    <r>
      <rPr>
        <sz val="10"/>
        <rFont val="Arial"/>
        <family val="2"/>
      </rPr>
      <t xml:space="preserve"> </t>
    </r>
    <r>
      <rPr>
        <sz val="10"/>
        <rFont val="Times New Roman"/>
        <family val="1"/>
      </rPr>
      <t>√</t>
    </r>
    <r>
      <rPr>
        <sz val="10"/>
        <rFont val="Arial"/>
        <family val="2"/>
      </rPr>
      <t xml:space="preserve"> f 'c =</t>
    </r>
  </si>
  <si>
    <t>Length of Head wall, L =</t>
  </si>
  <si>
    <t xml:space="preserve">Unit Weight of RCC  :   </t>
  </si>
  <si>
    <t>Unit Weight of RCC  :</t>
  </si>
  <si>
    <t>Height of Headwall, h =</t>
  </si>
  <si>
    <t>Equivalent height as surcharge =</t>
  </si>
  <si>
    <r>
      <t xml:space="preserve">vc  = 0.091 </t>
    </r>
    <r>
      <rPr>
        <sz val="10"/>
        <rFont val="Times New Roman"/>
        <family val="1"/>
      </rPr>
      <t>√</t>
    </r>
    <r>
      <rPr>
        <sz val="10"/>
        <rFont val="Arial"/>
        <family val="2"/>
      </rPr>
      <t xml:space="preserve"> f 'c  =</t>
    </r>
  </si>
  <si>
    <t>Pipe flow</t>
  </si>
  <si>
    <t>Partially flow</t>
  </si>
  <si>
    <t>Outlet control</t>
  </si>
  <si>
    <t>Inlet control</t>
  </si>
  <si>
    <t>( use end sill at end of apron)</t>
  </si>
  <si>
    <t>F1</t>
  </si>
  <si>
    <t xml:space="preserve">y1 </t>
  </si>
  <si>
    <t xml:space="preserve">y2 </t>
  </si>
  <si>
    <t>Q</t>
  </si>
  <si>
    <t>Condition</t>
  </si>
  <si>
    <t>D/S cutoff depth =</t>
  </si>
  <si>
    <t xml:space="preserve"> mm</t>
  </si>
  <si>
    <t>Equivalent height of surcharge =</t>
  </si>
  <si>
    <t>(For wheel load, max 0.90m surcharge on vertical wall)</t>
  </si>
  <si>
    <t>Total height of surcharge, h'=</t>
  </si>
  <si>
    <t>( due to earth above head wall )</t>
  </si>
  <si>
    <t>( due to wheel load )</t>
  </si>
  <si>
    <t>Pa</t>
  </si>
  <si>
    <t>Ps</t>
  </si>
  <si>
    <t>Pa/2</t>
  </si>
  <si>
    <t>M= -0.03 Phl</t>
  </si>
  <si>
    <t xml:space="preserve"> +M = 1/4(- M)</t>
  </si>
  <si>
    <t>Vent width at Barrel, L =</t>
  </si>
  <si>
    <r>
      <t xml:space="preserve">Max Moment, </t>
    </r>
    <r>
      <rPr>
        <sz val="10"/>
        <rFont val="Calibri"/>
        <family val="2"/>
      </rPr>
      <t>±</t>
    </r>
    <r>
      <rPr>
        <sz val="10"/>
        <rFont val="Arial"/>
        <family val="2"/>
      </rPr>
      <t xml:space="preserve"> M = P L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/10 =</t>
    </r>
  </si>
  <si>
    <t>Load, P = Pa + Ps =</t>
  </si>
  <si>
    <t>Load, P = Pa/2 + Ps  =</t>
  </si>
  <si>
    <t>Shear at the face of Pier,  V =</t>
  </si>
  <si>
    <t xml:space="preserve">Thickness of Head wall = </t>
  </si>
  <si>
    <t>@</t>
  </si>
  <si>
    <t>mm C/C</t>
  </si>
  <si>
    <t>Effective depth from shear, ds =(V x 10^3) / (vc x b )=</t>
  </si>
  <si>
    <t>Effective depth from moment, dm =(M x 10^6 ) / ( R x b ))^0.5</t>
  </si>
  <si>
    <t>Reinforcement Area, As=(M x 10^6) / (fs x j x d)=</t>
  </si>
  <si>
    <t>Location</t>
  </si>
  <si>
    <t>As from moment</t>
  </si>
  <si>
    <t>Temp. Steel</t>
  </si>
  <si>
    <t>As    provided</t>
  </si>
  <si>
    <t>Spacing =  @ mm  c/c</t>
  </si>
  <si>
    <r>
      <t>mm</t>
    </r>
    <r>
      <rPr>
        <vertAlign val="superscript"/>
        <sz val="10"/>
        <rFont val="Arial"/>
        <family val="2"/>
      </rPr>
      <t>2</t>
    </r>
  </si>
  <si>
    <t>Earth Face</t>
  </si>
  <si>
    <t>Exposed Face</t>
  </si>
  <si>
    <t>(both face)</t>
  </si>
  <si>
    <t>Moment at base of headwall, M = - 0.03 p h   =</t>
  </si>
  <si>
    <t>Moment at cetre of headwall, M = 0.03 p h/4   =</t>
  </si>
  <si>
    <t>Steel on exposed face, As=(M x 10^6) / (fs x j x d)=</t>
  </si>
  <si>
    <t>Steel on earth face, As=(M x 10^6) / (fs x j x d)=</t>
  </si>
  <si>
    <t>Effective depth from moment, dm =(M x 10^6 / ( R x b ))^0.5  =</t>
  </si>
  <si>
    <t>°  (8 to 26 )</t>
  </si>
  <si>
    <r>
      <t xml:space="preserve">Backfill soil ,  </t>
    </r>
    <r>
      <rPr>
        <sz val="10"/>
        <rFont val="Times New Roman"/>
        <family val="1"/>
      </rPr>
      <t>φ</t>
    </r>
    <r>
      <rPr>
        <sz val="10"/>
        <rFont val="Arial"/>
        <family val="2"/>
      </rPr>
      <t xml:space="preserve"> = </t>
    </r>
  </si>
  <si>
    <t>H20  =</t>
  </si>
  <si>
    <t xml:space="preserve">Truck Load  :         </t>
  </si>
  <si>
    <t>Gate hoisting &amp; Accessories :</t>
  </si>
  <si>
    <t>Length within which wheel loads are distribute :</t>
  </si>
  <si>
    <t>1.75h +1.83</t>
  </si>
  <si>
    <t>( Wt of bottom slab not included)</t>
  </si>
  <si>
    <r>
      <t xml:space="preserve">For Backfilling soil ,  </t>
    </r>
    <r>
      <rPr>
        <sz val="10"/>
        <rFont val="Times New Roman"/>
        <family val="1"/>
      </rPr>
      <t>φ</t>
    </r>
    <r>
      <rPr>
        <sz val="10"/>
        <rFont val="Arial"/>
        <family val="2"/>
      </rPr>
      <t xml:space="preserve"> = </t>
    </r>
  </si>
  <si>
    <t>m(For wheel load, max 0.90m surcharge on vertical wall)</t>
  </si>
  <si>
    <r>
      <t xml:space="preserve">Ec = 4730  </t>
    </r>
    <r>
      <rPr>
        <sz val="10"/>
        <rFont val="Times New Roman"/>
        <family val="1"/>
      </rPr>
      <t>√</t>
    </r>
    <r>
      <rPr>
        <sz val="10"/>
        <rFont val="Arial"/>
        <family val="2"/>
      </rPr>
      <t xml:space="preserve">  f'c =</t>
    </r>
  </si>
  <si>
    <t>fc   = 0.45 f'c  =</t>
  </si>
  <si>
    <t>Embkt Crest level  =</t>
  </si>
  <si>
    <t>a/b</t>
  </si>
  <si>
    <t>Rx</t>
  </si>
  <si>
    <t>Ry</t>
  </si>
  <si>
    <t>Co-efficients for Plates</t>
  </si>
  <si>
    <t>Moments &amp; Reactions for Ractangular Plates, WT Moody, P-30</t>
  </si>
  <si>
    <t>(To simplify the design neglect water pressure in the bay for horizontal bending and assume</t>
  </si>
  <si>
    <t>conservative side, it will not affect the safety of the structure .)</t>
  </si>
  <si>
    <t>a/b =</t>
  </si>
  <si>
    <t>Cx =</t>
  </si>
  <si>
    <t>Cy =</t>
  </si>
  <si>
    <t>Mx =</t>
  </si>
  <si>
    <t>My =</t>
  </si>
  <si>
    <r>
      <t xml:space="preserve">P2 = 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 xml:space="preserve">w  </t>
    </r>
    <r>
      <rPr>
        <sz val="12"/>
        <rFont val="Times New Roman"/>
        <family val="1"/>
      </rPr>
      <t xml:space="preserve"> h</t>
    </r>
    <r>
      <rPr>
        <vertAlign val="subscript"/>
        <sz val="12"/>
        <rFont val="Times New Roman"/>
        <family val="1"/>
      </rPr>
      <t>3   =</t>
    </r>
  </si>
  <si>
    <t>HGL at outside of Abutment =</t>
  </si>
  <si>
    <t>WL at inside of Abutment =</t>
  </si>
  <si>
    <t>h1 =</t>
  </si>
  <si>
    <t>Top Level of Abutment =</t>
  </si>
  <si>
    <t>Bottom  Level of Abutment =</t>
  </si>
  <si>
    <r>
      <t xml:space="preserve">P1 = Ca 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m</t>
    </r>
    <r>
      <rPr>
        <sz val="12"/>
        <rFont val="Times New Roman"/>
        <family val="1"/>
      </rPr>
      <t xml:space="preserve">  h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 + (Ca 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sub</t>
    </r>
    <r>
      <rPr>
        <sz val="12"/>
        <rFont val="Times New Roman"/>
        <family val="1"/>
      </rPr>
      <t xml:space="preserve"> + </t>
    </r>
    <r>
      <rPr>
        <sz val="12"/>
        <rFont val="Symbol"/>
        <family val="1"/>
        <charset val="2"/>
      </rPr>
      <t>g w</t>
    </r>
    <r>
      <rPr>
        <sz val="12"/>
        <rFont val="Times New Roman"/>
        <family val="1"/>
      </rPr>
      <t>) x h</t>
    </r>
    <r>
      <rPr>
        <vertAlign val="subscript"/>
        <sz val="12"/>
        <rFont val="Times New Roman"/>
        <family val="1"/>
      </rPr>
      <t>2   =</t>
    </r>
  </si>
  <si>
    <t>Rx=</t>
  </si>
  <si>
    <t>Ry=</t>
  </si>
  <si>
    <t>Moment, M  =  C P b^2  =</t>
  </si>
  <si>
    <t>Net :</t>
  </si>
  <si>
    <t xml:space="preserve">P2  -   P1  </t>
  </si>
  <si>
    <t>x</t>
  </si>
  <si>
    <t>Depth,  d =</t>
  </si>
  <si>
    <t>Thickness of abutment =</t>
  </si>
  <si>
    <r>
      <t>Reinforcement Area, A</t>
    </r>
    <r>
      <rPr>
        <sz val="8"/>
        <rFont val="Arial"/>
        <family val="2"/>
      </rPr>
      <t xml:space="preserve">s   </t>
    </r>
    <r>
      <rPr>
        <sz val="10"/>
        <rFont val="Arial"/>
        <family val="2"/>
      </rPr>
      <t>= (M x 10^6) / (fs x j x d) =</t>
    </r>
  </si>
  <si>
    <r>
      <t>Effective depth from shear, d</t>
    </r>
    <r>
      <rPr>
        <sz val="8"/>
        <rFont val="Arial"/>
        <family val="2"/>
      </rPr>
      <t xml:space="preserve">s = </t>
    </r>
    <r>
      <rPr>
        <sz val="10"/>
        <rFont val="Arial"/>
        <family val="2"/>
      </rPr>
      <t>(V x 10^3) /(vc x b ) =</t>
    </r>
  </si>
  <si>
    <t>No of Bar</t>
  </si>
  <si>
    <t>Use</t>
  </si>
  <si>
    <t>mm extra vertical rod at the corner of Abutment</t>
  </si>
  <si>
    <t>Floor :</t>
  </si>
  <si>
    <t>WL in C/S</t>
  </si>
  <si>
    <t>m (at top)</t>
  </si>
  <si>
    <t>m      h2=</t>
  </si>
  <si>
    <t>m      h3=</t>
  </si>
  <si>
    <t>Shear, V =</t>
  </si>
  <si>
    <t xml:space="preserve"> C P b</t>
  </si>
  <si>
    <t xml:space="preserve">Moment, M  =  C P b^2  </t>
  </si>
  <si>
    <r>
      <t xml:space="preserve">P1 = Ca 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m</t>
    </r>
    <r>
      <rPr>
        <sz val="12"/>
        <rFont val="Times New Roman"/>
        <family val="1"/>
      </rPr>
      <t xml:space="preserve">  h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 + (Ca 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sub</t>
    </r>
    <r>
      <rPr>
        <sz val="12"/>
        <rFont val="Times New Roman"/>
        <family val="1"/>
      </rPr>
      <t xml:space="preserve"> + </t>
    </r>
    <r>
      <rPr>
        <sz val="12"/>
        <rFont val="Symbol"/>
        <family val="1"/>
        <charset val="2"/>
      </rPr>
      <t xml:space="preserve">g </t>
    </r>
    <r>
      <rPr>
        <vertAlign val="subscript"/>
        <sz val="12"/>
        <rFont val="Times New Roman"/>
        <family val="1"/>
      </rPr>
      <t>w</t>
    </r>
    <r>
      <rPr>
        <sz val="12"/>
        <rFont val="Times New Roman"/>
        <family val="1"/>
      </rPr>
      <t>)  h</t>
    </r>
    <r>
      <rPr>
        <vertAlign val="subscript"/>
        <sz val="12"/>
        <rFont val="Times New Roman"/>
        <family val="1"/>
      </rPr>
      <t>2   =</t>
    </r>
  </si>
  <si>
    <r>
      <t>h</t>
    </r>
    <r>
      <rPr>
        <sz val="8"/>
        <rFont val="Arial"/>
        <family val="2"/>
      </rPr>
      <t>s</t>
    </r>
    <r>
      <rPr>
        <sz val="10"/>
        <rFont val="Arial"/>
        <family val="2"/>
      </rPr>
      <t xml:space="preserve"> =</t>
    </r>
  </si>
  <si>
    <t>p</t>
  </si>
  <si>
    <t>M= C p b^2</t>
  </si>
  <si>
    <t>V = C p b</t>
  </si>
  <si>
    <t xml:space="preserve">   y</t>
  </si>
  <si>
    <t xml:space="preserve">EL. </t>
  </si>
  <si>
    <t>(Abutment wall considered as a Plate fixed at two ends)</t>
  </si>
  <si>
    <t>m     h3 =</t>
  </si>
  <si>
    <t>Vx =</t>
  </si>
  <si>
    <t>Vy =</t>
  </si>
  <si>
    <t>Vx</t>
  </si>
  <si>
    <t>Vy</t>
  </si>
  <si>
    <t>Case - 1</t>
  </si>
  <si>
    <t>Case - 2</t>
  </si>
  <si>
    <t>Case - 3</t>
  </si>
  <si>
    <t xml:space="preserve">Maximum </t>
  </si>
  <si>
    <t xml:space="preserve">Thickness of Abutment ( bottom ) = </t>
  </si>
  <si>
    <t>Depth provide,  d  =</t>
  </si>
  <si>
    <t xml:space="preserve">          HGL in C/S</t>
  </si>
  <si>
    <t>Case 3 :  When Soil is saturated &amp; no Water inside</t>
  </si>
  <si>
    <t>Horizontal Reinforcement Area, As=(Mx 10^6) / (fs  j  d)=</t>
  </si>
  <si>
    <t>Vertical Reinforcement Area, As=(My 10^6) / (fs  j  d)=</t>
  </si>
  <si>
    <r>
      <t xml:space="preserve">P1 = Ca 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sat</t>
    </r>
    <r>
      <rPr>
        <sz val="12"/>
        <rFont val="Times New Roman"/>
        <family val="1"/>
      </rPr>
      <t xml:space="preserve">  h</t>
    </r>
    <r>
      <rPr>
        <sz val="12"/>
        <rFont val="Times New Roman"/>
        <family val="1"/>
      </rPr>
      <t xml:space="preserve"> </t>
    </r>
    <r>
      <rPr>
        <vertAlign val="subscript"/>
        <sz val="12"/>
        <rFont val="Times New Roman"/>
        <family val="1"/>
      </rPr>
      <t xml:space="preserve">   =</t>
    </r>
  </si>
  <si>
    <t>Effective depth from moment, dm = (M  10^6 ) / ( R  b ))^0.5 =</t>
  </si>
  <si>
    <t>Effective depth from shear, ds = (V 10^3) / (vc  b ) =</t>
  </si>
  <si>
    <r>
      <t>Effective depth from moment, d</t>
    </r>
    <r>
      <rPr>
        <sz val="8"/>
        <rFont val="Arial"/>
        <family val="2"/>
      </rPr>
      <t xml:space="preserve">m </t>
    </r>
    <r>
      <rPr>
        <sz val="10"/>
        <rFont val="Arial"/>
        <family val="2"/>
      </rPr>
      <t>= (M  10^6 ) / ( R  b ))^0.5 =</t>
    </r>
  </si>
  <si>
    <t>Barrel Slab</t>
  </si>
  <si>
    <t>WL in C/S =</t>
  </si>
  <si>
    <t>(Pier may be considered as a Plate fixed at two ends)</t>
  </si>
  <si>
    <r>
      <t xml:space="preserve">P1 = 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w</t>
    </r>
    <r>
      <rPr>
        <sz val="12"/>
        <rFont val="Times New Roman"/>
        <family val="1"/>
      </rPr>
      <t xml:space="preserve">  h </t>
    </r>
    <r>
      <rPr>
        <vertAlign val="subscript"/>
        <sz val="12"/>
        <rFont val="Times New Roman"/>
        <family val="1"/>
      </rPr>
      <t xml:space="preserve">   =</t>
    </r>
  </si>
  <si>
    <t xml:space="preserve">Thickness of Pier = </t>
  </si>
  <si>
    <t>Vxx  =</t>
  </si>
  <si>
    <t>Mxx  =</t>
  </si>
  <si>
    <t xml:space="preserve"> m</t>
  </si>
  <si>
    <t>mm extra vertical rod at the corner of Pier</t>
  </si>
  <si>
    <t xml:space="preserve">Table - 1 </t>
  </si>
  <si>
    <t>Table - 2</t>
  </si>
  <si>
    <t>Table - 3</t>
  </si>
  <si>
    <t>Co-efficient for Plate</t>
  </si>
  <si>
    <r>
      <t>P = 0.50 C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sat</t>
    </r>
    <r>
      <rPr>
        <sz val="10"/>
        <rFont val="Arial"/>
        <family val="2"/>
      </rPr>
      <t xml:space="preserve"> h</t>
    </r>
    <r>
      <rPr>
        <vertAlign val="superscript"/>
        <sz val="10"/>
        <rFont val="Arial"/>
        <family val="2"/>
      </rPr>
      <t>2</t>
    </r>
  </si>
  <si>
    <r>
      <t>M = 1/6 C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 xml:space="preserve">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sat</t>
    </r>
    <r>
      <rPr>
        <sz val="12"/>
        <rFont val="Times New Roman"/>
        <family val="1"/>
      </rPr>
      <t xml:space="preserve"> h</t>
    </r>
    <r>
      <rPr>
        <vertAlign val="superscript"/>
        <sz val="12"/>
        <rFont val="Times New Roman"/>
        <family val="1"/>
      </rPr>
      <t>3</t>
    </r>
  </si>
  <si>
    <t>HGL at C/S  point =</t>
  </si>
  <si>
    <t>HGL at R/S point =</t>
  </si>
  <si>
    <t>C/S HGL Height =</t>
  </si>
  <si>
    <t>R/S HGL Height =</t>
  </si>
  <si>
    <t xml:space="preserve">Thickness of Wall ( bottom ) = </t>
  </si>
  <si>
    <t>h=</t>
  </si>
  <si>
    <t xml:space="preserve">Average Thickness of Wall  = </t>
  </si>
  <si>
    <t>Curtailment :</t>
  </si>
  <si>
    <t xml:space="preserve">EL </t>
  </si>
  <si>
    <t xml:space="preserve">    S</t>
  </si>
  <si>
    <t>P3</t>
  </si>
  <si>
    <t>P4</t>
  </si>
  <si>
    <t>W</t>
  </si>
  <si>
    <t>STRUCTURAL DESIGN 0F  REGULATOR</t>
  </si>
  <si>
    <t>A. Structural Design for Headwall</t>
  </si>
  <si>
    <t>B. Structural Design for Barrel</t>
  </si>
  <si>
    <t>Condition : Saturated soil outside &amp; empty in inside</t>
  </si>
  <si>
    <t xml:space="preserve">i)  After construction </t>
  </si>
  <si>
    <t>Height from bottom</t>
  </si>
  <si>
    <t xml:space="preserve">Moment </t>
  </si>
  <si>
    <t>d req</t>
  </si>
  <si>
    <t>d porv</t>
  </si>
  <si>
    <t>1 st</t>
  </si>
  <si>
    <t>2 nd</t>
  </si>
  <si>
    <t>Thickness</t>
  </si>
  <si>
    <t>Kn-m</t>
  </si>
  <si>
    <t>Height from top</t>
  </si>
  <si>
    <t>Spacing provided</t>
  </si>
  <si>
    <t>Provided Ht. from bottom</t>
  </si>
  <si>
    <r>
      <t>P1= 0.5C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 xml:space="preserve">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moist</t>
    </r>
    <r>
      <rPr>
        <sz val="12"/>
        <rFont val="Times New Roman"/>
        <family val="1"/>
      </rPr>
      <t xml:space="preserve"> h</t>
    </r>
    <r>
      <rPr>
        <vertAlign val="subscript"/>
        <sz val="12"/>
        <rFont val="Times New Roman"/>
        <family val="1"/>
      </rPr>
      <t>1</t>
    </r>
    <r>
      <rPr>
        <vertAlign val="superscript"/>
        <sz val="12"/>
        <rFont val="Times New Roman"/>
        <family val="1"/>
      </rPr>
      <t xml:space="preserve">2  </t>
    </r>
    <r>
      <rPr>
        <sz val="12"/>
        <rFont val="Times New Roman"/>
        <family val="1"/>
      </rPr>
      <t>=</t>
    </r>
  </si>
  <si>
    <r>
      <t>P2 = C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 xml:space="preserve">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 xml:space="preserve">moist </t>
    </r>
    <r>
      <rPr>
        <sz val="12"/>
        <rFont val="Times New Roman"/>
        <family val="1"/>
      </rPr>
      <t>h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>h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 =</t>
    </r>
  </si>
  <si>
    <r>
      <t xml:space="preserve"> P3 = 0.5(C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 xml:space="preserve">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sub</t>
    </r>
    <r>
      <rPr>
        <sz val="12"/>
        <rFont val="Times New Roman"/>
        <family val="1"/>
      </rPr>
      <t>+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w</t>
    </r>
    <r>
      <rPr>
        <sz val="12"/>
        <rFont val="Times New Roman"/>
        <family val="1"/>
      </rPr>
      <t>)h</t>
    </r>
    <r>
      <rPr>
        <vertAlign val="subscript"/>
        <sz val="12"/>
        <rFont val="Times New Roman"/>
        <family val="1"/>
      </rPr>
      <t>2</t>
    </r>
    <r>
      <rPr>
        <vertAlign val="superscript"/>
        <sz val="12"/>
        <rFont val="Times New Roman"/>
        <family val="1"/>
      </rPr>
      <t xml:space="preserve">2  </t>
    </r>
    <r>
      <rPr>
        <sz val="12"/>
        <rFont val="Times New Roman"/>
        <family val="1"/>
      </rPr>
      <t>=</t>
    </r>
  </si>
  <si>
    <r>
      <t xml:space="preserve"> P4 = 0.5</t>
    </r>
    <r>
      <rPr>
        <vertAlign val="superscript"/>
        <sz val="12"/>
        <rFont val="Times New Roman"/>
        <family val="1"/>
      </rPr>
      <t xml:space="preserve">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w</t>
    </r>
    <r>
      <rPr>
        <sz val="12"/>
        <rFont val="Times New Roman"/>
        <family val="1"/>
      </rPr>
      <t xml:space="preserve"> h</t>
    </r>
    <r>
      <rPr>
        <vertAlign val="subscript"/>
        <sz val="12"/>
        <rFont val="Times New Roman"/>
        <family val="1"/>
      </rPr>
      <t>3</t>
    </r>
    <r>
      <rPr>
        <vertAlign val="superscript"/>
        <sz val="12"/>
        <rFont val="Times New Roman"/>
        <family val="1"/>
      </rPr>
      <t xml:space="preserve">2 </t>
    </r>
    <r>
      <rPr>
        <sz val="12"/>
        <rFont val="Times New Roman"/>
        <family val="1"/>
      </rPr>
      <t>=</t>
    </r>
  </si>
  <si>
    <r>
      <t>M1 =P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 x ( h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 +  h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>/3 )  =</t>
    </r>
  </si>
  <si>
    <r>
      <t>M3 =  P</t>
    </r>
    <r>
      <rPr>
        <vertAlign val="sub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x h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>/3  =</t>
    </r>
  </si>
  <si>
    <r>
      <t>M4 =  P</t>
    </r>
    <r>
      <rPr>
        <vertAlign val="subscript"/>
        <sz val="12"/>
        <rFont val="Times New Roman"/>
        <family val="1"/>
      </rPr>
      <t>4</t>
    </r>
    <r>
      <rPr>
        <sz val="12"/>
        <rFont val="Times New Roman"/>
        <family val="1"/>
      </rPr>
      <t xml:space="preserve"> x h</t>
    </r>
    <r>
      <rPr>
        <vertAlign val="subscript"/>
        <sz val="12"/>
        <rFont val="Times New Roman"/>
        <family val="1"/>
      </rPr>
      <t>3</t>
    </r>
    <r>
      <rPr>
        <sz val="12"/>
        <rFont val="Times New Roman"/>
        <family val="1"/>
      </rPr>
      <t>/3 =</t>
    </r>
  </si>
  <si>
    <r>
      <t>M2 = P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x h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>/2  =</t>
    </r>
  </si>
  <si>
    <t>Total  P =</t>
  </si>
  <si>
    <t>Total  M=</t>
  </si>
  <si>
    <t>Vertical (main )steel on earth face, As=(Mx 10^6) / (fs  j  d)=</t>
  </si>
  <si>
    <t>Temperature Steel :</t>
  </si>
  <si>
    <t xml:space="preserve">  +ve = bottom steel</t>
  </si>
  <si>
    <t xml:space="preserve">  -ve = top steel</t>
  </si>
  <si>
    <t>F = WW+S =</t>
  </si>
  <si>
    <t>WW =</t>
  </si>
  <si>
    <t>S =</t>
  </si>
  <si>
    <t>F</t>
  </si>
  <si>
    <t>Me</t>
  </si>
  <si>
    <t>B/4 =</t>
  </si>
  <si>
    <t>(B - t )/2 =</t>
  </si>
  <si>
    <t>B/2 =</t>
  </si>
  <si>
    <t xml:space="preserve">Mc </t>
  </si>
  <si>
    <t>W=</t>
  </si>
  <si>
    <t>F = WW+S +W =</t>
  </si>
  <si>
    <t>ii) During operation : Case 1:</t>
  </si>
  <si>
    <t>WL</t>
  </si>
  <si>
    <t>1st  50 %  Curtailment :   h =( 6 M /Ca Ysat )^1/3 =</t>
  </si>
  <si>
    <t>2nd  50 % Curtailment :   h =( 6 M /Ca Ysat )^1/3 =</t>
  </si>
  <si>
    <t>Case 1 :  When Static  Water Head on C/S ( Pre monsoon )</t>
  </si>
  <si>
    <t xml:space="preserve">i)  During construction </t>
  </si>
  <si>
    <t>Condition : Before Backfilling</t>
  </si>
  <si>
    <t>S=</t>
  </si>
  <si>
    <t xml:space="preserve">ii)  After construction </t>
  </si>
  <si>
    <t xml:space="preserve">WW+S </t>
  </si>
  <si>
    <t>CL of Floor</t>
  </si>
  <si>
    <t>iii) During operation : Case 1:</t>
  </si>
  <si>
    <t xml:space="preserve">iv) During operation : </t>
  </si>
  <si>
    <t>Condition : HGL outside &amp; empty in inside</t>
  </si>
  <si>
    <t>F = WW+S  =</t>
  </si>
  <si>
    <t>Design Moment :</t>
  </si>
  <si>
    <t>Top Tension</t>
  </si>
  <si>
    <t>Case 1</t>
  </si>
  <si>
    <t>Case 2</t>
  </si>
  <si>
    <t>Case 3</t>
  </si>
  <si>
    <t>Case 4</t>
  </si>
  <si>
    <t>As =</t>
  </si>
  <si>
    <t>Max  M =</t>
  </si>
  <si>
    <t>Bottom Tension</t>
  </si>
  <si>
    <t>Case</t>
  </si>
  <si>
    <t>Centre Moment</t>
  </si>
  <si>
    <t>End Moment</t>
  </si>
  <si>
    <t>Remark</t>
  </si>
  <si>
    <r>
      <t>End Moment, Me  = C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Y</t>
    </r>
    <r>
      <rPr>
        <vertAlign val="subscript"/>
        <sz val="10"/>
        <rFont val="Arial"/>
        <family val="2"/>
      </rPr>
      <t>sat</t>
    </r>
    <r>
      <rPr>
        <sz val="10"/>
        <rFont val="Arial"/>
        <family val="2"/>
      </rPr>
      <t xml:space="preserve"> h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/6 =</t>
    </r>
  </si>
  <si>
    <t>Centre Moment, Mc  = Me + F. B/4 - ( WW + S )( B-t )/2  =</t>
  </si>
  <si>
    <r>
      <t xml:space="preserve">End Moment ( From wing wall ), Me </t>
    </r>
    <r>
      <rPr>
        <sz val="10"/>
        <rFont val="Arial"/>
        <family val="2"/>
      </rPr>
      <t xml:space="preserve"> =</t>
    </r>
  </si>
  <si>
    <t>Centre Moment, Mc = Me + F. B/4 - ( WW + S )( B-t )/2  =</t>
  </si>
  <si>
    <r>
      <t>End Moment, Me  = C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Y</t>
    </r>
    <r>
      <rPr>
        <vertAlign val="subscript"/>
        <sz val="10"/>
        <rFont val="Arial"/>
        <family val="2"/>
      </rPr>
      <t>sat</t>
    </r>
    <r>
      <rPr>
        <sz val="10"/>
        <rFont val="Arial"/>
        <family val="2"/>
      </rPr>
      <t xml:space="preserve"> h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/ 6 =</t>
    </r>
  </si>
  <si>
    <t>End Moment ( From wing wall ),  Me  =</t>
  </si>
  <si>
    <t>Inlet submerged (H1 &gt;= 1.5 )</t>
  </si>
  <si>
    <t>Provide Thickness of Floor =</t>
  </si>
  <si>
    <r>
      <t>x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      -</t>
    </r>
  </si>
  <si>
    <t>x         +</t>
  </si>
  <si>
    <r>
      <t>Mx = Me + x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 F/B - (WW+S) (x-t/2) =</t>
    </r>
  </si>
  <si>
    <t>m from end</t>
  </si>
  <si>
    <t>Assume 50 % curtailment at a dist x,  then</t>
  </si>
  <si>
    <t xml:space="preserve">  x  =  (-b -SQRT (b2-4ac)) / 2a</t>
  </si>
  <si>
    <t>So,   x =</t>
  </si>
  <si>
    <t>Add Development length, Dist of 50 % curtailment from end,   x =</t>
  </si>
  <si>
    <r>
      <t>Q  = C</t>
    </r>
    <r>
      <rPr>
        <sz val="7"/>
        <rFont val="Arial"/>
        <family val="2"/>
      </rPr>
      <t>q</t>
    </r>
    <r>
      <rPr>
        <sz val="10"/>
        <rFont val="Arial"/>
        <family val="2"/>
      </rPr>
      <t xml:space="preserve"> A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  </t>
    </r>
    <r>
      <rPr>
        <sz val="10"/>
        <rFont val="Times New Roman"/>
        <family val="1"/>
      </rPr>
      <t>√</t>
    </r>
    <r>
      <rPr>
        <sz val="10"/>
        <rFont val="Arial"/>
        <family val="2"/>
      </rPr>
      <t>2g H1 =</t>
    </r>
  </si>
  <si>
    <t>Co-efficient for Condition - 3</t>
  </si>
  <si>
    <t>( from Table 1 )</t>
  </si>
  <si>
    <t>Flow Condition - 3</t>
  </si>
  <si>
    <t>h= U/S Head over centre of orifice</t>
  </si>
  <si>
    <t>H1= U/S Head over invert level</t>
  </si>
  <si>
    <t>Cq  take from Table 1</t>
  </si>
  <si>
    <t>i) By orifice formula , Kings "Hand Book of Hydraulic"</t>
  </si>
  <si>
    <t xml:space="preserve">Q  = Cq Ab   √2g h </t>
  </si>
  <si>
    <t>ii) Sluice gate discharge, by Rouse "Fluid mechanics for Hydraulic Engineers"</t>
  </si>
  <si>
    <t xml:space="preserve">Q  = Cq Ab   √2g H1 </t>
  </si>
  <si>
    <t>(Fig 8, Page 2-35, CIDA Manual)</t>
  </si>
  <si>
    <t>( CIDA Manual)</t>
  </si>
  <si>
    <t>( from Table 2 )</t>
  </si>
  <si>
    <t xml:space="preserve">or </t>
  </si>
  <si>
    <t>Sec 1-1</t>
  </si>
  <si>
    <t>Bar</t>
  </si>
  <si>
    <t>Spacing</t>
  </si>
  <si>
    <t>Rainforcement Distribution of wall :</t>
  </si>
  <si>
    <t>Rainforcement Distribution of Floor :</t>
  </si>
  <si>
    <t>1st</t>
  </si>
  <si>
    <t>2nd</t>
  </si>
  <si>
    <t>Curtailment : m, from bottom</t>
  </si>
  <si>
    <t xml:space="preserve">Curtailment : m from end </t>
  </si>
  <si>
    <t>a. Design for Horizontal Reinforcement</t>
  </si>
  <si>
    <t>b. Design for Vertical Reinforcement</t>
  </si>
  <si>
    <t>c . Reinforcement Distribution for Head wall :</t>
  </si>
  <si>
    <t>Gates &amp; Hoists =</t>
  </si>
  <si>
    <t>Abutment =</t>
  </si>
  <si>
    <t>Soil =</t>
  </si>
  <si>
    <t>Deck =</t>
  </si>
  <si>
    <t>°         =</t>
  </si>
  <si>
    <t>Kn/m</t>
  </si>
  <si>
    <t>Wt  per unit length =</t>
  </si>
  <si>
    <t>Base Pressure, F =</t>
  </si>
  <si>
    <t>Abutment width (top)=</t>
  </si>
  <si>
    <t>Abutment width (bot)=</t>
  </si>
  <si>
    <t>Height of Abut(above)=</t>
  </si>
  <si>
    <t>Height of Abut(below)=</t>
  </si>
  <si>
    <t>Soil behind abut =</t>
  </si>
  <si>
    <t>End Moment, Me =</t>
  </si>
  <si>
    <t>V12</t>
  </si>
  <si>
    <t>V21</t>
  </si>
  <si>
    <t>V23</t>
  </si>
  <si>
    <t>V32</t>
  </si>
  <si>
    <t>V34</t>
  </si>
  <si>
    <t>V43</t>
  </si>
  <si>
    <t>V45</t>
  </si>
  <si>
    <t>V54</t>
  </si>
  <si>
    <t>M1</t>
  </si>
  <si>
    <t>M2</t>
  </si>
  <si>
    <t>M3</t>
  </si>
  <si>
    <t>M4</t>
  </si>
  <si>
    <t>Mc12</t>
  </si>
  <si>
    <t>Mc23</t>
  </si>
  <si>
    <t>Mc32</t>
  </si>
  <si>
    <t>Mc45</t>
  </si>
  <si>
    <t>Wa=</t>
  </si>
  <si>
    <t>Wp=</t>
  </si>
  <si>
    <t>Total Base Width =</t>
  </si>
  <si>
    <t>Start</t>
  </si>
  <si>
    <t>End</t>
  </si>
  <si>
    <t>Centtre</t>
  </si>
  <si>
    <t xml:space="preserve">Dist of </t>
  </si>
  <si>
    <t>Zero shea</t>
  </si>
  <si>
    <t xml:space="preserve"> + M</t>
  </si>
  <si>
    <t xml:space="preserve"> -  M</t>
  </si>
  <si>
    <t>Maximum positive Moment =</t>
  </si>
  <si>
    <t>Maximum negative Moment =</t>
  </si>
  <si>
    <t>Max Shear =</t>
  </si>
  <si>
    <r>
      <t>Top Reinforcement Area, A</t>
    </r>
    <r>
      <rPr>
        <sz val="8"/>
        <rFont val="Arial"/>
        <family val="2"/>
      </rPr>
      <t xml:space="preserve">s   </t>
    </r>
    <r>
      <rPr>
        <sz val="10"/>
        <rFont val="Arial"/>
        <family val="2"/>
      </rPr>
      <t>= (M x 10^6) / (fs x j x d) =</t>
    </r>
  </si>
  <si>
    <r>
      <t>Bottom Reinforcement Area, A</t>
    </r>
    <r>
      <rPr>
        <sz val="8"/>
        <rFont val="Arial"/>
        <family val="2"/>
      </rPr>
      <t xml:space="preserve">s   </t>
    </r>
    <r>
      <rPr>
        <sz val="10"/>
        <rFont val="Arial"/>
        <family val="2"/>
      </rPr>
      <t>= (M x 10^6) / (fs x j x d) =</t>
    </r>
  </si>
  <si>
    <t>Load from abutment</t>
  </si>
  <si>
    <t>Load from Pier</t>
  </si>
  <si>
    <t>Total Load =</t>
  </si>
  <si>
    <t>Width of Piert =</t>
  </si>
  <si>
    <t>Width of Abutment =</t>
  </si>
  <si>
    <t>LL on Deck   =</t>
  </si>
  <si>
    <t>Reinforcement Distribution for C/S Extended Part  ( Floor ):</t>
  </si>
  <si>
    <t>C4 .  Base Slab</t>
  </si>
  <si>
    <t>Total UDL Load =</t>
  </si>
  <si>
    <t>Width =</t>
  </si>
  <si>
    <t>Top slab thickness =</t>
  </si>
  <si>
    <t>R/S Abutment Thickness =</t>
  </si>
  <si>
    <t>Bottom Slab Thickness =</t>
  </si>
  <si>
    <t>R/S Pier Thickness =</t>
  </si>
  <si>
    <t>m (bottom to top of Barrel slab)</t>
  </si>
  <si>
    <t>Pier Thickness =</t>
  </si>
  <si>
    <t>Abutment Thickness =</t>
  </si>
  <si>
    <t>C/S Pier Thickness =</t>
  </si>
  <si>
    <t>C/S Abutment Thickness =</t>
  </si>
  <si>
    <t>Size of vent  =</t>
  </si>
  <si>
    <t>Deck slab thickness=</t>
  </si>
  <si>
    <t>Base width (outer) =</t>
  </si>
  <si>
    <t>Abutment Thickness=</t>
  </si>
  <si>
    <t>G.6  Factor of Safety</t>
  </si>
  <si>
    <t>Member</t>
  </si>
  <si>
    <t>node</t>
  </si>
  <si>
    <t>Span length (m)</t>
  </si>
  <si>
    <t>Shear ( Kn )</t>
  </si>
  <si>
    <t>Moment ( Kn-m )</t>
  </si>
  <si>
    <t>end</t>
  </si>
  <si>
    <t>Value of</t>
  </si>
  <si>
    <t xml:space="preserve">For Abutment when inside water, a/b = </t>
  </si>
  <si>
    <t xml:space="preserve">For Pier when water on one side, a/b = </t>
  </si>
  <si>
    <t>L/b =</t>
  </si>
  <si>
    <t>h3/b =</t>
  </si>
  <si>
    <t>h3 =</t>
  </si>
  <si>
    <t>h3/b</t>
  </si>
  <si>
    <t xml:space="preserve">  h3</t>
  </si>
  <si>
    <t>Identify max moment</t>
  </si>
  <si>
    <t>mm (top )</t>
  </si>
  <si>
    <t>mm (bottom )</t>
  </si>
  <si>
    <t>Difference</t>
  </si>
  <si>
    <r>
      <t>y</t>
    </r>
    <r>
      <rPr>
        <vertAlign val="subscript"/>
        <sz val="10"/>
        <rFont val="Arial"/>
        <family val="2"/>
      </rPr>
      <t>1</t>
    </r>
  </si>
  <si>
    <r>
      <t>Trial start at y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</si>
  <si>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t>crt   a</t>
  </si>
  <si>
    <t>crt   b</t>
  </si>
  <si>
    <r>
      <t>1.05 y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</si>
  <si>
    <t xml:space="preserve">Chute Block </t>
  </si>
  <si>
    <t>Baffle Block</t>
  </si>
  <si>
    <t>Concrete &amp; Earth load</t>
  </si>
  <si>
    <t>Foundation Pressure =</t>
  </si>
  <si>
    <t>Kn/ sq m</t>
  </si>
  <si>
    <t>tsf</t>
  </si>
  <si>
    <t>C. Extended Part of Conduit (C/S)  :</t>
  </si>
  <si>
    <t>Pier Thickness   =</t>
  </si>
  <si>
    <t>B1. Design of top Slab :</t>
  </si>
  <si>
    <t>R1</t>
  </si>
  <si>
    <t>R2</t>
  </si>
  <si>
    <t>M1  =</t>
  </si>
  <si>
    <t>M2 =</t>
  </si>
  <si>
    <t>Xvo =</t>
  </si>
  <si>
    <t>Mc =</t>
  </si>
  <si>
    <t>Maximum Shear =</t>
  </si>
  <si>
    <t>Maximum Moment for top Tension at support =</t>
  </si>
  <si>
    <t>Maximum Moment for bot Tension at mid span  =</t>
  </si>
  <si>
    <t>B2. Design of bottom Slab :</t>
  </si>
  <si>
    <t>Maximum Moment for bot Tension at support =</t>
  </si>
  <si>
    <t>Maximum Moment for top Tension at mid span  =</t>
  </si>
  <si>
    <t>B3. Design of Abutment :</t>
  </si>
  <si>
    <t>B3. Design of Pier :</t>
  </si>
  <si>
    <t>Moment =</t>
  </si>
  <si>
    <t>Reinforcement Distribution for  Pier of Barrel :</t>
  </si>
  <si>
    <t>Vent width =</t>
  </si>
  <si>
    <t>Vent heigth =</t>
  </si>
  <si>
    <t>Bot Slab Thickness =</t>
  </si>
  <si>
    <t>Top slab UDL =</t>
  </si>
  <si>
    <t>Bot slab UDL =</t>
  </si>
  <si>
    <t>Abutment top load=</t>
  </si>
  <si>
    <t>Abutment bot load=</t>
  </si>
  <si>
    <t>Precession =</t>
  </si>
  <si>
    <t>N / sq mm</t>
  </si>
  <si>
    <t>N /sq mm</t>
  </si>
  <si>
    <t>K  =</t>
  </si>
  <si>
    <t>J  =</t>
  </si>
  <si>
    <t>a) Loading on top slab</t>
  </si>
  <si>
    <t>b) Load on Bottom Slab</t>
  </si>
  <si>
    <t>c) Horizontal Earth Pressure on Abutment :</t>
  </si>
  <si>
    <t xml:space="preserve">          PIER Both faces at Midspan   :    0.00</t>
  </si>
  <si>
    <t>---------------------------------------------------------------------------</t>
  </si>
  <si>
    <t xml:space="preserve">          DESIGN SHEARS</t>
  </si>
  <si>
    <t>Inclined Length of Glacis=</t>
  </si>
  <si>
    <t>Thickness of Glacis =</t>
  </si>
  <si>
    <t>Outer width of Floor at gate Part =</t>
  </si>
  <si>
    <t>Outer width of Floor at end of Glacis  =</t>
  </si>
  <si>
    <t>Outer width of Floor at end of Apron  =</t>
  </si>
  <si>
    <t>Length of Floor after Glacis=</t>
  </si>
  <si>
    <t>Average Thickness of Floor after Glacis =</t>
  </si>
  <si>
    <t>Weight of Floor after Glacis =</t>
  </si>
  <si>
    <t>Total Floor Weight =</t>
  </si>
  <si>
    <t>Floor after Glacis :</t>
  </si>
  <si>
    <t>Glacis  :</t>
  </si>
  <si>
    <t>Wall :</t>
  </si>
  <si>
    <t>Thickness at Top of Wall =</t>
  </si>
  <si>
    <t>Thickness at Bottom of Wall =</t>
  </si>
  <si>
    <t>Weight of floor at glacis Part =</t>
  </si>
  <si>
    <t>Height of Wall =</t>
  </si>
  <si>
    <t>sqm</t>
  </si>
  <si>
    <t>Area of Wall,  A1=</t>
  </si>
  <si>
    <t>Area of Wall, A2 =</t>
  </si>
  <si>
    <t>Area of Wall,  A3 =</t>
  </si>
  <si>
    <t>Area of Wall, A4 =</t>
  </si>
  <si>
    <t>Sec</t>
  </si>
  <si>
    <t xml:space="preserve">Area </t>
  </si>
  <si>
    <t xml:space="preserve">Length </t>
  </si>
  <si>
    <t xml:space="preserve">Av Area </t>
  </si>
  <si>
    <t>Weight</t>
  </si>
  <si>
    <t>For 2 Wall =</t>
  </si>
  <si>
    <t>Total Wall Weight =</t>
  </si>
  <si>
    <t>Total Weight =</t>
  </si>
  <si>
    <t>Kn/sqm =</t>
  </si>
  <si>
    <t>HGL =</t>
  </si>
  <si>
    <t>WL =</t>
  </si>
  <si>
    <t>X = L  V1 / ( V1+  V2 )</t>
  </si>
  <si>
    <t xml:space="preserve"> +M = Bottom Tension</t>
  </si>
  <si>
    <t xml:space="preserve"> -M = Top Tension</t>
  </si>
  <si>
    <t>From Left</t>
  </si>
  <si>
    <t>side</t>
  </si>
  <si>
    <t xml:space="preserve">C/S Apropn Floor </t>
  </si>
  <si>
    <t xml:space="preserve">R/S Apropn Floor </t>
  </si>
  <si>
    <t xml:space="preserve">  e</t>
  </si>
  <si>
    <t xml:space="preserve">     d</t>
  </si>
  <si>
    <t>( by interpalation)</t>
  </si>
  <si>
    <t>Geometry of Structure  :</t>
  </si>
  <si>
    <t>Central Part :</t>
  </si>
  <si>
    <t xml:space="preserve">Width of head wall (c/s)   </t>
  </si>
  <si>
    <t xml:space="preserve">Width of head wall(r/s)   </t>
  </si>
  <si>
    <t>Total Length of Central Part   =</t>
  </si>
  <si>
    <t>C/S  Apron :</t>
  </si>
  <si>
    <t>Length of Glacis =</t>
  </si>
  <si>
    <t>Length of Return Wall =</t>
  </si>
  <si>
    <t>Total Length of C/S Apron =</t>
  </si>
  <si>
    <t xml:space="preserve">Side slpoe of Diversion Channel= </t>
  </si>
  <si>
    <t>Total Length of R/S Apron =</t>
  </si>
  <si>
    <t>Length of C/S extended part =</t>
  </si>
  <si>
    <t>Length of R/S extended part =</t>
  </si>
  <si>
    <t>Height of Glacis, Zc =</t>
  </si>
  <si>
    <t>Height of Glacis, Zr =</t>
  </si>
  <si>
    <t>Provided Angle of flaring of D/S wing wall   =</t>
  </si>
  <si>
    <t xml:space="preserve">Tail Water Depth </t>
  </si>
  <si>
    <t>Use same cutoff in u/s &amp; d/s</t>
  </si>
  <si>
    <t>Embkt Crest =</t>
  </si>
  <si>
    <t>C/S glacis =</t>
  </si>
  <si>
    <t xml:space="preserve">C/S apron  = </t>
  </si>
  <si>
    <t>Central Part</t>
  </si>
  <si>
    <t>Input Data for moment distribution(Box)</t>
  </si>
  <si>
    <r>
      <t>Earth pressure coefficient at rest,  Ca =  1 - Sin</t>
    </r>
    <r>
      <rPr>
        <sz val="10"/>
        <rFont val="Times New Roman"/>
        <family val="1"/>
      </rPr>
      <t>φ</t>
    </r>
    <r>
      <rPr>
        <sz val="10"/>
        <rFont val="Arial"/>
        <family val="2"/>
      </rPr>
      <t xml:space="preserve">   =</t>
    </r>
  </si>
  <si>
    <r>
      <t xml:space="preserve">At any depth,Earth pressure with h' of soil surcharge, P = Ca </t>
    </r>
    <r>
      <rPr>
        <sz val="12"/>
        <rFont val="Symbol"/>
        <family val="1"/>
        <charset val="2"/>
      </rPr>
      <t>g</t>
    </r>
    <r>
      <rPr>
        <sz val="12"/>
        <rFont val="Times New Roman"/>
        <family val="1"/>
      </rPr>
      <t xml:space="preserve"> (h+h’)</t>
    </r>
  </si>
  <si>
    <t>Paste Data from output file of BOX</t>
  </si>
  <si>
    <t>Width of Toe of Return wall =</t>
  </si>
  <si>
    <t>B. Head Wall ;</t>
  </si>
  <si>
    <t>A. Stilling Basin (R/S):</t>
  </si>
  <si>
    <t>Wall Thickness =</t>
  </si>
  <si>
    <t>E. Structural Design for Wingwall (C/S)</t>
  </si>
  <si>
    <t>Size of Blocks in Loose apron :</t>
  </si>
  <si>
    <t>Coefficient for CC block with graval aggregate, K =</t>
  </si>
  <si>
    <t>Unit Dimension of block, D = ( Ua / K )^2  =</t>
  </si>
  <si>
    <t>m   =</t>
  </si>
  <si>
    <t>Use traditional block size =</t>
  </si>
  <si>
    <t>Length of Launching Apron =</t>
  </si>
  <si>
    <t>Size of Block for loose apron =</t>
  </si>
  <si>
    <t>b/4 =</t>
  </si>
  <si>
    <t>Centre Moment, Mc = Me + F. B/4 - ( WW + S )( B-t )/2 -W. b/4 =</t>
  </si>
  <si>
    <t>Steel Required</t>
  </si>
  <si>
    <t xml:space="preserve"> Spacing  Required</t>
  </si>
  <si>
    <t>Curtailment : for vertical steel on Earth Face</t>
  </si>
  <si>
    <t xml:space="preserve">Considering, Case ii)  After construction </t>
  </si>
  <si>
    <r>
      <t>Mx = Me / 2 = (x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/2)</t>
    </r>
    <r>
      <rPr>
        <sz val="10"/>
        <rFont val="Arial"/>
        <family val="2"/>
      </rPr>
      <t xml:space="preserve"> F/(B/2)  - (WW+S) (x-t/2)  + Me</t>
    </r>
  </si>
  <si>
    <r>
      <t>F/(B/2)  x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  - (WW+S) 2x + { (WW+S) t + Me } = 0</t>
    </r>
  </si>
  <si>
    <t xml:space="preserve">Me/2= </t>
  </si>
  <si>
    <t>Dist from End</t>
  </si>
  <si>
    <t>Steel from moment</t>
  </si>
  <si>
    <t>Temp Steel</t>
  </si>
  <si>
    <t>Curtailment Dist from End</t>
  </si>
  <si>
    <t>( C/S )</t>
  </si>
  <si>
    <t xml:space="preserve"> ( R/S )</t>
  </si>
  <si>
    <t>Sec :</t>
  </si>
  <si>
    <t xml:space="preserve">Curtailment : </t>
  </si>
  <si>
    <t>(m)</t>
  </si>
  <si>
    <t>U/S WL</t>
  </si>
  <si>
    <t>D/S WL</t>
  </si>
  <si>
    <r>
      <rPr>
        <sz val="10"/>
        <rFont val="Times New Roman"/>
        <family val="1"/>
      </rPr>
      <t>Δ</t>
    </r>
    <r>
      <rPr>
        <sz val="10"/>
        <rFont val="Arial"/>
        <family val="2"/>
      </rPr>
      <t xml:space="preserve">H </t>
    </r>
  </si>
  <si>
    <t>D/H1</t>
  </si>
  <si>
    <t xml:space="preserve">Cq </t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</si>
  <si>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&lt; 1.5 D,  H</t>
    </r>
    <r>
      <rPr>
        <vertAlign val="subscript"/>
        <sz val="10"/>
        <rFont val="Arial"/>
        <family val="2"/>
      </rPr>
      <t xml:space="preserve">2 </t>
    </r>
    <r>
      <rPr>
        <sz val="10"/>
        <rFont val="Arial"/>
        <family val="2"/>
      </rPr>
      <t>&gt; H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  </t>
    </r>
  </si>
  <si>
    <r>
      <t>Critical depth,  Hc  = (q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g )</t>
    </r>
    <r>
      <rPr>
        <vertAlign val="superscript"/>
        <sz val="10"/>
        <rFont val="Arial"/>
        <family val="2"/>
      </rPr>
      <t>1/3</t>
    </r>
    <r>
      <rPr>
        <sz val="10"/>
        <rFont val="Arial"/>
        <family val="2"/>
      </rPr>
      <t xml:space="preserve"> =</t>
    </r>
  </si>
  <si>
    <t>Hc</t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</si>
  <si>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&lt; 1.5 D,  H</t>
    </r>
    <r>
      <rPr>
        <vertAlign val="subscript"/>
        <sz val="10"/>
        <rFont val="Arial"/>
        <family val="2"/>
      </rPr>
      <t xml:space="preserve">2 </t>
    </r>
    <r>
      <rPr>
        <sz val="10"/>
        <rFont val="Arial"/>
        <family val="2"/>
      </rPr>
      <t>&lt;= H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  </t>
    </r>
  </si>
  <si>
    <t>(m,PWD)</t>
  </si>
  <si>
    <t xml:space="preserve">A.2  Flow Condition - 4   </t>
  </si>
  <si>
    <t xml:space="preserve">A.3  Flow condition  3   </t>
  </si>
  <si>
    <t xml:space="preserve">A.4  Flow Type  1   </t>
  </si>
  <si>
    <t>b) Post Monsoon ::</t>
  </si>
  <si>
    <t>m       b =</t>
  </si>
  <si>
    <t>m       D =</t>
  </si>
  <si>
    <t>( from CIDA )</t>
  </si>
  <si>
    <t xml:space="preserve">cumec </t>
  </si>
  <si>
    <t>(BWDB Manual, P11)</t>
  </si>
  <si>
    <t>( BWDB Manual, P11)</t>
  </si>
  <si>
    <t>Type</t>
  </si>
  <si>
    <t>Pre</t>
  </si>
  <si>
    <t>Post</t>
  </si>
  <si>
    <t>Max</t>
  </si>
  <si>
    <t>Flow</t>
  </si>
  <si>
    <t>IL + 0.2</t>
  </si>
  <si>
    <t>IL +D - 0.2</t>
  </si>
  <si>
    <t>C-1 (post)</t>
  </si>
  <si>
    <t>b) Post Monsoon :</t>
  </si>
  <si>
    <t>a) Pre Monsoon :</t>
  </si>
  <si>
    <r>
      <t xml:space="preserve">Q  = C b </t>
    </r>
    <r>
      <rPr>
        <sz val="7"/>
        <rFont val="Arial"/>
        <family val="2"/>
      </rPr>
      <t xml:space="preserve"> 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  <r>
      <rPr>
        <sz val="10"/>
        <rFont val="Cambria"/>
        <family val="1"/>
      </rPr>
      <t>√ [ 2g  ΔH ]  =</t>
    </r>
  </si>
  <si>
    <r>
      <t xml:space="preserve">Q  = C b </t>
    </r>
    <r>
      <rPr>
        <sz val="7"/>
        <rFont val="Arial"/>
        <family val="2"/>
      </rPr>
      <t xml:space="preserve"> 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  <r>
      <rPr>
        <sz val="10"/>
        <rFont val="Cambria"/>
        <family val="1"/>
      </rPr>
      <t>√[ 2g  ΔH ]  =</t>
    </r>
  </si>
  <si>
    <t>a) Post Monsoon :</t>
  </si>
  <si>
    <t>b) Pre Monsoon :</t>
  </si>
  <si>
    <t>Size of Vent  =</t>
  </si>
  <si>
    <t>Dist of Sheet pile from end =</t>
  </si>
  <si>
    <t>Km</t>
  </si>
  <si>
    <t>2g</t>
  </si>
  <si>
    <r>
      <t>q</t>
    </r>
    <r>
      <rPr>
        <vertAlign val="subscript"/>
        <sz val="10"/>
        <rFont val="Arial"/>
        <family val="2"/>
      </rPr>
      <t>1</t>
    </r>
    <r>
      <rPr>
        <vertAlign val="superscript"/>
        <sz val="10"/>
        <rFont val="Arial"/>
        <family val="2"/>
      </rPr>
      <t>2</t>
    </r>
  </si>
  <si>
    <r>
      <t>2gY</t>
    </r>
    <r>
      <rPr>
        <vertAlign val="subscript"/>
        <sz val="10"/>
        <rFont val="Arial"/>
        <family val="2"/>
      </rPr>
      <t>1</t>
    </r>
    <r>
      <rPr>
        <strike/>
        <vertAlign val="superscript"/>
        <sz val="10"/>
        <rFont val="Arial"/>
        <family val="2"/>
      </rPr>
      <t>2</t>
    </r>
  </si>
  <si>
    <t>Assume Maximum Head Diff. =</t>
  </si>
  <si>
    <t>Assume Minimum Head Diff =</t>
  </si>
  <si>
    <t>Zr =</t>
  </si>
  <si>
    <r>
      <t xml:space="preserve">Applying Bernoullis Equation between the critical section </t>
    </r>
    <r>
      <rPr>
        <b/>
        <sz val="10"/>
        <rFont val="Arial"/>
        <family val="2"/>
      </rPr>
      <t>0 - 0</t>
    </r>
    <r>
      <rPr>
        <sz val="10"/>
        <rFont val="Arial"/>
        <family val="2"/>
      </rPr>
      <t xml:space="preserve"> &amp; section </t>
    </r>
    <r>
      <rPr>
        <b/>
        <sz val="10"/>
        <rFont val="Arial"/>
        <family val="2"/>
      </rPr>
      <t>1 - 1</t>
    </r>
    <r>
      <rPr>
        <sz val="10"/>
        <rFont val="Arial"/>
        <family val="2"/>
      </rPr>
      <t xml:space="preserve"> .</t>
    </r>
  </si>
  <si>
    <r>
      <t>V</t>
    </r>
    <r>
      <rPr>
        <vertAlign val="subscript"/>
        <sz val="10"/>
        <rFont val="Arial"/>
        <family val="2"/>
      </rPr>
      <t>1</t>
    </r>
    <r>
      <rPr>
        <vertAlign val="superscript"/>
        <sz val="10"/>
        <rFont val="Arial"/>
        <family val="2"/>
      </rPr>
      <t>2</t>
    </r>
  </si>
  <si>
    <t xml:space="preserve">or, </t>
  </si>
  <si>
    <t>m (end of Glacis)</t>
  </si>
  <si>
    <t>From Design Manual ( Page = 14)</t>
  </si>
  <si>
    <t>Pre Monsoon Water Lavel :</t>
  </si>
  <si>
    <t>Post Monsoon Water Lavel :</t>
  </si>
  <si>
    <t>-</t>
  </si>
  <si>
    <t>Use no Block</t>
  </si>
  <si>
    <t>Length of floor after Glacis, L =</t>
  </si>
  <si>
    <t>a) Parameters of  USBR ERC Type Stilling Basin : ( 2.5&lt;= F &lt;=4.5) :</t>
  </si>
  <si>
    <t>b) Parameters of Stilling Basin Type I : ( F &lt; 2.5) :</t>
  </si>
  <si>
    <r>
      <t>Discharge per unit width at exit , q</t>
    </r>
    <r>
      <rPr>
        <sz val="10"/>
        <rFont val="Arial"/>
        <family val="2"/>
      </rPr>
      <t xml:space="preserve">   =</t>
    </r>
  </si>
  <si>
    <t>Average Flow Velocity, Ua =</t>
  </si>
  <si>
    <t xml:space="preserve"> = 1 /</t>
  </si>
  <si>
    <t xml:space="preserve"> Q  = Cq Ab   √2g h =</t>
  </si>
  <si>
    <t>By orifice formula :</t>
  </si>
  <si>
    <t>m(from C/L of Orifice)</t>
  </si>
  <si>
    <t>(Monsoon)</t>
  </si>
  <si>
    <r>
      <t>PE</t>
    </r>
    <r>
      <rPr>
        <sz val="5"/>
        <color rgb="FF0000FF"/>
        <rFont val="Arial"/>
        <family val="2"/>
      </rPr>
      <t>2</t>
    </r>
    <r>
      <rPr>
        <sz val="8"/>
        <color rgb="FF0000FF"/>
        <rFont val="Arial"/>
        <family val="2"/>
      </rPr>
      <t xml:space="preserve"> =</t>
    </r>
  </si>
  <si>
    <r>
      <t>PE</t>
    </r>
    <r>
      <rPr>
        <sz val="5"/>
        <color rgb="FFFF0000"/>
        <rFont val="Arial"/>
        <family val="2"/>
      </rPr>
      <t>2</t>
    </r>
    <r>
      <rPr>
        <sz val="8"/>
        <color rgb="FFFF0000"/>
        <rFont val="Arial"/>
        <family val="2"/>
      </rPr>
      <t xml:space="preserve"> =</t>
    </r>
  </si>
  <si>
    <t>Gate Type</t>
  </si>
  <si>
    <t>FG on R/S &amp; VLG on C/S</t>
  </si>
  <si>
    <t>VLG on R/S &amp; no FG</t>
  </si>
  <si>
    <t>INPUT DATA :</t>
  </si>
  <si>
    <t>Span in outer  vent=</t>
  </si>
  <si>
    <t>Span in inner  vent=</t>
  </si>
  <si>
    <t>At Barrel  :</t>
  </si>
  <si>
    <t>Size of vent (R/S)   =</t>
  </si>
  <si>
    <t>Size of vent (C/S )</t>
  </si>
  <si>
    <t>Corrected pressure at C1  =</t>
  </si>
  <si>
    <t>Corrected pressure at E2   =</t>
  </si>
  <si>
    <t>Ht. of Earth above top of headwall =</t>
  </si>
  <si>
    <t>Total Depth of Earth =</t>
  </si>
  <si>
    <t>Accross the embankment</t>
  </si>
  <si>
    <t>Along the embankment</t>
  </si>
  <si>
    <t>So Provided, Transverse Length =</t>
  </si>
  <si>
    <t>Load of rear wheels =</t>
  </si>
  <si>
    <t>Truck Load  :</t>
  </si>
  <si>
    <t>1 ton =</t>
  </si>
  <si>
    <t>Total  =</t>
  </si>
  <si>
    <t>Total Barrel width =</t>
  </si>
  <si>
    <t>m ( surcharge due to wheel load )</t>
  </si>
  <si>
    <t>Crest Level =</t>
  </si>
  <si>
    <t>Earth pressure at :</t>
  </si>
  <si>
    <t>m  ( Centre line )</t>
  </si>
  <si>
    <t xml:space="preserve">     TOP SLAB</t>
  </si>
  <si>
    <t xml:space="preserve">      1  2     -26.64  34.74     83.92  91.13      1.08  18.62</t>
  </si>
  <si>
    <t xml:space="preserve">      2  3     -34.20  32.47     88.29  86.76      1.13  15.91</t>
  </si>
  <si>
    <t xml:space="preserve">      3  4     -32.60  32.60     87.53  87.52      1.13  16.63</t>
  </si>
  <si>
    <t xml:space="preserve">      4  5     -32.47  34.20     86.76  88.29      1.12  15.91</t>
  </si>
  <si>
    <t xml:space="preserve">      5  6     -34.74  26.64     91.13  83.92      1.17  18.63</t>
  </si>
  <si>
    <t xml:space="preserve">      7  8      27.35 -38.50     90.88 100.80      1.07 -21.13</t>
  </si>
  <si>
    <t xml:space="preserve">      8  9      37.95 -35.45     96.95  94.72      1.14 -17.22</t>
  </si>
  <si>
    <t xml:space="preserve">      9  10      35.60 -35.60     95.84  95.84      1.13 -18.31</t>
  </si>
  <si>
    <t xml:space="preserve">      10  11      35.44 -37.96     94.72  96.96      1.11 -17.22</t>
  </si>
  <si>
    <t xml:space="preserve">      11  12      38.46 -27.36    100.77  90.91      1.18 -21.14</t>
  </si>
  <si>
    <t xml:space="preserve">       1  7      26.64 -27.35     55.83  64.39      1.12  -5.71</t>
  </si>
  <si>
    <t xml:space="preserve">          ABUTMENT Earth-face at Top   :   26.64</t>
  </si>
  <si>
    <t xml:space="preserve">          ABUTMENT Earth-face at Bottm :  -27.35</t>
  </si>
  <si>
    <t xml:space="preserve">          ABUTMENT at Midspan          :   -5.71 (Inner face tension)</t>
  </si>
  <si>
    <t xml:space="preserve">          Top Slab        :   91.13</t>
  </si>
  <si>
    <t xml:space="preserve">          Bottom Slab     :  100.80</t>
  </si>
  <si>
    <t xml:space="preserve">          Abutment Top    :   55.83</t>
  </si>
  <si>
    <t xml:space="preserve">          Abutment Bottom :   64.39</t>
  </si>
  <si>
    <t>After moment distribution :</t>
  </si>
  <si>
    <t>Maximum Moment at earth face   =</t>
  </si>
  <si>
    <t>Maximum Moment at inner face  at mid span  =</t>
  </si>
  <si>
    <r>
      <t>Earth face Reinforcement Area, A</t>
    </r>
    <r>
      <rPr>
        <sz val="8"/>
        <rFont val="Arial"/>
        <family val="2"/>
      </rPr>
      <t xml:space="preserve">s   </t>
    </r>
    <r>
      <rPr>
        <sz val="10"/>
        <rFont val="Arial"/>
        <family val="2"/>
      </rPr>
      <t>= (M x 10^6) / (fs x j x d) =</t>
    </r>
  </si>
  <si>
    <r>
      <t>Inner face Reinforcement Area, A</t>
    </r>
    <r>
      <rPr>
        <sz val="8"/>
        <rFont val="Arial"/>
        <family val="2"/>
      </rPr>
      <t xml:space="preserve">s   </t>
    </r>
    <r>
      <rPr>
        <sz val="10"/>
        <rFont val="Arial"/>
        <family val="2"/>
      </rPr>
      <t>= (M x 10^6) / (fs x j x d) =</t>
    </r>
  </si>
  <si>
    <t>Earth-face at Top   :</t>
  </si>
  <si>
    <t>Earth-face at Bottcm:</t>
  </si>
  <si>
    <t>Reinforcement Distribution for Barrel Top Slab :</t>
  </si>
  <si>
    <t>Reinforcement Distribution for  bottom Slab of Barrel :</t>
  </si>
  <si>
    <t>Reinforcement Distribution for  Abutment of Barrel :</t>
  </si>
  <si>
    <t>--------------------------------------------------------------------------</t>
  </si>
  <si>
    <t xml:space="preserve">     MEMBER     END MOMENTS       END REACTIONS        XV0     Mmid</t>
  </si>
  <si>
    <t xml:space="preserve">     BOTTOM SLAB</t>
  </si>
  <si>
    <t xml:space="preserve">     ABUTMENT</t>
  </si>
  <si>
    <t>TOP SLAB Top Tension at Supt :   34.74</t>
  </si>
  <si>
    <t xml:space="preserve"> PIER</t>
  </si>
  <si>
    <t xml:space="preserve">      2  8      -0.51   0.50      0.00   0.00      0.00   0.00</t>
  </si>
  <si>
    <t xml:space="preserve">      3  9       0.14  -0.15      0.00   0.00      0.00   0.00</t>
  </si>
  <si>
    <t xml:space="preserve">      4  10      -0.14   0.15      0.00   0.00      0.00   0.00</t>
  </si>
  <si>
    <t xml:space="preserve">      5  11       0.51  -0.50      0.00   0.00      0.00   0.00</t>
  </si>
  <si>
    <t>Any key       -----------------------------------------------------------</t>
  </si>
  <si>
    <t>TOP SLAB at Midspan          :   18.63  Bottom Tension</t>
  </si>
  <si>
    <t>Slab :</t>
  </si>
  <si>
    <t>BOTTOM SLAB Btm Tens. at Sup.:   38.50</t>
  </si>
  <si>
    <t xml:space="preserve"> BOTTOM SLAB at Midspan       :  -21.14  Top Tension</t>
  </si>
  <si>
    <t>Inner Face</t>
  </si>
  <si>
    <t>Axial force (from top slab) =</t>
  </si>
  <si>
    <t>Axial force (from bottom slab) =</t>
  </si>
  <si>
    <r>
      <t xml:space="preserve">P1 = Ca 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 xml:space="preserve">sat </t>
    </r>
    <r>
      <rPr>
        <sz val="12"/>
        <rFont val="Times New Roman"/>
        <family val="1"/>
      </rPr>
      <t xml:space="preserve"> h</t>
    </r>
    <r>
      <rPr>
        <vertAlign val="subscript"/>
        <sz val="14"/>
        <rFont val="Times New Roman"/>
        <family val="1"/>
      </rPr>
      <t>s</t>
    </r>
  </si>
  <si>
    <r>
      <t xml:space="preserve">P2 = P1 + Ca 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 xml:space="preserve">sat </t>
    </r>
    <r>
      <rPr>
        <sz val="12"/>
        <rFont val="Times New Roman"/>
        <family val="1"/>
      </rPr>
      <t xml:space="preserve"> h</t>
    </r>
  </si>
  <si>
    <t>m ( due to wheel load )</t>
  </si>
  <si>
    <t>m ( due to earth above head wall )</t>
  </si>
  <si>
    <t>mm ( at bottom of Headwall )</t>
  </si>
  <si>
    <t>Sec X-X</t>
  </si>
  <si>
    <t>( upper part Pier above top slab of barrel )</t>
  </si>
  <si>
    <t>bottom slab</t>
  </si>
  <si>
    <t>Top Slab</t>
  </si>
  <si>
    <t>( individual slab on each slab )</t>
  </si>
  <si>
    <t>m ( Centre line )</t>
  </si>
  <si>
    <t>Imposed load on operating deck :</t>
  </si>
  <si>
    <t>m ( Just at the end of Barrel )</t>
  </si>
  <si>
    <r>
      <rPr>
        <sz val="10"/>
        <color theme="0"/>
        <rFont val="Times New Roman"/>
        <family val="1"/>
      </rPr>
      <t>°</t>
    </r>
    <r>
      <rPr>
        <sz val="10"/>
        <color theme="0"/>
        <rFont val="Arial"/>
        <family val="2"/>
      </rPr>
      <t xml:space="preserve">         =</t>
    </r>
  </si>
  <si>
    <r>
      <rPr>
        <sz val="10"/>
        <color theme="0"/>
        <rFont val="Times New Roman"/>
        <family val="1"/>
      </rPr>
      <t>°</t>
    </r>
    <r>
      <rPr>
        <sz val="10"/>
        <color theme="0"/>
        <rFont val="Arial"/>
        <family val="2"/>
      </rPr>
      <t xml:space="preserve"> </t>
    </r>
  </si>
  <si>
    <r>
      <rPr>
        <sz val="10"/>
        <rFont val="Times New Roman"/>
        <family val="1"/>
      </rPr>
      <t>°</t>
    </r>
    <r>
      <rPr>
        <sz val="10"/>
        <rFont val="Arial"/>
        <family val="2"/>
      </rPr>
      <t xml:space="preserve">       =</t>
    </r>
  </si>
  <si>
    <t>From Uplift, Thickness of Floor =</t>
  </si>
  <si>
    <t>So, Net Thickness of Floor, from uplift  =</t>
  </si>
  <si>
    <t>Temperature Steel : Floor :</t>
  </si>
  <si>
    <t>Bottom Face :</t>
  </si>
  <si>
    <t>Top Face:</t>
  </si>
  <si>
    <t xml:space="preserve">Temperature Steel : Wall : </t>
  </si>
  <si>
    <t xml:space="preserve">Temperature Steel :  Wall : </t>
  </si>
  <si>
    <t>Earth Face   :</t>
  </si>
  <si>
    <t>Exposed Face :</t>
  </si>
  <si>
    <t>Earth Face :</t>
  </si>
  <si>
    <t>Temperature Steel :  Floor :</t>
  </si>
  <si>
    <t xml:space="preserve">Temperature Steel :   Wall : </t>
  </si>
  <si>
    <t>Thickness from uplift</t>
  </si>
  <si>
    <t>with wall</t>
  </si>
  <si>
    <t>without wall</t>
  </si>
  <si>
    <t>Floor thickness of R/S Apron</t>
  </si>
  <si>
    <t>Floor thickness of C/S Apron</t>
  </si>
  <si>
    <t>Earth Face  :</t>
  </si>
  <si>
    <t>Bottom Face  :</t>
  </si>
  <si>
    <t>Exposed Face  :</t>
  </si>
  <si>
    <t>Top Face  :</t>
  </si>
  <si>
    <t>WL in R/S</t>
  </si>
  <si>
    <t xml:space="preserve">          HGL in R/S</t>
  </si>
  <si>
    <t>D. Extended Part of Conduit (R/S)  :</t>
  </si>
  <si>
    <t>F. Structural Design for Wingwall (R/S)</t>
  </si>
  <si>
    <t>F.1) Section    :</t>
  </si>
  <si>
    <t>F.2) Section :</t>
  </si>
  <si>
    <t>F.4) Section-</t>
  </si>
  <si>
    <t>D4 .  Base Slab (R/S) :</t>
  </si>
  <si>
    <t>Top Level of Return Wall=</t>
  </si>
  <si>
    <t>R/S Apron :</t>
  </si>
  <si>
    <t>G. Accleration, g =</t>
  </si>
  <si>
    <t>Pier Thickness at Barrel =</t>
  </si>
  <si>
    <t>So , Post jump Water Label =</t>
  </si>
  <si>
    <t>Binder of wall</t>
  </si>
  <si>
    <t>Binder of Floor</t>
  </si>
  <si>
    <t>Centre Moment, Mc = Me + F. B/4 - ( WW + S )( B-t )/2 -W. b/4=</t>
  </si>
  <si>
    <t>E.1) Section     :</t>
  </si>
  <si>
    <t>E.2) Section :</t>
  </si>
  <si>
    <t>E.3) Section :</t>
  </si>
  <si>
    <t>E.4) Section :</t>
  </si>
  <si>
    <t>(C/S)</t>
  </si>
  <si>
    <t>Steel</t>
  </si>
  <si>
    <t>Curtailment</t>
  </si>
  <si>
    <t>after 50 %</t>
  </si>
  <si>
    <t xml:space="preserve"> Min Spacing  Required</t>
  </si>
  <si>
    <t>G1. STABILITY ANALYSIS</t>
  </si>
  <si>
    <t xml:space="preserve">Top Level of Wall = </t>
  </si>
  <si>
    <t>m (PWD)</t>
  </si>
  <si>
    <t xml:space="preserve">Top Level of Floor = </t>
  </si>
  <si>
    <t>R/S GL =</t>
  </si>
  <si>
    <t xml:space="preserve">Length of  Return Wall , L </t>
  </si>
  <si>
    <t>Ca =</t>
  </si>
  <si>
    <t>Cp =</t>
  </si>
  <si>
    <r>
      <t xml:space="preserve">Backfill soil of Returnwall,  </t>
    </r>
    <r>
      <rPr>
        <sz val="10"/>
        <rFont val="Times New Roman"/>
        <family val="1"/>
      </rPr>
      <t>φ</t>
    </r>
    <r>
      <rPr>
        <sz val="10"/>
        <rFont val="Arial"/>
        <family val="2"/>
      </rPr>
      <t xml:space="preserve"> = </t>
    </r>
  </si>
  <si>
    <r>
      <t xml:space="preserve">Inclination of Backfilling, </t>
    </r>
    <r>
      <rPr>
        <sz val="10"/>
        <rFont val="Calibri"/>
        <family val="2"/>
      </rPr>
      <t>δ</t>
    </r>
    <r>
      <rPr>
        <sz val="10"/>
        <rFont val="Symbol"/>
        <family val="1"/>
        <charset val="2"/>
      </rPr>
      <t xml:space="preserve">  =</t>
    </r>
  </si>
  <si>
    <t xml:space="preserve">Foundation soil of Returnwall,  φ = </t>
  </si>
  <si>
    <t>Surcharge Load  , h' =</t>
  </si>
  <si>
    <t>a) After Construction : Saturated Backfil</t>
  </si>
  <si>
    <t>S5</t>
  </si>
  <si>
    <t>EL=</t>
  </si>
  <si>
    <t>S1</t>
  </si>
  <si>
    <t>Summary :</t>
  </si>
  <si>
    <t>S2</t>
  </si>
  <si>
    <t>FS(OT)</t>
  </si>
  <si>
    <t xml:space="preserve"> FS(Sliding)</t>
  </si>
  <si>
    <t>R/S GL=</t>
  </si>
  <si>
    <t>S6</t>
  </si>
  <si>
    <t>V</t>
  </si>
  <si>
    <r>
      <rPr>
        <b/>
        <sz val="10"/>
        <rFont val="Calibri"/>
        <family val="2"/>
      </rPr>
      <t xml:space="preserve">∑ </t>
    </r>
    <r>
      <rPr>
        <b/>
        <sz val="10"/>
        <rFont val="Arial"/>
        <family val="2"/>
      </rPr>
      <t xml:space="preserve">P </t>
    </r>
  </si>
  <si>
    <t>P</t>
  </si>
  <si>
    <t>P6</t>
  </si>
  <si>
    <t>EL =</t>
  </si>
  <si>
    <t>C3</t>
  </si>
  <si>
    <t>C5</t>
  </si>
  <si>
    <t>C4</t>
  </si>
  <si>
    <t>Moment at this point</t>
  </si>
  <si>
    <t>Calculation of Load :</t>
  </si>
  <si>
    <t>Componant</t>
  </si>
  <si>
    <t>Arm</t>
  </si>
  <si>
    <t>Moment</t>
  </si>
  <si>
    <t>(Kn/m)</t>
  </si>
  <si>
    <t>(Kn-m/m)</t>
  </si>
  <si>
    <t>Vertical Load or self Weigt</t>
  </si>
  <si>
    <t>Concrete</t>
  </si>
  <si>
    <t>Self weight =</t>
  </si>
  <si>
    <t xml:space="preserve">Backfill </t>
  </si>
  <si>
    <t>Soil</t>
  </si>
  <si>
    <t>R/S soil</t>
  </si>
  <si>
    <t>Surcharge</t>
  </si>
  <si>
    <t>Total V =</t>
  </si>
  <si>
    <t>Mr  =</t>
  </si>
  <si>
    <t xml:space="preserve">Horizontal </t>
  </si>
  <si>
    <t>Pressure</t>
  </si>
  <si>
    <t>∑P =</t>
  </si>
  <si>
    <t>Mo  =</t>
  </si>
  <si>
    <t>Factor of Safety</t>
  </si>
  <si>
    <t>Imposed Pressure</t>
  </si>
  <si>
    <t xml:space="preserve">Width of base , L </t>
  </si>
  <si>
    <t>Location of Resultant, a = (Mr  -  Mo ) / V</t>
  </si>
  <si>
    <t>m from Toe</t>
  </si>
  <si>
    <t>Range of middle third from centre ,  L / 6</t>
  </si>
  <si>
    <r>
      <t>Ecentricity, e = L/2 - (M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 -  M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 xml:space="preserve"> ) / V</t>
    </r>
  </si>
  <si>
    <t>m from centre</t>
  </si>
  <si>
    <r>
      <t xml:space="preserve">When the resultant is at the middle third :   Pressure, P    =    </t>
    </r>
    <r>
      <rPr>
        <b/>
        <sz val="10"/>
        <rFont val="Calibri"/>
        <family val="2"/>
      </rPr>
      <t>∑</t>
    </r>
    <r>
      <rPr>
        <b/>
        <sz val="10"/>
        <rFont val="Arial"/>
        <family val="2"/>
      </rPr>
      <t>V/L[ 1 ± 6e/L]</t>
    </r>
  </si>
  <si>
    <t>Pressure at toe, P1</t>
  </si>
  <si>
    <t>Kn / sq.m</t>
  </si>
  <si>
    <t>Pressure at heel, P2</t>
  </si>
  <si>
    <t>L/2 =</t>
  </si>
  <si>
    <t>CL</t>
  </si>
  <si>
    <t>Heel</t>
  </si>
  <si>
    <t>Toe</t>
  </si>
  <si>
    <t>a =</t>
  </si>
  <si>
    <t>P2 =</t>
  </si>
  <si>
    <t>P1 =</t>
  </si>
  <si>
    <t>b) During Operation : Pre-monsoon</t>
  </si>
  <si>
    <t xml:space="preserve">     </t>
  </si>
  <si>
    <t>R/S WL =</t>
  </si>
  <si>
    <t>S4</t>
  </si>
  <si>
    <t>S3</t>
  </si>
  <si>
    <t xml:space="preserve">  C2</t>
  </si>
  <si>
    <t>Uplift Pressure</t>
  </si>
  <si>
    <t>U1</t>
  </si>
  <si>
    <t>U2</t>
  </si>
  <si>
    <t>kn/m</t>
  </si>
  <si>
    <t xml:space="preserve">Vertical </t>
  </si>
  <si>
    <t>Load</t>
  </si>
  <si>
    <t>Kn-m/m</t>
  </si>
  <si>
    <t>C1 to C5</t>
  </si>
  <si>
    <t>r</t>
  </si>
  <si>
    <t xml:space="preserve">Sub  Soil </t>
  </si>
  <si>
    <t>R/S water</t>
  </si>
  <si>
    <t>Uplift</t>
  </si>
  <si>
    <t>o</t>
  </si>
  <si>
    <t>ΣV =</t>
  </si>
  <si>
    <t>ΣMr =</t>
  </si>
  <si>
    <t>Horizontal  Pressure :</t>
  </si>
  <si>
    <t>ΣP =</t>
  </si>
  <si>
    <t>ΣMo =</t>
  </si>
  <si>
    <t>heel</t>
  </si>
  <si>
    <t>toe</t>
  </si>
  <si>
    <t>c) During Operation : Monsoon</t>
  </si>
  <si>
    <t>R/S   WL   =</t>
  </si>
  <si>
    <t>HGL=</t>
  </si>
  <si>
    <t xml:space="preserve"> C2</t>
  </si>
  <si>
    <t xml:space="preserve">U2 </t>
  </si>
  <si>
    <t>C1 to C5=</t>
  </si>
  <si>
    <t>Moist Soil</t>
  </si>
  <si>
    <t xml:space="preserve">Sub Soil </t>
  </si>
  <si>
    <t xml:space="preserve">R/S Soil </t>
  </si>
  <si>
    <t>Water</t>
  </si>
  <si>
    <t>Horizontal Pressure</t>
  </si>
  <si>
    <t>toe   P1 =</t>
  </si>
  <si>
    <t>Design Foundation Pressure =</t>
  </si>
  <si>
    <t>Kn/sq.m =</t>
  </si>
  <si>
    <t>G2. Structural Design for Returnwall</t>
  </si>
  <si>
    <t xml:space="preserve">Unit Weight of RCC  </t>
  </si>
  <si>
    <t>Unit Weight of Submerged Soil                                                      :</t>
  </si>
  <si>
    <r>
      <t xml:space="preserve">Inclination of Backfilling, </t>
    </r>
    <r>
      <rPr>
        <sz val="10"/>
        <rFont val="Symbol"/>
        <family val="1"/>
        <charset val="2"/>
      </rPr>
      <t>d  =</t>
    </r>
  </si>
  <si>
    <r>
      <rPr>
        <sz val="11"/>
        <rFont val="Arial"/>
        <family val="2"/>
      </rPr>
      <t xml:space="preserve">bt   </t>
    </r>
    <r>
      <rPr>
        <sz val="9"/>
        <rFont val="Arial"/>
        <family val="2"/>
      </rPr>
      <t>mm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/m</t>
    </r>
  </si>
  <si>
    <t xml:space="preserve">Stem : </t>
  </si>
  <si>
    <t>Base :</t>
  </si>
  <si>
    <t>Top Face :</t>
  </si>
  <si>
    <t>G2. A ) Design of Stem of Return Wall</t>
  </si>
  <si>
    <t xml:space="preserve">For Stem Design </t>
  </si>
  <si>
    <t>Case b : Pre-Monsoon</t>
  </si>
  <si>
    <t>h3=</t>
  </si>
  <si>
    <t>Case c : Monsoon</t>
  </si>
  <si>
    <t>El=</t>
  </si>
  <si>
    <t>P5</t>
  </si>
  <si>
    <t>At bottom of stem, height of backfill =</t>
  </si>
  <si>
    <t>1st curtailment, H =</t>
  </si>
  <si>
    <t>m from GL</t>
  </si>
  <si>
    <t>m from bot</t>
  </si>
  <si>
    <t>2nd curtailment, H =</t>
  </si>
  <si>
    <t xml:space="preserve">        P  =  P1 + P2 + P3 - P4-P5</t>
  </si>
  <si>
    <r>
      <t>0.5C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 xml:space="preserve">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moist</t>
    </r>
    <r>
      <rPr>
        <sz val="12"/>
        <rFont val="Times New Roman"/>
        <family val="1"/>
      </rPr>
      <t xml:space="preserve"> h</t>
    </r>
    <r>
      <rPr>
        <vertAlign val="subscript"/>
        <sz val="12"/>
        <rFont val="Times New Roman"/>
        <family val="1"/>
      </rPr>
      <t>1</t>
    </r>
    <r>
      <rPr>
        <vertAlign val="superscript"/>
        <sz val="12"/>
        <rFont val="Times New Roman"/>
        <family val="1"/>
      </rPr>
      <t xml:space="preserve">2 </t>
    </r>
    <r>
      <rPr>
        <sz val="12"/>
        <rFont val="Times New Roman"/>
        <family val="1"/>
      </rPr>
      <t>+ C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 xml:space="preserve">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 xml:space="preserve">moist </t>
    </r>
    <r>
      <rPr>
        <sz val="12"/>
        <rFont val="Times New Roman"/>
        <family val="1"/>
      </rPr>
      <t>h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>h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+ 0.5(C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 xml:space="preserve">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sub</t>
    </r>
    <r>
      <rPr>
        <sz val="12"/>
        <rFont val="Times New Roman"/>
        <family val="1"/>
      </rPr>
      <t>+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w</t>
    </r>
    <r>
      <rPr>
        <sz val="12"/>
        <rFont val="Times New Roman"/>
        <family val="1"/>
      </rPr>
      <t>)h</t>
    </r>
    <r>
      <rPr>
        <vertAlign val="subscript"/>
        <sz val="12"/>
        <rFont val="Times New Roman"/>
        <family val="1"/>
      </rPr>
      <t>2</t>
    </r>
    <r>
      <rPr>
        <vertAlign val="superscript"/>
        <sz val="12"/>
        <rFont val="Times New Roman"/>
        <family val="1"/>
      </rPr>
      <t xml:space="preserve">2  </t>
    </r>
    <r>
      <rPr>
        <sz val="12"/>
        <rFont val="Times New Roman"/>
        <family val="1"/>
      </rPr>
      <t>- 0.5</t>
    </r>
    <r>
      <rPr>
        <vertAlign val="superscript"/>
        <sz val="12"/>
        <rFont val="Times New Roman"/>
        <family val="1"/>
      </rPr>
      <t xml:space="preserve">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w</t>
    </r>
    <r>
      <rPr>
        <sz val="12"/>
        <rFont val="Times New Roman"/>
        <family val="1"/>
      </rPr>
      <t xml:space="preserve"> h</t>
    </r>
    <r>
      <rPr>
        <vertAlign val="subscript"/>
        <sz val="12"/>
        <rFont val="Times New Roman"/>
        <family val="1"/>
      </rPr>
      <t>3</t>
    </r>
    <r>
      <rPr>
        <vertAlign val="superscript"/>
        <sz val="12"/>
        <rFont val="Times New Roman"/>
        <family val="1"/>
      </rPr>
      <t xml:space="preserve">2 </t>
    </r>
    <r>
      <rPr>
        <sz val="12"/>
        <rFont val="Times New Roman"/>
        <family val="1"/>
      </rPr>
      <t xml:space="preserve">- 0.5Cp </t>
    </r>
    <r>
      <rPr>
        <sz val="12"/>
        <rFont val="Symbol"/>
        <family val="1"/>
        <charset val="2"/>
      </rPr>
      <t>g</t>
    </r>
    <r>
      <rPr>
        <vertAlign val="subscript"/>
        <sz val="12"/>
        <rFont val="Times New Roman"/>
        <family val="1"/>
      </rPr>
      <t>sub</t>
    </r>
    <r>
      <rPr>
        <sz val="12"/>
        <rFont val="Times New Roman"/>
        <family val="1"/>
      </rPr>
      <t xml:space="preserve"> h</t>
    </r>
    <r>
      <rPr>
        <vertAlign val="subscript"/>
        <sz val="12"/>
        <rFont val="Times New Roman"/>
        <family val="1"/>
      </rPr>
      <t>4</t>
    </r>
    <r>
      <rPr>
        <vertAlign val="superscript"/>
        <sz val="12"/>
        <rFont val="Times New Roman"/>
        <family val="1"/>
      </rPr>
      <t>2</t>
    </r>
  </si>
  <si>
    <t>M=</t>
  </si>
  <si>
    <r>
      <t>P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 xml:space="preserve"> L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>+P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 xml:space="preserve"> L</t>
    </r>
    <r>
      <rPr>
        <vertAlign val="subscript"/>
        <sz val="12"/>
        <rFont val="Times New Roman"/>
        <family val="1"/>
      </rPr>
      <t>2</t>
    </r>
    <r>
      <rPr>
        <sz val="12"/>
        <rFont val="Times New Roman"/>
        <family val="1"/>
      </rPr>
      <t>+P</t>
    </r>
    <r>
      <rPr>
        <vertAlign val="sub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L</t>
    </r>
    <r>
      <rPr>
        <vertAlign val="subscript"/>
        <sz val="12"/>
        <rFont val="Times New Roman"/>
        <family val="1"/>
      </rPr>
      <t>3</t>
    </r>
    <r>
      <rPr>
        <sz val="12"/>
        <rFont val="Times New Roman"/>
        <family val="1"/>
      </rPr>
      <t>-P</t>
    </r>
    <r>
      <rPr>
        <vertAlign val="subscript"/>
        <sz val="12"/>
        <rFont val="Times New Roman"/>
        <family val="1"/>
      </rPr>
      <t>4</t>
    </r>
    <r>
      <rPr>
        <sz val="12"/>
        <rFont val="Times New Roman"/>
        <family val="1"/>
      </rPr>
      <t xml:space="preserve"> L</t>
    </r>
    <r>
      <rPr>
        <vertAlign val="subscript"/>
        <sz val="12"/>
        <rFont val="Times New Roman"/>
        <family val="1"/>
      </rPr>
      <t>4</t>
    </r>
    <r>
      <rPr>
        <sz val="12"/>
        <rFont val="Times New Roman"/>
        <family val="1"/>
      </rPr>
      <t>-P</t>
    </r>
    <r>
      <rPr>
        <vertAlign val="subscript"/>
        <sz val="12"/>
        <rFont val="Times New Roman"/>
        <family val="1"/>
      </rPr>
      <t>5</t>
    </r>
    <r>
      <rPr>
        <sz val="12"/>
        <rFont val="Times New Roman"/>
        <family val="1"/>
      </rPr>
      <t xml:space="preserve"> L</t>
    </r>
    <r>
      <rPr>
        <vertAlign val="subscript"/>
        <sz val="12"/>
        <rFont val="Times New Roman"/>
        <family val="1"/>
      </rPr>
      <t>5</t>
    </r>
  </si>
  <si>
    <t>Height = Height from bottom</t>
  </si>
  <si>
    <t>Horizontal Pressure ( Kn )</t>
  </si>
  <si>
    <t>ΣP</t>
  </si>
  <si>
    <t>Moment Arm ( m )</t>
  </si>
  <si>
    <t>L1</t>
  </si>
  <si>
    <t>L2</t>
  </si>
  <si>
    <t>L3</t>
  </si>
  <si>
    <t>L4</t>
  </si>
  <si>
    <t>L5</t>
  </si>
  <si>
    <t>(Kn-m)</t>
  </si>
  <si>
    <t>d) Caculaton of Steel :</t>
  </si>
  <si>
    <t>dprov</t>
  </si>
  <si>
    <t xml:space="preserve">Shear </t>
  </si>
  <si>
    <t>dreq</t>
  </si>
  <si>
    <t>From Shear</t>
  </si>
  <si>
    <t>From moment</t>
  </si>
  <si>
    <t xml:space="preserve">Design </t>
  </si>
  <si>
    <t>As reqd</t>
  </si>
  <si>
    <t>Steel used</t>
  </si>
  <si>
    <t>Bar Dia (mm)</t>
  </si>
  <si>
    <t>Height of 1st 50 % curtailment =</t>
  </si>
  <si>
    <t>m from bottom</t>
  </si>
  <si>
    <t>Height of 2nd 50 % curtailment =</t>
  </si>
  <si>
    <t>Vertical :</t>
  </si>
  <si>
    <t>Main Reinforcement  with curtailment</t>
  </si>
  <si>
    <t>m from bottom (1st curt)</t>
  </si>
  <si>
    <t>m from bottom(2nd curt)</t>
  </si>
  <si>
    <t xml:space="preserve">Temperature Steel </t>
  </si>
  <si>
    <t>G2. A ) Design of Base of Return Wall</t>
  </si>
  <si>
    <t>Top =</t>
  </si>
  <si>
    <t>Pressure at toe, P1=</t>
  </si>
  <si>
    <t>Pressure at heel, P2=</t>
  </si>
  <si>
    <t>P2=</t>
  </si>
  <si>
    <t>P1=</t>
  </si>
  <si>
    <t>a1) Shear &amp; Moment at Toe</t>
  </si>
  <si>
    <t xml:space="preserve">Vertical Load </t>
  </si>
  <si>
    <t>a2) Shear &amp; Moment at Heel</t>
  </si>
  <si>
    <t>ΣM =</t>
  </si>
  <si>
    <t>WL=</t>
  </si>
  <si>
    <t>b1) Shear &amp; Moment at Toe</t>
  </si>
  <si>
    <t>b2) Shear &amp; Moment at Heel</t>
  </si>
  <si>
    <t>C1) Shear &amp; Moment at Toe</t>
  </si>
  <si>
    <t>C2) Shear &amp; Moment at Heel</t>
  </si>
  <si>
    <t>Calculation of Reinforcement for Toe :</t>
  </si>
  <si>
    <t>Thickness,  t =</t>
  </si>
  <si>
    <t>Top</t>
  </si>
  <si>
    <t>Bottom</t>
  </si>
  <si>
    <t>a1</t>
  </si>
  <si>
    <t>b1</t>
  </si>
  <si>
    <t>c1</t>
  </si>
  <si>
    <t>Max =</t>
  </si>
  <si>
    <t>Calculation of Reinforcement for Heel :</t>
  </si>
  <si>
    <t>a2</t>
  </si>
  <si>
    <t>b2</t>
  </si>
  <si>
    <t>c2</t>
  </si>
  <si>
    <t>Reinforcement Distribution for Base :</t>
  </si>
  <si>
    <t>crt + c</t>
  </si>
  <si>
    <t>H=</t>
  </si>
  <si>
    <t>m (Ht of backfill)</t>
  </si>
  <si>
    <t>Trial h=</t>
  </si>
  <si>
    <t>m (from top of backfill))</t>
  </si>
  <si>
    <r>
      <rPr>
        <sz val="10"/>
        <rFont val="Calibri"/>
        <family val="2"/>
      </rPr>
      <t>γ</t>
    </r>
    <r>
      <rPr>
        <sz val="10"/>
        <rFont val="Arial"/>
        <family val="2"/>
      </rPr>
      <t xml:space="preserve"> sat =</t>
    </r>
  </si>
  <si>
    <t>Surcharge Load   =</t>
  </si>
  <si>
    <t xml:space="preserve">  As=</t>
  </si>
  <si>
    <t>mm2</t>
  </si>
  <si>
    <t>M/2 =</t>
  </si>
  <si>
    <t xml:space="preserve">  As/2=</t>
  </si>
  <si>
    <t>M/4 =</t>
  </si>
  <si>
    <t xml:space="preserve">  As/4=</t>
  </si>
  <si>
    <t>Asc=</t>
  </si>
  <si>
    <t>+</t>
  </si>
  <si>
    <t>Ht from bot</t>
  </si>
  <si>
    <t xml:space="preserve">H </t>
  </si>
  <si>
    <t>M</t>
  </si>
  <si>
    <t>As</t>
  </si>
  <si>
    <t>(kn-m)</t>
  </si>
  <si>
    <t xml:space="preserve">H=  Height from C/S GL </t>
  </si>
  <si>
    <t>y</t>
  </si>
  <si>
    <t>Will passive pressure due to R/S soil be considered ?</t>
  </si>
  <si>
    <t>C/S Soil</t>
  </si>
  <si>
    <t>Surcharg</t>
  </si>
  <si>
    <t>H. Stability analysis of Central Part  :</t>
  </si>
  <si>
    <t>I.  Calculation of Weight</t>
  </si>
  <si>
    <t>R/S Return wall</t>
  </si>
  <si>
    <t>C/S Return wall</t>
  </si>
  <si>
    <t>Pre-Monsoon  HGL=</t>
  </si>
  <si>
    <t>Monsoon  HGL =</t>
  </si>
  <si>
    <t>Average GL (C/S)   =</t>
  </si>
  <si>
    <t>Average GL (R/S)   =</t>
  </si>
  <si>
    <t>Angle of flaring of Wingwall (c/s)=</t>
  </si>
  <si>
    <t>Angle of flaring of Wingwall (r/s)=</t>
  </si>
  <si>
    <t>Point=</t>
  </si>
  <si>
    <t>UDL=</t>
  </si>
  <si>
    <t xml:space="preserve">Span between Abutment &amp; Pier = </t>
  </si>
  <si>
    <t xml:space="preserve">Span between Pier = </t>
  </si>
  <si>
    <t>Self Weight =</t>
  </si>
  <si>
    <t>Stiffness=</t>
  </si>
  <si>
    <t>4EI/L</t>
  </si>
  <si>
    <t>when other end is fixed</t>
  </si>
  <si>
    <t>3EI/L</t>
  </si>
  <si>
    <t>when other end is hinged</t>
  </si>
  <si>
    <t>I= bh3/12</t>
  </si>
  <si>
    <t>DF=</t>
  </si>
  <si>
    <t>FEMu=</t>
  </si>
  <si>
    <t>FEM=</t>
  </si>
  <si>
    <t>Span No.=</t>
  </si>
  <si>
    <t>Span =</t>
  </si>
  <si>
    <t>CRT "d"</t>
  </si>
  <si>
    <t>FEMp=</t>
  </si>
  <si>
    <t>End M=</t>
  </si>
  <si>
    <t>End Moment =</t>
  </si>
  <si>
    <t>CoM =</t>
  </si>
  <si>
    <t>DM =</t>
  </si>
  <si>
    <t>Total =</t>
  </si>
  <si>
    <t>Point =</t>
  </si>
  <si>
    <t>Last End =</t>
  </si>
  <si>
    <t>Reaction</t>
  </si>
  <si>
    <t>Mid Mom=</t>
  </si>
  <si>
    <t>Fixed Support</t>
  </si>
  <si>
    <t>Hinged Support</t>
  </si>
  <si>
    <t>First  End =</t>
  </si>
  <si>
    <t>Maximum  Moment at support =</t>
  </si>
  <si>
    <t>Maximum  Moment at Centre =</t>
  </si>
  <si>
    <t>(Top Tension)</t>
  </si>
  <si>
    <t>(Bottom Tension)</t>
  </si>
  <si>
    <t>Maximum  Shear at support =</t>
  </si>
  <si>
    <t>by Moment Distribution:</t>
  </si>
  <si>
    <t xml:space="preserve">C3 .  Deck Slab </t>
  </si>
  <si>
    <t>Stiffness  :  The end moment required to produce a unit rotation at that end when other end is fixed.</t>
  </si>
  <si>
    <t>(modified Stiffness)</t>
  </si>
  <si>
    <t>Crt    'd'</t>
  </si>
  <si>
    <t>No. of Span  =</t>
  </si>
  <si>
    <t>1 N/m2 =</t>
  </si>
  <si>
    <t>psf</t>
  </si>
  <si>
    <t>1 psf =</t>
  </si>
  <si>
    <t xml:space="preserve">N/m2 </t>
  </si>
  <si>
    <t>100 psf =</t>
  </si>
  <si>
    <t>N/m2  =</t>
  </si>
  <si>
    <t xml:space="preserve">Kn/m2 </t>
  </si>
  <si>
    <t>40 psf =</t>
  </si>
  <si>
    <t>CC  Span =</t>
  </si>
  <si>
    <t>Point Load P1=</t>
  </si>
  <si>
    <t>Dist from end =</t>
  </si>
  <si>
    <t>Point Load  P2=</t>
  </si>
  <si>
    <r>
      <t>FEM</t>
    </r>
    <r>
      <rPr>
        <vertAlign val="subscript"/>
        <sz val="10"/>
        <rFont val="Arial"/>
        <family val="2"/>
      </rPr>
      <t>P1</t>
    </r>
    <r>
      <rPr>
        <sz val="10"/>
        <rFont val="Arial"/>
        <family val="2"/>
      </rPr>
      <t>=</t>
    </r>
  </si>
  <si>
    <r>
      <t>FEM</t>
    </r>
    <r>
      <rPr>
        <vertAlign val="subscript"/>
        <sz val="10"/>
        <rFont val="Arial"/>
        <family val="2"/>
      </rPr>
      <t>P2</t>
    </r>
    <r>
      <rPr>
        <sz val="10"/>
        <rFont val="Arial"/>
        <family val="2"/>
      </rPr>
      <t>=</t>
    </r>
  </si>
  <si>
    <t>Sign Convension :</t>
  </si>
  <si>
    <t>Moment : Clockwise is positive.</t>
  </si>
  <si>
    <t xml:space="preserve"> + ve</t>
  </si>
  <si>
    <t>Load : Upward is positive.</t>
  </si>
  <si>
    <t xml:space="preserve"> - ve</t>
  </si>
  <si>
    <t>Moment  (kn-m) =</t>
  </si>
  <si>
    <t>Mid Moment (kn-m)=</t>
  </si>
  <si>
    <t>Check of Mid Momt =</t>
  </si>
  <si>
    <t>DF =</t>
  </si>
  <si>
    <t>Sum of joint Momt =</t>
  </si>
  <si>
    <t>Top Slab, t =</t>
  </si>
  <si>
    <t>Height of Abutment / Pier =</t>
  </si>
  <si>
    <t>Abututment, t =</t>
  </si>
  <si>
    <t>Top slab UDL=</t>
  </si>
  <si>
    <t>Bot slab UDL=</t>
  </si>
  <si>
    <t>Top slab K =</t>
  </si>
  <si>
    <t>Bot slab K =</t>
  </si>
  <si>
    <t>Abut ract</t>
  </si>
  <si>
    <t>Abut tri</t>
  </si>
  <si>
    <t>FEM =</t>
  </si>
  <si>
    <r>
      <t>FEM</t>
    </r>
    <r>
      <rPr>
        <vertAlign val="subscript"/>
        <sz val="10"/>
        <rFont val="Arial"/>
        <family val="2"/>
      </rPr>
      <t>Abt</t>
    </r>
    <r>
      <rPr>
        <sz val="10"/>
        <rFont val="Arial"/>
        <family val="2"/>
      </rPr>
      <t xml:space="preserve"> =</t>
    </r>
  </si>
  <si>
    <t>Abut/Pier Kp =</t>
  </si>
  <si>
    <t>Top Slab  DF=</t>
  </si>
  <si>
    <r>
      <t>Top Slab FEM</t>
    </r>
    <r>
      <rPr>
        <vertAlign val="subscript"/>
        <sz val="10"/>
        <rFont val="Arial"/>
        <family val="2"/>
      </rPr>
      <t>UDL</t>
    </r>
    <r>
      <rPr>
        <sz val="10"/>
        <rFont val="Arial"/>
        <family val="2"/>
      </rPr>
      <t>=</t>
    </r>
  </si>
  <si>
    <r>
      <t>Bot Slab FEM</t>
    </r>
    <r>
      <rPr>
        <vertAlign val="subscript"/>
        <sz val="10"/>
        <rFont val="Arial"/>
        <family val="2"/>
      </rPr>
      <t xml:space="preserve">BS </t>
    </r>
    <r>
      <rPr>
        <sz val="10"/>
        <rFont val="Arial"/>
        <family val="2"/>
      </rPr>
      <t>=</t>
    </r>
  </si>
  <si>
    <t>Bot Slab  DF=</t>
  </si>
  <si>
    <t>Abut/Pier  Top DF =</t>
  </si>
  <si>
    <t>Abut/Pier  Bot DF =</t>
  </si>
  <si>
    <t>Mom dist for Bottom Slab :</t>
  </si>
  <si>
    <t>Mom dist of Top Slab :</t>
  </si>
  <si>
    <r>
      <t>Total FEM</t>
    </r>
    <r>
      <rPr>
        <vertAlign val="subscript"/>
        <sz val="10"/>
        <rFont val="Arial"/>
        <family val="2"/>
      </rPr>
      <t>TS</t>
    </r>
    <r>
      <rPr>
        <sz val="10"/>
        <rFont val="Arial"/>
        <family val="2"/>
      </rPr>
      <t xml:space="preserve"> =</t>
    </r>
  </si>
  <si>
    <r>
      <t>Top Slab FEM</t>
    </r>
    <r>
      <rPr>
        <vertAlign val="subscript"/>
        <sz val="10"/>
        <rFont val="Arial"/>
        <family val="2"/>
      </rPr>
      <t>TS</t>
    </r>
    <r>
      <rPr>
        <sz val="10"/>
        <rFont val="Arial"/>
        <family val="2"/>
      </rPr>
      <t xml:space="preserve"> =</t>
    </r>
  </si>
  <si>
    <r>
      <t xml:space="preserve"> Abut FEM</t>
    </r>
    <r>
      <rPr>
        <vertAlign val="subscript"/>
        <sz val="10"/>
        <rFont val="Arial"/>
        <family val="2"/>
      </rPr>
      <t>Abt</t>
    </r>
    <r>
      <rPr>
        <sz val="10"/>
        <rFont val="Arial"/>
        <family val="2"/>
      </rPr>
      <t xml:space="preserve"> =</t>
    </r>
  </si>
  <si>
    <t>Joint</t>
  </si>
  <si>
    <t>top</t>
  </si>
  <si>
    <t>bot</t>
  </si>
  <si>
    <t>Abt Top</t>
  </si>
  <si>
    <t>Abt Bot</t>
  </si>
  <si>
    <t>2 DM =</t>
  </si>
  <si>
    <t>Moment Distribution for Barrel :</t>
  </si>
  <si>
    <t>Abut Hor  Load=</t>
  </si>
  <si>
    <t>Data for Moment Distribution of Barrel :</t>
  </si>
  <si>
    <t>Relative Stiffness=</t>
  </si>
  <si>
    <r>
      <t>K = t</t>
    </r>
    <r>
      <rPr>
        <vertAlign val="superscript"/>
        <sz val="10"/>
        <rFont val="Arial"/>
        <family val="2"/>
      </rPr>
      <t xml:space="preserve">3 </t>
    </r>
    <r>
      <rPr>
        <sz val="10"/>
        <rFont val="Arial"/>
        <family val="2"/>
      </rPr>
      <t>/ L</t>
    </r>
  </si>
  <si>
    <r>
      <t>M I   =  b h</t>
    </r>
    <r>
      <rPr>
        <vertAlign val="superscript"/>
        <sz val="10"/>
        <rFont val="Arial"/>
        <family val="2"/>
      </rPr>
      <t xml:space="preserve">3 </t>
    </r>
    <r>
      <rPr>
        <sz val="10"/>
        <rFont val="Arial"/>
        <family val="2"/>
      </rPr>
      <t>/ 12</t>
    </r>
  </si>
  <si>
    <t>Pier, t =</t>
  </si>
  <si>
    <t>Bot Slab, t =</t>
  </si>
  <si>
    <t>Self wt. of top slab =</t>
  </si>
  <si>
    <t>Span -1</t>
  </si>
  <si>
    <t>From moment distribution (Excel):</t>
  </si>
  <si>
    <t>Reaction (kn) =</t>
  </si>
  <si>
    <t>Cycle</t>
  </si>
  <si>
    <t>(rod earth face)</t>
  </si>
  <si>
    <t>(rod inner face)</t>
  </si>
  <si>
    <t>For moment distribution (Excel):</t>
  </si>
  <si>
    <t>Crt "e"</t>
  </si>
  <si>
    <t>( bot steel )</t>
  </si>
  <si>
    <t>( top steel )</t>
  </si>
  <si>
    <t>Width, b =</t>
  </si>
  <si>
    <t>Axial stress =</t>
  </si>
  <si>
    <t>N/mm2</t>
  </si>
  <si>
    <t>fc  =  0.4 f'c  =</t>
  </si>
  <si>
    <t>Mom dist for Abut / Pier :</t>
  </si>
  <si>
    <t>Slopping Part C/S embkt</t>
  </si>
  <si>
    <t>Slopping Part R/S embkt</t>
  </si>
  <si>
    <t>Top Level of Head Wall =</t>
  </si>
  <si>
    <t>Drainage &amp; Flushing</t>
  </si>
  <si>
    <t>D/2</t>
  </si>
  <si>
    <t>H1=D/2</t>
  </si>
  <si>
    <t>1.5 D</t>
  </si>
  <si>
    <t>1.5D</t>
  </si>
  <si>
    <t>IL=</t>
  </si>
  <si>
    <t xml:space="preserve"> b =</t>
  </si>
  <si>
    <r>
      <t>Critical depth,  Hc  = (q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g )</t>
    </r>
    <r>
      <rPr>
        <vertAlign val="superscript"/>
        <sz val="10"/>
        <rFont val="Arial"/>
        <family val="2"/>
      </rPr>
      <t>1/3</t>
    </r>
    <r>
      <rPr>
        <sz val="10"/>
        <rFont val="Arial"/>
        <family val="2"/>
      </rPr>
      <t xml:space="preserve"> </t>
    </r>
  </si>
  <si>
    <t>Flow Type 5 :</t>
  </si>
  <si>
    <t>Flow Type 4 :</t>
  </si>
  <si>
    <t>H1 increase from D/2 to 1.5 D</t>
  </si>
  <si>
    <r>
      <t>H</t>
    </r>
    <r>
      <rPr>
        <b/>
        <vertAlign val="sub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&lt; 1.5 D,  H</t>
    </r>
    <r>
      <rPr>
        <b/>
        <vertAlign val="subscript"/>
        <sz val="10"/>
        <rFont val="Arial"/>
        <family val="2"/>
      </rPr>
      <t xml:space="preserve">2 </t>
    </r>
    <r>
      <rPr>
        <b/>
        <sz val="10"/>
        <rFont val="Arial"/>
        <family val="2"/>
      </rPr>
      <t>&lt;= H</t>
    </r>
    <r>
      <rPr>
        <b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 xml:space="preserve">   </t>
    </r>
  </si>
  <si>
    <r>
      <t xml:space="preserve">Q  = C b </t>
    </r>
    <r>
      <rPr>
        <sz val="7"/>
        <rFont val="Arial"/>
        <family val="2"/>
      </rPr>
      <t xml:space="preserve"> 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3/2</t>
    </r>
    <r>
      <rPr>
        <sz val="10"/>
        <rFont val="Arial"/>
        <family val="2"/>
      </rPr>
      <t xml:space="preserve">  </t>
    </r>
  </si>
  <si>
    <t>HFL=</t>
  </si>
  <si>
    <r>
      <t>H</t>
    </r>
    <r>
      <rPr>
        <b/>
        <vertAlign val="sub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&lt; 1.5 D,  H</t>
    </r>
    <r>
      <rPr>
        <b/>
        <vertAlign val="subscript"/>
        <sz val="10"/>
        <rFont val="Arial"/>
        <family val="2"/>
      </rPr>
      <t xml:space="preserve">2 </t>
    </r>
    <r>
      <rPr>
        <b/>
        <sz val="10"/>
        <rFont val="Arial"/>
        <family val="2"/>
      </rPr>
      <t>&gt; H</t>
    </r>
    <r>
      <rPr>
        <b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 xml:space="preserve">   </t>
    </r>
  </si>
  <si>
    <r>
      <t xml:space="preserve">Q  = C b </t>
    </r>
    <r>
      <rPr>
        <sz val="7"/>
        <rFont val="Arial"/>
        <family val="2"/>
      </rPr>
      <t xml:space="preserve"> 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  <r>
      <rPr>
        <sz val="10"/>
        <rFont val="Cambria"/>
        <family val="1"/>
      </rPr>
      <t xml:space="preserve">√ [ 2g  ΔH ]  </t>
    </r>
  </si>
  <si>
    <t>H2 increase from D/2 to  D</t>
  </si>
  <si>
    <t>Flow Type 3 :</t>
  </si>
  <si>
    <r>
      <t>H</t>
    </r>
    <r>
      <rPr>
        <b/>
        <vertAlign val="sub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&gt;= 1.5 D,  H</t>
    </r>
    <r>
      <rPr>
        <b/>
        <vertAlign val="subscript"/>
        <sz val="10"/>
        <rFont val="Arial"/>
        <family val="2"/>
      </rPr>
      <t xml:space="preserve">2 </t>
    </r>
    <r>
      <rPr>
        <b/>
        <sz val="10"/>
        <rFont val="Arial"/>
        <family val="2"/>
      </rPr>
      <t xml:space="preserve">&lt;= D   </t>
    </r>
  </si>
  <si>
    <r>
      <t>, H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&lt;= D   </t>
    </r>
  </si>
  <si>
    <t>H2 assumed at D for to have max discharge</t>
  </si>
  <si>
    <r>
      <t>A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</si>
  <si>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m</t>
    </r>
    <r>
      <rPr>
        <vertAlign val="super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</si>
  <si>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&gt;  D,  H</t>
    </r>
    <r>
      <rPr>
        <b/>
        <vertAlign val="subscript"/>
        <sz val="10"/>
        <rFont val="Arial"/>
        <family val="2"/>
      </rPr>
      <t xml:space="preserve">2 </t>
    </r>
    <r>
      <rPr>
        <b/>
        <sz val="10"/>
        <rFont val="Arial"/>
        <family val="2"/>
      </rPr>
      <t xml:space="preserve">&gt; D   </t>
    </r>
  </si>
  <si>
    <t>Flow Type</t>
  </si>
  <si>
    <t>Discharge (cumec)</t>
  </si>
  <si>
    <t>H2&lt;Hc</t>
  </si>
  <si>
    <t>H2&gt;Hc, H2&lt;D</t>
  </si>
  <si>
    <t>H2&lt;=D</t>
  </si>
  <si>
    <t>H1&lt;1.5 D</t>
  </si>
  <si>
    <t>H1&gt;=1.5D</t>
  </si>
  <si>
    <t>H1 &gt; D</t>
  </si>
  <si>
    <t>H2 &gt; D</t>
  </si>
  <si>
    <t>Flow Type 1 :</t>
  </si>
  <si>
    <r>
      <t xml:space="preserve">Width on R/S </t>
    </r>
    <r>
      <rPr>
        <sz val="8"/>
        <color theme="0"/>
        <rFont val="Arial"/>
        <family val="2"/>
      </rPr>
      <t xml:space="preserve">( between abutment ) </t>
    </r>
    <r>
      <rPr>
        <sz val="10"/>
        <color theme="0"/>
        <rFont val="Arial"/>
        <family val="2"/>
      </rPr>
      <t xml:space="preserve"> = </t>
    </r>
  </si>
  <si>
    <t>During Pre-monsoon when rain starts then Flow Type 5 will occur. With increase of Water Lavel, Flow Type 4, 3, 1 will occur. Reverse will be incase of postmonsoon.</t>
  </si>
  <si>
    <t xml:space="preserve">Flow Type - 5   </t>
  </si>
  <si>
    <t xml:space="preserve">Flow Type - 4  </t>
  </si>
  <si>
    <t xml:space="preserve">Flow Type - 3   </t>
  </si>
  <si>
    <t xml:space="preserve">Flow Type - 1   </t>
  </si>
  <si>
    <r>
      <t xml:space="preserve">Q  = C b </t>
    </r>
    <r>
      <rPr>
        <sz val="7"/>
        <rFont val="Arial"/>
        <family val="2"/>
      </rPr>
      <t xml:space="preserve"> 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  <r>
      <rPr>
        <sz val="10"/>
        <rFont val="Cambria"/>
        <family val="1"/>
      </rPr>
      <t>√ [ 2g  ΔH ]</t>
    </r>
  </si>
  <si>
    <r>
      <t xml:space="preserve">Q = C A </t>
    </r>
    <r>
      <rPr>
        <sz val="10"/>
        <rFont val="Times New Roman"/>
        <family val="1"/>
      </rPr>
      <t>√</t>
    </r>
    <r>
      <rPr>
        <sz val="10"/>
        <rFont val="Arial"/>
        <family val="2"/>
      </rPr>
      <t xml:space="preserve">  2g  </t>
    </r>
    <r>
      <rPr>
        <sz val="10"/>
        <rFont val="Times New Roman"/>
        <family val="1"/>
      </rPr>
      <t>Δ</t>
    </r>
    <r>
      <rPr>
        <sz val="10"/>
        <rFont val="Arial"/>
        <family val="2"/>
      </rPr>
      <t xml:space="preserve">H </t>
    </r>
  </si>
  <si>
    <r>
      <t>Q  = C</t>
    </r>
    <r>
      <rPr>
        <sz val="7"/>
        <rFont val="Arial"/>
        <family val="2"/>
      </rPr>
      <t>q</t>
    </r>
    <r>
      <rPr>
        <sz val="10"/>
        <rFont val="Arial"/>
        <family val="2"/>
      </rPr>
      <t xml:space="preserve"> A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  </t>
    </r>
    <r>
      <rPr>
        <sz val="10"/>
        <rFont val="Times New Roman"/>
        <family val="1"/>
      </rPr>
      <t>√</t>
    </r>
    <r>
      <rPr>
        <sz val="10"/>
        <rFont val="Arial"/>
        <family val="2"/>
      </rPr>
      <t xml:space="preserve">2g H1 </t>
    </r>
  </si>
  <si>
    <r>
      <t>Inlet submerged (H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&gt;= 1.5D )</t>
    </r>
  </si>
  <si>
    <r>
      <t>Critical depth, Hc  = (q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g )</t>
    </r>
    <r>
      <rPr>
        <vertAlign val="superscript"/>
        <sz val="10"/>
        <rFont val="Arial"/>
        <family val="2"/>
      </rPr>
      <t>1/3</t>
    </r>
    <r>
      <rPr>
        <sz val="10"/>
        <rFont val="Arial"/>
        <family val="2"/>
      </rPr>
      <t xml:space="preserve"> =</t>
    </r>
  </si>
  <si>
    <t>Pre WL=</t>
  </si>
  <si>
    <t>Post WL=</t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</si>
  <si>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 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 xml:space="preserve"> =</t>
    </r>
  </si>
  <si>
    <r>
      <t>y</t>
    </r>
    <r>
      <rPr>
        <vertAlign val="subscript"/>
        <sz val="10"/>
        <rFont val="Arial"/>
        <family val="2"/>
      </rPr>
      <t xml:space="preserve">2 </t>
    </r>
    <r>
      <rPr>
        <sz val="10"/>
        <rFont val="Arial"/>
        <family val="2"/>
      </rPr>
      <t>=</t>
    </r>
  </si>
  <si>
    <r>
      <t>Y</t>
    </r>
    <r>
      <rPr>
        <sz val="6"/>
        <rFont val="Arial"/>
        <family val="2"/>
      </rPr>
      <t>1</t>
    </r>
    <r>
      <rPr>
        <sz val="10"/>
        <rFont val="Arial"/>
        <family val="2"/>
      </rPr>
      <t xml:space="preserve"> = depth of water before jump</t>
    </r>
  </si>
  <si>
    <r>
      <t>Y</t>
    </r>
    <r>
      <rPr>
        <sz val="6"/>
        <rFont val="Arial"/>
        <family val="2"/>
      </rPr>
      <t>2</t>
    </r>
    <r>
      <rPr>
        <sz val="10"/>
        <rFont val="Arial"/>
        <family val="2"/>
      </rPr>
      <t xml:space="preserve"> = depth of water after jump</t>
    </r>
  </si>
  <si>
    <r>
      <t>Y</t>
    </r>
    <r>
      <rPr>
        <sz val="8"/>
        <rFont val="Arial"/>
        <family val="2"/>
      </rPr>
      <t>c</t>
    </r>
    <r>
      <rPr>
        <sz val="10"/>
        <rFont val="Arial"/>
        <family val="2"/>
      </rPr>
      <t xml:space="preserve"> =  critical depth</t>
    </r>
  </si>
  <si>
    <r>
      <t>V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2</t>
    </r>
  </si>
  <si>
    <r>
      <t xml:space="preserve"> + Y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+ Zr   =   Y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+</t>
    </r>
  </si>
  <si>
    <r>
      <t xml:space="preserve"> + Y</t>
    </r>
    <r>
      <rPr>
        <vertAlign val="subscript"/>
        <sz val="12"/>
        <rFont val="Arial"/>
        <family val="2"/>
      </rPr>
      <t>0</t>
    </r>
    <r>
      <rPr>
        <sz val="12"/>
        <rFont val="Arial"/>
        <family val="2"/>
      </rPr>
      <t xml:space="preserve"> + Zr   </t>
    </r>
    <r>
      <rPr>
        <sz val="14"/>
        <rFont val="Arial"/>
        <family val="2"/>
      </rPr>
      <t>=</t>
    </r>
    <r>
      <rPr>
        <sz val="12"/>
        <rFont val="Arial"/>
        <family val="2"/>
      </rPr>
      <t xml:space="preserve">   Y</t>
    </r>
    <r>
      <rPr>
        <vertAlign val="subscript"/>
        <sz val="12"/>
        <rFont val="Arial"/>
        <family val="2"/>
      </rPr>
      <t>1</t>
    </r>
    <r>
      <rPr>
        <sz val="12"/>
        <rFont val="Arial"/>
        <family val="2"/>
      </rPr>
      <t xml:space="preserve"> +</t>
    </r>
  </si>
  <si>
    <r>
      <t xml:space="preserve">Velocity at section </t>
    </r>
    <r>
      <rPr>
        <b/>
        <sz val="10"/>
        <rFont val="Arial"/>
        <family val="2"/>
      </rPr>
      <t>0-0</t>
    </r>
    <r>
      <rPr>
        <sz val="10"/>
        <rFont val="Arial"/>
        <family val="2"/>
      </rPr>
      <t xml:space="preserve"> ,   V</t>
    </r>
    <r>
      <rPr>
        <sz val="6"/>
        <rFont val="Arial"/>
        <family val="2"/>
      </rPr>
      <t>o</t>
    </r>
    <r>
      <rPr>
        <sz val="10"/>
        <rFont val="Arial"/>
        <family val="2"/>
      </rPr>
      <t xml:space="preserve">  =</t>
    </r>
  </si>
  <si>
    <r>
      <t>q</t>
    </r>
    <r>
      <rPr>
        <sz val="5"/>
        <rFont val="Arial"/>
        <family val="2"/>
      </rPr>
      <t>0</t>
    </r>
    <r>
      <rPr>
        <sz val="10"/>
        <rFont val="Arial"/>
        <family val="2"/>
      </rPr>
      <t xml:space="preserve"> / y</t>
    </r>
    <r>
      <rPr>
        <sz val="6"/>
        <rFont val="Arial"/>
        <family val="2"/>
      </rPr>
      <t>0</t>
    </r>
    <r>
      <rPr>
        <sz val="10"/>
        <rFont val="Arial"/>
        <family val="2"/>
      </rPr>
      <t xml:space="preserve">   =</t>
    </r>
  </si>
  <si>
    <t>Stilling basin type - I</t>
  </si>
  <si>
    <t>F &gt; 4.5</t>
  </si>
  <si>
    <t>F &lt; 2.5</t>
  </si>
  <si>
    <t>USBR ERC Type Stilling basin</t>
  </si>
  <si>
    <t>USBR type - III Stilling basin</t>
  </si>
  <si>
    <t>2.5  to 4.5</t>
  </si>
  <si>
    <t>Basin</t>
  </si>
  <si>
    <t>Water Depth of  on R/S =</t>
  </si>
  <si>
    <r>
      <t>a) 1.05 y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should below the Top of R wall.</t>
    </r>
  </si>
  <si>
    <t>c) If post jump WL is above R/S WL, then lower R/S WL  by increasing Zr</t>
  </si>
  <si>
    <t>Depth of water on R/S =</t>
  </si>
  <si>
    <t>R/S water level =</t>
  </si>
  <si>
    <r>
      <t>V</t>
    </r>
    <r>
      <rPr>
        <vertAlign val="subscript"/>
        <sz val="10"/>
        <rFont val="Arial"/>
        <family val="2"/>
      </rPr>
      <t>0</t>
    </r>
    <r>
      <rPr>
        <vertAlign val="superscript"/>
        <sz val="10"/>
        <rFont val="Arial"/>
        <family val="2"/>
      </rPr>
      <t>2</t>
    </r>
  </si>
  <si>
    <t>crt   f</t>
  </si>
  <si>
    <r>
      <t>H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or  y</t>
    </r>
    <r>
      <rPr>
        <vertAlign val="subscript"/>
        <sz val="10"/>
        <rFont val="Arial"/>
        <family val="2"/>
      </rPr>
      <t>o</t>
    </r>
  </si>
  <si>
    <r>
      <t>q</t>
    </r>
    <r>
      <rPr>
        <vertAlign val="subscript"/>
        <sz val="10"/>
        <rFont val="Arial"/>
        <family val="2"/>
      </rPr>
      <t>o</t>
    </r>
  </si>
  <si>
    <r>
      <t>V</t>
    </r>
    <r>
      <rPr>
        <vertAlign val="subscript"/>
        <sz val="10"/>
        <rFont val="Arial"/>
        <family val="2"/>
      </rPr>
      <t>0</t>
    </r>
  </si>
  <si>
    <r>
      <t>V</t>
    </r>
    <r>
      <rPr>
        <vertAlign val="subscript"/>
        <sz val="10"/>
        <rFont val="Arial"/>
        <family val="2"/>
      </rPr>
      <t>0</t>
    </r>
    <r>
      <rPr>
        <vertAlign val="superscript"/>
        <sz val="10"/>
        <rFont val="Arial"/>
        <family val="2"/>
      </rPr>
      <t xml:space="preserve">2 </t>
    </r>
    <r>
      <rPr>
        <sz val="10"/>
        <rFont val="Arial"/>
        <family val="2"/>
      </rPr>
      <t>/2g</t>
    </r>
  </si>
  <si>
    <t>L.H.S</t>
  </si>
  <si>
    <r>
      <t>q</t>
    </r>
    <r>
      <rPr>
        <vertAlign val="subscript"/>
        <sz val="10"/>
        <rFont val="Arial"/>
        <family val="2"/>
      </rPr>
      <t>1</t>
    </r>
  </si>
  <si>
    <r>
      <t>q</t>
    </r>
    <r>
      <rPr>
        <vertAlign val="subscript"/>
        <sz val="10"/>
        <rFont val="Arial"/>
        <family val="2"/>
      </rPr>
      <t>1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/2g</t>
    </r>
  </si>
  <si>
    <t>R.H.S</t>
  </si>
  <si>
    <t>V1</t>
  </si>
  <si>
    <t>Y2</t>
  </si>
  <si>
    <t>1.05 Y2</t>
  </si>
  <si>
    <t>Post jump WL</t>
  </si>
  <si>
    <t>z</t>
  </si>
  <si>
    <t>crt + f</t>
  </si>
  <si>
    <r>
      <t>V</t>
    </r>
    <r>
      <rPr>
        <vertAlign val="super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>/2g</t>
    </r>
  </si>
  <si>
    <r>
      <t>y</t>
    </r>
    <r>
      <rPr>
        <vertAlign val="subscript"/>
        <sz val="10"/>
        <color theme="0"/>
        <rFont val="Arial"/>
        <family val="2"/>
      </rPr>
      <t>1</t>
    </r>
  </si>
  <si>
    <r>
      <rPr>
        <sz val="12"/>
        <color theme="0"/>
        <rFont val="Arial"/>
        <family val="2"/>
      </rPr>
      <t xml:space="preserve"> =  y</t>
    </r>
    <r>
      <rPr>
        <vertAlign val="subscript"/>
        <sz val="12"/>
        <color theme="0"/>
        <rFont val="Arial"/>
        <family val="2"/>
      </rPr>
      <t>1</t>
    </r>
    <r>
      <rPr>
        <sz val="12"/>
        <color theme="0"/>
        <rFont val="Arial"/>
        <family val="2"/>
      </rPr>
      <t xml:space="preserve"> +</t>
    </r>
    <r>
      <rPr>
        <sz val="10"/>
        <color theme="0"/>
        <rFont val="Arial"/>
        <family val="2"/>
      </rPr>
      <t xml:space="preserve"> </t>
    </r>
  </si>
  <si>
    <r>
      <t xml:space="preserve">/ </t>
    </r>
    <r>
      <rPr>
        <sz val="12"/>
        <color theme="0"/>
        <rFont val="Arial"/>
        <family val="2"/>
      </rPr>
      <t>y</t>
    </r>
    <r>
      <rPr>
        <vertAlign val="subscript"/>
        <sz val="12"/>
        <color theme="0"/>
        <rFont val="Arial"/>
        <family val="2"/>
      </rPr>
      <t>1</t>
    </r>
    <r>
      <rPr>
        <vertAlign val="superscript"/>
        <sz val="12"/>
        <color theme="0"/>
        <rFont val="Arial"/>
        <family val="2"/>
      </rPr>
      <t>2</t>
    </r>
    <r>
      <rPr>
        <sz val="7"/>
        <color theme="0"/>
        <rFont val="Arial"/>
        <family val="2"/>
      </rPr>
      <t xml:space="preserve"> </t>
    </r>
  </si>
  <si>
    <r>
      <t xml:space="preserve">/ </t>
    </r>
    <r>
      <rPr>
        <sz val="12"/>
        <color theme="0"/>
        <rFont val="Arial"/>
        <family val="2"/>
      </rPr>
      <t>y</t>
    </r>
    <r>
      <rPr>
        <vertAlign val="subscript"/>
        <sz val="12"/>
        <color theme="0"/>
        <rFont val="Arial"/>
        <family val="2"/>
      </rPr>
      <t>13</t>
    </r>
    <r>
      <rPr>
        <sz val="7"/>
        <rFont val="Arial"/>
        <family val="2"/>
      </rPr>
      <t/>
    </r>
  </si>
  <si>
    <r>
      <t xml:space="preserve">/ </t>
    </r>
    <r>
      <rPr>
        <sz val="12"/>
        <color theme="0"/>
        <rFont val="Arial"/>
        <family val="2"/>
      </rPr>
      <t>y</t>
    </r>
    <r>
      <rPr>
        <vertAlign val="subscript"/>
        <sz val="12"/>
        <color theme="0"/>
        <rFont val="Arial"/>
        <family val="2"/>
      </rPr>
      <t>14</t>
    </r>
    <r>
      <rPr>
        <sz val="7"/>
        <rFont val="Arial"/>
        <family val="2"/>
      </rPr>
      <t/>
    </r>
  </si>
  <si>
    <r>
      <t xml:space="preserve">/ </t>
    </r>
    <r>
      <rPr>
        <sz val="12"/>
        <color theme="0"/>
        <rFont val="Arial"/>
        <family val="2"/>
      </rPr>
      <t>y</t>
    </r>
    <r>
      <rPr>
        <vertAlign val="subscript"/>
        <sz val="12"/>
        <color theme="0"/>
        <rFont val="Arial"/>
        <family val="2"/>
      </rPr>
      <t>15</t>
    </r>
    <r>
      <rPr>
        <sz val="7"/>
        <rFont val="Arial"/>
        <family val="2"/>
      </rPr>
      <t/>
    </r>
  </si>
  <si>
    <t>Top Level of Return Wall</t>
  </si>
  <si>
    <t>Zr</t>
  </si>
  <si>
    <t>q2</t>
  </si>
  <si>
    <t>Ve</t>
  </si>
  <si>
    <t>H2 = D/2</t>
  </si>
  <si>
    <t xml:space="preserve">H2 increase from 0.20m to D/2, keep it &lt;Hc </t>
  </si>
  <si>
    <t>0.20 m</t>
  </si>
  <si>
    <t>Depth  on R/S</t>
  </si>
  <si>
    <t>H2=</t>
  </si>
  <si>
    <r>
      <t xml:space="preserve">Applying Bernoullis Equation between  section </t>
    </r>
    <r>
      <rPr>
        <b/>
        <sz val="10"/>
        <rFont val="Arial"/>
        <family val="2"/>
      </rPr>
      <t>0 - 0</t>
    </r>
    <r>
      <rPr>
        <sz val="10"/>
        <rFont val="Arial"/>
        <family val="2"/>
      </rPr>
      <t xml:space="preserve"> &amp; section </t>
    </r>
    <r>
      <rPr>
        <b/>
        <sz val="10"/>
        <rFont val="Arial"/>
        <family val="2"/>
      </rPr>
      <t>1 - 1</t>
    </r>
    <r>
      <rPr>
        <sz val="10"/>
        <rFont val="Arial"/>
        <family val="2"/>
      </rPr>
      <t xml:space="preserve"> .</t>
    </r>
  </si>
  <si>
    <r>
      <t>Y</t>
    </r>
    <r>
      <rPr>
        <vertAlign val="subscript"/>
        <sz val="10"/>
        <rFont val="Arial"/>
        <family val="2"/>
      </rPr>
      <t>1</t>
    </r>
    <r>
      <rPr>
        <vertAlign val="superscript"/>
        <sz val="10"/>
        <rFont val="Arial"/>
        <family val="2"/>
      </rPr>
      <t xml:space="preserve">2 </t>
    </r>
    <r>
      <rPr>
        <sz val="10"/>
        <rFont val="Arial"/>
        <family val="2"/>
      </rPr>
      <t>)</t>
    </r>
  </si>
  <si>
    <r>
      <t>Y</t>
    </r>
    <r>
      <rPr>
        <vertAlign val="subscript"/>
        <sz val="10"/>
        <rFont val="Arial"/>
        <family val="2"/>
      </rPr>
      <t>1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)</t>
    </r>
  </si>
  <si>
    <t>B3. Calculation of Hydraulic Jump for different flow type</t>
  </si>
  <si>
    <t>B1. Calculation of Hydraulic Jump for Pre Monsoon</t>
  </si>
  <si>
    <t>B2. Calculation of Hydraulic Jump for Post Monsoon</t>
  </si>
  <si>
    <t>Design of Silling Basin :</t>
  </si>
  <si>
    <t>y2 = 2 y1</t>
  </si>
  <si>
    <t>y2 &gt; 1.4 yc</t>
  </si>
  <si>
    <t>V2 = 0.50 V1</t>
  </si>
  <si>
    <t>No Special Stiling Basin is required.</t>
  </si>
  <si>
    <t>Length of Basin,  L =</t>
  </si>
  <si>
    <t>4 y2</t>
  </si>
  <si>
    <t>No Baffles or other dissipating device are needed.</t>
  </si>
  <si>
    <t>Pre jump stage</t>
  </si>
  <si>
    <t>No active turbulance.</t>
  </si>
  <si>
    <t>Basin should be sufficiently long to contain flow prism.</t>
  </si>
  <si>
    <t>Type of Basin</t>
  </si>
  <si>
    <t>Basin Length</t>
  </si>
  <si>
    <t>Baffle Distance</t>
  </si>
  <si>
    <t>End sill Distance</t>
  </si>
  <si>
    <t>Transitional flow stage</t>
  </si>
  <si>
    <t>True Hydraulic Jump does not fully develop.</t>
  </si>
  <si>
    <t>Jump is troublesome &amp; oscillating.</t>
  </si>
  <si>
    <t>Baffles or other dissipating device are needed.</t>
  </si>
  <si>
    <t xml:space="preserve">Water depth in the basin  &gt;   1.10 Y2 </t>
  </si>
  <si>
    <t>Tendency of Jump to Sweep out.</t>
  </si>
  <si>
    <t>Froude Number may be increased by widening the basin.</t>
  </si>
  <si>
    <t>Froude Number</t>
  </si>
  <si>
    <t>True Hydraulic Jump  fully develop.</t>
  </si>
  <si>
    <t>Basin provides a safety factor against sweep out of jump due to inadequate tail water jump &amp; stabilize the jump.</t>
  </si>
  <si>
    <t>Incoming velocity must be less than 18.0 m/s</t>
  </si>
  <si>
    <r>
      <t xml:space="preserve">For velocity &gt; 18.0 m/s </t>
    </r>
    <r>
      <rPr>
        <sz val="10"/>
        <color rgb="FFFF0000"/>
        <rFont val="Arial"/>
        <family val="2"/>
      </rPr>
      <t xml:space="preserve">USBR type - II Stilling basin </t>
    </r>
    <r>
      <rPr>
        <sz val="10"/>
        <rFont val="Arial"/>
        <family val="2"/>
      </rPr>
      <t>may be used.</t>
    </r>
  </si>
  <si>
    <t>Water depth in the basin should be   1.05Y2</t>
  </si>
  <si>
    <t>Fig 2.4</t>
  </si>
  <si>
    <t>Fig 2.6</t>
  </si>
  <si>
    <t>Fig 2.5</t>
  </si>
  <si>
    <t>Froude Number, F1 =</t>
  </si>
  <si>
    <t>Conjugate Depth, Y2 =</t>
  </si>
  <si>
    <t>Distance of Baffle Block  :</t>
  </si>
  <si>
    <t>Length of Floor after Glacis  :</t>
  </si>
  <si>
    <t>Distance of End Sill  :</t>
  </si>
  <si>
    <r>
      <t>By Trial :          y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</si>
  <si>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t>Calculated</t>
  </si>
  <si>
    <t>B3. Calculation of Hydraulic Jump for different flow type 5</t>
  </si>
  <si>
    <t>crt + g</t>
  </si>
  <si>
    <t>B3. Calculation of Hydraulic Jump for different flow type 4</t>
  </si>
  <si>
    <t>B3. Calculation of Hydraulic Jump for different flow type 3</t>
  </si>
  <si>
    <t>B3. Calculation of Hydraulic Jump for different flow type 1</t>
  </si>
  <si>
    <r>
      <t>q</t>
    </r>
    <r>
      <rPr>
        <vertAlign val="super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>/2g</t>
    </r>
  </si>
  <si>
    <t>L/y2</t>
  </si>
  <si>
    <t>L</t>
  </si>
  <si>
    <t>increase in Zr</t>
  </si>
  <si>
    <r>
      <t>So , Post jump depth/conjugate depth , y</t>
    </r>
    <r>
      <rPr>
        <sz val="6"/>
        <rFont val="Arial"/>
        <family val="2"/>
      </rPr>
      <t>2</t>
    </r>
    <r>
      <rPr>
        <sz val="10"/>
        <rFont val="Arial"/>
        <family val="2"/>
      </rPr>
      <t xml:space="preserve"> =</t>
    </r>
  </si>
  <si>
    <t xml:space="preserve">H2 fixed at  (near to) D </t>
  </si>
  <si>
    <t>max =</t>
  </si>
  <si>
    <t>Upto  D</t>
  </si>
  <si>
    <t>Assume U/S WL</t>
  </si>
  <si>
    <t>Upto  1.5D</t>
  </si>
  <si>
    <r>
      <t xml:space="preserve">When H1 &gt; D in Type -5,  then excessive </t>
    </r>
    <r>
      <rPr>
        <sz val="10"/>
        <color rgb="FFFF0000"/>
        <rFont val="Arial"/>
        <family val="2"/>
      </rPr>
      <t xml:space="preserve"> Zr</t>
    </r>
    <r>
      <rPr>
        <sz val="10"/>
        <rFont val="Arial"/>
        <family val="2"/>
      </rPr>
      <t xml:space="preserve">    is required.</t>
    </r>
  </si>
  <si>
    <r>
      <t>Assume</t>
    </r>
    <r>
      <rPr>
        <b/>
        <sz val="10"/>
        <color rgb="FFFF0000"/>
        <rFont val="Arial"/>
        <family val="2"/>
      </rPr>
      <t xml:space="preserve"> U/S WL</t>
    </r>
  </si>
  <si>
    <r>
      <t xml:space="preserve">When H1&gt; 2D in Type -3 then excessive </t>
    </r>
    <r>
      <rPr>
        <sz val="10"/>
        <color rgb="FFFF0000"/>
        <rFont val="Arial"/>
        <family val="2"/>
      </rPr>
      <t xml:space="preserve"> Zr</t>
    </r>
    <r>
      <rPr>
        <sz val="10"/>
        <rFont val="Arial"/>
        <family val="2"/>
      </rPr>
      <t xml:space="preserve">    is required.</t>
    </r>
  </si>
  <si>
    <r>
      <t xml:space="preserve">When ΔH &gt; 2.00 m  in Type -1  then excessive </t>
    </r>
    <r>
      <rPr>
        <sz val="10"/>
        <color rgb="FFFF0000"/>
        <rFont val="Arial"/>
        <family val="2"/>
      </rPr>
      <t xml:space="preserve"> Zr</t>
    </r>
    <r>
      <rPr>
        <sz val="10"/>
        <rFont val="Arial"/>
        <family val="2"/>
      </rPr>
      <t xml:space="preserve">    is required.</t>
    </r>
  </si>
  <si>
    <r>
      <t xml:space="preserve">Type -1 : When  ΔH &gt; 2.00 m  then  excessive   </t>
    </r>
    <r>
      <rPr>
        <sz val="10"/>
        <color rgb="FFFF0000"/>
        <rFont val="Arial"/>
        <family val="2"/>
      </rPr>
      <t xml:space="preserve"> Zr</t>
    </r>
    <r>
      <rPr>
        <sz val="10"/>
        <rFont val="Arial"/>
        <family val="2"/>
      </rPr>
      <t xml:space="preserve">    is required.</t>
    </r>
  </si>
  <si>
    <r>
      <rPr>
        <sz val="10"/>
        <color theme="0"/>
        <rFont val="Arial"/>
        <family val="2"/>
      </rPr>
      <t xml:space="preserve">Type -5 </t>
    </r>
    <r>
      <rPr>
        <sz val="10"/>
        <rFont val="Arial"/>
        <family val="2"/>
      </rPr>
      <t xml:space="preserve">: When H1 &gt; D   then excessive </t>
    </r>
    <r>
      <rPr>
        <sz val="10"/>
        <color rgb="FFFF0000"/>
        <rFont val="Arial"/>
        <family val="2"/>
      </rPr>
      <t xml:space="preserve"> Zr</t>
    </r>
    <r>
      <rPr>
        <sz val="10"/>
        <rFont val="Arial"/>
        <family val="2"/>
      </rPr>
      <t xml:space="preserve">    is required.</t>
    </r>
  </si>
  <si>
    <r>
      <rPr>
        <sz val="10"/>
        <color theme="0"/>
        <rFont val="Arial"/>
        <family val="2"/>
      </rPr>
      <t xml:space="preserve">Type -3 </t>
    </r>
    <r>
      <rPr>
        <sz val="10"/>
        <rFont val="Arial"/>
        <family val="2"/>
      </rPr>
      <t xml:space="preserve">: When H1&gt; 2D  then excessive </t>
    </r>
    <r>
      <rPr>
        <sz val="10"/>
        <color rgb="FFFF0000"/>
        <rFont val="Arial"/>
        <family val="2"/>
      </rPr>
      <t xml:space="preserve"> Zr</t>
    </r>
    <r>
      <rPr>
        <sz val="10"/>
        <rFont val="Arial"/>
        <family val="2"/>
      </rPr>
      <t xml:space="preserve">    is required.</t>
    </r>
  </si>
  <si>
    <t xml:space="preserve">X/y2 </t>
  </si>
  <si>
    <t>Baffle Dist. X</t>
  </si>
  <si>
    <t>End Sill dist. L1</t>
  </si>
  <si>
    <t xml:space="preserve">L1/y2  </t>
  </si>
  <si>
    <t>V2</t>
  </si>
  <si>
    <t>Pre M</t>
  </si>
  <si>
    <t>Post M</t>
  </si>
  <si>
    <t>Depth before Jump,  y1 =</t>
  </si>
  <si>
    <t>For Trial :</t>
  </si>
  <si>
    <t>Post jump Water Label (y2) =</t>
  </si>
  <si>
    <t>Velocity at exit, V2 =</t>
  </si>
  <si>
    <t>Length of R/S Floor after Glacis, L =</t>
  </si>
  <si>
    <t>cumec =</t>
  </si>
  <si>
    <t>Design Conjugate Depth,  Y2 =</t>
  </si>
  <si>
    <r>
      <t>So , Post jump depth/`depth , y</t>
    </r>
    <r>
      <rPr>
        <sz val="6"/>
        <rFont val="Arial"/>
        <family val="2"/>
      </rPr>
      <t>2</t>
    </r>
    <r>
      <rPr>
        <sz val="10"/>
        <rFont val="Arial"/>
        <family val="2"/>
      </rPr>
      <t xml:space="preserve"> =</t>
    </r>
  </si>
  <si>
    <t>Design Conjugate  depth = y2   When F&lt;2.5 &amp; F&gt;4.5</t>
  </si>
  <si>
    <t>b)  Floor level of stilling basin :    Conjugate  depth, y2   -  1.05 * y2</t>
  </si>
  <si>
    <t>Design Conjugat depth  =  1.05 * y2  When 2.5&lt;= F &lt;=4.5</t>
  </si>
  <si>
    <t>d) To stabilize the jump within the basin,  Post jump Water Label (y2) should be less than Tail Water Lavel</t>
  </si>
  <si>
    <t xml:space="preserve"> D =</t>
  </si>
  <si>
    <t>height</t>
  </si>
  <si>
    <t>Width (w)</t>
  </si>
  <si>
    <t>Length</t>
  </si>
  <si>
    <t>Top width</t>
  </si>
  <si>
    <t>Bottom width</t>
  </si>
  <si>
    <t>Spacing (s)</t>
  </si>
  <si>
    <t>h3/y1</t>
  </si>
  <si>
    <t>Height of Baffle</t>
  </si>
  <si>
    <t>Height of End sill</t>
  </si>
  <si>
    <t>h4/y1</t>
  </si>
  <si>
    <t>h3 / y1</t>
  </si>
  <si>
    <t>End Sill</t>
  </si>
  <si>
    <t>Height</t>
  </si>
  <si>
    <t>max</t>
  </si>
  <si>
    <t>Width</t>
  </si>
  <si>
    <t>Chute Block</t>
  </si>
  <si>
    <t>Wants to Run for Flow Type</t>
  </si>
  <si>
    <t>Flow Type 4 Completed</t>
  </si>
  <si>
    <t>Flow Type 3 Completed</t>
  </si>
  <si>
    <t>Oscilating flows causes surface waves which carry considerably beyond Basin.</t>
  </si>
  <si>
    <t>V2 = 0.7Vc</t>
  </si>
  <si>
    <t>Stilling basin type - IV, suggested. But the wave action propogated by the oscilating flow cannot be entirely dumpened.</t>
  </si>
  <si>
    <t>Baffles or other dissipating device are needed. This shorten the basin length.</t>
  </si>
  <si>
    <t>This Basin relies on dissipation of energy by impact block.</t>
  </si>
  <si>
    <t>Baffle Block Distance = 0.8 Y2, beyond the start of jump.</t>
  </si>
  <si>
    <t>(meana we can increase the Baffle block distance.)</t>
  </si>
  <si>
    <t xml:space="preserve">So, USBR ERC Type Stilling basin suggested. </t>
  </si>
  <si>
    <t>Low Froud Number Basin.</t>
  </si>
  <si>
    <t>Water Level, y2 =</t>
  </si>
  <si>
    <t>f =</t>
  </si>
  <si>
    <t>q</t>
  </si>
  <si>
    <t>Scour Depth ®</t>
  </si>
  <si>
    <t>Scour Depth on C/S</t>
  </si>
  <si>
    <t>1.25 R</t>
  </si>
  <si>
    <t>Below Floor Level</t>
  </si>
  <si>
    <t xml:space="preserve">U/S Water Depth </t>
  </si>
  <si>
    <t>1/3(b) +2 ( d1 + d2 + d3 + d4  ----------) =</t>
  </si>
  <si>
    <r>
      <t xml:space="preserve">Creep Length, Lu = ∑h/3  +  </t>
    </r>
    <r>
      <rPr>
        <sz val="10"/>
        <rFont val="Calibri"/>
        <family val="2"/>
      </rPr>
      <t>∑</t>
    </r>
    <r>
      <rPr>
        <sz val="10"/>
        <rFont val="Arial"/>
        <family val="2"/>
      </rPr>
      <t>Vv           (From design manual, Vol-1, Page 21)</t>
    </r>
  </si>
  <si>
    <t>a) On C/S side : (High WL on R/S &amp; Low WL on C/S ) : During Monsoon</t>
  </si>
  <si>
    <t>b      c</t>
  </si>
  <si>
    <t>a) On C/S side : (High WL on R/S &amp; Low WL on C/S ) : Monsoon</t>
  </si>
  <si>
    <t>Pre mon</t>
  </si>
  <si>
    <t>Retention Level</t>
  </si>
  <si>
    <t>b) On R/S side : (High WL on C/S &amp; Low WL on R/S ) : During Pre / Post Monsoon</t>
  </si>
  <si>
    <t>b)On  R/S side : (High WL on C/S &amp; Low WL on R/S ) : Pre / Post Monsoon</t>
  </si>
  <si>
    <t>Thickness of Loose apron :</t>
  </si>
  <si>
    <r>
      <t>Thickness :  t = 0.06* ( Q</t>
    </r>
    <r>
      <rPr>
        <vertAlign val="subscript"/>
        <sz val="10"/>
        <rFont val="Arial"/>
        <family val="2"/>
      </rPr>
      <t xml:space="preserve">d 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 xml:space="preserve">1/3  </t>
    </r>
    <r>
      <rPr>
        <sz val="10"/>
        <rFont val="Arial"/>
        <family val="2"/>
      </rPr>
      <t>=</t>
    </r>
  </si>
  <si>
    <t>Inglis :</t>
  </si>
  <si>
    <t>( + Ve )     in the direction of flow</t>
  </si>
  <si>
    <t>( - Ve )     for reverse to flow  direction</t>
  </si>
  <si>
    <t>PE2 =</t>
  </si>
  <si>
    <t xml:space="preserve"> =PC1</t>
  </si>
  <si>
    <t>Calculation of Thickness of the R/S floor slab</t>
  </si>
  <si>
    <t xml:space="preserve"> At point  d/e/f,   t  =</t>
  </si>
  <si>
    <t>(C/S water retension head  X Pressure percentage )</t>
  </si>
  <si>
    <t>At point  a/b/c,   t  =</t>
  </si>
  <si>
    <t>(R/S water retension head X Pressure percentage )</t>
  </si>
  <si>
    <t>Depth of c/s cutoff (rear end)   =</t>
  </si>
  <si>
    <t>Depth of C/S cutoff (rear end) =</t>
  </si>
  <si>
    <t>Depth of R/S cutoff (rear end)  =</t>
  </si>
  <si>
    <r>
      <t xml:space="preserve">a) </t>
    </r>
    <r>
      <rPr>
        <b/>
        <sz val="10"/>
        <color rgb="FFFF0000"/>
        <rFont val="Arial"/>
        <family val="2"/>
      </rPr>
      <t>R/S Floor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 xml:space="preserve"> : Considering water in C/S  &amp;  dry in R/S (Pre/Post- monsoon)</t>
    </r>
  </si>
  <si>
    <t>E1 ( 100%)</t>
  </si>
  <si>
    <t>C2 (0 %)</t>
  </si>
  <si>
    <t>i) Pressure at C/S (Upstream) cutoff :</t>
  </si>
  <si>
    <t>ii) Pressure at R/S  (downstream)  cutoff :</t>
  </si>
  <si>
    <t>i) Pressure on R/S  Cutoff :</t>
  </si>
  <si>
    <t xml:space="preserve">ii) Pressure on C/S Cutoff </t>
  </si>
  <si>
    <t>Calculation of Thickness of the C/S floor slab</t>
  </si>
  <si>
    <r>
      <t>Correction for PE</t>
    </r>
    <r>
      <rPr>
        <b/>
        <u/>
        <sz val="7"/>
        <rFont val="Arial"/>
        <family val="2"/>
      </rPr>
      <t>2</t>
    </r>
  </si>
  <si>
    <t xml:space="preserve">Case 1 :  When C/S Water Level is higher than R/S Water Level </t>
  </si>
  <si>
    <t>Crest level=</t>
  </si>
  <si>
    <r>
      <rPr>
        <sz val="10"/>
        <rFont val="Calibri"/>
        <family val="2"/>
      </rPr>
      <t>P</t>
    </r>
    <r>
      <rPr>
        <sz val="10"/>
        <rFont val="Arial"/>
        <family val="2"/>
      </rPr>
      <t>D  = COS-1 (1 - 1 / λ ) / π  =</t>
    </r>
  </si>
  <si>
    <t>m ( dist between sheetpile)</t>
  </si>
  <si>
    <t>G. Calculation of Hydraulic Grade Line :</t>
  </si>
  <si>
    <t>Flap Gate</t>
  </si>
  <si>
    <t>VLG</t>
  </si>
  <si>
    <t>H.1  Concrete &amp; Earth load</t>
  </si>
  <si>
    <t>H.2   Water Load (down ward )</t>
  </si>
  <si>
    <t>H.3   Uplift</t>
  </si>
  <si>
    <t>H. 4   Horizontal Water Pressure :</t>
  </si>
  <si>
    <t>H.5  Summary of Loads and Pressures</t>
  </si>
  <si>
    <t>c) C/S Gate Part :</t>
  </si>
  <si>
    <t>C/S=</t>
  </si>
  <si>
    <t>R/S=</t>
  </si>
  <si>
    <t>Net Horizontal Water Pressure :</t>
  </si>
  <si>
    <t xml:space="preserve">I.1 ) Weight of Central Part : </t>
  </si>
  <si>
    <t>I. 2 ) Weight of R/ S Appron</t>
  </si>
  <si>
    <t>For Top slab :</t>
  </si>
  <si>
    <t>R2=</t>
  </si>
  <si>
    <t>Mc=</t>
  </si>
  <si>
    <t xml:space="preserve"> +M = Bot Tension</t>
  </si>
  <si>
    <t>M1 =</t>
  </si>
  <si>
    <t>R1=</t>
  </si>
  <si>
    <t>For Bottom slab :</t>
  </si>
  <si>
    <t>For Abutment :</t>
  </si>
  <si>
    <t>Note : Generally it was found that, max Moment &amp; Reaction comes from 1st Slab</t>
  </si>
  <si>
    <t xml:space="preserve">          But you should check the Moment Distribution sheet</t>
  </si>
  <si>
    <t xml:space="preserve">   for moment distribution of Deck Slab</t>
  </si>
  <si>
    <t>By Formula :</t>
  </si>
  <si>
    <t>( continous slab  )</t>
  </si>
  <si>
    <r>
      <t>Max Reinforcement Area, A</t>
    </r>
    <r>
      <rPr>
        <sz val="8"/>
        <rFont val="Arial"/>
        <family val="2"/>
      </rPr>
      <t xml:space="preserve">s   </t>
    </r>
    <r>
      <rPr>
        <sz val="10"/>
        <rFont val="Arial"/>
        <family val="2"/>
      </rPr>
      <t>= (M x 10^6) / (fs x j x d) =</t>
    </r>
  </si>
  <si>
    <t>m  (Height -  Deck Slab)</t>
  </si>
  <si>
    <t>Case 1 :  When C/S Water Level is higher than R/S Water Level</t>
  </si>
  <si>
    <t>Top of Barrel</t>
  </si>
  <si>
    <t xml:space="preserve">      Top of Barrel</t>
  </si>
  <si>
    <t>Below Barrel Top</t>
  </si>
  <si>
    <t>Slab</t>
  </si>
  <si>
    <t>WL &amp; HGL are of Monsoon</t>
  </si>
  <si>
    <t>Cantiliver above Barrel</t>
  </si>
  <si>
    <t>PIER</t>
  </si>
  <si>
    <t>WL &amp; HGL are of</t>
  </si>
  <si>
    <t>Generally no Deck Slab on R/S</t>
  </si>
  <si>
    <t>If needed use similar as C/S</t>
  </si>
  <si>
    <t>Hydraulic grade line assumed as</t>
  </si>
  <si>
    <t>Distance Between Sheet Pile =</t>
  </si>
  <si>
    <t>m, at end of Glacis point</t>
  </si>
  <si>
    <t>m, at start of C/S apron</t>
  </si>
  <si>
    <t xml:space="preserve">   a</t>
  </si>
  <si>
    <t>m(thickness at end)</t>
  </si>
  <si>
    <t>m, at end of Glacis point.</t>
  </si>
  <si>
    <t>m, at start of C/S apron.</t>
  </si>
  <si>
    <t>crt + a</t>
  </si>
  <si>
    <t>crt + b</t>
  </si>
  <si>
    <r>
      <rPr>
        <sz val="10"/>
        <color rgb="FFFF0000"/>
        <rFont val="Arial"/>
        <family val="2"/>
      </rPr>
      <t xml:space="preserve">Sec 2 </t>
    </r>
    <r>
      <rPr>
        <sz val="10"/>
        <rFont val="Arial"/>
        <family val="2"/>
      </rPr>
      <t>is at End of Glacis Point</t>
    </r>
  </si>
  <si>
    <r>
      <rPr>
        <sz val="10"/>
        <color rgb="FFFF0000"/>
        <rFont val="Arial"/>
        <family val="2"/>
      </rPr>
      <t>Sec 4</t>
    </r>
    <r>
      <rPr>
        <sz val="10"/>
        <rFont val="Arial"/>
        <family val="2"/>
      </rPr>
      <t xml:space="preserve"> is at End of Slope Part of Wall</t>
    </r>
  </si>
  <si>
    <r>
      <rPr>
        <sz val="10"/>
        <color rgb="FFFF0000"/>
        <rFont val="Arial"/>
        <family val="2"/>
      </rPr>
      <t>Sec 5</t>
    </r>
    <r>
      <rPr>
        <sz val="10"/>
        <rFont val="Arial"/>
        <family val="2"/>
      </rPr>
      <t xml:space="preserve"> is at End of R Wall</t>
    </r>
  </si>
  <si>
    <t>Calculation was done for maximum Head Condition</t>
  </si>
  <si>
    <r>
      <t xml:space="preserve">1st  50 %  Curtailment :   h =( 6 M /Ca </t>
    </r>
    <r>
      <rPr>
        <sz val="10"/>
        <rFont val="Calibri"/>
        <family val="2"/>
      </rPr>
      <t>Ƴ</t>
    </r>
    <r>
      <rPr>
        <sz val="10"/>
        <rFont val="Arial"/>
        <family val="2"/>
      </rPr>
      <t>sat )^1/3 =</t>
    </r>
  </si>
  <si>
    <t>Weight of Wall, WW =</t>
  </si>
  <si>
    <t>Centre Moment, Mc  = Me + F. B/4 - ( WW + S )( B - t )/2  =</t>
  </si>
  <si>
    <t>Weight of Backfill Soil, S=</t>
  </si>
  <si>
    <t>Height of Wall, h =</t>
  </si>
  <si>
    <t>Weight of Inside Water, W=</t>
  </si>
  <si>
    <t>Centre Moment, Mc = Me + F. B/4 - ( WW + S )( B - t )/2  =</t>
  </si>
  <si>
    <t>Centre Moment, Mc = Me + F. B/4 - ( WW + S )( B - t )/2 -W. b/4 =</t>
  </si>
  <si>
    <t>Foundation Pressure, F = WW+S =</t>
  </si>
  <si>
    <t>Foundation Pressure, F = WW+S  =</t>
  </si>
  <si>
    <t>[  x  =  (-b ± SQRT (b2-4ac)) / 2a   ]</t>
  </si>
  <si>
    <t>So, considering wall weight,  Net Thickness of Floor, from uplift  =</t>
  </si>
  <si>
    <t>Steel after 50% curtailment =</t>
  </si>
  <si>
    <r>
      <t>Mx =  (x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/2)</t>
    </r>
    <r>
      <rPr>
        <sz val="10"/>
        <rFont val="Arial"/>
        <family val="2"/>
      </rPr>
      <t xml:space="preserve"> F/(B/2)  - (WW+S) (x-t/2)  + Me</t>
    </r>
  </si>
  <si>
    <t>Assume 50 % Moment at a dist x,  then</t>
  </si>
  <si>
    <t>Resisting moment for this Steel, Mx =</t>
  </si>
  <si>
    <r>
      <t>F/(B/2)  x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  - (WW+S) 2x + { (WW+S) t + 2Me - 2Mx } = 0</t>
    </r>
  </si>
  <si>
    <t xml:space="preserve"> [  x  =  (-b -SQRT (b2-4ac)) / 2a  ]</t>
  </si>
  <si>
    <t>Moment for Steel on Exposed face =</t>
  </si>
  <si>
    <t>Vertical steel on exposed face, As=(Mx 10^6) / (fs  j  d)=</t>
  </si>
  <si>
    <t>Trial y1 =</t>
  </si>
  <si>
    <t>Rainforcement Distribution of C/S Wing Wall :</t>
  </si>
  <si>
    <t>Rainforcement Distribution of C/S Floor :</t>
  </si>
  <si>
    <t>(Outfall river HFL)</t>
  </si>
  <si>
    <t>(at Sheet pile)</t>
  </si>
  <si>
    <t>Toe of</t>
  </si>
  <si>
    <t>R wall=</t>
  </si>
  <si>
    <t>[  x  =  (-b - SQRT (b2-4ac)) / 2a   ]</t>
  </si>
  <si>
    <t>c/s</t>
  </si>
  <si>
    <t>RS Water</t>
  </si>
  <si>
    <t>Curtailment of RS R Wall :</t>
  </si>
  <si>
    <t>Curtailment of CS R Wall :</t>
  </si>
  <si>
    <t>crt + h</t>
  </si>
  <si>
    <t>Asc1=</t>
  </si>
  <si>
    <t>Asc2=</t>
  </si>
  <si>
    <t>H2. Structural Design for Returnwall</t>
  </si>
  <si>
    <t>H2. A ) Design of Stem of Return Wall</t>
  </si>
  <si>
    <t>H2. A ) Design of Base of Return Wall</t>
  </si>
  <si>
    <t>moment</t>
  </si>
  <si>
    <t>Case a</t>
  </si>
  <si>
    <t>Case b/c</t>
  </si>
  <si>
    <t>Case a Governing</t>
  </si>
  <si>
    <t>Bottom  =</t>
  </si>
  <si>
    <t>Weight =</t>
  </si>
  <si>
    <t>I. 3 ) Weight of C/ S Appron</t>
  </si>
  <si>
    <t>Floor Area =</t>
  </si>
  <si>
    <t>Slope of C/S glacis,               1:</t>
  </si>
  <si>
    <t>Slope of R/S glacis,               1:</t>
  </si>
  <si>
    <t>Slope of  Top of Wing Wall     1:</t>
  </si>
  <si>
    <r>
      <rPr>
        <sz val="10"/>
        <rFont val="Calibri"/>
        <family val="2"/>
      </rPr>
      <t>Δ</t>
    </r>
    <r>
      <rPr>
        <sz val="10.6"/>
        <rFont val="Arial"/>
        <family val="2"/>
      </rPr>
      <t xml:space="preserve"> t =</t>
    </r>
  </si>
  <si>
    <t>slope=</t>
  </si>
  <si>
    <t>Thickness at the end of R/S floor =</t>
  </si>
  <si>
    <t xml:space="preserve">m,  at sheetpile point. </t>
  </si>
  <si>
    <t>m, at sheetpile point.</t>
  </si>
  <si>
    <t>Thickness at the end of C/S floor =</t>
  </si>
  <si>
    <t>Note : Thickness at sec 5-5 has been provided at the end</t>
  </si>
  <si>
    <t>Floor Thickness at the end C/S Apron =</t>
  </si>
  <si>
    <t>Provide</t>
  </si>
  <si>
    <t>for Bottom reinforcement</t>
  </si>
  <si>
    <t>for Top reinforcement</t>
  </si>
  <si>
    <t xml:space="preserve"> - ve Moment at Centre</t>
  </si>
  <si>
    <t xml:space="preserve">50 % of  - ve Moment </t>
  </si>
  <si>
    <t xml:space="preserve"> -ve Moment at Centre =</t>
  </si>
  <si>
    <t xml:space="preserve">  50 % of -ve Moment  =</t>
  </si>
  <si>
    <t>Curtainment distance from Inner face of Wall =</t>
  </si>
  <si>
    <t>Dist from Inner face of Wall</t>
  </si>
  <si>
    <t>Curtailment distance from Inner face of Wall =</t>
  </si>
  <si>
    <t>Curtailment Dist from Wall</t>
  </si>
  <si>
    <t>This case will not occur in monsoon</t>
  </si>
  <si>
    <t>( for pre monsoon, W=0)</t>
  </si>
  <si>
    <t>Note  : When HGL or WL exceeds Wall Height then Wall Height is considered.</t>
  </si>
  <si>
    <t>Foundation Pressure, F = WW+S +W =</t>
  </si>
  <si>
    <t xml:space="preserve"> -ve Moment at centre may be minimized by simultaneous Backfilling with casting of Wall</t>
  </si>
  <si>
    <t xml:space="preserve"> (On operating deck)</t>
  </si>
  <si>
    <t>L=</t>
  </si>
  <si>
    <t>bottom :</t>
  </si>
  <si>
    <t>top:</t>
  </si>
  <si>
    <t>Catchment area, A     =</t>
  </si>
  <si>
    <t>ha        =</t>
  </si>
  <si>
    <t>10 day 10 year Rainfall =</t>
  </si>
  <si>
    <t>Drainage Modulus, DM   =</t>
  </si>
  <si>
    <t>mm/day</t>
  </si>
  <si>
    <t>( Fig 5, Page 4-12 , Vol 1, CIDA )</t>
  </si>
  <si>
    <t>When U/S WL Increases</t>
  </si>
  <si>
    <t>When D/S WL Increases</t>
  </si>
  <si>
    <t>C</t>
  </si>
  <si>
    <t>Discharge Equation</t>
  </si>
  <si>
    <t>Discharge</t>
  </si>
  <si>
    <t>Bot of stem Thickness =</t>
  </si>
  <si>
    <t>Floor Thickness =</t>
  </si>
  <si>
    <t>Flow Type 5 Completed</t>
  </si>
  <si>
    <t>With 20 % increase, Q =</t>
  </si>
  <si>
    <t>ha</t>
  </si>
  <si>
    <t>Period of Drainage =</t>
  </si>
  <si>
    <t>sec</t>
  </si>
  <si>
    <t>Volume of water =</t>
  </si>
  <si>
    <t>cum</t>
  </si>
  <si>
    <t>days   =</t>
  </si>
  <si>
    <t>HFL (River) =</t>
  </si>
  <si>
    <t>Embkt Crest Width =</t>
  </si>
  <si>
    <t>Trial start, y1=</t>
  </si>
  <si>
    <t>Water Lavel ( for Drainage ) :</t>
  </si>
  <si>
    <t>Pre Monsoon Water Lavel ( for Drainage ) :</t>
  </si>
  <si>
    <t>Post Monsoon Water Lavel ( for Drainage ) :</t>
  </si>
  <si>
    <t>Length of Inverted filter =</t>
  </si>
  <si>
    <t>U/S cutoff depth =</t>
  </si>
  <si>
    <t>Name of Regulator :</t>
  </si>
  <si>
    <t>R/S :</t>
  </si>
  <si>
    <t>C/S :</t>
  </si>
  <si>
    <t>F.  C/S Wing Wall :</t>
  </si>
  <si>
    <t>F1.  C/S Wing Wall :</t>
  </si>
  <si>
    <t>F2.  C/S Floor :</t>
  </si>
  <si>
    <t>G2. R/S Floor :</t>
  </si>
  <si>
    <t>Hell=</t>
  </si>
  <si>
    <t>Toe =</t>
  </si>
  <si>
    <t>I. R/S  RETURN WALL  :</t>
  </si>
  <si>
    <t>I1.  Wall</t>
  </si>
  <si>
    <t>I2.  Floor</t>
  </si>
  <si>
    <t xml:space="preserve">Spacing </t>
  </si>
  <si>
    <t>R/ S Appron</t>
  </si>
  <si>
    <t>C/ S Appron</t>
  </si>
  <si>
    <t>RS Return Wall</t>
  </si>
  <si>
    <t>CS Return Wall</t>
  </si>
  <si>
    <t>Foundation Pressure :</t>
  </si>
  <si>
    <t xml:space="preserve">C.  Barrel </t>
  </si>
  <si>
    <t>C1. Top Slab :</t>
  </si>
  <si>
    <t>D. C/S Gate Part :</t>
  </si>
  <si>
    <t>D4 .  C/S Base Slab</t>
  </si>
  <si>
    <t>E. R/S Gate Part :</t>
  </si>
  <si>
    <t>E4 .  R/S Base Slab</t>
  </si>
  <si>
    <t>Vertical Rod</t>
  </si>
  <si>
    <t xml:space="preserve">Discharge , Q  = </t>
  </si>
  <si>
    <t xml:space="preserve">H1 </t>
  </si>
  <si>
    <t xml:space="preserve">H2 </t>
  </si>
  <si>
    <t xml:space="preserve">D/H1 </t>
  </si>
  <si>
    <t xml:space="preserve">Ab </t>
  </si>
  <si>
    <t>Flow type =</t>
  </si>
  <si>
    <t>Design Pre-Monsoon Drainage Discharge =</t>
  </si>
  <si>
    <t>Design Post-Monsoon Drainage Discharge =</t>
  </si>
  <si>
    <r>
      <t xml:space="preserve">Q  = C b </t>
    </r>
    <r>
      <rPr>
        <sz val="7"/>
        <color rgb="FF0070C0"/>
        <rFont val="Arial"/>
        <family val="2"/>
      </rPr>
      <t xml:space="preserve"> </t>
    </r>
    <r>
      <rPr>
        <sz val="10"/>
        <color rgb="FF0070C0"/>
        <rFont val="Arial"/>
        <family val="2"/>
      </rPr>
      <t>H</t>
    </r>
    <r>
      <rPr>
        <vertAlign val="subscript"/>
        <sz val="10"/>
        <color rgb="FF0070C0"/>
        <rFont val="Arial"/>
        <family val="2"/>
      </rPr>
      <t>1</t>
    </r>
    <r>
      <rPr>
        <sz val="10"/>
        <color rgb="FF0070C0"/>
        <rFont val="Arial"/>
        <family val="2"/>
      </rPr>
      <t xml:space="preserve"> </t>
    </r>
    <r>
      <rPr>
        <vertAlign val="superscript"/>
        <sz val="10"/>
        <color rgb="FF0070C0"/>
        <rFont val="Arial"/>
        <family val="2"/>
      </rPr>
      <t>3/2</t>
    </r>
    <r>
      <rPr>
        <sz val="10"/>
        <color rgb="FF0070C0"/>
        <rFont val="Arial"/>
        <family val="2"/>
      </rPr>
      <t xml:space="preserve">  =</t>
    </r>
  </si>
  <si>
    <r>
      <t>H</t>
    </r>
    <r>
      <rPr>
        <vertAlign val="subscript"/>
        <sz val="10"/>
        <color rgb="FF0070C0"/>
        <rFont val="Arial"/>
        <family val="2"/>
      </rPr>
      <t>1</t>
    </r>
    <r>
      <rPr>
        <sz val="10"/>
        <color rgb="FF0070C0"/>
        <rFont val="Arial"/>
        <family val="2"/>
      </rPr>
      <t xml:space="preserve"> &lt; 1.5 D,  H</t>
    </r>
    <r>
      <rPr>
        <vertAlign val="subscript"/>
        <sz val="10"/>
        <color rgb="FF0070C0"/>
        <rFont val="Arial"/>
        <family val="2"/>
      </rPr>
      <t xml:space="preserve">2 </t>
    </r>
    <r>
      <rPr>
        <sz val="10"/>
        <color rgb="FF0070C0"/>
        <rFont val="Arial"/>
        <family val="2"/>
      </rPr>
      <t>&lt;= H</t>
    </r>
    <r>
      <rPr>
        <vertAlign val="subscript"/>
        <sz val="10"/>
        <color rgb="FF0070C0"/>
        <rFont val="Arial"/>
        <family val="2"/>
      </rPr>
      <t>c</t>
    </r>
    <r>
      <rPr>
        <sz val="10"/>
        <color rgb="FF0070C0"/>
        <rFont val="Arial"/>
        <family val="2"/>
      </rPr>
      <t xml:space="preserve">   </t>
    </r>
  </si>
  <si>
    <r>
      <t xml:space="preserve">Q  = C b </t>
    </r>
    <r>
      <rPr>
        <sz val="7"/>
        <color rgb="FF0070C0"/>
        <rFont val="Arial"/>
        <family val="2"/>
      </rPr>
      <t xml:space="preserve"> </t>
    </r>
    <r>
      <rPr>
        <sz val="10"/>
        <color rgb="FF0070C0"/>
        <rFont val="Arial"/>
        <family val="2"/>
      </rPr>
      <t>H</t>
    </r>
    <r>
      <rPr>
        <vertAlign val="subscript"/>
        <sz val="10"/>
        <color rgb="FF0070C0"/>
        <rFont val="Arial"/>
        <family val="2"/>
      </rPr>
      <t>2</t>
    </r>
    <r>
      <rPr>
        <sz val="10"/>
        <color rgb="FF0070C0"/>
        <rFont val="Arial"/>
        <family val="2"/>
      </rPr>
      <t xml:space="preserve"> </t>
    </r>
    <r>
      <rPr>
        <sz val="10"/>
        <color rgb="FF0070C0"/>
        <rFont val="Cambria"/>
        <family val="1"/>
      </rPr>
      <t>√ [ 2g  ΔH ]  =</t>
    </r>
  </si>
  <si>
    <r>
      <t>H</t>
    </r>
    <r>
      <rPr>
        <vertAlign val="subscript"/>
        <sz val="10"/>
        <color rgb="FF0070C0"/>
        <rFont val="Arial"/>
        <family val="2"/>
      </rPr>
      <t>1</t>
    </r>
    <r>
      <rPr>
        <sz val="10"/>
        <color rgb="FF0070C0"/>
        <rFont val="Arial"/>
        <family val="2"/>
      </rPr>
      <t xml:space="preserve"> &lt; 1.5 D,  H</t>
    </r>
    <r>
      <rPr>
        <vertAlign val="subscript"/>
        <sz val="10"/>
        <color rgb="FF0070C0"/>
        <rFont val="Arial"/>
        <family val="2"/>
      </rPr>
      <t xml:space="preserve">2 </t>
    </r>
    <r>
      <rPr>
        <sz val="10"/>
        <color rgb="FF0070C0"/>
        <rFont val="Arial"/>
        <family val="2"/>
      </rPr>
      <t>&gt; H</t>
    </r>
    <r>
      <rPr>
        <vertAlign val="subscript"/>
        <sz val="10"/>
        <color rgb="FF0070C0"/>
        <rFont val="Arial"/>
        <family val="2"/>
      </rPr>
      <t>c</t>
    </r>
    <r>
      <rPr>
        <sz val="10"/>
        <color rgb="FF0070C0"/>
        <rFont val="Arial"/>
        <family val="2"/>
      </rPr>
      <t xml:space="preserve">   </t>
    </r>
  </si>
  <si>
    <r>
      <t>Q  = C</t>
    </r>
    <r>
      <rPr>
        <sz val="7"/>
        <color rgb="FF0070C0"/>
        <rFont val="Arial"/>
        <family val="2"/>
      </rPr>
      <t>q</t>
    </r>
    <r>
      <rPr>
        <sz val="10"/>
        <color rgb="FF0070C0"/>
        <rFont val="Arial"/>
        <family val="2"/>
      </rPr>
      <t xml:space="preserve"> A</t>
    </r>
    <r>
      <rPr>
        <vertAlign val="subscript"/>
        <sz val="10"/>
        <color rgb="FF0070C0"/>
        <rFont val="Arial"/>
        <family val="2"/>
      </rPr>
      <t>b</t>
    </r>
    <r>
      <rPr>
        <sz val="10"/>
        <color rgb="FF0070C0"/>
        <rFont val="Arial"/>
        <family val="2"/>
      </rPr>
      <t xml:space="preserve">   </t>
    </r>
    <r>
      <rPr>
        <sz val="10"/>
        <color rgb="FF0070C0"/>
        <rFont val="Times New Roman"/>
        <family val="1"/>
      </rPr>
      <t>√</t>
    </r>
    <r>
      <rPr>
        <sz val="10"/>
        <color rgb="FF0070C0"/>
        <rFont val="Arial"/>
        <family val="2"/>
      </rPr>
      <t>2g H1 =</t>
    </r>
  </si>
  <si>
    <r>
      <t>H</t>
    </r>
    <r>
      <rPr>
        <vertAlign val="subscript"/>
        <sz val="10"/>
        <color rgb="FF0070C0"/>
        <rFont val="Arial"/>
        <family val="2"/>
      </rPr>
      <t>1</t>
    </r>
    <r>
      <rPr>
        <sz val="10"/>
        <color rgb="FF0070C0"/>
        <rFont val="Arial"/>
        <family val="2"/>
      </rPr>
      <t xml:space="preserve"> &gt;= 1.5 D,  H</t>
    </r>
    <r>
      <rPr>
        <vertAlign val="subscript"/>
        <sz val="10"/>
        <color rgb="FF0070C0"/>
        <rFont val="Arial"/>
        <family val="2"/>
      </rPr>
      <t xml:space="preserve">2 </t>
    </r>
    <r>
      <rPr>
        <sz val="10"/>
        <color rgb="FF0070C0"/>
        <rFont val="Arial"/>
        <family val="2"/>
      </rPr>
      <t xml:space="preserve">&lt;= D   </t>
    </r>
  </si>
  <si>
    <r>
      <t xml:space="preserve">Q = C A </t>
    </r>
    <r>
      <rPr>
        <sz val="10"/>
        <color rgb="FF0070C0"/>
        <rFont val="Times New Roman"/>
        <family val="1"/>
      </rPr>
      <t>√</t>
    </r>
    <r>
      <rPr>
        <sz val="10"/>
        <color rgb="FF0070C0"/>
        <rFont val="Arial"/>
        <family val="2"/>
      </rPr>
      <t xml:space="preserve">  2g  </t>
    </r>
    <r>
      <rPr>
        <sz val="10"/>
        <color rgb="FF0070C0"/>
        <rFont val="Times New Roman"/>
        <family val="1"/>
      </rPr>
      <t>Δ</t>
    </r>
    <r>
      <rPr>
        <sz val="10"/>
        <color rgb="FF0070C0"/>
        <rFont val="Arial"/>
        <family val="2"/>
      </rPr>
      <t>H =</t>
    </r>
  </si>
  <si>
    <r>
      <t>H</t>
    </r>
    <r>
      <rPr>
        <vertAlign val="subscript"/>
        <sz val="10"/>
        <color rgb="FF0070C0"/>
        <rFont val="Arial"/>
        <family val="2"/>
      </rPr>
      <t>1</t>
    </r>
    <r>
      <rPr>
        <sz val="10"/>
        <color rgb="FF0070C0"/>
        <rFont val="Arial"/>
        <family val="2"/>
      </rPr>
      <t xml:space="preserve"> &gt;  D,  H</t>
    </r>
    <r>
      <rPr>
        <vertAlign val="subscript"/>
        <sz val="10"/>
        <color rgb="FF0070C0"/>
        <rFont val="Arial"/>
        <family val="2"/>
      </rPr>
      <t xml:space="preserve">2 </t>
    </r>
    <r>
      <rPr>
        <sz val="10"/>
        <color rgb="FF0070C0"/>
        <rFont val="Arial"/>
        <family val="2"/>
      </rPr>
      <t xml:space="preserve">&gt; D   </t>
    </r>
  </si>
  <si>
    <t xml:space="preserve"> For Flow condition  3   </t>
  </si>
  <si>
    <t>Post Monsoon Flushing :</t>
  </si>
  <si>
    <t>Monsoon Flushing :</t>
  </si>
  <si>
    <t>inch     =</t>
  </si>
  <si>
    <t>(IECO Master Plan,1964)</t>
  </si>
  <si>
    <t>Design Post-Monsoon Flushing Discharge =</t>
  </si>
  <si>
    <t>a) Pre Monsoon Drainage :</t>
  </si>
  <si>
    <t>b) Post Monsoon Drainage :</t>
  </si>
  <si>
    <t>Water Lavel ( for Flushing ) :</t>
  </si>
  <si>
    <t>Monsoon :</t>
  </si>
  <si>
    <t xml:space="preserve">Design Discharge , Q  = </t>
  </si>
  <si>
    <t>Post Monsoon Drainage Discharge :</t>
  </si>
  <si>
    <t>Pre Monsoon Drainage Discharge :</t>
  </si>
  <si>
    <t>Drop in D/S Gate Part =</t>
  </si>
  <si>
    <t>Av. Depth of Water =</t>
  </si>
  <si>
    <t>Discharge,Q  = DM * A / 8640  =</t>
  </si>
  <si>
    <r>
      <t>A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</si>
  <si>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t>Possible Drainage Discharge under different Flow condition :</t>
  </si>
  <si>
    <t>B3. Summery from different Flow Type :  ( from Drainage )</t>
  </si>
  <si>
    <t>Vent width on C/S (inner) =</t>
  </si>
  <si>
    <r>
      <t xml:space="preserve">Width on C/S </t>
    </r>
    <r>
      <rPr>
        <sz val="8"/>
        <color rgb="FF7030A0"/>
        <rFont val="Arial"/>
        <family val="2"/>
      </rPr>
      <t xml:space="preserve">( between abutment ) </t>
    </r>
    <r>
      <rPr>
        <sz val="10"/>
        <color rgb="FF7030A0"/>
        <rFont val="Arial"/>
        <family val="2"/>
      </rPr>
      <t xml:space="preserve"> = </t>
    </r>
  </si>
  <si>
    <t>Vent width on R/S (outer)=</t>
  </si>
  <si>
    <t>Post Monsoon : C/S water level =</t>
  </si>
  <si>
    <t>Water Depth of  on C/S =</t>
  </si>
  <si>
    <t xml:space="preserve">B4. Calculation of Hydraulic Jump :  Post Monsoon Flushing  :  </t>
  </si>
  <si>
    <t>crt + i</t>
  </si>
  <si>
    <t>crt   i</t>
  </si>
  <si>
    <t>Special Case</t>
  </si>
  <si>
    <t>crt   j</t>
  </si>
  <si>
    <t xml:space="preserve">B5. Calculation of Hydraulic Jump :  Monsoon Flushing  :  </t>
  </si>
  <si>
    <t>crt + j</t>
  </si>
  <si>
    <t>Monsoon : C/S water level =</t>
  </si>
  <si>
    <t>B. Design of R/S Basin  :</t>
  </si>
  <si>
    <t>B1. Pre Monsoon Drainage :</t>
  </si>
  <si>
    <t>B2. Post Monsoon Drainage :</t>
  </si>
  <si>
    <t xml:space="preserve">Flow Type = </t>
  </si>
  <si>
    <t>C. Design of C/S Basin  :</t>
  </si>
  <si>
    <t xml:space="preserve">Flow Type =  </t>
  </si>
  <si>
    <t xml:space="preserve">C1.  Post Monsoon Flushing  :  </t>
  </si>
  <si>
    <t>B4. Design Of Stilling Basin (R/S) :</t>
  </si>
  <si>
    <t>A.1  Drainage Discharge :</t>
  </si>
  <si>
    <t>b)  Post Monsoon Drainage :</t>
  </si>
  <si>
    <t>A.2  Flushing Discharge :</t>
  </si>
  <si>
    <t>a)  Post Monsoon Flushing :</t>
  </si>
  <si>
    <t>b)  Monsoon Flushing :</t>
  </si>
  <si>
    <t xml:space="preserve">C2.  Monsoon Flushing  :  </t>
  </si>
  <si>
    <t>Flow Type =</t>
  </si>
  <si>
    <t>Generally Gates are closed during Monsoon. So, output from monsoon should not be considered.</t>
  </si>
  <si>
    <t>C4. Design Of Stilling Basin (C/S) :</t>
  </si>
  <si>
    <t>Provided Angle of flaring of C/S wing wall   =</t>
  </si>
  <si>
    <t xml:space="preserve">a) R/S   :  </t>
  </si>
  <si>
    <t xml:space="preserve">b) C/S   :  </t>
  </si>
  <si>
    <t>Scour Depth = 1.5 R =</t>
  </si>
  <si>
    <t>Min cutoff depth =</t>
  </si>
  <si>
    <r>
      <t>Scour Depth, R = 1.35 (q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/f)</t>
    </r>
    <r>
      <rPr>
        <vertAlign val="superscript"/>
        <sz val="10"/>
        <rFont val="Arial"/>
        <family val="2"/>
      </rPr>
      <t>1/3</t>
    </r>
    <r>
      <rPr>
        <sz val="10"/>
        <rFont val="Arial"/>
        <family val="2"/>
      </rPr>
      <t xml:space="preserve">  =</t>
    </r>
  </si>
  <si>
    <t xml:space="preserve">C3. Summery of Different Flushing Flow : </t>
  </si>
  <si>
    <t>Monsoon Flushing considered?</t>
  </si>
  <si>
    <r>
      <t>h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/ y</t>
    </r>
    <r>
      <rPr>
        <vertAlign val="subscript"/>
        <sz val="10"/>
        <rFont val="Arial"/>
        <family val="2"/>
      </rPr>
      <t>1</t>
    </r>
  </si>
  <si>
    <r>
      <t>h</t>
    </r>
    <r>
      <rPr>
        <vertAlign val="subscript"/>
        <sz val="10"/>
        <rFont val="Arial"/>
        <family val="2"/>
      </rPr>
      <t xml:space="preserve">4 </t>
    </r>
    <r>
      <rPr>
        <sz val="10"/>
        <rFont val="Arial"/>
        <family val="2"/>
      </rPr>
      <t>/y</t>
    </r>
    <r>
      <rPr>
        <vertAlign val="subscript"/>
        <sz val="10"/>
        <rFont val="Arial"/>
        <family val="2"/>
      </rPr>
      <t>1</t>
    </r>
  </si>
  <si>
    <t>Drainage Discharge , Q  =</t>
  </si>
  <si>
    <t>Flushing Discharge , Q  =</t>
  </si>
  <si>
    <t>ac,  Outside Area =</t>
  </si>
  <si>
    <t>Total Area</t>
  </si>
  <si>
    <t>But, due to poor operation or Damaged Gate, Monsoon Flushing may occur.</t>
  </si>
  <si>
    <t>Av. Polder GL =</t>
  </si>
  <si>
    <t>Pre-monsoon   1</t>
  </si>
  <si>
    <t>Possible reduction in Zr,  m</t>
  </si>
  <si>
    <t>Possible reduction in   Zr</t>
  </si>
  <si>
    <t>Head wall</t>
  </si>
  <si>
    <t>Barrel</t>
  </si>
  <si>
    <t>WingWall</t>
  </si>
  <si>
    <t xml:space="preserve">° </t>
  </si>
  <si>
    <t>Gate Part</t>
  </si>
  <si>
    <r>
      <t xml:space="preserve">For Backfilling soil ,  </t>
    </r>
    <r>
      <rPr>
        <b/>
        <sz val="10"/>
        <color theme="0" tint="-4.9989318521683403E-2"/>
        <rFont val="Times New Roman"/>
        <family val="1"/>
      </rPr>
      <t>φ</t>
    </r>
    <r>
      <rPr>
        <b/>
        <sz val="10"/>
        <color theme="0" tint="-4.9989318521683403E-2"/>
        <rFont val="Arial"/>
        <family val="2"/>
      </rPr>
      <t xml:space="preserve"> =</t>
    </r>
  </si>
  <si>
    <t xml:space="preserve">Foundation Pressure </t>
  </si>
  <si>
    <t>at Central Part :</t>
  </si>
  <si>
    <t>Wall</t>
  </si>
  <si>
    <t>Side Slope of Diversion Channel =           1:</t>
  </si>
  <si>
    <t>Limit =</t>
  </si>
  <si>
    <t>Bottom Binder of Top Slab of Barrel :</t>
  </si>
  <si>
    <t xml:space="preserve">Vertical Rod of Exoposed  of Head Wall : </t>
  </si>
  <si>
    <t>will match with Bottom Binder Top Slab</t>
  </si>
  <si>
    <t>will match with Vertical Rod of Exoposed Face</t>
  </si>
  <si>
    <t>CS Gate</t>
  </si>
  <si>
    <t>RS Gate</t>
  </si>
  <si>
    <t>Binder of Abutment</t>
  </si>
  <si>
    <t>Binder of Pier</t>
  </si>
  <si>
    <t>C1 .  Deck Slab</t>
  </si>
  <si>
    <t>C2 . Abutment  (C/S ):</t>
  </si>
  <si>
    <t>C3 .  Pier (C/S)</t>
  </si>
  <si>
    <t xml:space="preserve">C3.1.  During Maintenance, water may be on one side of pier &amp; dry on other side </t>
  </si>
  <si>
    <t>C 3.2.  Design as cantilever beam against earth pressure behind headwall</t>
  </si>
  <si>
    <t>C2.2 )  Design as cantilever beam against earth pressure behind headwall</t>
  </si>
  <si>
    <t>C2.1  Earth Pressure on the back of Abutment :</t>
  </si>
  <si>
    <t>D1 .  Deck Slab (R/S) :</t>
  </si>
  <si>
    <t>D2 . Abutment  (R/S) :</t>
  </si>
  <si>
    <t>D2.1  Earth Pressure on the back of Abutment :</t>
  </si>
  <si>
    <t>D2.2 )  Design as cantilever beam against earth pressure behind headwall</t>
  </si>
  <si>
    <t>D3 .  Pier (R/S)</t>
  </si>
  <si>
    <t xml:space="preserve">D3.1.  During Maintenance, water may be on one side of pier &amp; dry on other side </t>
  </si>
  <si>
    <t>D3.2.  Design as cantilever beam against earth pressure behind headwall</t>
  </si>
  <si>
    <t>( Moment distribution for Deck slab )</t>
  </si>
  <si>
    <t>Reinforcement Distribution for R/S Deck Slab :</t>
  </si>
  <si>
    <t>Reinforcement Distribution for R/S  Abutment Wall :</t>
  </si>
  <si>
    <t>Reinforcement Distribution for R/S Pier  :</t>
  </si>
  <si>
    <t>Reinforcement Distribution for C/S Pier :</t>
  </si>
  <si>
    <t>Reinforcement Distribution for C/S Abutment Wall :</t>
  </si>
  <si>
    <t>Reinforcement Distribution for C/S Deck Slab :</t>
  </si>
  <si>
    <t>Reinforcement Distribution for R/S Extended Part  ( Floor ) :</t>
  </si>
  <si>
    <t>D1 .  C/S Deck Slab</t>
  </si>
  <si>
    <t>D2 . C/S Abutment :</t>
  </si>
  <si>
    <t>D3 .  C/S Pier</t>
  </si>
  <si>
    <t>E1 .  R/S Deck Slab</t>
  </si>
  <si>
    <t>E2 . R/S  Abutment :</t>
  </si>
  <si>
    <t>E3 .  R/S Pier</t>
  </si>
  <si>
    <t>E.5) Section :</t>
  </si>
  <si>
    <t>F.3) Section  :</t>
  </si>
  <si>
    <t>F.5) Section-</t>
  </si>
  <si>
    <t>C2. Abutment :</t>
  </si>
  <si>
    <t>C3. Pier :</t>
  </si>
  <si>
    <t>C4. Bottom Slab :</t>
  </si>
  <si>
    <t>C/S End</t>
  </si>
  <si>
    <t>R/S End</t>
  </si>
  <si>
    <t>Toe of R wall=</t>
  </si>
  <si>
    <t>Total Width =</t>
  </si>
  <si>
    <t>2nd Curt.=</t>
  </si>
  <si>
    <t>1st Curt.=</t>
  </si>
  <si>
    <t>Bottom =</t>
  </si>
  <si>
    <t>Wall Thickness :</t>
  </si>
  <si>
    <t>G. C/S  RETURN WALL  :</t>
  </si>
  <si>
    <t>G1.  Wall</t>
  </si>
  <si>
    <t>G2.  Floor</t>
  </si>
  <si>
    <t>H.  R/S Wing Wall :</t>
  </si>
  <si>
    <t>H1.  R/S Wing Wall :</t>
  </si>
  <si>
    <t>Bottom :</t>
  </si>
  <si>
    <t>Top:</t>
  </si>
  <si>
    <r>
      <t>Width(</t>
    </r>
    <r>
      <rPr>
        <sz val="8"/>
        <rFont val="Arial"/>
        <family val="2"/>
      </rPr>
      <t>iner</t>
    </r>
    <r>
      <rPr>
        <sz val="10"/>
        <rFont val="Arial"/>
        <family val="2"/>
      </rPr>
      <t>)</t>
    </r>
  </si>
  <si>
    <t>Res  M</t>
  </si>
  <si>
    <t>Provided :</t>
  </si>
  <si>
    <t>Top Main</t>
  </si>
  <si>
    <t>Bot Main</t>
  </si>
  <si>
    <t>Earth Ver</t>
  </si>
  <si>
    <t>C/S Wing Wall :</t>
  </si>
  <si>
    <t>Data From "CS Wing"  Sheet</t>
  </si>
  <si>
    <t>Data Written by Macro :</t>
  </si>
  <si>
    <t>crt  k</t>
  </si>
  <si>
    <t>Floor</t>
  </si>
  <si>
    <t>R/S Wing Wall :</t>
  </si>
  <si>
    <t>crt  l</t>
  </si>
  <si>
    <t>Data From "RS Wing"  Sheet</t>
  </si>
  <si>
    <t>Pre-monsoon</t>
  </si>
  <si>
    <t>Earth  Vertical</t>
  </si>
  <si>
    <t>Res.  M</t>
  </si>
  <si>
    <t>Steel Provided</t>
  </si>
  <si>
    <t>Resisting M</t>
  </si>
  <si>
    <t>Checking the curtailment</t>
  </si>
  <si>
    <t>Maximum Bottom Moment at Centre =</t>
  </si>
  <si>
    <t>Steel after 50 % Curt ailment</t>
  </si>
  <si>
    <t>As reqd. for Centre Moment</t>
  </si>
  <si>
    <t>When Mx &gt; Me --------&gt; x is -ve</t>
  </si>
  <si>
    <t>This is for excess floor thickness</t>
  </si>
  <si>
    <t>&amp; exces reinforcement.</t>
  </si>
  <si>
    <t>Maximum Moment at Centre for Top Tension =</t>
  </si>
  <si>
    <t>Spacing after curtail</t>
  </si>
  <si>
    <t>Length of Top  Rod after curtailment =</t>
  </si>
  <si>
    <t>Inner Width of Floor between Wall=</t>
  </si>
  <si>
    <t>Want Macro data(y)</t>
  </si>
  <si>
    <t>from end</t>
  </si>
  <si>
    <t>Location of 50 % of Top Tension Moment of Center</t>
  </si>
  <si>
    <t xml:space="preserve"> - ve Moment at Centre =</t>
  </si>
  <si>
    <t>Minimum Length of curtailment from end =</t>
  </si>
  <si>
    <t xml:space="preserve">  50 % of -ve Moment, Mx  =</t>
  </si>
  <si>
    <t>50 % of  - ve Moment , Mx =</t>
  </si>
  <si>
    <t>50 % of  - ve Moment , Mx  =</t>
  </si>
  <si>
    <t xml:space="preserve"> - ve Moment at Centre  =</t>
  </si>
  <si>
    <t xml:space="preserve"> -ve Moment at Centre, Mx  =</t>
  </si>
  <si>
    <t xml:space="preserve">Pile foundation </t>
  </si>
  <si>
    <t>Embandment of Pile  (mm)  =</t>
  </si>
  <si>
    <t>Depth,  d(with pile) =</t>
  </si>
  <si>
    <t xml:space="preserve">Depth ( witrh pile ) = </t>
  </si>
  <si>
    <t xml:space="preserve">Depth ( with pile ) = </t>
  </si>
  <si>
    <t>(with pile)</t>
  </si>
  <si>
    <t>d (with pile) =</t>
  </si>
  <si>
    <t>n</t>
  </si>
  <si>
    <t>C/S  Return Wall :</t>
  </si>
  <si>
    <t>R/S Return Wall :</t>
  </si>
  <si>
    <t>VLG on C/S &amp; FG on R/S</t>
  </si>
  <si>
    <r>
      <rPr>
        <b/>
        <sz val="10"/>
        <color rgb="FFFF0000"/>
        <rFont val="Arial"/>
        <family val="2"/>
      </rPr>
      <t xml:space="preserve">Gate Type 1 </t>
    </r>
    <r>
      <rPr>
        <b/>
        <sz val="10"/>
        <color rgb="FF0000FF"/>
        <rFont val="Arial"/>
        <family val="2"/>
      </rPr>
      <t xml:space="preserve">:  </t>
    </r>
  </si>
  <si>
    <t>C/S  : Vertical Lift Gate</t>
  </si>
  <si>
    <t>R/S :  Flap Gate</t>
  </si>
  <si>
    <t>R/S :  Vertical Lift Gate</t>
  </si>
  <si>
    <t>C/S  : No Flap Gate</t>
  </si>
  <si>
    <t xml:space="preserve">Gate Type 2 : </t>
  </si>
  <si>
    <t>Size of Pitching Block =</t>
  </si>
  <si>
    <t>mm    x</t>
  </si>
  <si>
    <t>max of pre M  &amp; post M</t>
  </si>
  <si>
    <t>Selection</t>
  </si>
  <si>
    <t>Flow Type  :</t>
  </si>
  <si>
    <t>I. 3 ) Weight of R/S Return Wall :</t>
  </si>
  <si>
    <t>Weight per meter =</t>
  </si>
  <si>
    <t>Max  Foundation Pressure =</t>
  </si>
  <si>
    <t>I. 3 ) Weight of C/S Return Wall :</t>
  </si>
  <si>
    <t>C/S Return Wall :</t>
  </si>
  <si>
    <t>R / S Appron :</t>
  </si>
  <si>
    <t>C / S Appron  :</t>
  </si>
  <si>
    <t>Koitala Construction Division</t>
  </si>
  <si>
    <t>C/S Apron =</t>
  </si>
  <si>
    <t>2/3 of   R/S apron when no flushing =</t>
  </si>
  <si>
    <t>Calculated Length of Floor after Glacis=</t>
  </si>
  <si>
    <t>m (from Geometry)</t>
  </si>
  <si>
    <t>Length of Floor after Glacis provided =</t>
  </si>
  <si>
    <t>Minimum Length of R/S Floor after Glacis=</t>
  </si>
  <si>
    <t>R/S Apron =</t>
  </si>
  <si>
    <t>Minimum Length of C/S Floor after Glacis=</t>
  </si>
  <si>
    <t>Use same length as R/S Floor =</t>
  </si>
  <si>
    <t>cumec, ( may be same as pre monsoon drainage discharge)</t>
  </si>
  <si>
    <r>
      <t>Ec</t>
    </r>
    <r>
      <rPr>
        <sz val="10"/>
        <rFont val="Arial"/>
        <family val="2"/>
      </rPr>
      <t xml:space="preserve"> + Zr   =   Y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+</t>
    </r>
  </si>
  <si>
    <t>Ec = 1.5 Yc</t>
  </si>
  <si>
    <t>L.H.S = Ec + Zr</t>
  </si>
  <si>
    <t>Yc</t>
  </si>
  <si>
    <r>
      <t xml:space="preserve">Ec + Zr   </t>
    </r>
    <r>
      <rPr>
        <sz val="14"/>
        <rFont val="Arial"/>
        <family val="2"/>
      </rPr>
      <t>=</t>
    </r>
    <r>
      <rPr>
        <sz val="12"/>
        <rFont val="Arial"/>
        <family val="2"/>
      </rPr>
      <t xml:space="preserve">   Y</t>
    </r>
    <r>
      <rPr>
        <vertAlign val="subscript"/>
        <sz val="12"/>
        <rFont val="Arial"/>
        <family val="2"/>
      </rPr>
      <t>1</t>
    </r>
    <r>
      <rPr>
        <sz val="12"/>
        <rFont val="Arial"/>
        <family val="2"/>
      </rPr>
      <t xml:space="preserve"> +</t>
    </r>
  </si>
  <si>
    <r>
      <t xml:space="preserve">Applying Bernoullis Equation between  section </t>
    </r>
    <r>
      <rPr>
        <b/>
        <sz val="10"/>
        <rFont val="Arial"/>
        <family val="2"/>
      </rPr>
      <t>c - c</t>
    </r>
    <r>
      <rPr>
        <sz val="10"/>
        <rFont val="Arial"/>
        <family val="2"/>
      </rPr>
      <t xml:space="preserve"> &amp; section </t>
    </r>
    <r>
      <rPr>
        <b/>
        <sz val="10"/>
        <rFont val="Arial"/>
        <family val="2"/>
      </rPr>
      <t>1 - 1</t>
    </r>
    <r>
      <rPr>
        <sz val="10"/>
        <rFont val="Arial"/>
        <family val="2"/>
      </rPr>
      <t xml:space="preserve"> .</t>
    </r>
  </si>
  <si>
    <t>Ec = 1.5 Yc =</t>
  </si>
  <si>
    <t xml:space="preserve">m </t>
  </si>
  <si>
    <r>
      <t>By trial,   y</t>
    </r>
    <r>
      <rPr>
        <sz val="7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</si>
  <si>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t xml:space="preserve">Froud number at sec </t>
    </r>
    <r>
      <rPr>
        <b/>
        <sz val="10"/>
        <rFont val="Arial"/>
        <family val="2"/>
      </rPr>
      <t>1-1</t>
    </r>
    <r>
      <rPr>
        <sz val="10"/>
        <rFont val="Arial"/>
        <family val="2"/>
      </rPr>
      <t xml:space="preserve"> , F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=V</t>
    </r>
    <r>
      <rPr>
        <vertAlign val="subscript"/>
        <sz val="10"/>
        <rFont val="Arial"/>
        <family val="2"/>
      </rPr>
      <t xml:space="preserve">1 </t>
    </r>
    <r>
      <rPr>
        <sz val="10"/>
        <rFont val="Arial"/>
        <family val="2"/>
      </rPr>
      <t>/ (g y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0.5</t>
    </r>
    <r>
      <rPr>
        <sz val="10"/>
        <rFont val="Arial"/>
        <family val="2"/>
      </rPr>
      <t xml:space="preserve">  =</t>
    </r>
  </si>
  <si>
    <r>
      <t>So , Post jump depth, y</t>
    </r>
    <r>
      <rPr>
        <sz val="6"/>
        <rFont val="Arial"/>
        <family val="2"/>
      </rPr>
      <t>2</t>
    </r>
    <r>
      <rPr>
        <sz val="10"/>
        <rFont val="Arial"/>
        <family val="2"/>
      </rPr>
      <t xml:space="preserve"> =</t>
    </r>
  </si>
  <si>
    <t>Floor witdh at section 1 - 1 , b1 =</t>
  </si>
  <si>
    <r>
      <t>By trial,  y</t>
    </r>
    <r>
      <rPr>
        <sz val="7"/>
        <rFont val="Arial"/>
        <family val="2"/>
      </rPr>
      <t>1</t>
    </r>
    <r>
      <rPr>
        <sz val="10"/>
        <rFont val="Arial"/>
        <family val="2"/>
      </rPr>
      <t xml:space="preserve"> =</t>
    </r>
  </si>
  <si>
    <t xml:space="preserve">Width on C/S ,b  = </t>
  </si>
  <si>
    <t>Width on C/S, b  =</t>
  </si>
  <si>
    <t>Hurasagar Sub Project</t>
  </si>
  <si>
    <t>Assume Depth over GL =</t>
  </si>
  <si>
    <t>Pre/Post Monsoon Flushing :</t>
  </si>
  <si>
    <t>Pre/Post Monsoon :</t>
  </si>
  <si>
    <t xml:space="preserve">Provided </t>
  </si>
  <si>
    <t>H1 decreases from   HFL to (near to) D</t>
  </si>
  <si>
    <t>Flow Type 1 Completed</t>
  </si>
  <si>
    <t>(Undular Jump)</t>
  </si>
  <si>
    <t>( Weak Jump)</t>
  </si>
  <si>
    <t>(Oscillating Jump)</t>
  </si>
  <si>
    <t>(Steady Jump)</t>
  </si>
  <si>
    <t>A. F = 1.00</t>
  </si>
  <si>
    <t>B.   F = 1.0 to  1.7</t>
  </si>
  <si>
    <t>C.   F= 1.7  to 2.5</t>
  </si>
  <si>
    <t>D.    F= 2.5  to 4.5</t>
  </si>
  <si>
    <t>E.   F = 4.5  to 9.0</t>
  </si>
  <si>
    <t>F.   F &gt;  9.0</t>
  </si>
  <si>
    <t>Strong Jump</t>
  </si>
  <si>
    <t>Flow is at critical depth and no Jump will occur.</t>
  </si>
  <si>
    <t>Area at Loose Apron =</t>
  </si>
  <si>
    <t>Velocity at Loose Apron, V =</t>
  </si>
  <si>
    <r>
      <t>Q  = C</t>
    </r>
    <r>
      <rPr>
        <sz val="7"/>
        <rFont val="Arial"/>
        <family val="2"/>
      </rPr>
      <t>q</t>
    </r>
    <r>
      <rPr>
        <sz val="10"/>
        <rFont val="Arial"/>
        <family val="2"/>
      </rPr>
      <t xml:space="preserve"> A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  </t>
    </r>
    <r>
      <rPr>
        <sz val="10"/>
        <rFont val="Times New Roman"/>
        <family val="1"/>
      </rPr>
      <t>√</t>
    </r>
    <r>
      <rPr>
        <sz val="10"/>
        <rFont val="Arial"/>
        <family val="2"/>
      </rPr>
      <t>2g H1</t>
    </r>
  </si>
  <si>
    <t>Upto  2D =</t>
  </si>
  <si>
    <t>Upto  HFL=</t>
  </si>
  <si>
    <t>for trial, max U/S WL=</t>
  </si>
  <si>
    <t xml:space="preserve">H1 assumed at HFL </t>
  </si>
  <si>
    <t xml:space="preserve">VLG on R/S &amp; C/S   </t>
  </si>
  <si>
    <t>kn  ( 1.15 P L /2 )</t>
  </si>
  <si>
    <t>Shear at base of head wall, V = 0.04 P L =</t>
  </si>
  <si>
    <t>Ps + Pa</t>
  </si>
  <si>
    <t>nos.</t>
  </si>
  <si>
    <t>Consider Whole Truck =</t>
  </si>
  <si>
    <t>crt  L</t>
  </si>
  <si>
    <t>No. of Truck at a time on slab =</t>
  </si>
  <si>
    <t>Consider an Intermediate Slab =</t>
  </si>
  <si>
    <t>Height of Earth above slab =</t>
  </si>
  <si>
    <t xml:space="preserve">Wt of Earth (extra top) = </t>
  </si>
  <si>
    <t>Weight of Ex Slab =</t>
  </si>
  <si>
    <t>Extra slab  Length  =</t>
  </si>
  <si>
    <t>Extra slab Width   =</t>
  </si>
  <si>
    <t>FS against Uplift =</t>
  </si>
  <si>
    <t>Thickness of slab =</t>
  </si>
  <si>
    <t>Consider an Extra Slab =</t>
  </si>
  <si>
    <t>Thickness of Extra Slab =</t>
  </si>
  <si>
    <t>Height of Earth above Extra slab =</t>
  </si>
  <si>
    <t>Sub Total =</t>
  </si>
  <si>
    <t>Weight of Extra Slab =</t>
  </si>
  <si>
    <t>Monsoon Scinerio</t>
  </si>
  <si>
    <t xml:space="preserve">C/S </t>
  </si>
  <si>
    <t>R/S of Embankment=</t>
  </si>
  <si>
    <t>C/S Gate Part =</t>
  </si>
  <si>
    <t>Length in flow direction :</t>
  </si>
  <si>
    <t>Length perpendicular to flow direction :</t>
  </si>
  <si>
    <t>Length of RS Return Wall (hn) =</t>
  </si>
  <si>
    <t>Length of CS Return Wall (hn) =</t>
  </si>
  <si>
    <t>R/S Gate Part =</t>
  </si>
  <si>
    <t xml:space="preserve">R/S apron  = </t>
  </si>
  <si>
    <t>R/S glacis =</t>
  </si>
  <si>
    <t>C/S of Embankment=</t>
  </si>
  <si>
    <t>(Critical Situation)</t>
  </si>
  <si>
    <t>( Not Critical )</t>
  </si>
  <si>
    <t xml:space="preserve">Seepage : </t>
  </si>
  <si>
    <t>Length of Barrel =</t>
  </si>
  <si>
    <t>Width of Barrel =</t>
  </si>
  <si>
    <t>Surface Area =</t>
  </si>
  <si>
    <t>No. of Truck at a time on Barrel =</t>
  </si>
  <si>
    <t>No. of Truck may pass side by side =</t>
  </si>
  <si>
    <t>No. of Truck may cross Barrel at a time =</t>
  </si>
  <si>
    <t>Crearance needed for a Truck in width =</t>
  </si>
  <si>
    <t>Crearance needed for a Truck in length =</t>
  </si>
  <si>
    <t>no.</t>
  </si>
  <si>
    <t>Gate &amp; Hoisting Load for this Regulator =</t>
  </si>
  <si>
    <t xml:space="preserve">Normally, Load from Gate &amp; Hoisting = </t>
  </si>
  <si>
    <t>nos. of Truck Load  : H 20    =</t>
  </si>
  <si>
    <t>Truck</t>
  </si>
  <si>
    <t>Backfill soil of Head Wall =</t>
  </si>
  <si>
    <t>rad    Ca =</t>
  </si>
  <si>
    <t>( upper part of Abutment above top slab of barrel )</t>
  </si>
  <si>
    <r>
      <t xml:space="preserve">For Backfilling soil ,  </t>
    </r>
    <r>
      <rPr>
        <sz val="10"/>
        <color rgb="FF0000FF"/>
        <rFont val="Times New Roman"/>
        <family val="1"/>
      </rPr>
      <t>φ</t>
    </r>
    <r>
      <rPr>
        <sz val="10"/>
        <color rgb="FF0000FF"/>
        <rFont val="Arial"/>
        <family val="2"/>
      </rPr>
      <t xml:space="preserve"> = </t>
    </r>
  </si>
  <si>
    <t>Excess shear stress to be taken by the Stirrup</t>
  </si>
  <si>
    <t>For 2 leged</t>
  </si>
  <si>
    <t>mm stirrup,   Av =</t>
  </si>
  <si>
    <t>mm c/c</t>
  </si>
  <si>
    <r>
      <t xml:space="preserve">mm </t>
    </r>
    <r>
      <rPr>
        <sz val="10"/>
        <color rgb="FF0000FF"/>
        <rFont val="Calibri"/>
        <family val="2"/>
      </rPr>
      <t>Ø</t>
    </r>
    <r>
      <rPr>
        <sz val="10"/>
        <color rgb="FF0000FF"/>
        <rFont val="Arial"/>
        <family val="2"/>
      </rPr>
      <t xml:space="preserve">  extra vertical rod at the corner of Abutment</t>
    </r>
  </si>
  <si>
    <r>
      <t xml:space="preserve">mm </t>
    </r>
    <r>
      <rPr>
        <sz val="10"/>
        <color rgb="FF0000FF"/>
        <rFont val="Calibri"/>
        <family val="2"/>
      </rPr>
      <t>Ø</t>
    </r>
    <r>
      <rPr>
        <sz val="10"/>
        <color rgb="FF0000FF"/>
        <rFont val="Arial"/>
        <family val="2"/>
      </rPr>
      <t xml:space="preserve">  extra vertical rod at the corner of Pier</t>
    </r>
  </si>
  <si>
    <t>Depth of Grouve for Gate =</t>
  </si>
  <si>
    <t>m  Effective width =</t>
  </si>
  <si>
    <t>`</t>
  </si>
  <si>
    <t>IL + D =</t>
  </si>
  <si>
    <t>IL + 1.5*D =</t>
  </si>
  <si>
    <t>IL + D/2 =</t>
  </si>
  <si>
    <t>C/S  WL :</t>
  </si>
  <si>
    <t>R/S  WL :</t>
  </si>
  <si>
    <t>( For R/S)</t>
  </si>
  <si>
    <t>( For C/S)</t>
  </si>
  <si>
    <t>Pre Monsoon : Assume Depth of Water on C/S GL =</t>
  </si>
  <si>
    <t>Post Monsoon : Assume Depth of Water on C/S GL =</t>
  </si>
  <si>
    <t>R/S  WL:</t>
  </si>
  <si>
    <t>Optimum Situation to determine Q. Use "b".</t>
  </si>
  <si>
    <t>(needed for irrigation or Environmental requirement)</t>
  </si>
  <si>
    <t>( HFL on R/S)</t>
  </si>
  <si>
    <t>m Water on C/S GL)</t>
  </si>
  <si>
    <t>Dry R/S</t>
  </si>
  <si>
    <t>HFL on R/S</t>
  </si>
  <si>
    <t>Dry GL</t>
  </si>
  <si>
    <t>Retention Level (m, PWD )</t>
  </si>
  <si>
    <t>Submergible Embankment ?</t>
  </si>
  <si>
    <t>(  1 in 20 yr )</t>
  </si>
  <si>
    <t>Koijuri Regulator</t>
  </si>
</sst>
</file>

<file path=xl/styles.xml><?xml version="1.0" encoding="utf-8"?>
<styleSheet xmlns="http://schemas.openxmlformats.org/spreadsheetml/2006/main">
  <numFmts count="6">
    <numFmt numFmtId="43" formatCode="_(* #,##0.00_);_(* \(#,##0.00\);_(* &quot;-&quot;??_);_(@_)"/>
    <numFmt numFmtId="164" formatCode="0.0"/>
    <numFmt numFmtId="165" formatCode="0.0000"/>
    <numFmt numFmtId="166" formatCode="0.000"/>
    <numFmt numFmtId="167" formatCode="0.00000"/>
    <numFmt numFmtId="168" formatCode="0.000000"/>
  </numFmts>
  <fonts count="14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2"/>
      <name val="Symbol"/>
      <family val="1"/>
      <charset val="2"/>
    </font>
    <font>
      <sz val="7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8"/>
      <color indexed="10"/>
      <name val="Arial"/>
      <family val="2"/>
    </font>
    <font>
      <sz val="12"/>
      <name val="Times New Roman"/>
      <family val="1"/>
    </font>
    <font>
      <vertAlign val="subscript"/>
      <sz val="12"/>
      <name val="Times New Roman"/>
      <family val="1"/>
    </font>
    <font>
      <b/>
      <sz val="10"/>
      <color indexed="10"/>
      <name val="Arial"/>
      <family val="2"/>
    </font>
    <font>
      <b/>
      <u/>
      <sz val="10"/>
      <name val="Arial"/>
      <family val="2"/>
    </font>
    <font>
      <sz val="6"/>
      <name val="Arial"/>
      <family val="2"/>
    </font>
    <font>
      <sz val="10"/>
      <color indexed="61"/>
      <name val="Arial"/>
      <family val="2"/>
    </font>
    <font>
      <sz val="5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sz val="8"/>
      <color indexed="12"/>
      <name val="Arial"/>
      <family val="2"/>
    </font>
    <font>
      <b/>
      <u/>
      <sz val="6"/>
      <name val="Arial"/>
      <family val="2"/>
    </font>
    <font>
      <sz val="9"/>
      <color indexed="12"/>
      <name val="Arial"/>
      <family val="2"/>
    </font>
    <font>
      <b/>
      <u/>
      <sz val="11"/>
      <name val="Arial"/>
      <family val="2"/>
    </font>
    <font>
      <sz val="9"/>
      <color indexed="10"/>
      <name val="Arial"/>
      <family val="2"/>
    </font>
    <font>
      <b/>
      <u/>
      <sz val="11"/>
      <color indexed="12"/>
      <name val="Arial"/>
      <family val="2"/>
    </font>
    <font>
      <sz val="10"/>
      <color indexed="63"/>
      <name val="Arial"/>
      <family val="2"/>
    </font>
    <font>
      <sz val="10"/>
      <name val="Symbol"/>
      <family val="1"/>
      <charset val="2"/>
    </font>
    <font>
      <sz val="12"/>
      <name val="Arial"/>
      <family val="2"/>
    </font>
    <font>
      <b/>
      <i/>
      <sz val="11"/>
      <name val="Arial"/>
      <family val="2"/>
    </font>
    <font>
      <vertAlign val="subscript"/>
      <sz val="14"/>
      <name val="Times New Roman"/>
      <family val="1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vertAlign val="superscript"/>
      <sz val="12"/>
      <name val="Times New Roman"/>
      <family val="1"/>
    </font>
    <font>
      <b/>
      <sz val="10"/>
      <color indexed="48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b/>
      <sz val="10"/>
      <color rgb="FF0000FF"/>
      <name val="Arial"/>
      <family val="2"/>
    </font>
    <font>
      <sz val="10"/>
      <name val="Calibri"/>
      <family val="2"/>
    </font>
    <font>
      <u/>
      <sz val="10"/>
      <name val="Arial"/>
      <family val="2"/>
    </font>
    <font>
      <vertAlign val="superscript"/>
      <sz val="10"/>
      <name val="Calibri"/>
      <family val="2"/>
    </font>
    <font>
      <sz val="10"/>
      <color theme="1"/>
      <name val="Arial"/>
      <family val="2"/>
    </font>
    <font>
      <vertAlign val="subscript"/>
      <sz val="12"/>
      <name val="Arial"/>
      <family val="2"/>
    </font>
    <font>
      <vertAlign val="superscript"/>
      <sz val="12"/>
      <name val="Arial"/>
      <family val="2"/>
    </font>
    <font>
      <sz val="11"/>
      <color indexed="12"/>
      <name val="Arial"/>
      <family val="2"/>
    </font>
    <font>
      <sz val="10"/>
      <color rgb="FF0000FF"/>
      <name val="Arial"/>
      <family val="2"/>
    </font>
    <font>
      <u/>
      <sz val="12"/>
      <name val="Symbol"/>
      <family val="1"/>
      <charset val="2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i/>
      <sz val="10"/>
      <name val="Arial"/>
      <family val="2"/>
    </font>
    <font>
      <b/>
      <sz val="10"/>
      <color rgb="FF000000"/>
      <name val="Arial"/>
      <family val="2"/>
    </font>
    <font>
      <sz val="10"/>
      <name val="Cambria"/>
      <family val="1"/>
    </font>
    <font>
      <sz val="10"/>
      <color theme="0"/>
      <name val="Arial"/>
      <family val="2"/>
    </font>
    <font>
      <strike/>
      <vertAlign val="superscript"/>
      <sz val="1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rgb="FF0000FF"/>
      <name val="Arial"/>
      <family val="2"/>
    </font>
    <font>
      <sz val="5"/>
      <color rgb="FF0000FF"/>
      <name val="Arial"/>
      <family val="2"/>
    </font>
    <font>
      <sz val="8"/>
      <color rgb="FF0000FF"/>
      <name val="Arial"/>
      <family val="2"/>
    </font>
    <font>
      <sz val="9"/>
      <color rgb="FFFF0000"/>
      <name val="Arial"/>
      <family val="2"/>
    </font>
    <font>
      <sz val="5"/>
      <color rgb="FFFF0000"/>
      <name val="Arial"/>
      <family val="2"/>
    </font>
    <font>
      <sz val="8"/>
      <color rgb="FFFF0000"/>
      <name val="Arial"/>
      <family val="2"/>
    </font>
    <font>
      <b/>
      <u/>
      <sz val="10"/>
      <color theme="0"/>
      <name val="Arial"/>
      <family val="2"/>
    </font>
    <font>
      <u val="double"/>
      <sz val="10"/>
      <name val="Arial"/>
      <family val="2"/>
    </font>
    <font>
      <sz val="10"/>
      <color theme="0"/>
      <name val="Times New Roman"/>
      <family val="1"/>
    </font>
    <font>
      <sz val="11"/>
      <color rgb="FF0000FF"/>
      <name val="Calibri"/>
      <family val="2"/>
      <scheme val="minor"/>
    </font>
    <font>
      <sz val="10"/>
      <color rgb="FF0000FF"/>
      <name val="Arial"/>
      <family val="2"/>
    </font>
    <font>
      <b/>
      <sz val="10"/>
      <color theme="9" tint="-0.499984740745262"/>
      <name val="Arial"/>
      <family val="2"/>
    </font>
    <font>
      <sz val="10"/>
      <color theme="9" tint="0.59999389629810485"/>
      <name val="Arial"/>
      <family val="2"/>
    </font>
    <font>
      <b/>
      <sz val="12"/>
      <color rgb="FF0000FF"/>
      <name val="Arial"/>
      <family val="2"/>
    </font>
    <font>
      <sz val="12"/>
      <color rgb="FF0000FF"/>
      <name val="Times New Roman"/>
      <family val="1"/>
    </font>
    <font>
      <sz val="10"/>
      <color rgb="FF002060"/>
      <name val="Arial"/>
      <family val="2"/>
    </font>
    <font>
      <sz val="10"/>
      <color indexed="8"/>
      <name val="Arial"/>
      <family val="2"/>
    </font>
    <font>
      <sz val="10"/>
      <color rgb="FFFFFF00"/>
      <name val="Arial"/>
      <family val="2"/>
    </font>
    <font>
      <b/>
      <sz val="10"/>
      <color rgb="FFFFFF00"/>
      <name val="Arial"/>
      <family val="2"/>
    </font>
    <font>
      <sz val="8"/>
      <color rgb="FFFFFF00"/>
      <name val="Arial"/>
      <family val="2"/>
    </font>
    <font>
      <b/>
      <sz val="10"/>
      <name val="Calibri"/>
      <family val="2"/>
    </font>
    <font>
      <sz val="9"/>
      <color theme="0"/>
      <name val="Arial"/>
      <family val="2"/>
    </font>
    <font>
      <sz val="9"/>
      <color rgb="FFFFFF00"/>
      <name val="Arial"/>
      <family val="2"/>
    </font>
    <font>
      <sz val="10"/>
      <color indexed="55"/>
      <name val="Arial"/>
      <family val="2"/>
    </font>
    <font>
      <b/>
      <u/>
      <sz val="10"/>
      <color indexed="12"/>
      <name val="Arial"/>
      <family val="2"/>
    </font>
    <font>
      <b/>
      <sz val="12"/>
      <name val="Times New Roman"/>
      <family val="1"/>
    </font>
    <font>
      <b/>
      <sz val="9"/>
      <color indexed="12"/>
      <name val="Arial"/>
      <family val="2"/>
    </font>
    <font>
      <b/>
      <sz val="12"/>
      <color rgb="FF0000FF"/>
      <name val="Times New Roman"/>
      <family val="1"/>
    </font>
    <font>
      <b/>
      <sz val="10"/>
      <color rgb="FFFF00FF"/>
      <name val="Arial"/>
      <family val="2"/>
    </font>
    <font>
      <b/>
      <u/>
      <sz val="12"/>
      <color indexed="12"/>
      <name val="Arial"/>
      <family val="2"/>
    </font>
    <font>
      <vertAlign val="superscript"/>
      <sz val="9"/>
      <name val="Arial"/>
      <family val="2"/>
    </font>
    <font>
      <b/>
      <u/>
      <sz val="11"/>
      <color indexed="17"/>
      <name val="Arial"/>
      <family val="2"/>
    </font>
    <font>
      <u/>
      <sz val="11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b/>
      <u/>
      <sz val="12"/>
      <color indexed="17"/>
      <name val="Arial"/>
      <family val="2"/>
    </font>
    <font>
      <sz val="10"/>
      <color rgb="FF7030A0"/>
      <name val="Arial"/>
      <family val="2"/>
    </font>
    <font>
      <sz val="10"/>
      <color theme="0" tint="-0.499984740745262"/>
      <name val="Arial"/>
      <family val="2"/>
    </font>
    <font>
      <u/>
      <sz val="10"/>
      <color rgb="FF0000FF"/>
      <name val="Arial"/>
      <family val="2"/>
    </font>
    <font>
      <b/>
      <vertAlign val="subscript"/>
      <sz val="10"/>
      <name val="Arial"/>
      <family val="2"/>
    </font>
    <font>
      <b/>
      <sz val="12"/>
      <color rgb="FFFF0000"/>
      <name val="Arial"/>
      <family val="2"/>
    </font>
    <font>
      <sz val="8"/>
      <color theme="0"/>
      <name val="Arial"/>
      <family val="2"/>
    </font>
    <font>
      <b/>
      <u/>
      <sz val="10"/>
      <color rgb="FFFF0000"/>
      <name val="Arial"/>
      <family val="2"/>
    </font>
    <font>
      <sz val="14"/>
      <name val="Arial"/>
      <family val="2"/>
    </font>
    <font>
      <vertAlign val="subscript"/>
      <sz val="10"/>
      <color theme="0"/>
      <name val="Arial"/>
      <family val="2"/>
    </font>
    <font>
      <b/>
      <sz val="12"/>
      <color theme="0"/>
      <name val="Arial"/>
      <family val="2"/>
    </font>
    <font>
      <vertAlign val="superscript"/>
      <sz val="10"/>
      <color theme="0"/>
      <name val="Arial"/>
      <family val="2"/>
    </font>
    <font>
      <sz val="12"/>
      <color theme="0"/>
      <name val="Arial"/>
      <family val="2"/>
    </font>
    <font>
      <vertAlign val="subscript"/>
      <sz val="12"/>
      <color theme="0"/>
      <name val="Arial"/>
      <family val="2"/>
    </font>
    <font>
      <vertAlign val="superscript"/>
      <sz val="12"/>
      <color theme="0"/>
      <name val="Arial"/>
      <family val="2"/>
    </font>
    <font>
      <sz val="7"/>
      <color theme="0"/>
      <name val="Arial"/>
      <family val="2"/>
    </font>
    <font>
      <b/>
      <sz val="10"/>
      <color rgb="FF00FF00"/>
      <name val="Arial"/>
      <family val="2"/>
    </font>
    <font>
      <b/>
      <u/>
      <sz val="7"/>
      <name val="Arial"/>
      <family val="2"/>
    </font>
    <font>
      <sz val="10"/>
      <color rgb="FFFF66CC"/>
      <name val="Arial"/>
      <family val="2"/>
    </font>
    <font>
      <b/>
      <sz val="10"/>
      <color theme="9" tint="0.79998168889431442"/>
      <name val="Arial"/>
      <family val="2"/>
    </font>
    <font>
      <sz val="10"/>
      <color theme="9" tint="0.79998168889431442"/>
      <name val="Arial"/>
      <family val="2"/>
    </font>
    <font>
      <sz val="10"/>
      <color rgb="FF00FF0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b/>
      <u/>
      <sz val="11"/>
      <color rgb="FF00B050"/>
      <name val="Arial"/>
      <family val="2"/>
    </font>
    <font>
      <u/>
      <sz val="11"/>
      <color rgb="FF00B050"/>
      <name val="Arial"/>
      <family val="2"/>
    </font>
    <font>
      <sz val="11"/>
      <color rgb="FF00B050"/>
      <name val="Arial"/>
      <family val="2"/>
    </font>
    <font>
      <sz val="10.6"/>
      <name val="Arial"/>
      <family val="2"/>
    </font>
    <font>
      <b/>
      <u/>
      <sz val="10"/>
      <color rgb="FFFFFF00"/>
      <name val="Arial"/>
      <family val="2"/>
    </font>
    <font>
      <b/>
      <sz val="14"/>
      <color rgb="FF79ECFB"/>
      <name val="Arial"/>
      <family val="2"/>
    </font>
    <font>
      <b/>
      <sz val="12"/>
      <color rgb="FF0066CC"/>
      <name val="Arial"/>
      <family val="2"/>
    </font>
    <font>
      <u/>
      <sz val="12"/>
      <name val="Arial"/>
      <family val="2"/>
    </font>
    <font>
      <b/>
      <sz val="10"/>
      <color rgb="FF0066CC"/>
      <name val="Arial"/>
      <family val="2"/>
    </font>
    <font>
      <sz val="10"/>
      <color rgb="FF0070C0"/>
      <name val="Arial"/>
      <family val="2"/>
    </font>
    <font>
      <sz val="7"/>
      <color rgb="FF0070C0"/>
      <name val="Arial"/>
      <family val="2"/>
    </font>
    <font>
      <vertAlign val="subscript"/>
      <sz val="10"/>
      <color rgb="FF0070C0"/>
      <name val="Arial"/>
      <family val="2"/>
    </font>
    <font>
      <vertAlign val="superscript"/>
      <sz val="10"/>
      <color rgb="FF0070C0"/>
      <name val="Arial"/>
      <family val="2"/>
    </font>
    <font>
      <sz val="10"/>
      <color rgb="FF0070C0"/>
      <name val="Cambria"/>
      <family val="1"/>
    </font>
    <font>
      <sz val="10"/>
      <color rgb="FF0070C0"/>
      <name val="Times New Roman"/>
      <family val="1"/>
    </font>
    <font>
      <sz val="9"/>
      <color rgb="FF0070C0"/>
      <name val="Arial"/>
      <family val="2"/>
    </font>
    <font>
      <sz val="8"/>
      <color rgb="FF7030A0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4.9989318521683403E-2"/>
      <name val="Arial"/>
      <family val="2"/>
    </font>
    <font>
      <b/>
      <sz val="10"/>
      <color theme="0" tint="-4.9989318521683403E-2"/>
      <name val="Times New Roman"/>
      <family val="1"/>
    </font>
    <font>
      <b/>
      <u/>
      <sz val="14"/>
      <name val="Arial"/>
      <family val="2"/>
    </font>
    <font>
      <b/>
      <u/>
      <sz val="10"/>
      <color rgb="FFC00000"/>
      <name val="Arial"/>
      <family val="2"/>
    </font>
    <font>
      <b/>
      <sz val="14"/>
      <name val="Arial"/>
      <family val="2"/>
    </font>
    <font>
      <sz val="14"/>
      <color rgb="FF0000FF"/>
      <name val="Arial"/>
      <family val="2"/>
    </font>
    <font>
      <sz val="10"/>
      <color rgb="FF0000FF"/>
      <name val="Times New Roman"/>
      <family val="1"/>
    </font>
    <font>
      <sz val="12"/>
      <color rgb="FF0000FF"/>
      <name val="Symbol"/>
      <family val="1"/>
      <charset val="2"/>
    </font>
    <font>
      <sz val="10"/>
      <color rgb="FF0000FF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9DF5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5EBFB"/>
        <bgColor indexed="64"/>
      </patternFill>
    </fill>
    <fill>
      <patternFill patternType="solid">
        <fgColor rgb="FF79ECFB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3F761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2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right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0" borderId="0" xfId="0" applyFont="1"/>
    <xf numFmtId="1" fontId="3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2" fontId="2" fillId="0" borderId="0" xfId="0" applyNumberFormat="1" applyFont="1" applyAlignment="1">
      <alignment horizontal="center"/>
    </xf>
    <xf numFmtId="0" fontId="9" fillId="0" borderId="0" xfId="0" applyFont="1"/>
    <xf numFmtId="0" fontId="10" fillId="0" borderId="0" xfId="0" applyFont="1"/>
    <xf numFmtId="2" fontId="9" fillId="0" borderId="0" xfId="0" applyNumberFormat="1" applyFont="1" applyAlignment="1">
      <alignment horizontal="center"/>
    </xf>
    <xf numFmtId="0" fontId="9" fillId="0" borderId="0" xfId="0" applyFont="1" applyAlignment="1">
      <alignment horizontal="right"/>
    </xf>
    <xf numFmtId="0" fontId="6" fillId="0" borderId="0" xfId="0" applyFont="1"/>
    <xf numFmtId="0" fontId="2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2" fillId="0" borderId="0" xfId="0" applyFont="1"/>
    <xf numFmtId="0" fontId="1" fillId="0" borderId="0" xfId="0" applyFont="1" applyAlignment="1">
      <alignment horizontal="left"/>
    </xf>
    <xf numFmtId="0" fontId="14" fillId="0" borderId="0" xfId="0" applyFont="1"/>
    <xf numFmtId="0" fontId="7" fillId="0" borderId="0" xfId="0" applyFont="1"/>
    <xf numFmtId="2" fontId="0" fillId="0" borderId="0" xfId="0" applyNumberFormat="1"/>
    <xf numFmtId="2" fontId="3" fillId="0" borderId="0" xfId="0" applyNumberFormat="1" applyFont="1" applyAlignment="1">
      <alignment horizontal="right"/>
    </xf>
    <xf numFmtId="2" fontId="6" fillId="0" borderId="0" xfId="0" applyNumberFormat="1" applyFont="1"/>
    <xf numFmtId="2" fontId="0" fillId="0" borderId="0" xfId="0" applyNumberFormat="1" applyAlignment="1">
      <alignment horizontal="left"/>
    </xf>
    <xf numFmtId="0" fontId="16" fillId="0" borderId="0" xfId="0" applyFont="1"/>
    <xf numFmtId="0" fontId="17" fillId="0" borderId="0" xfId="0" applyFont="1"/>
    <xf numFmtId="0" fontId="10" fillId="0" borderId="0" xfId="0" applyFont="1" applyAlignment="1">
      <alignment horizontal="right"/>
    </xf>
    <xf numFmtId="0" fontId="15" fillId="0" borderId="0" xfId="0" applyFont="1"/>
    <xf numFmtId="0" fontId="20" fillId="0" borderId="0" xfId="0" applyFont="1"/>
    <xf numFmtId="1" fontId="6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Alignment="1"/>
    <xf numFmtId="0" fontId="0" fillId="0" borderId="0" xfId="0" applyFill="1"/>
    <xf numFmtId="2" fontId="0" fillId="3" borderId="0" xfId="0" applyNumberFormat="1" applyFill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/>
    <xf numFmtId="2" fontId="10" fillId="0" borderId="0" xfId="0" applyNumberFormat="1" applyFont="1"/>
    <xf numFmtId="0" fontId="25" fillId="0" borderId="0" xfId="0" applyFont="1"/>
    <xf numFmtId="2" fontId="6" fillId="0" borderId="0" xfId="0" applyNumberFormat="1" applyFont="1" applyFill="1" applyAlignment="1">
      <alignment horizontal="center"/>
    </xf>
    <xf numFmtId="2" fontId="6" fillId="0" borderId="0" xfId="0" applyNumberFormat="1" applyFont="1" applyAlignment="1">
      <alignment horizontal="center"/>
    </xf>
    <xf numFmtId="2" fontId="0" fillId="0" borderId="0" xfId="0" applyNumberForma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0" borderId="0" xfId="0" applyFont="1" applyFill="1"/>
    <xf numFmtId="0" fontId="19" fillId="0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6" fillId="0" borderId="0" xfId="0" applyFont="1" applyFill="1" applyAlignment="1">
      <alignment horizontal="center"/>
    </xf>
    <xf numFmtId="0" fontId="29" fillId="0" borderId="0" xfId="0" applyFont="1"/>
    <xf numFmtId="165" fontId="26" fillId="0" borderId="0" xfId="0" applyNumberFormat="1" applyFont="1"/>
    <xf numFmtId="165" fontId="26" fillId="0" borderId="0" xfId="0" applyNumberFormat="1" applyFont="1" applyAlignment="1">
      <alignment horizontal="right"/>
    </xf>
    <xf numFmtId="165" fontId="30" fillId="0" borderId="0" xfId="0" applyNumberFormat="1" applyFont="1" applyAlignment="1">
      <alignment horizontal="left"/>
    </xf>
    <xf numFmtId="0" fontId="31" fillId="0" borderId="0" xfId="0" applyFont="1"/>
    <xf numFmtId="2" fontId="32" fillId="0" borderId="0" xfId="0" applyNumberFormat="1" applyFont="1" applyAlignment="1">
      <alignment horizontal="left"/>
    </xf>
    <xf numFmtId="2" fontId="32" fillId="0" borderId="0" xfId="0" applyNumberFormat="1" applyFont="1"/>
    <xf numFmtId="0" fontId="33" fillId="0" borderId="0" xfId="0" applyFont="1"/>
    <xf numFmtId="0" fontId="34" fillId="0" borderId="0" xfId="0" applyFont="1" applyAlignment="1">
      <alignment horizontal="right"/>
    </xf>
    <xf numFmtId="0" fontId="0" fillId="0" borderId="0" xfId="0" applyBorder="1" applyAlignment="1">
      <alignment horizontal="center"/>
    </xf>
    <xf numFmtId="0" fontId="35" fillId="0" borderId="0" xfId="0" applyFont="1"/>
    <xf numFmtId="0" fontId="0" fillId="0" borderId="7" xfId="0" applyBorder="1" applyAlignment="1">
      <alignment horizontal="center"/>
    </xf>
    <xf numFmtId="0" fontId="11" fillId="0" borderId="0" xfId="0" applyFont="1"/>
    <xf numFmtId="2" fontId="6" fillId="0" borderId="0" xfId="0" applyNumberFormat="1" applyFont="1" applyAlignment="1">
      <alignment horizontal="left"/>
    </xf>
    <xf numFmtId="2" fontId="6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19" fillId="0" borderId="0" xfId="0" applyFont="1"/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left"/>
    </xf>
    <xf numFmtId="166" fontId="24" fillId="0" borderId="0" xfId="0" applyNumberFormat="1" applyFont="1" applyAlignment="1">
      <alignment horizontal="center"/>
    </xf>
    <xf numFmtId="2" fontId="40" fillId="0" borderId="0" xfId="0" applyNumberFormat="1" applyFont="1" applyAlignment="1">
      <alignment horizontal="center"/>
    </xf>
    <xf numFmtId="166" fontId="15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6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166" fontId="15" fillId="0" borderId="0" xfId="0" applyNumberFormat="1" applyFont="1" applyBorder="1" applyAlignment="1">
      <alignment horizontal="center"/>
    </xf>
    <xf numFmtId="166" fontId="15" fillId="0" borderId="5" xfId="0" applyNumberFormat="1" applyFont="1" applyBorder="1" applyAlignment="1">
      <alignment horizontal="center"/>
    </xf>
    <xf numFmtId="2" fontId="15" fillId="0" borderId="6" xfId="0" applyNumberFormat="1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0" fillId="0" borderId="10" xfId="0" applyBorder="1"/>
    <xf numFmtId="0" fontId="0" fillId="0" borderId="15" xfId="0" applyBorder="1"/>
    <xf numFmtId="2" fontId="0" fillId="0" borderId="14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  <xf numFmtId="0" fontId="0" fillId="0" borderId="13" xfId="0" applyBorder="1"/>
    <xf numFmtId="2" fontId="0" fillId="0" borderId="0" xfId="0" applyNumberFormat="1" applyBorder="1" applyAlignment="1">
      <alignment horizontal="center"/>
    </xf>
    <xf numFmtId="0" fontId="0" fillId="4" borderId="0" xfId="0" applyFill="1"/>
    <xf numFmtId="0" fontId="1" fillId="0" borderId="0" xfId="0" applyFont="1" applyFill="1"/>
    <xf numFmtId="0" fontId="7" fillId="0" borderId="0" xfId="0" applyFont="1" applyFill="1"/>
    <xf numFmtId="0" fontId="6" fillId="0" borderId="0" xfId="0" applyFont="1" applyFill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2" fontId="6" fillId="0" borderId="0" xfId="0" applyNumberFormat="1" applyFont="1" applyFill="1" applyAlignment="1" applyProtection="1">
      <alignment horizontal="center"/>
      <protection locked="0"/>
    </xf>
    <xf numFmtId="166" fontId="0" fillId="0" borderId="0" xfId="0" applyNumberFormat="1"/>
    <xf numFmtId="0" fontId="0" fillId="5" borderId="4" xfId="0" applyFill="1" applyBorder="1"/>
    <xf numFmtId="0" fontId="0" fillId="5" borderId="0" xfId="0" applyFill="1" applyBorder="1"/>
    <xf numFmtId="0" fontId="6" fillId="0" borderId="1" xfId="0" applyFont="1" applyBorder="1" applyAlignment="1">
      <alignment horizontal="left"/>
    </xf>
    <xf numFmtId="0" fontId="6" fillId="0" borderId="2" xfId="0" applyFont="1" applyBorder="1"/>
    <xf numFmtId="0" fontId="6" fillId="0" borderId="1" xfId="0" applyFont="1" applyBorder="1"/>
    <xf numFmtId="2" fontId="0" fillId="0" borderId="7" xfId="0" applyNumberForma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6" fillId="6" borderId="0" xfId="0" applyFont="1" applyFill="1" applyAlignment="1">
      <alignment horizontal="right"/>
    </xf>
    <xf numFmtId="0" fontId="0" fillId="5" borderId="0" xfId="0" applyFill="1"/>
    <xf numFmtId="0" fontId="6" fillId="5" borderId="0" xfId="0" applyFont="1" applyFill="1"/>
    <xf numFmtId="0" fontId="0" fillId="0" borderId="15" xfId="0" applyBorder="1" applyAlignment="1">
      <alignment horizontal="center"/>
    </xf>
    <xf numFmtId="1" fontId="0" fillId="0" borderId="0" xfId="0" applyNumberFormat="1"/>
    <xf numFmtId="0" fontId="0" fillId="7" borderId="0" xfId="0" applyFill="1"/>
    <xf numFmtId="2" fontId="6" fillId="0" borderId="0" xfId="0" applyNumberFormat="1" applyFont="1" applyFill="1"/>
    <xf numFmtId="0" fontId="6" fillId="0" borderId="0" xfId="0" applyNumberFormat="1" applyFont="1" applyAlignment="1">
      <alignment horizontal="right"/>
    </xf>
    <xf numFmtId="2" fontId="6" fillId="0" borderId="0" xfId="0" applyNumberFormat="1" applyFont="1" applyFill="1" applyAlignment="1">
      <alignment horizontal="right"/>
    </xf>
    <xf numFmtId="0" fontId="9" fillId="0" borderId="0" xfId="0" applyFont="1" applyFill="1"/>
    <xf numFmtId="2" fontId="6" fillId="3" borderId="0" xfId="0" applyNumberFormat="1" applyFont="1" applyFill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43" fillId="0" borderId="0" xfId="0" applyFont="1"/>
    <xf numFmtId="0" fontId="6" fillId="0" borderId="0" xfId="0" applyFont="1" applyFill="1" applyAlignment="1">
      <alignment horizontal="left"/>
    </xf>
    <xf numFmtId="2" fontId="6" fillId="0" borderId="0" xfId="0" applyNumberFormat="1" applyFont="1" applyFill="1" applyAlignment="1">
      <alignment horizontal="left"/>
    </xf>
    <xf numFmtId="166" fontId="6" fillId="6" borderId="0" xfId="0" applyNumberFormat="1" applyFont="1" applyFill="1" applyAlignment="1" applyProtection="1">
      <alignment horizontal="right"/>
      <protection locked="0"/>
    </xf>
    <xf numFmtId="0" fontId="2" fillId="0" borderId="0" xfId="0" applyFont="1" applyFill="1" applyAlignment="1">
      <alignment horizontal="right"/>
    </xf>
    <xf numFmtId="0" fontId="45" fillId="0" borderId="0" xfId="0" applyFont="1"/>
    <xf numFmtId="0" fontId="6" fillId="5" borderId="0" xfId="0" applyFont="1" applyFill="1" applyAlignment="1">
      <alignment horizontal="center"/>
    </xf>
    <xf numFmtId="43" fontId="0" fillId="0" borderId="0" xfId="1" applyNumberFormat="1" applyFont="1" applyAlignment="1">
      <alignment horizontal="righ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65" fontId="16" fillId="0" borderId="0" xfId="0" applyNumberFormat="1" applyFont="1" applyAlignment="1">
      <alignment horizontal="right"/>
    </xf>
    <xf numFmtId="165" fontId="16" fillId="0" borderId="0" xfId="0" applyNumberFormat="1" applyFont="1"/>
    <xf numFmtId="0" fontId="47" fillId="0" borderId="0" xfId="0" applyFont="1" applyFill="1" applyAlignment="1">
      <alignment horizontal="right"/>
    </xf>
    <xf numFmtId="0" fontId="3" fillId="0" borderId="0" xfId="0" applyFont="1" applyFill="1"/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6" fillId="0" borderId="0" xfId="0" applyNumberFormat="1" applyFont="1" applyFill="1" applyAlignment="1"/>
    <xf numFmtId="2" fontId="0" fillId="0" borderId="0" xfId="0" applyNumberFormat="1" applyAlignment="1"/>
    <xf numFmtId="0" fontId="0" fillId="8" borderId="0" xfId="0" applyFill="1"/>
    <xf numFmtId="2" fontId="0" fillId="5" borderId="0" xfId="0" applyNumberFormat="1" applyFill="1" applyAlignment="1">
      <alignment horizontal="center"/>
    </xf>
    <xf numFmtId="0" fontId="6" fillId="8" borderId="0" xfId="0" applyFont="1" applyFill="1"/>
    <xf numFmtId="2" fontId="0" fillId="0" borderId="0" xfId="0" applyNumberFormat="1" applyFill="1" applyAlignment="1">
      <alignment horizontal="right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Alignment="1">
      <alignment horizontal="right" vertical="center"/>
    </xf>
    <xf numFmtId="0" fontId="6" fillId="0" borderId="5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2" fontId="0" fillId="5" borderId="5" xfId="0" applyNumberForma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6" fillId="5" borderId="0" xfId="0" applyNumberFormat="1" applyFont="1" applyFill="1" applyAlignment="1">
      <alignment horizontal="left"/>
    </xf>
    <xf numFmtId="0" fontId="0" fillId="0" borderId="12" xfId="0" applyBorder="1"/>
    <xf numFmtId="0" fontId="6" fillId="9" borderId="0" xfId="0" applyFont="1" applyFill="1"/>
    <xf numFmtId="0" fontId="0" fillId="9" borderId="0" xfId="0" applyFill="1"/>
    <xf numFmtId="0" fontId="50" fillId="9" borderId="0" xfId="0" applyFont="1" applyFill="1"/>
    <xf numFmtId="0" fontId="9" fillId="9" borderId="0" xfId="0" applyFont="1" applyFill="1"/>
    <xf numFmtId="0" fontId="47" fillId="0" borderId="0" xfId="0" applyFont="1" applyFill="1"/>
    <xf numFmtId="2" fontId="47" fillId="0" borderId="0" xfId="0" applyNumberFormat="1" applyFont="1" applyFill="1"/>
    <xf numFmtId="0" fontId="47" fillId="0" borderId="0" xfId="0" applyFont="1"/>
    <xf numFmtId="1" fontId="47" fillId="0" borderId="0" xfId="0" applyNumberFormat="1" applyFont="1" applyAlignment="1">
      <alignment horizontal="center"/>
    </xf>
    <xf numFmtId="0" fontId="47" fillId="0" borderId="0" xfId="0" applyFont="1" applyAlignment="1">
      <alignment horizontal="center"/>
    </xf>
    <xf numFmtId="20" fontId="47" fillId="0" borderId="0" xfId="0" applyNumberFormat="1" applyFont="1"/>
    <xf numFmtId="0" fontId="47" fillId="0" borderId="0" xfId="0" applyFont="1" applyAlignment="1">
      <alignment horizontal="left"/>
    </xf>
    <xf numFmtId="2" fontId="47" fillId="0" borderId="0" xfId="0" applyNumberFormat="1" applyFont="1" applyAlignment="1">
      <alignment horizontal="right"/>
    </xf>
    <xf numFmtId="0" fontId="0" fillId="5" borderId="0" xfId="0" applyFill="1" applyAlignment="1">
      <alignment horizontal="right"/>
    </xf>
    <xf numFmtId="2" fontId="7" fillId="0" borderId="0" xfId="0" applyNumberFormat="1" applyFont="1"/>
    <xf numFmtId="0" fontId="1" fillId="0" borderId="0" xfId="0" applyFont="1"/>
    <xf numFmtId="2" fontId="1" fillId="0" borderId="0" xfId="0" applyNumberFormat="1" applyFont="1" applyFill="1"/>
    <xf numFmtId="2" fontId="1" fillId="0" borderId="0" xfId="0" applyNumberFormat="1" applyFont="1" applyFill="1" applyAlignment="1">
      <alignment horizontal="left"/>
    </xf>
    <xf numFmtId="2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/>
    </xf>
    <xf numFmtId="2" fontId="19" fillId="5" borderId="0" xfId="0" applyNumberFormat="1" applyFont="1" applyFill="1" applyAlignment="1">
      <alignment horizontal="right"/>
    </xf>
    <xf numFmtId="2" fontId="19" fillId="5" borderId="0" xfId="0" applyNumberFormat="1" applyFont="1" applyFill="1" applyAlignment="1">
      <alignment horizontal="center"/>
    </xf>
    <xf numFmtId="2" fontId="3" fillId="5" borderId="0" xfId="0" applyNumberFormat="1" applyFont="1" applyFill="1" applyAlignment="1">
      <alignment horizontal="center"/>
    </xf>
    <xf numFmtId="2" fontId="3" fillId="5" borderId="0" xfId="0" applyNumberFormat="1" applyFont="1" applyFill="1" applyAlignment="1">
      <alignment horizontal="right"/>
    </xf>
    <xf numFmtId="2" fontId="47" fillId="0" borderId="0" xfId="0" applyNumberFormat="1" applyFont="1"/>
    <xf numFmtId="1" fontId="1" fillId="0" borderId="0" xfId="0" applyNumberFormat="1" applyFont="1" applyFill="1" applyAlignment="1">
      <alignment horizontal="left"/>
    </xf>
    <xf numFmtId="2" fontId="1" fillId="2" borderId="0" xfId="0" applyNumberFormat="1" applyFont="1" applyFill="1" applyAlignment="1" applyProtection="1">
      <alignment horizontal="center"/>
      <protection locked="0"/>
    </xf>
    <xf numFmtId="2" fontId="47" fillId="0" borderId="0" xfId="0" applyNumberFormat="1" applyFont="1" applyAlignment="1">
      <alignment horizontal="left"/>
    </xf>
    <xf numFmtId="0" fontId="47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1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7" xfId="0" applyFont="1" applyBorder="1"/>
    <xf numFmtId="2" fontId="1" fillId="0" borderId="0" xfId="0" applyNumberFormat="1" applyFont="1" applyFill="1" applyAlignment="1">
      <alignment horizontal="right"/>
    </xf>
    <xf numFmtId="2" fontId="1" fillId="0" borderId="0" xfId="0" applyNumberFormat="1" applyFont="1"/>
    <xf numFmtId="0" fontId="1" fillId="5" borderId="0" xfId="0" applyFont="1" applyFill="1"/>
    <xf numFmtId="2" fontId="1" fillId="0" borderId="7" xfId="0" applyNumberFormat="1" applyFont="1" applyBorder="1"/>
    <xf numFmtId="2" fontId="10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2" fontId="0" fillId="0" borderId="7" xfId="0" applyNumberFormat="1" applyBorder="1" applyAlignment="1">
      <alignment horizontal="right"/>
    </xf>
    <xf numFmtId="2" fontId="0" fillId="0" borderId="7" xfId="0" applyNumberFormat="1" applyBorder="1"/>
    <xf numFmtId="0" fontId="51" fillId="0" borderId="0" xfId="0" applyFont="1"/>
    <xf numFmtId="2" fontId="51" fillId="0" borderId="0" xfId="0" applyNumberFormat="1" applyFont="1" applyAlignment="1">
      <alignment horizontal="right"/>
    </xf>
    <xf numFmtId="2" fontId="51" fillId="0" borderId="0" xfId="0" applyNumberFormat="1" applyFont="1"/>
    <xf numFmtId="0" fontId="9" fillId="5" borderId="0" xfId="0" applyFont="1" applyFill="1" applyAlignment="1">
      <alignment horizontal="center"/>
    </xf>
    <xf numFmtId="0" fontId="1" fillId="7" borderId="0" xfId="0" applyFont="1" applyFill="1"/>
    <xf numFmtId="0" fontId="47" fillId="0" borderId="0" xfId="0" applyFont="1" applyFill="1" applyAlignment="1">
      <alignment horizontal="left"/>
    </xf>
    <xf numFmtId="0" fontId="51" fillId="0" borderId="0" xfId="0" applyFont="1" applyAlignment="1">
      <alignment horizontal="right"/>
    </xf>
    <xf numFmtId="2" fontId="1" fillId="0" borderId="0" xfId="0" applyNumberFormat="1" applyFont="1" applyAlignment="1">
      <alignment horizontal="left"/>
    </xf>
    <xf numFmtId="166" fontId="1" fillId="0" borderId="0" xfId="0" applyNumberFormat="1" applyFont="1" applyAlignment="1">
      <alignment horizontal="center"/>
    </xf>
    <xf numFmtId="0" fontId="6" fillId="0" borderId="0" xfId="0" applyFont="1" applyFill="1" applyAlignment="1" applyProtection="1">
      <alignment horizontal="left" vertical="top" wrapText="1"/>
      <protection locked="0"/>
    </xf>
    <xf numFmtId="2" fontId="1" fillId="0" borderId="0" xfId="0" applyNumberFormat="1" applyFont="1" applyAlignment="1">
      <alignment horizontal="center"/>
    </xf>
    <xf numFmtId="2" fontId="0" fillId="0" borderId="0" xfId="0" applyNumberFormat="1" applyFill="1"/>
    <xf numFmtId="0" fontId="43" fillId="9" borderId="0" xfId="0" applyFont="1" applyFill="1"/>
    <xf numFmtId="20" fontId="1" fillId="0" borderId="0" xfId="0" applyNumberFormat="1" applyFont="1"/>
    <xf numFmtId="0" fontId="0" fillId="10" borderId="0" xfId="0" applyFill="1"/>
    <xf numFmtId="1" fontId="0" fillId="0" borderId="0" xfId="0" applyNumberFormat="1" applyAlignment="1">
      <alignment horizontal="left"/>
    </xf>
    <xf numFmtId="166" fontId="1" fillId="0" borderId="0" xfId="0" applyNumberFormat="1" applyFont="1"/>
    <xf numFmtId="166" fontId="6" fillId="0" borderId="0" xfId="0" applyNumberFormat="1" applyFont="1" applyFill="1" applyAlignment="1">
      <alignment horizontal="right"/>
    </xf>
    <xf numFmtId="0" fontId="4" fillId="0" borderId="0" xfId="0" applyFont="1" applyFill="1"/>
    <xf numFmtId="0" fontId="3" fillId="10" borderId="0" xfId="0" applyFont="1" applyFill="1"/>
    <xf numFmtId="0" fontId="0" fillId="11" borderId="0" xfId="0" applyFill="1" applyProtection="1"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0" fillId="0" borderId="0" xfId="0" applyFill="1" applyProtection="1"/>
    <xf numFmtId="0" fontId="0" fillId="0" borderId="0" xfId="0" applyFill="1" applyAlignment="1" applyProtection="1">
      <alignment horizontal="center"/>
      <protection locked="0"/>
    </xf>
    <xf numFmtId="0" fontId="6" fillId="6" borderId="0" xfId="0" applyFont="1" applyFill="1" applyAlignment="1">
      <alignment horizontal="center"/>
    </xf>
    <xf numFmtId="0" fontId="20" fillId="0" borderId="0" xfId="0" applyFont="1" applyAlignment="1">
      <alignment horizontal="left"/>
    </xf>
    <xf numFmtId="166" fontId="45" fillId="0" borderId="0" xfId="0" applyNumberFormat="1" applyFont="1"/>
    <xf numFmtId="0" fontId="52" fillId="0" borderId="0" xfId="0" applyFont="1"/>
    <xf numFmtId="0" fontId="1" fillId="0" borderId="0" xfId="0" applyFont="1" applyBorder="1"/>
    <xf numFmtId="2" fontId="0" fillId="0" borderId="0" xfId="0" applyNumberFormat="1" applyBorder="1"/>
    <xf numFmtId="0" fontId="20" fillId="0" borderId="0" xfId="0" applyFont="1" applyBorder="1"/>
    <xf numFmtId="2" fontId="1" fillId="0" borderId="0" xfId="0" applyNumberFormat="1" applyFont="1" applyFill="1" applyAlignment="1" applyProtection="1">
      <alignment horizontal="right"/>
      <protection locked="0"/>
    </xf>
    <xf numFmtId="166" fontId="1" fillId="0" borderId="0" xfId="0" applyNumberFormat="1" applyFont="1" applyAlignment="1">
      <alignment horizontal="left"/>
    </xf>
    <xf numFmtId="2" fontId="0" fillId="5" borderId="0" xfId="0" applyNumberFormat="1" applyFill="1"/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2" fontId="6" fillId="5" borderId="0" xfId="0" applyNumberFormat="1" applyFont="1" applyFill="1" applyAlignment="1">
      <alignment horizontal="right"/>
    </xf>
    <xf numFmtId="0" fontId="20" fillId="0" borderId="0" xfId="0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1" fillId="0" borderId="1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/>
    </xf>
    <xf numFmtId="0" fontId="1" fillId="0" borderId="4" xfId="0" applyFont="1" applyBorder="1" applyAlignment="1">
      <alignment horizontal="right"/>
    </xf>
    <xf numFmtId="2" fontId="0" fillId="0" borderId="0" xfId="0" applyNumberFormat="1" applyBorder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1" fillId="0" borderId="6" xfId="0" applyFont="1" applyBorder="1" applyAlignment="1">
      <alignment horizontal="right"/>
    </xf>
    <xf numFmtId="2" fontId="0" fillId="0" borderId="7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2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0" xfId="0" applyFont="1" applyBorder="1" applyAlignment="1">
      <alignment horizontal="right"/>
    </xf>
    <xf numFmtId="0" fontId="17" fillId="11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center"/>
    </xf>
    <xf numFmtId="1" fontId="1" fillId="11" borderId="0" xfId="0" applyNumberFormat="1" applyFont="1" applyFill="1" applyBorder="1" applyAlignment="1" applyProtection="1">
      <alignment horizontal="center"/>
      <protection locked="0"/>
    </xf>
    <xf numFmtId="2" fontId="1" fillId="0" borderId="5" xfId="0" applyNumberFormat="1" applyFont="1" applyBorder="1" applyAlignment="1">
      <alignment horizontal="center"/>
    </xf>
    <xf numFmtId="0" fontId="34" fillId="0" borderId="0" xfId="0" applyFont="1" applyFill="1" applyBorder="1"/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Protection="1">
      <protection locked="0"/>
    </xf>
    <xf numFmtId="0" fontId="1" fillId="0" borderId="5" xfId="0" applyFont="1" applyFill="1" applyBorder="1"/>
    <xf numFmtId="0" fontId="1" fillId="0" borderId="7" xfId="0" applyFont="1" applyBorder="1" applyAlignment="1">
      <alignment horizontal="right"/>
    </xf>
    <xf numFmtId="0" fontId="17" fillId="11" borderId="7" xfId="0" applyFont="1" applyFill="1" applyBorder="1" applyAlignment="1" applyProtection="1">
      <alignment horizontal="center"/>
      <protection locked="0"/>
    </xf>
    <xf numFmtId="0" fontId="1" fillId="0" borderId="7" xfId="0" applyFont="1" applyBorder="1" applyAlignment="1">
      <alignment horizontal="center"/>
    </xf>
    <xf numFmtId="1" fontId="1" fillId="11" borderId="7" xfId="0" applyNumberFormat="1" applyFont="1" applyFill="1" applyBorder="1" applyAlignment="1" applyProtection="1">
      <alignment horizontal="center"/>
      <protection locked="0"/>
    </xf>
    <xf numFmtId="2" fontId="1" fillId="0" borderId="8" xfId="0" applyNumberFormat="1" applyFont="1" applyBorder="1" applyAlignment="1">
      <alignment horizontal="center"/>
    </xf>
    <xf numFmtId="1" fontId="0" fillId="9" borderId="5" xfId="0" applyNumberFormat="1" applyFill="1" applyBorder="1" applyAlignment="1">
      <alignment horizontal="center" vertical="center"/>
    </xf>
    <xf numFmtId="1" fontId="0" fillId="9" borderId="7" xfId="0" applyNumberFormat="1" applyFill="1" applyBorder="1" applyAlignment="1">
      <alignment horizontal="center" vertical="center"/>
    </xf>
    <xf numFmtId="1" fontId="0" fillId="9" borderId="8" xfId="0" applyNumberFormat="1" applyFill="1" applyBorder="1" applyAlignment="1">
      <alignment horizontal="center" vertical="center"/>
    </xf>
    <xf numFmtId="0" fontId="0" fillId="12" borderId="0" xfId="0" applyFill="1"/>
    <xf numFmtId="1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right"/>
    </xf>
    <xf numFmtId="0" fontId="15" fillId="0" borderId="0" xfId="0" applyFont="1" applyFill="1"/>
    <xf numFmtId="0" fontId="33" fillId="0" borderId="0" xfId="0" applyFont="1" applyFill="1"/>
    <xf numFmtId="0" fontId="1" fillId="0" borderId="0" xfId="0" applyFont="1" applyFill="1" applyAlignment="1">
      <alignment horizontal="left"/>
    </xf>
    <xf numFmtId="166" fontId="0" fillId="0" borderId="0" xfId="0" applyNumberFormat="1" applyFill="1" applyAlignment="1">
      <alignment horizontal="center"/>
    </xf>
    <xf numFmtId="1" fontId="1" fillId="2" borderId="0" xfId="0" applyNumberFormat="1" applyFont="1" applyFill="1" applyAlignment="1" applyProtection="1">
      <alignment horizontal="right"/>
      <protection locked="0"/>
    </xf>
    <xf numFmtId="1" fontId="1" fillId="0" borderId="0" xfId="0" applyNumberFormat="1" applyFont="1" applyAlignment="1">
      <alignment horizontal="center"/>
    </xf>
    <xf numFmtId="0" fontId="45" fillId="0" borderId="0" xfId="0" applyFont="1" applyFill="1"/>
    <xf numFmtId="1" fontId="1" fillId="0" borderId="0" xfId="0" applyNumberFormat="1" applyFont="1" applyFill="1" applyAlignment="1">
      <alignment horizontal="center"/>
    </xf>
    <xf numFmtId="166" fontId="0" fillId="0" borderId="4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1" fillId="0" borderId="10" xfId="0" applyFon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6" fontId="1" fillId="0" borderId="0" xfId="0" applyNumberFormat="1" applyFont="1" applyFill="1" applyAlignment="1">
      <alignment horizontal="right"/>
    </xf>
    <xf numFmtId="166" fontId="1" fillId="0" borderId="0" xfId="0" applyNumberFormat="1" applyFont="1" applyFill="1"/>
    <xf numFmtId="0" fontId="1" fillId="0" borderId="0" xfId="0" applyFont="1" applyFill="1" applyAlignment="1"/>
    <xf numFmtId="0" fontId="6" fillId="0" borderId="0" xfId="0" applyFont="1" applyAlignment="1"/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1" xfId="0" applyFont="1" applyFill="1" applyBorder="1" applyAlignment="1">
      <alignment horizontal="center" vertical="center"/>
    </xf>
    <xf numFmtId="0" fontId="1" fillId="0" borderId="9" xfId="0" applyFont="1" applyBorder="1"/>
    <xf numFmtId="0" fontId="1" fillId="0" borderId="13" xfId="0" applyFont="1" applyBorder="1" applyAlignment="1">
      <alignment horizontal="right"/>
    </xf>
    <xf numFmtId="1" fontId="0" fillId="0" borderId="12" xfId="0" applyNumberFormat="1" applyBorder="1" applyAlignment="1">
      <alignment horizontal="center"/>
    </xf>
    <xf numFmtId="0" fontId="1" fillId="0" borderId="12" xfId="0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2" fillId="0" borderId="4" xfId="0" applyFont="1" applyBorder="1" applyAlignment="1">
      <alignment horizontal="left"/>
    </xf>
    <xf numFmtId="1" fontId="0" fillId="0" borderId="2" xfId="0" applyNumberFormat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12" borderId="0" xfId="0" applyFont="1" applyFill="1"/>
    <xf numFmtId="0" fontId="1" fillId="0" borderId="12" xfId="0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166" fontId="6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2" fontId="3" fillId="0" borderId="0" xfId="0" applyNumberFormat="1" applyFont="1" applyFill="1" applyAlignment="1">
      <alignment horizontal="right"/>
    </xf>
    <xf numFmtId="166" fontId="0" fillId="0" borderId="0" xfId="0" applyNumberFormat="1" applyFill="1"/>
    <xf numFmtId="0" fontId="35" fillId="0" borderId="0" xfId="0" applyFont="1" applyBorder="1" applyAlignment="1">
      <alignment horizontal="left"/>
    </xf>
    <xf numFmtId="0" fontId="1" fillId="0" borderId="12" xfId="0" applyFont="1" applyFill="1" applyBorder="1" applyAlignment="1">
      <alignment horizontal="center" vertical="center"/>
    </xf>
    <xf numFmtId="0" fontId="53" fillId="0" borderId="0" xfId="0" applyFont="1" applyFill="1"/>
    <xf numFmtId="166" fontId="53" fillId="0" borderId="0" xfId="0" applyNumberFormat="1" applyFont="1" applyFill="1" applyAlignment="1">
      <alignment horizontal="right"/>
    </xf>
    <xf numFmtId="0" fontId="53" fillId="0" borderId="0" xfId="0" applyFont="1" applyFill="1" applyAlignment="1">
      <alignment horizontal="right"/>
    </xf>
    <xf numFmtId="166" fontId="53" fillId="0" borderId="0" xfId="0" applyNumberFormat="1" applyFont="1" applyFill="1" applyAlignment="1">
      <alignment horizontal="center"/>
    </xf>
    <xf numFmtId="2" fontId="53" fillId="0" borderId="0" xfId="0" applyNumberFormat="1" applyFont="1" applyFill="1" applyAlignment="1">
      <alignment horizontal="left"/>
    </xf>
    <xf numFmtId="166" fontId="53" fillId="0" borderId="0" xfId="0" applyNumberFormat="1" applyFont="1" applyFill="1" applyAlignment="1">
      <alignment horizontal="left"/>
    </xf>
    <xf numFmtId="166" fontId="1" fillId="0" borderId="0" xfId="0" applyNumberFormat="1" applyFont="1" applyFill="1" applyAlignment="1">
      <alignment horizontal="center"/>
    </xf>
    <xf numFmtId="0" fontId="41" fillId="0" borderId="0" xfId="0" applyFont="1" applyFill="1" applyAlignment="1">
      <alignment horizontal="right"/>
    </xf>
    <xf numFmtId="166" fontId="41" fillId="0" borderId="0" xfId="0" applyNumberFormat="1" applyFont="1" applyFill="1" applyAlignment="1">
      <alignment horizontal="right"/>
    </xf>
    <xf numFmtId="0" fontId="15" fillId="0" borderId="0" xfId="0" applyFont="1" applyAlignment="1">
      <alignment horizontal="right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1" fillId="0" borderId="1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/>
    </xf>
    <xf numFmtId="2" fontId="54" fillId="13" borderId="0" xfId="0" applyNumberFormat="1" applyFont="1" applyFill="1" applyAlignment="1">
      <alignment horizontal="center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14" xfId="0" applyFont="1" applyBorder="1" applyAlignment="1">
      <alignment horizontal="center"/>
    </xf>
    <xf numFmtId="0" fontId="1" fillId="0" borderId="5" xfId="0" applyFont="1" applyBorder="1"/>
    <xf numFmtId="0" fontId="0" fillId="0" borderId="4" xfId="0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1" fillId="0" borderId="4" xfId="0" applyFont="1" applyBorder="1"/>
    <xf numFmtId="1" fontId="1" fillId="0" borderId="5" xfId="0" applyNumberFormat="1" applyFont="1" applyBorder="1" applyAlignment="1">
      <alignment horizontal="center"/>
    </xf>
    <xf numFmtId="0" fontId="1" fillId="0" borderId="6" xfId="0" applyFont="1" applyBorder="1"/>
    <xf numFmtId="1" fontId="1" fillId="0" borderId="7" xfId="0" applyNumberFormat="1" applyFont="1" applyBorder="1" applyAlignment="1">
      <alignment horizontal="center"/>
    </xf>
    <xf numFmtId="1" fontId="1" fillId="0" borderId="8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1" fillId="0" borderId="14" xfId="0" applyNumberFormat="1" applyFont="1" applyBorder="1" applyAlignment="1">
      <alignment horizontal="center"/>
    </xf>
    <xf numFmtId="1" fontId="1" fillId="0" borderId="13" xfId="0" applyNumberFormat="1" applyFon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9" xfId="0" applyBorder="1" applyAlignment="1">
      <alignment horizontal="center"/>
    </xf>
    <xf numFmtId="2" fontId="1" fillId="0" borderId="3" xfId="0" applyNumberFormat="1" applyFont="1" applyBorder="1"/>
    <xf numFmtId="2" fontId="2" fillId="0" borderId="0" xfId="0" applyNumberFormat="1" applyFont="1" applyAlignment="1">
      <alignment horizontal="left"/>
    </xf>
    <xf numFmtId="0" fontId="20" fillId="0" borderId="0" xfId="0" applyFont="1" applyFill="1" applyBorder="1"/>
    <xf numFmtId="0" fontId="1" fillId="0" borderId="0" xfId="0" applyFont="1" applyFill="1" applyBorder="1"/>
    <xf numFmtId="0" fontId="0" fillId="0" borderId="0" xfId="0" applyFill="1" applyBorder="1"/>
    <xf numFmtId="0" fontId="12" fillId="0" borderId="0" xfId="0" applyFont="1" applyFill="1"/>
    <xf numFmtId="0" fontId="0" fillId="0" borderId="0" xfId="0" applyFill="1" applyAlignment="1">
      <alignment horizontal="right"/>
    </xf>
    <xf numFmtId="0" fontId="17" fillId="0" borderId="0" xfId="0" applyFont="1" applyFill="1"/>
    <xf numFmtId="0" fontId="0" fillId="0" borderId="0" xfId="0" applyFill="1" applyAlignment="1">
      <alignment horizontal="left"/>
    </xf>
    <xf numFmtId="0" fontId="10" fillId="0" borderId="0" xfId="0" applyFont="1" applyFill="1"/>
    <xf numFmtId="0" fontId="2" fillId="9" borderId="0" xfId="0" applyFont="1" applyFill="1"/>
    <xf numFmtId="2" fontId="1" fillId="0" borderId="12" xfId="0" applyNumberFormat="1" applyFont="1" applyBorder="1" applyAlignment="1">
      <alignment horizontal="center"/>
    </xf>
    <xf numFmtId="2" fontId="1" fillId="0" borderId="15" xfId="0" applyNumberFormat="1" applyFon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1" fillId="0" borderId="12" xfId="0" applyNumberFormat="1" applyFont="1" applyBorder="1" applyAlignment="1">
      <alignment horizontal="center"/>
    </xf>
    <xf numFmtId="0" fontId="17" fillId="5" borderId="0" xfId="0" applyFont="1" applyFill="1" applyBorder="1" applyAlignment="1" applyProtection="1">
      <alignment horizontal="center"/>
      <protection locked="0"/>
    </xf>
    <xf numFmtId="1" fontId="1" fillId="5" borderId="0" xfId="0" applyNumberFormat="1" applyFont="1" applyFill="1" applyBorder="1" applyAlignment="1" applyProtection="1">
      <alignment horizontal="center"/>
      <protection locked="0"/>
    </xf>
    <xf numFmtId="0" fontId="35" fillId="5" borderId="0" xfId="0" applyFont="1" applyFill="1"/>
    <xf numFmtId="0" fontId="0" fillId="5" borderId="11" xfId="0" applyFill="1" applyBorder="1"/>
    <xf numFmtId="0" fontId="1" fillId="0" borderId="15" xfId="0" applyFont="1" applyBorder="1" applyAlignment="1">
      <alignment horizontal="center"/>
    </xf>
    <xf numFmtId="0" fontId="1" fillId="0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1" fontId="0" fillId="0" borderId="0" xfId="0" applyNumberFormat="1" applyFill="1"/>
    <xf numFmtId="0" fontId="1" fillId="0" borderId="2" xfId="0" applyFont="1" applyBorder="1"/>
    <xf numFmtId="0" fontId="1" fillId="0" borderId="3" xfId="0" applyFont="1" applyBorder="1"/>
    <xf numFmtId="0" fontId="1" fillId="0" borderId="0" xfId="0" applyFont="1" applyFill="1" applyBorder="1" applyAlignment="1">
      <alignment horizontal="center"/>
    </xf>
    <xf numFmtId="0" fontId="1" fillId="11" borderId="0" xfId="0" applyFont="1" applyFill="1" applyBorder="1" applyAlignment="1" applyProtection="1">
      <alignment horizontal="center"/>
      <protection locked="0"/>
    </xf>
    <xf numFmtId="0" fontId="1" fillId="11" borderId="7" xfId="0" applyFont="1" applyFill="1" applyBorder="1" applyAlignment="1" applyProtection="1">
      <alignment horizontal="center"/>
      <protection locked="0"/>
    </xf>
    <xf numFmtId="0" fontId="1" fillId="5" borderId="0" xfId="0" applyFont="1" applyFill="1" applyBorder="1" applyAlignment="1" applyProtection="1">
      <alignment horizontal="center"/>
      <protection locked="0"/>
    </xf>
    <xf numFmtId="0" fontId="2" fillId="0" borderId="4" xfId="0" applyFont="1" applyFill="1" applyBorder="1" applyAlignment="1">
      <alignment horizontal="left"/>
    </xf>
    <xf numFmtId="0" fontId="2" fillId="0" borderId="10" xfId="0" applyFont="1" applyFill="1" applyBorder="1" applyAlignment="1">
      <alignment horizontal="left"/>
    </xf>
    <xf numFmtId="1" fontId="1" fillId="0" borderId="5" xfId="0" applyNumberFormat="1" applyFont="1" applyFill="1" applyBorder="1" applyAlignment="1" applyProtection="1">
      <alignment horizontal="center"/>
      <protection locked="0"/>
    </xf>
    <xf numFmtId="0" fontId="34" fillId="0" borderId="4" xfId="0" applyFont="1" applyFill="1" applyBorder="1"/>
    <xf numFmtId="0" fontId="1" fillId="0" borderId="5" xfId="0" applyFont="1" applyFill="1" applyBorder="1" applyProtection="1">
      <protection locked="0"/>
    </xf>
    <xf numFmtId="1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>
      <alignment horizontal="left"/>
    </xf>
    <xf numFmtId="0" fontId="1" fillId="0" borderId="1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0" fontId="1" fillId="0" borderId="4" xfId="0" applyFont="1" applyFill="1" applyBorder="1" applyAlignment="1">
      <alignment horizontal="left"/>
    </xf>
    <xf numFmtId="0" fontId="1" fillId="0" borderId="6" xfId="0" applyFont="1" applyFill="1" applyBorder="1" applyAlignment="1">
      <alignment horizontal="left"/>
    </xf>
    <xf numFmtId="0" fontId="0" fillId="0" borderId="1" xfId="0" applyBorder="1"/>
    <xf numFmtId="2" fontId="0" fillId="0" borderId="4" xfId="0" applyNumberFormat="1" applyBorder="1"/>
    <xf numFmtId="2" fontId="0" fillId="0" borderId="6" xfId="0" applyNumberFormat="1" applyBorder="1"/>
    <xf numFmtId="1" fontId="1" fillId="0" borderId="1" xfId="0" applyNumberFormat="1" applyFont="1" applyFill="1" applyBorder="1" applyAlignment="1" applyProtection="1">
      <alignment horizontal="center"/>
      <protection locked="0"/>
    </xf>
    <xf numFmtId="1" fontId="1" fillId="0" borderId="3" xfId="0" applyNumberFormat="1" applyFont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left"/>
    </xf>
    <xf numFmtId="0" fontId="1" fillId="10" borderId="0" xfId="0" applyFont="1" applyFill="1"/>
    <xf numFmtId="1" fontId="1" fillId="10" borderId="0" xfId="0" applyNumberFormat="1" applyFont="1" applyFill="1" applyAlignment="1">
      <alignment horizontal="right"/>
    </xf>
    <xf numFmtId="0" fontId="4" fillId="10" borderId="0" xfId="0" applyFont="1" applyFill="1"/>
    <xf numFmtId="166" fontId="0" fillId="10" borderId="0" xfId="0" applyNumberFormat="1" applyFill="1"/>
    <xf numFmtId="0" fontId="12" fillId="0" borderId="0" xfId="0" applyFont="1" applyFill="1" applyBorder="1" applyAlignment="1">
      <alignment horizontal="left"/>
    </xf>
    <xf numFmtId="2" fontId="1" fillId="0" borderId="0" xfId="0" applyNumberFormat="1" applyFont="1" applyBorder="1"/>
    <xf numFmtId="0" fontId="1" fillId="0" borderId="7" xfId="0" applyFont="1" applyFill="1" applyBorder="1"/>
    <xf numFmtId="0" fontId="1" fillId="0" borderId="12" xfId="0" applyFont="1" applyFill="1" applyBorder="1" applyAlignment="1">
      <alignment horizontal="center" vertical="center"/>
    </xf>
    <xf numFmtId="0" fontId="14" fillId="9" borderId="0" xfId="0" applyFont="1" applyFill="1" applyAlignment="1">
      <alignment horizontal="left"/>
    </xf>
    <xf numFmtId="0" fontId="1" fillId="0" borderId="12" xfId="0" applyFont="1" applyFill="1" applyBorder="1" applyAlignment="1">
      <alignment horizontal="center" vertical="center"/>
    </xf>
    <xf numFmtId="1" fontId="1" fillId="0" borderId="0" xfId="0" applyNumberFormat="1" applyFont="1" applyFill="1"/>
    <xf numFmtId="0" fontId="0" fillId="5" borderId="0" xfId="0" applyFill="1" applyAlignment="1">
      <alignment horizontal="left"/>
    </xf>
    <xf numFmtId="166" fontId="0" fillId="0" borderId="14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2" fontId="0" fillId="0" borderId="4" xfId="0" applyNumberFormat="1" applyFill="1" applyBorder="1" applyAlignment="1">
      <alignment horizontal="center"/>
    </xf>
    <xf numFmtId="166" fontId="0" fillId="0" borderId="14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14" xfId="0" applyNumberFormat="1" applyFill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0" fillId="0" borderId="12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2" fontId="15" fillId="0" borderId="0" xfId="0" applyNumberFormat="1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0" fillId="0" borderId="9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166" fontId="15" fillId="0" borderId="9" xfId="0" applyNumberFormat="1" applyFont="1" applyBorder="1" applyAlignment="1">
      <alignment horizontal="center"/>
    </xf>
    <xf numFmtId="166" fontId="15" fillId="0" borderId="14" xfId="0" applyNumberFormat="1" applyFont="1" applyBorder="1" applyAlignment="1">
      <alignment horizontal="center"/>
    </xf>
    <xf numFmtId="166" fontId="15" fillId="0" borderId="13" xfId="0" applyNumberFormat="1" applyFont="1" applyBorder="1" applyAlignment="1">
      <alignment horizontal="center"/>
    </xf>
    <xf numFmtId="2" fontId="15" fillId="0" borderId="9" xfId="0" applyNumberFormat="1" applyFont="1" applyBorder="1" applyAlignment="1">
      <alignment horizontal="center"/>
    </xf>
    <xf numFmtId="2" fontId="15" fillId="0" borderId="14" xfId="0" applyNumberFormat="1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0" fontId="2" fillId="7" borderId="0" xfId="0" applyFont="1" applyFill="1"/>
    <xf numFmtId="165" fontId="0" fillId="0" borderId="2" xfId="0" applyNumberFormat="1" applyBorder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3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7" fillId="0" borderId="0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>
      <alignment horizontal="center"/>
    </xf>
    <xf numFmtId="0" fontId="0" fillId="0" borderId="2" xfId="0" applyFill="1" applyBorder="1"/>
    <xf numFmtId="0" fontId="1" fillId="0" borderId="10" xfId="0" applyFont="1" applyFill="1" applyBorder="1" applyAlignment="1">
      <alignment horizontal="left"/>
    </xf>
    <xf numFmtId="0" fontId="1" fillId="0" borderId="0" xfId="0" applyFont="1" applyAlignment="1">
      <alignment vertical="center"/>
    </xf>
    <xf numFmtId="2" fontId="6" fillId="0" borderId="0" xfId="0" applyNumberFormat="1" applyFont="1" applyFill="1" applyAlignment="1" applyProtection="1">
      <alignment horizontal="center"/>
    </xf>
    <xf numFmtId="2" fontId="0" fillId="0" borderId="0" xfId="0" applyNumberFormat="1" applyFill="1" applyAlignment="1">
      <alignment horizontal="left"/>
    </xf>
    <xf numFmtId="166" fontId="0" fillId="0" borderId="0" xfId="0" applyNumberFormat="1" applyFill="1" applyAlignment="1">
      <alignment horizontal="right"/>
    </xf>
    <xf numFmtId="0" fontId="8" fillId="9" borderId="0" xfId="0" applyFont="1" applyFill="1"/>
    <xf numFmtId="0" fontId="9" fillId="0" borderId="0" xfId="0" applyFont="1" applyAlignment="1">
      <alignment horizontal="left"/>
    </xf>
    <xf numFmtId="0" fontId="1" fillId="0" borderId="12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/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4" fillId="0" borderId="2" xfId="0" applyFont="1" applyFill="1" applyBorder="1"/>
    <xf numFmtId="0" fontId="1" fillId="0" borderId="2" xfId="0" applyFont="1" applyFill="1" applyBorder="1" applyAlignment="1" applyProtection="1">
      <alignment horizontal="center"/>
      <protection locked="0"/>
    </xf>
    <xf numFmtId="0" fontId="1" fillId="0" borderId="2" xfId="0" applyFont="1" applyFill="1" applyBorder="1" applyProtection="1">
      <protection locked="0"/>
    </xf>
    <xf numFmtId="0" fontId="1" fillId="0" borderId="3" xfId="0" applyFont="1" applyFill="1" applyBorder="1"/>
    <xf numFmtId="2" fontId="10" fillId="0" borderId="0" xfId="0" applyNumberFormat="1" applyFont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 applyFill="1" applyAlignment="1">
      <alignment horizontal="left"/>
    </xf>
    <xf numFmtId="0" fontId="0" fillId="6" borderId="0" xfId="0" applyFill="1" applyProtection="1">
      <protection locked="0"/>
    </xf>
    <xf numFmtId="0" fontId="35" fillId="0" borderId="0" xfId="0" applyFont="1" applyFill="1"/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5" xfId="0" applyFont="1" applyBorder="1" applyAlignment="1">
      <alignment horizontal="center"/>
    </xf>
    <xf numFmtId="1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left"/>
    </xf>
    <xf numFmtId="0" fontId="1" fillId="0" borderId="3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8" xfId="0" applyFont="1" applyBorder="1"/>
    <xf numFmtId="0" fontId="0" fillId="0" borderId="0" xfId="0" applyAlignment="1">
      <alignment horizontal="center" vertical="top"/>
    </xf>
    <xf numFmtId="166" fontId="0" fillId="0" borderId="0" xfId="0" applyNumberFormat="1" applyFill="1" applyAlignment="1">
      <alignment horizontal="left"/>
    </xf>
    <xf numFmtId="0" fontId="6" fillId="0" borderId="5" xfId="0" applyFont="1" applyBorder="1"/>
    <xf numFmtId="2" fontId="6" fillId="0" borderId="4" xfId="0" applyNumberFormat="1" applyFont="1" applyFill="1" applyBorder="1"/>
    <xf numFmtId="0" fontId="6" fillId="0" borderId="5" xfId="0" applyFont="1" applyFill="1" applyBorder="1"/>
    <xf numFmtId="0" fontId="6" fillId="0" borderId="8" xfId="0" applyFont="1" applyFill="1" applyBorder="1"/>
    <xf numFmtId="2" fontId="0" fillId="7" borderId="0" xfId="0" applyNumberFormat="1" applyFill="1"/>
    <xf numFmtId="2" fontId="32" fillId="0" borderId="0" xfId="0" applyNumberFormat="1" applyFont="1" applyFill="1" applyAlignment="1">
      <alignment horizontal="left"/>
    </xf>
    <xf numFmtId="2" fontId="32" fillId="0" borderId="0" xfId="0" applyNumberFormat="1" applyFont="1" applyFill="1" applyAlignment="1">
      <alignment horizontal="center"/>
    </xf>
    <xf numFmtId="2" fontId="6" fillId="0" borderId="0" xfId="0" applyNumberFormat="1" applyFont="1" applyFill="1" applyBorder="1" applyAlignment="1">
      <alignment horizontal="right"/>
    </xf>
    <xf numFmtId="0" fontId="6" fillId="0" borderId="0" xfId="0" applyFont="1" applyBorder="1"/>
    <xf numFmtId="2" fontId="6" fillId="0" borderId="0" xfId="0" applyNumberFormat="1" applyFont="1" applyBorder="1" applyAlignment="1">
      <alignment horizontal="right"/>
    </xf>
    <xf numFmtId="2" fontId="0" fillId="0" borderId="10" xfId="0" applyNumberFormat="1" applyBorder="1"/>
    <xf numFmtId="1" fontId="47" fillId="0" borderId="0" xfId="0" applyNumberFormat="1" applyFont="1" applyAlignment="1">
      <alignment horizontal="right"/>
    </xf>
    <xf numFmtId="0" fontId="54" fillId="14" borderId="1" xfId="0" applyFont="1" applyFill="1" applyBorder="1"/>
    <xf numFmtId="0" fontId="54" fillId="14" borderId="3" xfId="0" applyFont="1" applyFill="1" applyBorder="1"/>
    <xf numFmtId="1" fontId="54" fillId="14" borderId="4" xfId="0" applyNumberFormat="1" applyFont="1" applyFill="1" applyBorder="1"/>
    <xf numFmtId="0" fontId="54" fillId="14" borderId="5" xfId="0" applyFont="1" applyFill="1" applyBorder="1"/>
    <xf numFmtId="2" fontId="54" fillId="14" borderId="6" xfId="0" applyNumberFormat="1" applyFont="1" applyFill="1" applyBorder="1" applyAlignment="1">
      <alignment horizontal="right"/>
    </xf>
    <xf numFmtId="0" fontId="54" fillId="14" borderId="8" xfId="0" applyFont="1" applyFill="1" applyBorder="1"/>
    <xf numFmtId="0" fontId="1" fillId="0" borderId="0" xfId="0" applyFont="1" applyBorder="1" applyAlignment="1" applyProtection="1">
      <alignment horizontal="right"/>
      <protection locked="0"/>
    </xf>
    <xf numFmtId="0" fontId="17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7" xfId="0" applyFont="1" applyFill="1" applyBorder="1" applyAlignment="1" applyProtection="1">
      <alignment horizontal="center"/>
    </xf>
    <xf numFmtId="0" fontId="17" fillId="0" borderId="7" xfId="0" applyFont="1" applyFill="1" applyBorder="1" applyAlignment="1" applyProtection="1">
      <alignment horizontal="center"/>
    </xf>
    <xf numFmtId="0" fontId="1" fillId="0" borderId="1" xfId="0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7" fillId="0" borderId="2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2" fontId="54" fillId="0" borderId="0" xfId="0" applyNumberFormat="1" applyFont="1" applyFill="1" applyAlignment="1">
      <alignment horizontal="center"/>
    </xf>
    <xf numFmtId="0" fontId="1" fillId="0" borderId="4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2" fontId="1" fillId="0" borderId="5" xfId="0" applyNumberFormat="1" applyFont="1" applyFill="1" applyBorder="1" applyAlignment="1">
      <alignment horizontal="center"/>
    </xf>
    <xf numFmtId="0" fontId="1" fillId="0" borderId="6" xfId="0" applyFont="1" applyFill="1" applyBorder="1" applyAlignment="1">
      <alignment horizontal="right"/>
    </xf>
    <xf numFmtId="0" fontId="1" fillId="0" borderId="7" xfId="0" applyFont="1" applyFill="1" applyBorder="1" applyAlignment="1">
      <alignment horizontal="right"/>
    </xf>
    <xf numFmtId="2" fontId="1" fillId="0" borderId="8" xfId="0" applyNumberFormat="1" applyFont="1" applyFill="1" applyBorder="1" applyAlignment="1">
      <alignment horizontal="center"/>
    </xf>
    <xf numFmtId="0" fontId="1" fillId="0" borderId="2" xfId="0" applyFont="1" applyFill="1" applyBorder="1"/>
    <xf numFmtId="0" fontId="1" fillId="0" borderId="2" xfId="0" applyFont="1" applyFill="1" applyBorder="1" applyAlignment="1">
      <alignment horizontal="center"/>
    </xf>
    <xf numFmtId="2" fontId="1" fillId="0" borderId="14" xfId="0" applyNumberFormat="1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1" xfId="0" applyFont="1" applyFill="1" applyBorder="1"/>
    <xf numFmtId="0" fontId="1" fillId="0" borderId="4" xfId="0" applyFont="1" applyFill="1" applyBorder="1"/>
    <xf numFmtId="2" fontId="1" fillId="0" borderId="4" xfId="0" applyNumberFormat="1" applyFont="1" applyFill="1" applyBorder="1" applyAlignment="1">
      <alignment horizontal="center"/>
    </xf>
    <xf numFmtId="2" fontId="1" fillId="0" borderId="0" xfId="0" applyNumberFormat="1" applyFont="1" applyFill="1" applyBorder="1"/>
    <xf numFmtId="2" fontId="1" fillId="0" borderId="13" xfId="0" applyNumberFormat="1" applyFont="1" applyFill="1" applyBorder="1" applyAlignment="1">
      <alignment horizontal="center"/>
    </xf>
    <xf numFmtId="1" fontId="1" fillId="0" borderId="4" xfId="0" applyNumberFormat="1" applyFont="1" applyFill="1" applyBorder="1" applyAlignment="1" applyProtection="1">
      <alignment horizontal="center"/>
    </xf>
    <xf numFmtId="1" fontId="1" fillId="0" borderId="14" xfId="0" applyNumberFormat="1" applyFont="1" applyFill="1" applyBorder="1" applyAlignment="1" applyProtection="1">
      <alignment horizontal="center"/>
    </xf>
    <xf numFmtId="2" fontId="1" fillId="0" borderId="6" xfId="0" applyNumberFormat="1" applyFont="1" applyFill="1" applyBorder="1" applyAlignment="1" applyProtection="1">
      <alignment horizontal="center"/>
    </xf>
    <xf numFmtId="2" fontId="1" fillId="0" borderId="0" xfId="0" applyNumberFormat="1" applyFont="1" applyFill="1" applyAlignment="1" applyProtection="1">
      <alignment horizontal="center"/>
    </xf>
    <xf numFmtId="0" fontId="1" fillId="0" borderId="0" xfId="0" applyFont="1" applyFill="1" applyAlignment="1" applyProtection="1">
      <alignment horizontal="center"/>
    </xf>
    <xf numFmtId="1" fontId="1" fillId="0" borderId="6" xfId="0" applyNumberFormat="1" applyFont="1" applyFill="1" applyBorder="1" applyAlignment="1" applyProtection="1">
      <alignment horizontal="center"/>
    </xf>
    <xf numFmtId="1" fontId="1" fillId="0" borderId="13" xfId="0" applyNumberFormat="1" applyFont="1" applyFill="1" applyBorder="1" applyAlignment="1" applyProtection="1">
      <alignment horizontal="center"/>
    </xf>
    <xf numFmtId="1" fontId="1" fillId="0" borderId="1" xfId="0" applyNumberFormat="1" applyFont="1" applyFill="1" applyBorder="1" applyAlignment="1" applyProtection="1">
      <alignment horizontal="center"/>
    </xf>
    <xf numFmtId="1" fontId="1" fillId="0" borderId="9" xfId="0" applyNumberFormat="1" applyFont="1" applyFill="1" applyBorder="1" applyAlignment="1" applyProtection="1">
      <alignment horizontal="center"/>
    </xf>
    <xf numFmtId="0" fontId="1" fillId="0" borderId="6" xfId="0" applyFont="1" applyFill="1" applyBorder="1" applyAlignment="1">
      <alignment horizontal="center"/>
    </xf>
    <xf numFmtId="0" fontId="6" fillId="6" borderId="0" xfId="0" applyFont="1" applyFill="1" applyAlignment="1" applyProtection="1">
      <alignment horizontal="right"/>
      <protection locked="0"/>
    </xf>
    <xf numFmtId="2" fontId="6" fillId="6" borderId="0" xfId="0" applyNumberFormat="1" applyFont="1" applyFill="1" applyAlignment="1" applyProtection="1">
      <alignment horizontal="right"/>
      <protection locked="0"/>
    </xf>
    <xf numFmtId="2" fontId="6" fillId="6" borderId="0" xfId="0" applyNumberFormat="1" applyFont="1" applyFill="1" applyProtection="1">
      <protection locked="0"/>
    </xf>
    <xf numFmtId="2" fontId="0" fillId="6" borderId="0" xfId="0" applyNumberFormat="1" applyFill="1" applyProtection="1">
      <protection locked="0"/>
    </xf>
    <xf numFmtId="0" fontId="0" fillId="6" borderId="12" xfId="0" applyFill="1" applyBorder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center"/>
      <protection locked="0"/>
    </xf>
    <xf numFmtId="2" fontId="0" fillId="6" borderId="0" xfId="0" applyNumberFormat="1" applyFill="1" applyAlignment="1" applyProtection="1">
      <alignment horizontal="right"/>
      <protection locked="0"/>
    </xf>
    <xf numFmtId="2" fontId="1" fillId="2" borderId="0" xfId="0" applyNumberFormat="1" applyFont="1" applyFill="1" applyAlignment="1" applyProtection="1">
      <alignment horizontal="right"/>
      <protection locked="0"/>
    </xf>
    <xf numFmtId="166" fontId="1" fillId="0" borderId="0" xfId="0" applyNumberFormat="1" applyFont="1" applyAlignment="1">
      <alignment horizontal="right"/>
    </xf>
    <xf numFmtId="1" fontId="6" fillId="6" borderId="0" xfId="0" applyNumberFormat="1" applyFont="1" applyFill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</xf>
    <xf numFmtId="0" fontId="0" fillId="0" borderId="0" xfId="0" applyBorder="1" applyProtection="1">
      <protection locked="0"/>
    </xf>
    <xf numFmtId="2" fontId="1" fillId="0" borderId="0" xfId="0" applyNumberFormat="1" applyFont="1" applyFill="1" applyAlignment="1" applyProtection="1">
      <alignment horizontal="right"/>
    </xf>
    <xf numFmtId="0" fontId="1" fillId="0" borderId="0" xfId="0" applyFont="1" applyFill="1" applyAlignment="1" applyProtection="1">
      <alignment horizontal="right"/>
    </xf>
    <xf numFmtId="1" fontId="0" fillId="0" borderId="0" xfId="0" applyNumberFormat="1" applyAlignment="1" applyProtection="1">
      <alignment horizontal="right"/>
    </xf>
    <xf numFmtId="0" fontId="0" fillId="6" borderId="0" xfId="0" applyFill="1" applyAlignment="1" applyProtection="1">
      <alignment horizontal="left"/>
      <protection locked="0"/>
    </xf>
    <xf numFmtId="2" fontId="0" fillId="6" borderId="14" xfId="0" applyNumberFormat="1" applyFill="1" applyBorder="1" applyAlignment="1" applyProtection="1">
      <alignment horizontal="center"/>
      <protection locked="0"/>
    </xf>
    <xf numFmtId="2" fontId="0" fillId="6" borderId="13" xfId="0" applyNumberFormat="1" applyFill="1" applyBorder="1" applyAlignment="1" applyProtection="1">
      <alignment horizontal="center"/>
      <protection locked="0"/>
    </xf>
    <xf numFmtId="1" fontId="1" fillId="0" borderId="5" xfId="0" applyNumberFormat="1" applyFont="1" applyFill="1" applyBorder="1" applyAlignment="1" applyProtection="1">
      <alignment horizontal="center"/>
    </xf>
    <xf numFmtId="166" fontId="0" fillId="6" borderId="6" xfId="0" applyNumberFormat="1" applyFill="1" applyBorder="1" applyAlignment="1" applyProtection="1">
      <alignment horizontal="center"/>
      <protection locked="0"/>
    </xf>
    <xf numFmtId="2" fontId="0" fillId="6" borderId="0" xfId="0" applyNumberFormat="1" applyFill="1" applyAlignment="1" applyProtection="1">
      <alignment horizontal="left"/>
      <protection locked="0"/>
    </xf>
    <xf numFmtId="0" fontId="1" fillId="0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/>
    </xf>
    <xf numFmtId="164" fontId="0" fillId="0" borderId="0" xfId="0" applyNumberFormat="1"/>
    <xf numFmtId="0" fontId="1" fillId="0" borderId="12" xfId="0" applyFont="1" applyBorder="1" applyAlignment="1">
      <alignment horizontal="center" vertical="center" wrapText="1"/>
    </xf>
    <xf numFmtId="0" fontId="0" fillId="0" borderId="5" xfId="0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0" fontId="1" fillId="0" borderId="0" xfId="0" applyFont="1" applyFill="1" applyBorder="1" applyAlignment="1">
      <alignment vertical="center" wrapText="1"/>
    </xf>
    <xf numFmtId="0" fontId="17" fillId="6" borderId="0" xfId="0" applyFont="1" applyFill="1" applyBorder="1" applyAlignment="1" applyProtection="1">
      <alignment horizontal="center"/>
      <protection locked="0"/>
    </xf>
    <xf numFmtId="0" fontId="17" fillId="6" borderId="7" xfId="0" applyFont="1" applyFill="1" applyBorder="1" applyAlignment="1" applyProtection="1">
      <alignment horizontal="center"/>
      <protection locked="0"/>
    </xf>
    <xf numFmtId="1" fontId="1" fillId="6" borderId="0" xfId="0" applyNumberFormat="1" applyFont="1" applyFill="1" applyBorder="1" applyAlignment="1" applyProtection="1">
      <alignment horizontal="center"/>
      <protection locked="0"/>
    </xf>
    <xf numFmtId="1" fontId="1" fillId="6" borderId="7" xfId="0" applyNumberFormat="1" applyFont="1" applyFill="1" applyBorder="1" applyAlignment="1" applyProtection="1">
      <alignment horizontal="center"/>
      <protection locked="0"/>
    </xf>
    <xf numFmtId="0" fontId="1" fillId="0" borderId="10" xfId="0" applyFont="1" applyBorder="1" applyAlignment="1">
      <alignment horizontal="center" vertical="center" wrapText="1"/>
    </xf>
    <xf numFmtId="1" fontId="0" fillId="0" borderId="11" xfId="0" applyNumberFormat="1" applyBorder="1" applyAlignment="1">
      <alignment horizontal="center"/>
    </xf>
    <xf numFmtId="2" fontId="0" fillId="6" borderId="10" xfId="0" applyNumberFormat="1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0" fillId="0" borderId="14" xfId="0" applyBorder="1"/>
    <xf numFmtId="0" fontId="51" fillId="0" borderId="0" xfId="0" applyFont="1" applyFill="1"/>
    <xf numFmtId="0" fontId="1" fillId="0" borderId="12" xfId="0" applyFont="1" applyBorder="1" applyAlignment="1">
      <alignment horizontal="center" vertical="center" wrapText="1"/>
    </xf>
    <xf numFmtId="0" fontId="0" fillId="0" borderId="14" xfId="0" applyBorder="1"/>
    <xf numFmtId="0" fontId="1" fillId="0" borderId="0" xfId="0" applyFont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14" xfId="0" applyBorder="1"/>
    <xf numFmtId="0" fontId="0" fillId="0" borderId="13" xfId="0" applyBorder="1"/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4" xfId="0" applyBorder="1"/>
    <xf numFmtId="0" fontId="0" fillId="0" borderId="11" xfId="0" applyBorder="1" applyAlignment="1"/>
    <xf numFmtId="0" fontId="1" fillId="0" borderId="11" xfId="0" applyFont="1" applyBorder="1" applyAlignment="1"/>
    <xf numFmtId="16" fontId="0" fillId="0" borderId="10" xfId="0" applyNumberFormat="1" applyBorder="1" applyAlignment="1">
      <alignment horizontal="right"/>
    </xf>
    <xf numFmtId="16" fontId="0" fillId="0" borderId="11" xfId="0" applyNumberFormat="1" applyBorder="1" applyAlignment="1"/>
    <xf numFmtId="16" fontId="1" fillId="0" borderId="11" xfId="0" applyNumberFormat="1" applyFont="1" applyBorder="1" applyAlignment="1"/>
    <xf numFmtId="16" fontId="0" fillId="0" borderId="10" xfId="0" applyNumberFormat="1" applyBorder="1" applyAlignment="1"/>
    <xf numFmtId="0" fontId="57" fillId="0" borderId="0" xfId="0" applyFont="1" applyAlignment="1">
      <alignment horizontal="left" readingOrder="1"/>
    </xf>
    <xf numFmtId="2" fontId="1" fillId="0" borderId="0" xfId="0" applyNumberFormat="1" applyFont="1" applyFill="1" applyAlignment="1"/>
    <xf numFmtId="2" fontId="53" fillId="0" borderId="0" xfId="0" applyNumberFormat="1" applyFont="1" applyFill="1" applyAlignment="1">
      <alignment horizontal="center"/>
    </xf>
    <xf numFmtId="16" fontId="1" fillId="0" borderId="15" xfId="0" applyNumberFormat="1" applyFont="1" applyBorder="1" applyAlignment="1"/>
    <xf numFmtId="16" fontId="0" fillId="0" borderId="3" xfId="0" applyNumberFormat="1" applyBorder="1" applyAlignment="1"/>
    <xf numFmtId="16" fontId="0" fillId="0" borderId="1" xfId="0" applyNumberFormat="1" applyBorder="1" applyAlignment="1">
      <alignment horizontal="right"/>
    </xf>
    <xf numFmtId="2" fontId="0" fillId="0" borderId="4" xfId="0" applyNumberFormat="1" applyBorder="1" applyAlignment="1">
      <alignment horizontal="right"/>
    </xf>
    <xf numFmtId="2" fontId="0" fillId="0" borderId="6" xfId="0" applyNumberFormat="1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center"/>
    </xf>
    <xf numFmtId="0" fontId="2" fillId="0" borderId="0" xfId="0" applyFont="1" applyAlignment="1">
      <alignment horizontal="center"/>
    </xf>
    <xf numFmtId="166" fontId="0" fillId="0" borderId="13" xfId="0" applyNumberFormat="1" applyBorder="1" applyAlignment="1">
      <alignment horizontal="center"/>
    </xf>
    <xf numFmtId="0" fontId="0" fillId="0" borderId="10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1" xfId="0" applyFill="1" applyBorder="1" applyAlignment="1">
      <alignment horizontal="center"/>
    </xf>
    <xf numFmtId="2" fontId="1" fillId="6" borderId="0" xfId="0" applyNumberFormat="1" applyFont="1" applyFill="1" applyAlignment="1" applyProtection="1">
      <alignment horizontal="right"/>
      <protection locked="0"/>
    </xf>
    <xf numFmtId="166" fontId="0" fillId="0" borderId="9" xfId="0" applyNumberFormat="1" applyBorder="1" applyAlignment="1">
      <alignment horizontal="center"/>
    </xf>
    <xf numFmtId="0" fontId="42" fillId="0" borderId="0" xfId="0" applyFont="1" applyFill="1" applyAlignment="1">
      <alignment horizontal="center"/>
    </xf>
    <xf numFmtId="0" fontId="6" fillId="0" borderId="0" xfId="0" applyFont="1" applyFill="1" applyAlignment="1" applyProtection="1">
      <alignment horizontal="left" vertical="top" wrapText="1"/>
      <protection locked="0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6" fillId="0" borderId="0" xfId="0" applyFont="1" applyFill="1" applyAlignment="1" applyProtection="1">
      <alignment horizontal="right"/>
    </xf>
    <xf numFmtId="0" fontId="0" fillId="8" borderId="15" xfId="0" applyFill="1" applyBorder="1"/>
    <xf numFmtId="0" fontId="0" fillId="8" borderId="11" xfId="0" applyFill="1" applyBorder="1"/>
    <xf numFmtId="0" fontId="0" fillId="8" borderId="15" xfId="0" applyFill="1" applyBorder="1" applyAlignment="1">
      <alignment horizontal="center"/>
    </xf>
    <xf numFmtId="0" fontId="0" fillId="8" borderId="5" xfId="0" applyFill="1" applyBorder="1"/>
    <xf numFmtId="0" fontId="0" fillId="8" borderId="0" xfId="0" applyFill="1" applyBorder="1"/>
    <xf numFmtId="0" fontId="0" fillId="8" borderId="8" xfId="0" applyFill="1" applyBorder="1"/>
    <xf numFmtId="0" fontId="0" fillId="8" borderId="7" xfId="0" applyFill="1" applyBorder="1"/>
    <xf numFmtId="0" fontId="1" fillId="8" borderId="0" xfId="0" applyFont="1" applyFill="1" applyBorder="1"/>
    <xf numFmtId="0" fontId="1" fillId="8" borderId="7" xfId="0" applyFont="1" applyFill="1" applyBorder="1"/>
    <xf numFmtId="0" fontId="1" fillId="8" borderId="12" xfId="0" applyFont="1" applyFill="1" applyBorder="1"/>
    <xf numFmtId="0" fontId="0" fillId="8" borderId="20" xfId="0" applyFill="1" applyBorder="1"/>
    <xf numFmtId="0" fontId="0" fillId="8" borderId="21" xfId="0" applyFill="1" applyBorder="1"/>
    <xf numFmtId="0" fontId="0" fillId="8" borderId="22" xfId="0" applyFill="1" applyBorder="1"/>
    <xf numFmtId="2" fontId="6" fillId="8" borderId="23" xfId="0" applyNumberFormat="1" applyFont="1" applyFill="1" applyBorder="1" applyAlignment="1" applyProtection="1">
      <alignment horizontal="right"/>
      <protection locked="0"/>
    </xf>
    <xf numFmtId="0" fontId="0" fillId="8" borderId="24" xfId="0" applyFill="1" applyBorder="1"/>
    <xf numFmtId="0" fontId="1" fillId="8" borderId="25" xfId="0" applyFont="1" applyFill="1" applyBorder="1"/>
    <xf numFmtId="0" fontId="1" fillId="8" borderId="26" xfId="0" applyFont="1" applyFill="1" applyBorder="1"/>
    <xf numFmtId="0" fontId="6" fillId="8" borderId="0" xfId="0" applyFont="1" applyFill="1" applyBorder="1"/>
    <xf numFmtId="0" fontId="0" fillId="8" borderId="9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6" fillId="16" borderId="19" xfId="0" applyFont="1" applyFill="1" applyBorder="1"/>
    <xf numFmtId="0" fontId="0" fillId="16" borderId="20" xfId="0" applyFill="1" applyBorder="1"/>
    <xf numFmtId="0" fontId="1" fillId="0" borderId="0" xfId="0" applyFont="1" applyBorder="1" applyAlignment="1">
      <alignment horizontal="center"/>
    </xf>
    <xf numFmtId="0" fontId="2" fillId="5" borderId="0" xfId="0" applyFont="1" applyFill="1"/>
    <xf numFmtId="2" fontId="0" fillId="3" borderId="0" xfId="0" applyNumberFormat="1" applyFill="1" applyAlignment="1">
      <alignment horizontal="right"/>
    </xf>
    <xf numFmtId="2" fontId="6" fillId="3" borderId="0" xfId="0" applyNumberFormat="1" applyFont="1" applyFill="1" applyAlignment="1">
      <alignment horizontal="right"/>
    </xf>
    <xf numFmtId="0" fontId="0" fillId="17" borderId="0" xfId="0" applyFill="1" applyBorder="1"/>
    <xf numFmtId="2" fontId="0" fillId="5" borderId="0" xfId="0" applyNumberFormat="1" applyFill="1" applyAlignment="1">
      <alignment horizontal="left"/>
    </xf>
    <xf numFmtId="0" fontId="0" fillId="0" borderId="13" xfId="0" applyFill="1" applyBorder="1" applyAlignment="1">
      <alignment horizontal="center"/>
    </xf>
    <xf numFmtId="2" fontId="0" fillId="0" borderId="13" xfId="0" applyNumberFormat="1" applyFill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0" fontId="61" fillId="16" borderId="32" xfId="0" applyFont="1" applyFill="1" applyBorder="1" applyAlignment="1">
      <alignment horizontal="left"/>
    </xf>
    <xf numFmtId="0" fontId="0" fillId="0" borderId="6" xfId="0" applyBorder="1"/>
    <xf numFmtId="0" fontId="0" fillId="0" borderId="4" xfId="0" applyBorder="1" applyAlignment="1">
      <alignment horizontal="right"/>
    </xf>
    <xf numFmtId="2" fontId="6" fillId="0" borderId="0" xfId="0" applyNumberFormat="1" applyFont="1" applyBorder="1"/>
    <xf numFmtId="2" fontId="0" fillId="0" borderId="7" xfId="0" applyNumberFormat="1" applyBorder="1" applyAlignment="1">
      <alignment horizontal="left"/>
    </xf>
    <xf numFmtId="0" fontId="2" fillId="0" borderId="2" xfId="0" applyFont="1" applyBorder="1"/>
    <xf numFmtId="165" fontId="6" fillId="0" borderId="0" xfId="0" applyNumberFormat="1" applyFont="1" applyFill="1"/>
    <xf numFmtId="167" fontId="0" fillId="0" borderId="0" xfId="0" applyNumberFormat="1" applyAlignment="1">
      <alignment horizontal="right"/>
    </xf>
    <xf numFmtId="0" fontId="55" fillId="8" borderId="0" xfId="0" applyFont="1" applyFill="1"/>
    <xf numFmtId="2" fontId="1" fillId="6" borderId="0" xfId="0" applyNumberFormat="1" applyFont="1" applyFill="1" applyAlignment="1" applyProtection="1">
      <alignment horizontal="center"/>
      <protection locked="0"/>
    </xf>
    <xf numFmtId="0" fontId="54" fillId="0" borderId="0" xfId="0" applyFont="1"/>
    <xf numFmtId="0" fontId="63" fillId="0" borderId="0" xfId="0" applyFont="1" applyAlignment="1">
      <alignment horizontal="right"/>
    </xf>
    <xf numFmtId="0" fontId="65" fillId="0" borderId="0" xfId="0" applyFont="1"/>
    <xf numFmtId="0" fontId="65" fillId="0" borderId="0" xfId="0" applyFont="1" applyAlignment="1">
      <alignment horizontal="right"/>
    </xf>
    <xf numFmtId="2" fontId="63" fillId="0" borderId="0" xfId="0" applyNumberFormat="1" applyFont="1" applyAlignment="1">
      <alignment horizontal="left"/>
    </xf>
    <xf numFmtId="0" fontId="63" fillId="0" borderId="0" xfId="0" applyFont="1" applyAlignment="1">
      <alignment horizontal="center"/>
    </xf>
    <xf numFmtId="0" fontId="66" fillId="0" borderId="0" xfId="0" applyFont="1" applyAlignment="1">
      <alignment horizontal="left"/>
    </xf>
    <xf numFmtId="2" fontId="66" fillId="0" borderId="0" xfId="0" applyNumberFormat="1" applyFont="1" applyAlignment="1">
      <alignment horizontal="left"/>
    </xf>
    <xf numFmtId="0" fontId="68" fillId="0" borderId="0" xfId="0" applyFont="1"/>
    <xf numFmtId="0" fontId="54" fillId="0" borderId="0" xfId="0" applyFont="1" applyAlignment="1">
      <alignment horizontal="right"/>
    </xf>
    <xf numFmtId="2" fontId="54" fillId="0" borderId="0" xfId="0" applyNumberFormat="1" applyFont="1"/>
    <xf numFmtId="0" fontId="68" fillId="0" borderId="0" xfId="0" applyFont="1" applyAlignment="1">
      <alignment horizontal="right"/>
    </xf>
    <xf numFmtId="165" fontId="10" fillId="0" borderId="0" xfId="0" applyNumberFormat="1" applyFont="1" applyAlignment="1">
      <alignment horizontal="left"/>
    </xf>
    <xf numFmtId="165" fontId="10" fillId="0" borderId="0" xfId="0" applyNumberFormat="1" applyFont="1"/>
    <xf numFmtId="165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left"/>
    </xf>
    <xf numFmtId="0" fontId="55" fillId="0" borderId="0" xfId="0" applyFont="1" applyFill="1"/>
    <xf numFmtId="0" fontId="0" fillId="18" borderId="0" xfId="0" applyFill="1"/>
    <xf numFmtId="0" fontId="54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1" fontId="51" fillId="0" borderId="0" xfId="0" applyNumberFormat="1" applyFont="1"/>
    <xf numFmtId="0" fontId="0" fillId="7" borderId="0" xfId="0" applyFill="1" applyAlignment="1">
      <alignment horizontal="right"/>
    </xf>
    <xf numFmtId="0" fontId="0" fillId="7" borderId="0" xfId="0" applyFill="1" applyAlignment="1">
      <alignment horizontal="left"/>
    </xf>
    <xf numFmtId="0" fontId="1" fillId="7" borderId="0" xfId="0" applyFont="1" applyFill="1" applyAlignment="1">
      <alignment horizontal="left"/>
    </xf>
    <xf numFmtId="0" fontId="7" fillId="7" borderId="0" xfId="0" applyFont="1" applyFill="1" applyAlignment="1">
      <alignment horizontal="left"/>
    </xf>
    <xf numFmtId="0" fontId="7" fillId="0" borderId="0" xfId="0" applyFont="1" applyFill="1" applyAlignment="1">
      <alignment horizontal="left"/>
    </xf>
    <xf numFmtId="0" fontId="61" fillId="5" borderId="0" xfId="0" applyFont="1" applyFill="1"/>
    <xf numFmtId="0" fontId="43" fillId="8" borderId="0" xfId="0" applyFont="1" applyFill="1"/>
    <xf numFmtId="0" fontId="51" fillId="8" borderId="0" xfId="0" applyFont="1" applyFill="1"/>
    <xf numFmtId="2" fontId="0" fillId="0" borderId="0" xfId="0" applyNumberFormat="1" applyFill="1" applyProtection="1"/>
    <xf numFmtId="2" fontId="6" fillId="0" borderId="0" xfId="0" applyNumberFormat="1" applyFont="1" applyFill="1" applyAlignment="1" applyProtection="1">
      <alignment horizontal="right"/>
    </xf>
    <xf numFmtId="0" fontId="0" fillId="0" borderId="0" xfId="0" applyFill="1" applyAlignment="1" applyProtection="1">
      <alignment horizontal="left"/>
    </xf>
    <xf numFmtId="0" fontId="0" fillId="6" borderId="0" xfId="0" applyFill="1" applyAlignment="1" applyProtection="1">
      <alignment horizontal="right"/>
      <protection locked="0"/>
    </xf>
    <xf numFmtId="0" fontId="54" fillId="14" borderId="12" xfId="0" applyFont="1" applyFill="1" applyBorder="1" applyAlignment="1" applyProtection="1">
      <alignment horizontal="center"/>
    </xf>
    <xf numFmtId="0" fontId="54" fillId="14" borderId="10" xfId="0" applyFont="1" applyFill="1" applyBorder="1"/>
    <xf numFmtId="0" fontId="54" fillId="14" borderId="15" xfId="0" applyFont="1" applyFill="1" applyBorder="1"/>
    <xf numFmtId="0" fontId="54" fillId="14" borderId="11" xfId="0" applyFont="1" applyFill="1" applyBorder="1"/>
    <xf numFmtId="0" fontId="54" fillId="14" borderId="14" xfId="0" applyFont="1" applyFill="1" applyBorder="1" applyAlignment="1">
      <alignment horizontal="center"/>
    </xf>
    <xf numFmtId="0" fontId="54" fillId="14" borderId="4" xfId="0" applyFont="1" applyFill="1" applyBorder="1"/>
    <xf numFmtId="0" fontId="54" fillId="14" borderId="0" xfId="0" applyFont="1" applyFill="1" applyBorder="1"/>
    <xf numFmtId="0" fontId="59" fillId="15" borderId="0" xfId="0" applyFont="1" applyFill="1"/>
    <xf numFmtId="2" fontId="59" fillId="15" borderId="0" xfId="0" applyNumberFormat="1" applyFont="1" applyFill="1" applyAlignment="1">
      <alignment horizontal="right"/>
    </xf>
    <xf numFmtId="166" fontId="59" fillId="15" borderId="0" xfId="0" applyNumberFormat="1" applyFont="1" applyFill="1" applyAlignment="1">
      <alignment horizontal="right"/>
    </xf>
    <xf numFmtId="2" fontId="59" fillId="15" borderId="0" xfId="0" applyNumberFormat="1" applyFont="1" applyFill="1"/>
    <xf numFmtId="166" fontId="61" fillId="0" borderId="0" xfId="0" applyNumberFormat="1" applyFont="1" applyFill="1" applyAlignment="1">
      <alignment horizontal="right"/>
    </xf>
    <xf numFmtId="0" fontId="0" fillId="0" borderId="0" xfId="0" applyAlignment="1">
      <alignment vertical="center" textRotation="90"/>
    </xf>
    <xf numFmtId="0" fontId="1" fillId="0" borderId="0" xfId="0" applyFont="1" applyFill="1" applyBorder="1" applyAlignment="1">
      <alignment horizontal="center" vertical="center"/>
    </xf>
    <xf numFmtId="0" fontId="43" fillId="5" borderId="0" xfId="0" applyFont="1" applyFill="1" applyAlignment="1">
      <alignment horizontal="center"/>
    </xf>
    <xf numFmtId="2" fontId="1" fillId="5" borderId="0" xfId="0" applyNumberFormat="1" applyFont="1" applyFill="1" applyAlignment="1">
      <alignment horizontal="right"/>
    </xf>
    <xf numFmtId="2" fontId="1" fillId="5" borderId="0" xfId="0" applyNumberFormat="1" applyFont="1" applyFill="1" applyAlignment="1">
      <alignment horizontal="center"/>
    </xf>
    <xf numFmtId="0" fontId="69" fillId="19" borderId="1" xfId="0" applyFont="1" applyFill="1" applyBorder="1" applyProtection="1"/>
    <xf numFmtId="0" fontId="62" fillId="19" borderId="2" xfId="0" applyFont="1" applyFill="1" applyBorder="1" applyProtection="1"/>
    <xf numFmtId="0" fontId="0" fillId="0" borderId="30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69" fillId="19" borderId="0" xfId="0" applyFont="1" applyFill="1" applyBorder="1" applyProtection="1"/>
    <xf numFmtId="0" fontId="62" fillId="19" borderId="0" xfId="0" applyFont="1" applyFill="1" applyBorder="1" applyProtection="1"/>
    <xf numFmtId="0" fontId="1" fillId="0" borderId="0" xfId="0" applyFont="1" applyBorder="1" applyAlignment="1">
      <alignment horizontal="center"/>
    </xf>
    <xf numFmtId="0" fontId="55" fillId="0" borderId="1" xfId="0" applyFont="1" applyFill="1" applyBorder="1"/>
    <xf numFmtId="0" fontId="51" fillId="0" borderId="2" xfId="0" applyFont="1" applyFill="1" applyBorder="1"/>
    <xf numFmtId="0" fontId="51" fillId="0" borderId="3" xfId="0" applyFont="1" applyFill="1" applyBorder="1"/>
    <xf numFmtId="0" fontId="0" fillId="0" borderId="0" xfId="0" applyFont="1" applyBorder="1" applyAlignment="1">
      <alignment horizontal="center"/>
    </xf>
    <xf numFmtId="0" fontId="43" fillId="0" borderId="0" xfId="0" applyFont="1" applyFill="1" applyAlignment="1">
      <alignment horizontal="center"/>
    </xf>
    <xf numFmtId="0" fontId="70" fillId="0" borderId="0" xfId="0" applyFont="1" applyBorder="1"/>
    <xf numFmtId="0" fontId="43" fillId="0" borderId="0" xfId="0" applyFont="1" applyAlignment="1">
      <alignment horizontal="left"/>
    </xf>
    <xf numFmtId="0" fontId="70" fillId="0" borderId="0" xfId="0" applyFont="1"/>
    <xf numFmtId="0" fontId="1" fillId="6" borderId="0" xfId="0" applyFont="1" applyFill="1" applyAlignment="1" applyProtection="1">
      <alignment horizontal="right"/>
      <protection locked="0"/>
    </xf>
    <xf numFmtId="2" fontId="0" fillId="0" borderId="0" xfId="0" applyNumberFormat="1" applyFill="1" applyBorder="1"/>
    <xf numFmtId="1" fontId="1" fillId="0" borderId="0" xfId="0" applyNumberFormat="1" applyFont="1" applyFill="1" applyBorder="1" applyAlignment="1">
      <alignment horizontal="center"/>
    </xf>
    <xf numFmtId="16" fontId="1" fillId="0" borderId="0" xfId="0" applyNumberFormat="1" applyFont="1" applyFill="1" applyBorder="1" applyAlignment="1"/>
    <xf numFmtId="0" fontId="0" fillId="0" borderId="0" xfId="0" applyFill="1" applyBorder="1" applyAlignment="1">
      <alignment horizontal="left"/>
    </xf>
    <xf numFmtId="16" fontId="0" fillId="0" borderId="0" xfId="0" applyNumberFormat="1" applyFill="1" applyBorder="1" applyAlignment="1"/>
    <xf numFmtId="2" fontId="51" fillId="17" borderId="0" xfId="0" applyNumberFormat="1" applyFont="1" applyFill="1" applyAlignment="1">
      <alignment horizontal="left"/>
    </xf>
    <xf numFmtId="166" fontId="59" fillId="15" borderId="0" xfId="0" applyNumberFormat="1" applyFont="1" applyFill="1"/>
    <xf numFmtId="2" fontId="59" fillId="15" borderId="0" xfId="0" applyNumberFormat="1" applyFont="1" applyFill="1" applyProtection="1">
      <protection locked="0"/>
    </xf>
    <xf numFmtId="2" fontId="53" fillId="0" borderId="0" xfId="0" applyNumberFormat="1" applyFont="1" applyFill="1"/>
    <xf numFmtId="167" fontId="1" fillId="0" borderId="0" xfId="0" applyNumberFormat="1" applyFont="1" applyFill="1"/>
    <xf numFmtId="0" fontId="59" fillId="21" borderId="0" xfId="0" applyFont="1" applyFill="1"/>
    <xf numFmtId="2" fontId="53" fillId="0" borderId="0" xfId="0" applyNumberFormat="1" applyFont="1" applyFill="1" applyAlignment="1">
      <alignment horizontal="center" vertical="top"/>
    </xf>
    <xf numFmtId="0" fontId="51" fillId="13" borderId="1" xfId="0" applyFont="1" applyFill="1" applyBorder="1" applyAlignment="1">
      <alignment horizontal="center"/>
    </xf>
    <xf numFmtId="0" fontId="51" fillId="13" borderId="10" xfId="0" applyFont="1" applyFill="1" applyBorder="1" applyAlignment="1">
      <alignment horizontal="left"/>
    </xf>
    <xf numFmtId="0" fontId="51" fillId="13" borderId="15" xfId="0" applyFont="1" applyFill="1" applyBorder="1" applyAlignment="1">
      <alignment horizontal="center"/>
    </xf>
    <xf numFmtId="0" fontId="51" fillId="13" borderId="4" xfId="0" applyFont="1" applyFill="1" applyBorder="1" applyAlignment="1">
      <alignment horizontal="center"/>
    </xf>
    <xf numFmtId="0" fontId="51" fillId="13" borderId="0" xfId="0" applyFont="1" applyFill="1" applyBorder="1" applyAlignment="1">
      <alignment horizontal="center"/>
    </xf>
    <xf numFmtId="0" fontId="51" fillId="13" borderId="6" xfId="0" applyFont="1" applyFill="1" applyBorder="1" applyAlignment="1">
      <alignment horizontal="center"/>
    </xf>
    <xf numFmtId="0" fontId="51" fillId="13" borderId="7" xfId="0" applyFont="1" applyFill="1" applyBorder="1" applyAlignment="1">
      <alignment horizontal="center"/>
    </xf>
    <xf numFmtId="16" fontId="51" fillId="13" borderId="1" xfId="0" applyNumberFormat="1" applyFont="1" applyFill="1" applyBorder="1" applyAlignment="1">
      <alignment horizontal="center"/>
    </xf>
    <xf numFmtId="2" fontId="51" fillId="13" borderId="2" xfId="0" applyNumberFormat="1" applyFont="1" applyFill="1" applyBorder="1" applyAlignment="1">
      <alignment horizontal="center"/>
    </xf>
    <xf numFmtId="0" fontId="72" fillId="13" borderId="4" xfId="0" applyFont="1" applyFill="1" applyBorder="1" applyAlignment="1">
      <alignment horizontal="center"/>
    </xf>
    <xf numFmtId="2" fontId="51" fillId="13" borderId="0" xfId="0" applyNumberFormat="1" applyFont="1" applyFill="1" applyBorder="1" applyAlignment="1">
      <alignment horizontal="center"/>
    </xf>
    <xf numFmtId="0" fontId="72" fillId="13" borderId="6" xfId="0" applyFont="1" applyFill="1" applyBorder="1" applyAlignment="1">
      <alignment horizontal="center"/>
    </xf>
    <xf numFmtId="2" fontId="51" fillId="13" borderId="7" xfId="0" applyNumberFormat="1" applyFont="1" applyFill="1" applyBorder="1" applyAlignment="1">
      <alignment horizontal="center"/>
    </xf>
    <xf numFmtId="2" fontId="0" fillId="6" borderId="9" xfId="0" applyNumberFormat="1" applyFill="1" applyBorder="1" applyAlignment="1" applyProtection="1">
      <alignment horizontal="center"/>
      <protection locked="0"/>
    </xf>
    <xf numFmtId="2" fontId="0" fillId="6" borderId="12" xfId="0" applyNumberFormat="1" applyFill="1" applyBorder="1" applyAlignment="1" applyProtection="1">
      <alignment horizontal="center"/>
      <protection locked="0"/>
    </xf>
    <xf numFmtId="0" fontId="54" fillId="13" borderId="9" xfId="0" applyFont="1" applyFill="1" applyBorder="1" applyAlignment="1">
      <alignment horizontal="center"/>
    </xf>
    <xf numFmtId="0" fontId="54" fillId="13" borderId="14" xfId="0" applyFont="1" applyFill="1" applyBorder="1" applyAlignment="1">
      <alignment horizontal="center"/>
    </xf>
    <xf numFmtId="0" fontId="54" fillId="13" borderId="13" xfId="0" applyFont="1" applyFill="1" applyBorder="1" applyAlignment="1">
      <alignment horizontal="center"/>
    </xf>
    <xf numFmtId="0" fontId="0" fillId="0" borderId="0" xfId="0" applyFill="1" applyBorder="1" applyAlignment="1"/>
    <xf numFmtId="0" fontId="1" fillId="0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4" xfId="0" applyBorder="1"/>
    <xf numFmtId="0" fontId="0" fillId="0" borderId="14" xfId="0" applyBorder="1"/>
    <xf numFmtId="0" fontId="0" fillId="0" borderId="13" xfId="0" applyBorder="1"/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2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" xfId="0" applyFill="1" applyBorder="1" applyAlignment="1">
      <alignment horizontal="right"/>
    </xf>
    <xf numFmtId="2" fontId="6" fillId="0" borderId="6" xfId="0" applyNumberFormat="1" applyFont="1" applyFill="1" applyBorder="1"/>
    <xf numFmtId="2" fontId="0" fillId="6" borderId="0" xfId="0" applyNumberFormat="1" applyFill="1" applyProtection="1"/>
    <xf numFmtId="0" fontId="62" fillId="15" borderId="0" xfId="0" applyFont="1" applyFill="1"/>
    <xf numFmtId="0" fontId="59" fillId="0" borderId="0" xfId="0" applyFont="1" applyFill="1"/>
    <xf numFmtId="0" fontId="6" fillId="8" borderId="5" xfId="0" applyFont="1" applyFill="1" applyBorder="1"/>
    <xf numFmtId="2" fontId="59" fillId="15" borderId="7" xfId="0" applyNumberFormat="1" applyFont="1" applyFill="1" applyBorder="1" applyAlignment="1" applyProtection="1">
      <alignment horizontal="center"/>
    </xf>
    <xf numFmtId="0" fontId="6" fillId="8" borderId="8" xfId="0" applyFont="1" applyFill="1" applyBorder="1"/>
    <xf numFmtId="0" fontId="0" fillId="8" borderId="2" xfId="0" applyFill="1" applyBorder="1"/>
    <xf numFmtId="0" fontId="51" fillId="8" borderId="4" xfId="0" applyFont="1" applyFill="1" applyBorder="1"/>
    <xf numFmtId="0" fontId="51" fillId="8" borderId="6" xfId="0" applyFont="1" applyFill="1" applyBorder="1"/>
    <xf numFmtId="2" fontId="61" fillId="8" borderId="12" xfId="0" applyNumberFormat="1" applyFont="1" applyFill="1" applyBorder="1"/>
    <xf numFmtId="0" fontId="1" fillId="0" borderId="0" xfId="0" applyFont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53" fillId="0" borderId="0" xfId="0" applyFont="1" applyFill="1" applyAlignment="1">
      <alignment horizontal="left"/>
    </xf>
    <xf numFmtId="1" fontId="53" fillId="0" borderId="0" xfId="0" applyNumberFormat="1" applyFont="1" applyFill="1" applyAlignment="1">
      <alignment horizontal="left"/>
    </xf>
    <xf numFmtId="0" fontId="53" fillId="0" borderId="0" xfId="0" applyFont="1" applyFill="1" applyAlignment="1">
      <alignment horizontal="center"/>
    </xf>
    <xf numFmtId="1" fontId="53" fillId="0" borderId="0" xfId="0" applyNumberFormat="1" applyFont="1" applyFill="1" applyAlignment="1">
      <alignment horizontal="center"/>
    </xf>
    <xf numFmtId="0" fontId="53" fillId="6" borderId="0" xfId="0" applyFont="1" applyFill="1" applyAlignment="1" applyProtection="1">
      <alignment vertical="top"/>
      <protection locked="0"/>
    </xf>
    <xf numFmtId="2" fontId="51" fillId="17" borderId="0" xfId="0" applyNumberFormat="1" applyFont="1" applyFill="1" applyAlignment="1">
      <alignment horizontal="right"/>
    </xf>
    <xf numFmtId="0" fontId="53" fillId="0" borderId="0" xfId="0" applyFont="1" applyFill="1" applyAlignment="1">
      <alignment horizontal="right" vertical="top"/>
    </xf>
    <xf numFmtId="0" fontId="53" fillId="6" borderId="0" xfId="0" applyFont="1" applyFill="1" applyAlignment="1" applyProtection="1">
      <alignment horizontal="left"/>
      <protection locked="0"/>
    </xf>
    <xf numFmtId="0" fontId="43" fillId="8" borderId="10" xfId="0" applyFont="1" applyFill="1" applyBorder="1" applyAlignment="1">
      <alignment horizontal="center"/>
    </xf>
    <xf numFmtId="0" fontId="43" fillId="8" borderId="15" xfId="0" applyFont="1" applyFill="1" applyBorder="1" applyAlignment="1">
      <alignment horizontal="center"/>
    </xf>
    <xf numFmtId="0" fontId="43" fillId="8" borderId="11" xfId="0" applyFont="1" applyFill="1" applyBorder="1" applyAlignment="1">
      <alignment horizontal="center"/>
    </xf>
    <xf numFmtId="16" fontId="43" fillId="8" borderId="4" xfId="0" applyNumberFormat="1" applyFont="1" applyFill="1" applyBorder="1" applyAlignment="1">
      <alignment horizontal="center"/>
    </xf>
    <xf numFmtId="1" fontId="43" fillId="8" borderId="0" xfId="0" applyNumberFormat="1" applyFont="1" applyFill="1" applyBorder="1" applyAlignment="1" applyProtection="1">
      <alignment horizontal="center"/>
    </xf>
    <xf numFmtId="0" fontId="43" fillId="8" borderId="0" xfId="0" applyFont="1" applyFill="1" applyBorder="1" applyAlignment="1">
      <alignment horizontal="center"/>
    </xf>
    <xf numFmtId="1" fontId="43" fillId="8" borderId="5" xfId="0" applyNumberFormat="1" applyFont="1" applyFill="1" applyBorder="1" applyAlignment="1">
      <alignment horizontal="center"/>
    </xf>
    <xf numFmtId="1" fontId="43" fillId="8" borderId="0" xfId="0" applyNumberFormat="1" applyFont="1" applyFill="1" applyBorder="1" applyAlignment="1">
      <alignment horizontal="center"/>
    </xf>
    <xf numFmtId="16" fontId="43" fillId="8" borderId="6" xfId="0" applyNumberFormat="1" applyFont="1" applyFill="1" applyBorder="1" applyAlignment="1">
      <alignment horizontal="center"/>
    </xf>
    <xf numFmtId="0" fontId="43" fillId="8" borderId="7" xfId="0" applyFont="1" applyFill="1" applyBorder="1" applyAlignment="1">
      <alignment horizontal="center"/>
    </xf>
    <xf numFmtId="1" fontId="43" fillId="8" borderId="7" xfId="0" applyNumberFormat="1" applyFont="1" applyFill="1" applyBorder="1" applyAlignment="1">
      <alignment horizontal="center"/>
    </xf>
    <xf numFmtId="1" fontId="43" fillId="8" borderId="8" xfId="0" applyNumberFormat="1" applyFont="1" applyFill="1" applyBorder="1" applyAlignment="1">
      <alignment horizontal="center"/>
    </xf>
    <xf numFmtId="0" fontId="43" fillId="8" borderId="4" xfId="0" applyNumberFormat="1" applyFont="1" applyFill="1" applyBorder="1" applyAlignment="1">
      <alignment horizontal="center"/>
    </xf>
    <xf numFmtId="0" fontId="43" fillId="8" borderId="14" xfId="0" applyNumberFormat="1" applyFont="1" applyFill="1" applyBorder="1" applyAlignment="1">
      <alignment horizontal="center"/>
    </xf>
    <xf numFmtId="0" fontId="43" fillId="8" borderId="6" xfId="0" applyNumberFormat="1" applyFont="1" applyFill="1" applyBorder="1" applyAlignment="1">
      <alignment horizontal="center"/>
    </xf>
    <xf numFmtId="0" fontId="43" fillId="8" borderId="13" xfId="0" applyNumberFormat="1" applyFont="1" applyFill="1" applyBorder="1" applyAlignment="1">
      <alignment horizontal="center"/>
    </xf>
    <xf numFmtId="16" fontId="43" fillId="8" borderId="1" xfId="0" applyNumberFormat="1" applyFont="1" applyFill="1" applyBorder="1" applyAlignment="1">
      <alignment horizontal="center"/>
    </xf>
    <xf numFmtId="0" fontId="43" fillId="8" borderId="1" xfId="0" applyNumberFormat="1" applyFont="1" applyFill="1" applyBorder="1" applyAlignment="1">
      <alignment horizontal="center"/>
    </xf>
    <xf numFmtId="0" fontId="43" fillId="8" borderId="9" xfId="0" applyNumberFormat="1" applyFont="1" applyFill="1" applyBorder="1" applyAlignment="1">
      <alignment horizontal="center"/>
    </xf>
    <xf numFmtId="0" fontId="43" fillId="8" borderId="0" xfId="0" applyNumberFormat="1" applyFont="1" applyFill="1" applyBorder="1" applyAlignment="1">
      <alignment horizontal="center"/>
    </xf>
    <xf numFmtId="0" fontId="43" fillId="8" borderId="5" xfId="0" applyNumberFormat="1" applyFont="1" applyFill="1" applyBorder="1" applyAlignment="1">
      <alignment horizontal="center"/>
    </xf>
    <xf numFmtId="0" fontId="43" fillId="8" borderId="7" xfId="0" applyNumberFormat="1" applyFont="1" applyFill="1" applyBorder="1" applyAlignment="1">
      <alignment horizontal="center"/>
    </xf>
    <xf numFmtId="0" fontId="43" fillId="8" borderId="8" xfId="0" applyNumberFormat="1" applyFont="1" applyFill="1" applyBorder="1" applyAlignment="1">
      <alignment horizontal="center"/>
    </xf>
    <xf numFmtId="0" fontId="43" fillId="8" borderId="2" xfId="0" applyNumberFormat="1" applyFont="1" applyFill="1" applyBorder="1" applyAlignment="1">
      <alignment horizontal="center"/>
    </xf>
    <xf numFmtId="0" fontId="43" fillId="8" borderId="3" xfId="0" applyNumberFormat="1" applyFont="1" applyFill="1" applyBorder="1" applyAlignment="1">
      <alignment horizontal="center"/>
    </xf>
    <xf numFmtId="0" fontId="61" fillId="8" borderId="10" xfId="0" applyFont="1" applyFill="1" applyBorder="1" applyAlignment="1">
      <alignment horizontal="center"/>
    </xf>
    <xf numFmtId="0" fontId="61" fillId="8" borderId="15" xfId="0" applyFont="1" applyFill="1" applyBorder="1" applyAlignment="1">
      <alignment horizontal="center"/>
    </xf>
    <xf numFmtId="0" fontId="61" fillId="8" borderId="11" xfId="0" applyFont="1" applyFill="1" applyBorder="1" applyAlignment="1">
      <alignment horizontal="center"/>
    </xf>
    <xf numFmtId="16" fontId="61" fillId="8" borderId="4" xfId="0" applyNumberFormat="1" applyFont="1" applyFill="1" applyBorder="1" applyAlignment="1">
      <alignment horizontal="center"/>
    </xf>
    <xf numFmtId="1" fontId="61" fillId="8" borderId="5" xfId="0" applyNumberFormat="1" applyFont="1" applyFill="1" applyBorder="1" applyAlignment="1">
      <alignment horizontal="center"/>
    </xf>
    <xf numFmtId="1" fontId="61" fillId="8" borderId="0" xfId="0" applyNumberFormat="1" applyFont="1" applyFill="1" applyBorder="1" applyAlignment="1">
      <alignment horizontal="center"/>
    </xf>
    <xf numFmtId="1" fontId="61" fillId="8" borderId="7" xfId="0" applyNumberFormat="1" applyFont="1" applyFill="1" applyBorder="1" applyAlignment="1">
      <alignment horizontal="center"/>
    </xf>
    <xf numFmtId="1" fontId="61" fillId="8" borderId="8" xfId="0" applyNumberFormat="1" applyFont="1" applyFill="1" applyBorder="1" applyAlignment="1">
      <alignment horizontal="center"/>
    </xf>
    <xf numFmtId="16" fontId="61" fillId="8" borderId="6" xfId="0" applyNumberFormat="1" applyFont="1" applyFill="1" applyBorder="1" applyAlignment="1">
      <alignment horizontal="center"/>
    </xf>
    <xf numFmtId="1" fontId="61" fillId="8" borderId="14" xfId="0" applyNumberFormat="1" applyFont="1" applyFill="1" applyBorder="1" applyAlignment="1" applyProtection="1">
      <alignment horizontal="center"/>
    </xf>
    <xf numFmtId="0" fontId="61" fillId="8" borderId="14" xfId="0" applyFont="1" applyFill="1" applyBorder="1" applyAlignment="1">
      <alignment horizontal="center"/>
    </xf>
    <xf numFmtId="0" fontId="61" fillId="8" borderId="13" xfId="0" applyFont="1" applyFill="1" applyBorder="1" applyAlignment="1">
      <alignment horizontal="center"/>
    </xf>
    <xf numFmtId="0" fontId="61" fillId="8" borderId="9" xfId="0" applyFont="1" applyFill="1" applyBorder="1" applyAlignment="1">
      <alignment horizontal="center"/>
    </xf>
    <xf numFmtId="0" fontId="61" fillId="8" borderId="4" xfId="0" applyNumberFormat="1" applyFont="1" applyFill="1" applyBorder="1" applyAlignment="1">
      <alignment horizontal="center"/>
    </xf>
    <xf numFmtId="16" fontId="61" fillId="8" borderId="1" xfId="0" applyNumberFormat="1" applyFont="1" applyFill="1" applyBorder="1" applyAlignment="1">
      <alignment horizontal="center"/>
    </xf>
    <xf numFmtId="0" fontId="61" fillId="8" borderId="1" xfId="0" applyNumberFormat="1" applyFont="1" applyFill="1" applyBorder="1" applyAlignment="1">
      <alignment horizontal="center"/>
    </xf>
    <xf numFmtId="0" fontId="61" fillId="8" borderId="9" xfId="0" applyNumberFormat="1" applyFont="1" applyFill="1" applyBorder="1" applyAlignment="1">
      <alignment horizontal="center"/>
    </xf>
    <xf numFmtId="0" fontId="61" fillId="8" borderId="14" xfId="0" applyNumberFormat="1" applyFont="1" applyFill="1" applyBorder="1" applyAlignment="1">
      <alignment horizontal="center"/>
    </xf>
    <xf numFmtId="0" fontId="61" fillId="8" borderId="6" xfId="0" applyNumberFormat="1" applyFont="1" applyFill="1" applyBorder="1" applyAlignment="1">
      <alignment horizontal="center"/>
    </xf>
    <xf numFmtId="0" fontId="61" fillId="8" borderId="13" xfId="0" applyNumberFormat="1" applyFont="1" applyFill="1" applyBorder="1" applyAlignment="1">
      <alignment horizontal="center"/>
    </xf>
    <xf numFmtId="0" fontId="61" fillId="8" borderId="12" xfId="0" applyFont="1" applyFill="1" applyBorder="1" applyAlignment="1">
      <alignment horizontal="center"/>
    </xf>
    <xf numFmtId="0" fontId="61" fillId="8" borderId="0" xfId="0" applyNumberFormat="1" applyFont="1" applyFill="1" applyBorder="1" applyAlignment="1">
      <alignment horizontal="center"/>
    </xf>
    <xf numFmtId="0" fontId="61" fillId="8" borderId="5" xfId="0" applyNumberFormat="1" applyFont="1" applyFill="1" applyBorder="1" applyAlignment="1">
      <alignment horizontal="center"/>
    </xf>
    <xf numFmtId="0" fontId="61" fillId="8" borderId="7" xfId="0" applyNumberFormat="1" applyFont="1" applyFill="1" applyBorder="1" applyAlignment="1">
      <alignment horizontal="center"/>
    </xf>
    <xf numFmtId="0" fontId="61" fillId="8" borderId="8" xfId="0" applyNumberFormat="1" applyFont="1" applyFill="1" applyBorder="1" applyAlignment="1">
      <alignment horizontal="center"/>
    </xf>
    <xf numFmtId="0" fontId="61" fillId="8" borderId="2" xfId="0" applyNumberFormat="1" applyFont="1" applyFill="1" applyBorder="1" applyAlignment="1">
      <alignment horizontal="center"/>
    </xf>
    <xf numFmtId="0" fontId="61" fillId="8" borderId="3" xfId="0" applyNumberFormat="1" applyFont="1" applyFill="1" applyBorder="1" applyAlignment="1">
      <alignment horizontal="center"/>
    </xf>
    <xf numFmtId="0" fontId="43" fillId="8" borderId="10" xfId="0" applyFont="1" applyFill="1" applyBorder="1" applyAlignment="1">
      <alignment horizontal="center"/>
    </xf>
    <xf numFmtId="0" fontId="43" fillId="8" borderId="11" xfId="0" applyFont="1" applyFill="1" applyBorder="1" applyAlignment="1">
      <alignment horizontal="center"/>
    </xf>
    <xf numFmtId="0" fontId="61" fillId="8" borderId="10" xfId="0" applyFont="1" applyFill="1" applyBorder="1" applyAlignment="1">
      <alignment horizontal="center"/>
    </xf>
    <xf numFmtId="0" fontId="61" fillId="8" borderId="15" xfId="0" applyFont="1" applyFill="1" applyBorder="1" applyAlignment="1">
      <alignment horizontal="center"/>
    </xf>
    <xf numFmtId="0" fontId="61" fillId="8" borderId="11" xfId="0" applyFont="1" applyFill="1" applyBorder="1" applyAlignment="1">
      <alignment horizontal="center"/>
    </xf>
    <xf numFmtId="166" fontId="0" fillId="0" borderId="0" xfId="0" applyNumberFormat="1" applyFill="1" applyProtection="1"/>
    <xf numFmtId="0" fontId="54" fillId="8" borderId="0" xfId="0" applyFont="1" applyFill="1"/>
    <xf numFmtId="2" fontId="51" fillId="13" borderId="0" xfId="0" applyNumberFormat="1" applyFont="1" applyFill="1" applyAlignment="1">
      <alignment horizontal="center"/>
    </xf>
    <xf numFmtId="166" fontId="51" fillId="13" borderId="14" xfId="0" applyNumberFormat="1" applyFont="1" applyFill="1" applyBorder="1" applyAlignment="1">
      <alignment horizontal="center"/>
    </xf>
    <xf numFmtId="16" fontId="51" fillId="13" borderId="9" xfId="0" applyNumberFormat="1" applyFont="1" applyFill="1" applyBorder="1" applyAlignment="1">
      <alignment horizontal="center"/>
    </xf>
    <xf numFmtId="0" fontId="72" fillId="13" borderId="14" xfId="0" applyFont="1" applyFill="1" applyBorder="1" applyAlignment="1">
      <alignment horizontal="center"/>
    </xf>
    <xf numFmtId="0" fontId="51" fillId="13" borderId="14" xfId="0" applyFont="1" applyFill="1" applyBorder="1" applyAlignment="1">
      <alignment horizontal="center"/>
    </xf>
    <xf numFmtId="0" fontId="72" fillId="13" borderId="13" xfId="0" applyFont="1" applyFill="1" applyBorder="1" applyAlignment="1">
      <alignment horizontal="center"/>
    </xf>
    <xf numFmtId="1" fontId="53" fillId="0" borderId="0" xfId="0" applyNumberFormat="1" applyFont="1" applyFill="1"/>
    <xf numFmtId="0" fontId="43" fillId="8" borderId="1" xfId="0" applyFont="1" applyFill="1" applyBorder="1" applyAlignment="1">
      <alignment horizontal="center"/>
    </xf>
    <xf numFmtId="0" fontId="43" fillId="8" borderId="2" xfId="0" applyFont="1" applyFill="1" applyBorder="1" applyAlignment="1">
      <alignment horizontal="center"/>
    </xf>
    <xf numFmtId="0" fontId="43" fillId="8" borderId="3" xfId="0" applyFont="1" applyFill="1" applyBorder="1" applyAlignment="1">
      <alignment horizontal="center"/>
    </xf>
    <xf numFmtId="0" fontId="61" fillId="8" borderId="1" xfId="0" applyFont="1" applyFill="1" applyBorder="1" applyAlignment="1">
      <alignment horizontal="center"/>
    </xf>
    <xf numFmtId="0" fontId="61" fillId="8" borderId="2" xfId="0" applyFont="1" applyFill="1" applyBorder="1" applyAlignment="1">
      <alignment horizontal="center"/>
    </xf>
    <xf numFmtId="0" fontId="61" fillId="8" borderId="3" xfId="0" applyFont="1" applyFill="1" applyBorder="1" applyAlignment="1">
      <alignment horizontal="center"/>
    </xf>
    <xf numFmtId="2" fontId="1" fillId="0" borderId="6" xfId="0" applyNumberFormat="1" applyFont="1" applyBorder="1" applyAlignment="1">
      <alignment horizontal="center"/>
    </xf>
    <xf numFmtId="0" fontId="43" fillId="17" borderId="0" xfId="0" applyFont="1" applyFill="1"/>
    <xf numFmtId="0" fontId="75" fillId="17" borderId="0" xfId="0" applyFont="1" applyFill="1"/>
    <xf numFmtId="0" fontId="51" fillId="17" borderId="0" xfId="0" applyFont="1" applyFill="1"/>
    <xf numFmtId="16" fontId="56" fillId="5" borderId="0" xfId="0" applyNumberFormat="1" applyFont="1" applyFill="1" applyProtection="1"/>
    <xf numFmtId="0" fontId="0" fillId="17" borderId="0" xfId="0" applyFill="1"/>
    <xf numFmtId="0" fontId="55" fillId="17" borderId="0" xfId="0" applyFont="1" applyFill="1" applyBorder="1" applyAlignment="1">
      <alignment horizontal="left"/>
    </xf>
    <xf numFmtId="0" fontId="55" fillId="0" borderId="0" xfId="0" applyFont="1" applyFill="1" applyBorder="1" applyAlignment="1">
      <alignment horizontal="left"/>
    </xf>
    <xf numFmtId="0" fontId="2" fillId="8" borderId="0" xfId="0" applyFont="1" applyFill="1"/>
    <xf numFmtId="0" fontId="56" fillId="5" borderId="0" xfId="0" applyFont="1" applyFill="1" applyProtection="1"/>
    <xf numFmtId="0" fontId="0" fillId="0" borderId="0" xfId="0" applyFill="1" applyAlignment="1" applyProtection="1">
      <alignment horizontal="center"/>
    </xf>
    <xf numFmtId="0" fontId="76" fillId="9" borderId="0" xfId="0" applyFont="1" applyFill="1"/>
    <xf numFmtId="1" fontId="51" fillId="5" borderId="0" xfId="0" applyNumberFormat="1" applyFont="1" applyFill="1" applyBorder="1" applyAlignment="1" applyProtection="1">
      <alignment horizontal="center"/>
      <protection locked="0"/>
    </xf>
    <xf numFmtId="0" fontId="77" fillId="5" borderId="0" xfId="0" applyFont="1" applyFill="1" applyBorder="1" applyAlignment="1" applyProtection="1">
      <alignment horizontal="center"/>
      <protection locked="0"/>
    </xf>
    <xf numFmtId="0" fontId="1" fillId="0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" xfId="0" applyFont="1" applyBorder="1" applyAlignment="1">
      <alignment horizontal="center" vertical="top" wrapText="1"/>
    </xf>
    <xf numFmtId="0" fontId="0" fillId="0" borderId="4" xfId="0" applyBorder="1"/>
    <xf numFmtId="0" fontId="0" fillId="0" borderId="6" xfId="0" applyBorder="1"/>
    <xf numFmtId="0" fontId="1" fillId="0" borderId="9" xfId="0" applyFont="1" applyBorder="1" applyAlignment="1">
      <alignment horizontal="center" vertical="top" wrapText="1"/>
    </xf>
    <xf numFmtId="0" fontId="0" fillId="0" borderId="14" xfId="0" applyBorder="1"/>
    <xf numFmtId="0" fontId="0" fillId="0" borderId="13" xfId="0" applyBorder="1"/>
    <xf numFmtId="0" fontId="1" fillId="0" borderId="4" xfId="0" applyFont="1" applyBorder="1" applyAlignment="1">
      <alignment horizontal="center" vertical="top" wrapText="1"/>
    </xf>
    <xf numFmtId="0" fontId="1" fillId="0" borderId="6" xfId="0" applyFont="1" applyBorder="1" applyAlignment="1">
      <alignment horizontal="center" vertical="top" wrapText="1"/>
    </xf>
    <xf numFmtId="0" fontId="1" fillId="0" borderId="15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4" xfId="0" applyFill="1" applyBorder="1" applyAlignment="1">
      <alignment vertical="top" wrapText="1"/>
    </xf>
    <xf numFmtId="0" fontId="0" fillId="0" borderId="4" xfId="0" applyFill="1" applyBorder="1"/>
    <xf numFmtId="0" fontId="0" fillId="0" borderId="5" xfId="0" applyFill="1" applyBorder="1" applyAlignment="1">
      <alignment vertical="top" wrapText="1"/>
    </xf>
    <xf numFmtId="0" fontId="0" fillId="0" borderId="1" xfId="0" applyFill="1" applyBorder="1"/>
    <xf numFmtId="0" fontId="0" fillId="0" borderId="3" xfId="0" applyFill="1" applyBorder="1" applyAlignment="1">
      <alignment vertical="top" wrapText="1"/>
    </xf>
    <xf numFmtId="0" fontId="42" fillId="0" borderId="0" xfId="0" applyFont="1" applyAlignment="1"/>
    <xf numFmtId="0" fontId="42" fillId="0" borderId="0" xfId="0" applyFont="1" applyAlignment="1">
      <alignment horizontal="center"/>
    </xf>
    <xf numFmtId="0" fontId="42" fillId="12" borderId="0" xfId="0" applyFont="1" applyFill="1" applyAlignment="1">
      <alignment horizontal="center"/>
    </xf>
    <xf numFmtId="0" fontId="59" fillId="0" borderId="0" xfId="0" applyFont="1" applyFill="1" applyBorder="1"/>
    <xf numFmtId="0" fontId="54" fillId="0" borderId="0" xfId="0" applyFont="1" applyFill="1" applyBorder="1"/>
    <xf numFmtId="0" fontId="78" fillId="0" borderId="0" xfId="0" applyFont="1" applyFill="1" applyBorder="1"/>
    <xf numFmtId="0" fontId="61" fillId="7" borderId="0" xfId="0" applyFont="1" applyFill="1"/>
    <xf numFmtId="2" fontId="3" fillId="2" borderId="0" xfId="0" applyNumberFormat="1" applyFont="1" applyFill="1" applyAlignment="1" applyProtection="1">
      <alignment horizontal="right"/>
      <protection locked="0"/>
    </xf>
    <xf numFmtId="0" fontId="80" fillId="0" borderId="0" xfId="0" applyFont="1" applyFill="1" applyBorder="1"/>
    <xf numFmtId="2" fontId="0" fillId="0" borderId="0" xfId="0" applyNumberFormat="1" applyFill="1" applyProtection="1">
      <protection locked="0"/>
    </xf>
    <xf numFmtId="0" fontId="0" fillId="0" borderId="0" xfId="0" applyBorder="1" applyAlignment="1">
      <alignment horizontal="right"/>
    </xf>
    <xf numFmtId="2" fontId="19" fillId="0" borderId="0" xfId="0" applyNumberFormat="1" applyFont="1" applyFill="1" applyAlignment="1" applyProtection="1">
      <alignment horizontal="left"/>
    </xf>
    <xf numFmtId="0" fontId="42" fillId="22" borderId="0" xfId="0" applyFont="1" applyFill="1"/>
    <xf numFmtId="0" fontId="45" fillId="22" borderId="0" xfId="0" applyFont="1" applyFill="1"/>
    <xf numFmtId="0" fontId="42" fillId="0" borderId="0" xfId="0" applyFont="1" applyFill="1"/>
    <xf numFmtId="0" fontId="45" fillId="12" borderId="0" xfId="0" applyFont="1" applyFill="1"/>
    <xf numFmtId="0" fontId="3" fillId="2" borderId="0" xfId="0" applyFont="1" applyFill="1" applyProtection="1">
      <protection locked="0"/>
    </xf>
    <xf numFmtId="0" fontId="62" fillId="0" borderId="0" xfId="0" applyFont="1" applyFill="1" applyBorder="1"/>
    <xf numFmtId="0" fontId="2" fillId="0" borderId="0" xfId="0" applyFont="1" applyFill="1" applyBorder="1" applyAlignment="1" applyProtection="1">
      <alignment horizontal="center"/>
    </xf>
    <xf numFmtId="0" fontId="43" fillId="0" borderId="0" xfId="0" applyFont="1" applyFill="1" applyBorder="1" applyAlignment="1">
      <alignment horizontal="center"/>
    </xf>
    <xf numFmtId="2" fontId="62" fillId="0" borderId="0" xfId="0" applyNumberFormat="1" applyFont="1" applyFill="1" applyBorder="1" applyAlignment="1">
      <alignment horizontal="center"/>
    </xf>
    <xf numFmtId="0" fontId="81" fillId="23" borderId="1" xfId="0" applyFont="1" applyFill="1" applyBorder="1"/>
    <xf numFmtId="0" fontId="80" fillId="23" borderId="2" xfId="0" applyFont="1" applyFill="1" applyBorder="1"/>
    <xf numFmtId="166" fontId="80" fillId="23" borderId="2" xfId="0" applyNumberFormat="1" applyFont="1" applyFill="1" applyBorder="1" applyAlignment="1">
      <alignment horizontal="center"/>
    </xf>
    <xf numFmtId="2" fontId="80" fillId="23" borderId="2" xfId="0" applyNumberFormat="1" applyFont="1" applyFill="1" applyBorder="1" applyAlignment="1">
      <alignment horizontal="center"/>
    </xf>
    <xf numFmtId="166" fontId="80" fillId="0" borderId="0" xfId="0" applyNumberFormat="1" applyFont="1" applyFill="1" applyBorder="1" applyAlignment="1">
      <alignment horizontal="center"/>
    </xf>
    <xf numFmtId="0" fontId="80" fillId="23" borderId="12" xfId="0" applyFont="1" applyFill="1" applyBorder="1" applyAlignment="1">
      <alignment horizontal="left"/>
    </xf>
    <xf numFmtId="0" fontId="80" fillId="23" borderId="12" xfId="0" applyFont="1" applyFill="1" applyBorder="1" applyAlignment="1">
      <alignment horizontal="center"/>
    </xf>
    <xf numFmtId="0" fontId="80" fillId="23" borderId="15" xfId="0" applyFont="1" applyFill="1" applyBorder="1" applyAlignment="1">
      <alignment horizontal="center"/>
    </xf>
    <xf numFmtId="2" fontId="54" fillId="0" borderId="0" xfId="0" applyNumberFormat="1" applyFont="1" applyAlignment="1">
      <alignment horizontal="left"/>
    </xf>
    <xf numFmtId="0" fontId="59" fillId="15" borderId="14" xfId="0" applyFont="1" applyFill="1" applyBorder="1" applyAlignment="1">
      <alignment horizontal="center"/>
    </xf>
    <xf numFmtId="2" fontId="59" fillId="15" borderId="14" xfId="0" applyNumberFormat="1" applyFont="1" applyFill="1" applyBorder="1" applyAlignment="1">
      <alignment horizontal="center"/>
    </xf>
    <xf numFmtId="2" fontId="59" fillId="15" borderId="0" xfId="0" applyNumberFormat="1" applyFont="1" applyFill="1" applyBorder="1" applyAlignment="1">
      <alignment horizontal="center"/>
    </xf>
    <xf numFmtId="166" fontId="59" fillId="15" borderId="14" xfId="0" applyNumberFormat="1" applyFont="1" applyFill="1" applyBorder="1" applyAlignment="1">
      <alignment horizontal="center"/>
    </xf>
    <xf numFmtId="0" fontId="1" fillId="12" borderId="0" xfId="0" applyFont="1" applyFill="1" applyAlignment="1">
      <alignment horizontal="left"/>
    </xf>
    <xf numFmtId="0" fontId="80" fillId="23" borderId="14" xfId="0" applyFont="1" applyFill="1" applyBorder="1" applyAlignment="1">
      <alignment horizontal="center"/>
    </xf>
    <xf numFmtId="2" fontId="80" fillId="23" borderId="14" xfId="0" applyNumberFormat="1" applyFont="1" applyFill="1" applyBorder="1" applyAlignment="1">
      <alignment horizontal="center"/>
    </xf>
    <xf numFmtId="2" fontId="80" fillId="23" borderId="0" xfId="0" applyNumberFormat="1" applyFont="1" applyFill="1" applyBorder="1" applyAlignment="1">
      <alignment horizontal="center"/>
    </xf>
    <xf numFmtId="166" fontId="80" fillId="23" borderId="14" xfId="0" applyNumberFormat="1" applyFont="1" applyFill="1" applyBorder="1" applyAlignment="1">
      <alignment horizontal="center"/>
    </xf>
    <xf numFmtId="0" fontId="80" fillId="23" borderId="13" xfId="0" applyFont="1" applyFill="1" applyBorder="1" applyAlignment="1">
      <alignment horizontal="center"/>
    </xf>
    <xf numFmtId="2" fontId="80" fillId="23" borderId="13" xfId="0" applyNumberFormat="1" applyFont="1" applyFill="1" applyBorder="1" applyAlignment="1">
      <alignment horizontal="center"/>
    </xf>
    <xf numFmtId="2" fontId="80" fillId="23" borderId="7" xfId="0" applyNumberFormat="1" applyFont="1" applyFill="1" applyBorder="1" applyAlignment="1">
      <alignment horizontal="center"/>
    </xf>
    <xf numFmtId="166" fontId="80" fillId="23" borderId="13" xfId="0" applyNumberFormat="1" applyFont="1" applyFill="1" applyBorder="1" applyAlignment="1">
      <alignment horizontal="center"/>
    </xf>
    <xf numFmtId="0" fontId="80" fillId="0" borderId="0" xfId="0" applyFont="1" applyFill="1" applyBorder="1" applyAlignment="1">
      <alignment horizontal="center"/>
    </xf>
    <xf numFmtId="2" fontId="80" fillId="0" borderId="0" xfId="0" applyNumberFormat="1" applyFont="1" applyFill="1" applyBorder="1" applyAlignment="1">
      <alignment horizontal="center"/>
    </xf>
    <xf numFmtId="0" fontId="82" fillId="0" borderId="0" xfId="0" applyFont="1" applyFill="1" applyBorder="1"/>
    <xf numFmtId="0" fontId="0" fillId="24" borderId="10" xfId="0" applyFill="1" applyBorder="1" applyAlignment="1">
      <alignment horizontal="center"/>
    </xf>
    <xf numFmtId="0" fontId="2" fillId="24" borderId="12" xfId="0" applyFont="1" applyFill="1" applyBorder="1" applyAlignment="1">
      <alignment horizontal="center" vertical="center"/>
    </xf>
    <xf numFmtId="0" fontId="80" fillId="23" borderId="15" xfId="0" applyFont="1" applyFill="1" applyBorder="1"/>
    <xf numFmtId="0" fontId="80" fillId="23" borderId="11" xfId="0" applyFont="1" applyFill="1" applyBorder="1"/>
    <xf numFmtId="0" fontId="9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84" fillId="15" borderId="0" xfId="0" applyFont="1" applyFill="1" applyBorder="1"/>
    <xf numFmtId="0" fontId="59" fillId="15" borderId="0" xfId="0" applyFont="1" applyFill="1" applyBorder="1"/>
    <xf numFmtId="0" fontId="59" fillId="15" borderId="5" xfId="0" applyFont="1" applyFill="1" applyBorder="1"/>
    <xf numFmtId="2" fontId="1" fillId="24" borderId="0" xfId="0" applyNumberFormat="1" applyFont="1" applyFill="1" applyBorder="1" applyAlignment="1">
      <alignment horizontal="center"/>
    </xf>
    <xf numFmtId="2" fontId="1" fillId="24" borderId="14" xfId="0" applyNumberFormat="1" applyFont="1" applyFill="1" applyBorder="1" applyAlignment="1">
      <alignment horizontal="center"/>
    </xf>
    <xf numFmtId="0" fontId="85" fillId="23" borderId="0" xfId="0" applyFont="1" applyFill="1" applyBorder="1"/>
    <xf numFmtId="0" fontId="80" fillId="23" borderId="0" xfId="0" applyFont="1" applyFill="1" applyBorder="1"/>
    <xf numFmtId="0" fontId="80" fillId="23" borderId="5" xfId="0" applyFont="1" applyFill="1" applyBorder="1"/>
    <xf numFmtId="2" fontId="0" fillId="24" borderId="7" xfId="0" applyNumberFormat="1" applyFill="1" applyBorder="1" applyAlignment="1">
      <alignment horizontal="center"/>
    </xf>
    <xf numFmtId="2" fontId="0" fillId="24" borderId="13" xfId="0" applyNumberFormat="1" applyFill="1" applyBorder="1" applyAlignment="1">
      <alignment horizontal="center"/>
    </xf>
    <xf numFmtId="0" fontId="85" fillId="23" borderId="7" xfId="0" applyFont="1" applyFill="1" applyBorder="1"/>
    <xf numFmtId="0" fontId="80" fillId="23" borderId="7" xfId="0" applyFont="1" applyFill="1" applyBorder="1"/>
    <xf numFmtId="0" fontId="80" fillId="23" borderId="8" xfId="0" applyFont="1" applyFill="1" applyBorder="1"/>
    <xf numFmtId="0" fontId="3" fillId="2" borderId="0" xfId="0" applyFont="1" applyFill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</xf>
    <xf numFmtId="0" fontId="54" fillId="0" borderId="0" xfId="0" applyFont="1" applyFill="1" applyBorder="1" applyAlignment="1">
      <alignment horizontal="center" vertical="top"/>
    </xf>
    <xf numFmtId="0" fontId="54" fillId="0" borderId="0" xfId="0" applyFont="1" applyFill="1" applyBorder="1" applyAlignment="1">
      <alignment horizontal="center"/>
    </xf>
    <xf numFmtId="0" fontId="86" fillId="0" borderId="0" xfId="0" applyFont="1"/>
    <xf numFmtId="0" fontId="0" fillId="0" borderId="9" xfId="0" applyBorder="1"/>
    <xf numFmtId="0" fontId="2" fillId="12" borderId="0" xfId="0" applyFont="1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1" fillId="0" borderId="14" xfId="0" applyFont="1" applyBorder="1"/>
    <xf numFmtId="0" fontId="1" fillId="0" borderId="14" xfId="0" applyFont="1" applyBorder="1" applyAlignment="1">
      <alignment vertical="top" wrapText="1"/>
    </xf>
    <xf numFmtId="0" fontId="1" fillId="0" borderId="13" xfId="0" applyFont="1" applyBorder="1"/>
    <xf numFmtId="0" fontId="0" fillId="0" borderId="5" xfId="0" applyBorder="1" applyAlignment="1">
      <alignment horizontal="right"/>
    </xf>
    <xf numFmtId="2" fontId="9" fillId="0" borderId="12" xfId="0" applyNumberFormat="1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0" fontId="54" fillId="0" borderId="4" xfId="0" applyFont="1" applyBorder="1" applyAlignment="1">
      <alignment horizontal="left"/>
    </xf>
    <xf numFmtId="2" fontId="1" fillId="12" borderId="0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10" fillId="0" borderId="0" xfId="0" applyFont="1" applyBorder="1" applyAlignment="1">
      <alignment horizontal="left"/>
    </xf>
    <xf numFmtId="2" fontId="9" fillId="0" borderId="12" xfId="0" applyNumberFormat="1" applyFont="1" applyFill="1" applyBorder="1" applyAlignment="1">
      <alignment horizontal="center"/>
    </xf>
    <xf numFmtId="0" fontId="10" fillId="0" borderId="12" xfId="0" applyFont="1" applyFill="1" applyBorder="1" applyAlignment="1">
      <alignment horizontal="right"/>
    </xf>
    <xf numFmtId="2" fontId="9" fillId="0" borderId="11" xfId="0" applyNumberFormat="1" applyFont="1" applyFill="1" applyBorder="1" applyAlignment="1">
      <alignment horizontal="center"/>
    </xf>
    <xf numFmtId="2" fontId="9" fillId="12" borderId="0" xfId="0" applyNumberFormat="1" applyFont="1" applyFill="1" applyBorder="1" applyAlignment="1">
      <alignment horizontal="center"/>
    </xf>
    <xf numFmtId="0" fontId="1" fillId="0" borderId="9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54" fillId="0" borderId="6" xfId="0" applyFont="1" applyBorder="1" applyAlignment="1">
      <alignment horizontal="left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/>
    </xf>
    <xf numFmtId="0" fontId="0" fillId="0" borderId="7" xfId="0" applyBorder="1" applyAlignment="1">
      <alignment horizontal="left"/>
    </xf>
    <xf numFmtId="0" fontId="0" fillId="0" borderId="12" xfId="0" applyBorder="1" applyAlignment="1">
      <alignment horizontal="right"/>
    </xf>
    <xf numFmtId="0" fontId="87" fillId="0" borderId="0" xfId="0" applyFont="1" applyFill="1" applyBorder="1"/>
    <xf numFmtId="0" fontId="0" fillId="12" borderId="0" xfId="0" applyFill="1" applyBorder="1"/>
    <xf numFmtId="2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0" fillId="3" borderId="0" xfId="0" applyFill="1"/>
    <xf numFmtId="0" fontId="0" fillId="25" borderId="0" xfId="0" applyFill="1"/>
    <xf numFmtId="166" fontId="0" fillId="5" borderId="0" xfId="0" applyNumberFormat="1" applyFill="1" applyAlignment="1">
      <alignment horizontal="right"/>
    </xf>
    <xf numFmtId="166" fontId="54" fillId="0" borderId="0" xfId="0" applyNumberFormat="1" applyFont="1" applyAlignment="1">
      <alignment horizontal="center"/>
    </xf>
    <xf numFmtId="0" fontId="88" fillId="26" borderId="0" xfId="0" applyFont="1" applyFill="1" applyAlignment="1">
      <alignment horizontal="center"/>
    </xf>
    <xf numFmtId="0" fontId="0" fillId="26" borderId="0" xfId="0" applyFill="1"/>
    <xf numFmtId="166" fontId="0" fillId="26" borderId="0" xfId="0" applyNumberFormat="1" applyFill="1" applyAlignment="1">
      <alignment horizontal="center"/>
    </xf>
    <xf numFmtId="0" fontId="2" fillId="26" borderId="0" xfId="0" applyFont="1" applyFill="1"/>
    <xf numFmtId="0" fontId="2" fillId="26" borderId="0" xfId="0" applyFont="1" applyFill="1" applyAlignment="1">
      <alignment horizontal="center"/>
    </xf>
    <xf numFmtId="166" fontId="0" fillId="5" borderId="0" xfId="0" applyNumberFormat="1" applyFill="1" applyAlignment="1">
      <alignment horizontal="left"/>
    </xf>
    <xf numFmtId="0" fontId="1" fillId="6" borderId="0" xfId="0" applyFont="1" applyFill="1" applyAlignment="1" applyProtection="1">
      <alignment horizontal="center"/>
      <protection locked="0"/>
    </xf>
    <xf numFmtId="1" fontId="62" fillId="0" borderId="0" xfId="0" applyNumberFormat="1" applyFont="1" applyFill="1" applyBorder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3" fillId="5" borderId="0" xfId="0" applyNumberFormat="1" applyFont="1" applyFill="1" applyAlignment="1" applyProtection="1">
      <alignment horizontal="left"/>
    </xf>
    <xf numFmtId="2" fontId="3" fillId="0" borderId="0" xfId="0" applyNumberFormat="1" applyFont="1" applyFill="1" applyAlignment="1" applyProtection="1">
      <alignment horizontal="left"/>
    </xf>
    <xf numFmtId="2" fontId="3" fillId="12" borderId="0" xfId="0" applyNumberFormat="1" applyFont="1" applyFill="1" applyAlignment="1" applyProtection="1">
      <alignment horizontal="left"/>
      <protection locked="0"/>
    </xf>
    <xf numFmtId="0" fontId="51" fillId="0" borderId="0" xfId="0" applyFont="1" applyBorder="1" applyAlignment="1">
      <alignment horizontal="right"/>
    </xf>
    <xf numFmtId="2" fontId="54" fillId="5" borderId="0" xfId="0" applyNumberFormat="1" applyFont="1" applyFill="1" applyAlignment="1">
      <alignment horizontal="left"/>
    </xf>
    <xf numFmtId="0" fontId="89" fillId="0" borderId="0" xfId="0" applyFont="1"/>
    <xf numFmtId="1" fontId="1" fillId="12" borderId="0" xfId="0" applyNumberFormat="1" applyFont="1" applyFill="1" applyAlignment="1">
      <alignment horizontal="left"/>
    </xf>
    <xf numFmtId="0" fontId="3" fillId="12" borderId="0" xfId="0" applyFont="1" applyFill="1" applyAlignment="1">
      <alignment horizontal="left"/>
    </xf>
    <xf numFmtId="1" fontId="0" fillId="12" borderId="0" xfId="0" applyNumberFormat="1" applyFill="1" applyAlignment="1">
      <alignment horizontal="right"/>
    </xf>
    <xf numFmtId="2" fontId="0" fillId="24" borderId="0" xfId="0" applyNumberFormat="1" applyFill="1" applyBorder="1" applyAlignment="1">
      <alignment horizontal="center"/>
    </xf>
    <xf numFmtId="2" fontId="0" fillId="24" borderId="14" xfId="0" applyNumberFormat="1" applyFill="1" applyBorder="1" applyAlignment="1">
      <alignment horizontal="center"/>
    </xf>
    <xf numFmtId="2" fontId="54" fillId="0" borderId="0" xfId="0" applyNumberFormat="1" applyFont="1" applyFill="1" applyBorder="1" applyAlignment="1">
      <alignment horizontal="center" vertical="top"/>
    </xf>
    <xf numFmtId="1" fontId="54" fillId="0" borderId="0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2" fontId="54" fillId="0" borderId="14" xfId="0" applyNumberFormat="1" applyFont="1" applyBorder="1" applyAlignment="1">
      <alignment horizontal="center"/>
    </xf>
    <xf numFmtId="0" fontId="1" fillId="0" borderId="14" xfId="0" applyFont="1" applyBorder="1" applyAlignment="1">
      <alignment horizontal="left"/>
    </xf>
    <xf numFmtId="0" fontId="2" fillId="0" borderId="15" xfId="0" applyFont="1" applyBorder="1" applyAlignment="1">
      <alignment horizontal="center"/>
    </xf>
    <xf numFmtId="0" fontId="90" fillId="0" borderId="11" xfId="0" applyFont="1" applyBorder="1" applyAlignment="1">
      <alignment horizontal="center"/>
    </xf>
    <xf numFmtId="2" fontId="43" fillId="0" borderId="12" xfId="0" applyNumberFormat="1" applyFont="1" applyBorder="1" applyAlignment="1">
      <alignment horizontal="center"/>
    </xf>
    <xf numFmtId="0" fontId="51" fillId="0" borderId="12" xfId="0" applyFont="1" applyBorder="1"/>
    <xf numFmtId="0" fontId="90" fillId="0" borderId="15" xfId="0" applyFont="1" applyBorder="1"/>
    <xf numFmtId="2" fontId="43" fillId="12" borderId="0" xfId="0" applyNumberFormat="1" applyFont="1" applyFill="1" applyBorder="1" applyAlignment="1">
      <alignment horizontal="center"/>
    </xf>
    <xf numFmtId="0" fontId="2" fillId="0" borderId="10" xfId="0" applyFont="1" applyBorder="1"/>
    <xf numFmtId="0" fontId="1" fillId="0" borderId="0" xfId="0" applyFont="1" applyBorder="1" applyAlignment="1">
      <alignment horizontal="left"/>
    </xf>
    <xf numFmtId="0" fontId="1" fillId="0" borderId="9" xfId="0" applyFont="1" applyBorder="1" applyAlignment="1">
      <alignment horizontal="right"/>
    </xf>
    <xf numFmtId="0" fontId="1" fillId="0" borderId="14" xfId="0" applyFont="1" applyBorder="1" applyAlignment="1">
      <alignment horizontal="right"/>
    </xf>
    <xf numFmtId="2" fontId="1" fillId="0" borderId="14" xfId="0" applyNumberFormat="1" applyFont="1" applyBorder="1" applyAlignment="1">
      <alignment horizontal="right"/>
    </xf>
    <xf numFmtId="0" fontId="90" fillId="0" borderId="12" xfId="0" applyFont="1" applyBorder="1" applyAlignment="1">
      <alignment horizontal="center"/>
    </xf>
    <xf numFmtId="2" fontId="43" fillId="0" borderId="15" xfId="0" applyNumberFormat="1" applyFont="1" applyBorder="1" applyAlignment="1">
      <alignment horizontal="center"/>
    </xf>
    <xf numFmtId="2" fontId="9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79" fillId="0" borderId="0" xfId="0" applyFont="1" applyAlignment="1">
      <alignment horizontal="left" readingOrder="1"/>
    </xf>
    <xf numFmtId="0" fontId="79" fillId="12" borderId="0" xfId="0" applyFont="1" applyFill="1" applyAlignment="1">
      <alignment horizontal="left" readingOrder="1"/>
    </xf>
    <xf numFmtId="0" fontId="78" fillId="0" borderId="0" xfId="0" applyFont="1" applyFill="1"/>
    <xf numFmtId="166" fontId="78" fillId="0" borderId="0" xfId="0" applyNumberFormat="1" applyFont="1" applyFill="1" applyAlignment="1">
      <alignment horizontal="center"/>
    </xf>
    <xf numFmtId="2" fontId="78" fillId="0" borderId="0" xfId="0" applyNumberFormat="1" applyFont="1" applyFill="1"/>
    <xf numFmtId="0" fontId="78" fillId="0" borderId="0" xfId="0" applyFont="1" applyFill="1" applyAlignment="1">
      <alignment vertical="top" wrapText="1"/>
    </xf>
    <xf numFmtId="0" fontId="81" fillId="23" borderId="4" xfId="0" applyFont="1" applyFill="1" applyBorder="1"/>
    <xf numFmtId="166" fontId="80" fillId="23" borderId="0" xfId="0" applyNumberFormat="1" applyFont="1" applyFill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59" fillId="15" borderId="13" xfId="0" applyFont="1" applyFill="1" applyBorder="1" applyAlignment="1">
      <alignment horizontal="center"/>
    </xf>
    <xf numFmtId="2" fontId="59" fillId="15" borderId="13" xfId="0" applyNumberFormat="1" applyFont="1" applyFill="1" applyBorder="1" applyAlignment="1">
      <alignment horizontal="center"/>
    </xf>
    <xf numFmtId="2" fontId="59" fillId="15" borderId="7" xfId="0" applyNumberFormat="1" applyFont="1" applyFill="1" applyBorder="1" applyAlignment="1">
      <alignment horizontal="center"/>
    </xf>
    <xf numFmtId="166" fontId="59" fillId="15" borderId="13" xfId="0" applyNumberFormat="1" applyFont="1" applyFill="1" applyBorder="1" applyAlignment="1">
      <alignment horizontal="center"/>
    </xf>
    <xf numFmtId="0" fontId="0" fillId="12" borderId="0" xfId="0" applyFill="1" applyAlignment="1">
      <alignment horizontal="left"/>
    </xf>
    <xf numFmtId="2" fontId="54" fillId="5" borderId="0" xfId="0" applyNumberFormat="1" applyFont="1" applyFill="1" applyAlignment="1" applyProtection="1">
      <alignment horizontal="left"/>
    </xf>
    <xf numFmtId="0" fontId="84" fillId="15" borderId="7" xfId="0" applyFont="1" applyFill="1" applyBorder="1"/>
    <xf numFmtId="0" fontId="59" fillId="15" borderId="7" xfId="0" applyFont="1" applyFill="1" applyBorder="1"/>
    <xf numFmtId="0" fontId="59" fillId="15" borderId="8" xfId="0" applyFont="1" applyFill="1" applyBorder="1"/>
    <xf numFmtId="2" fontId="3" fillId="12" borderId="0" xfId="0" applyNumberFormat="1" applyFont="1" applyFill="1" applyAlignment="1">
      <alignment horizontal="left"/>
    </xf>
    <xf numFmtId="0" fontId="43" fillId="0" borderId="0" xfId="0" applyFont="1" applyAlignment="1">
      <alignment horizontal="right"/>
    </xf>
    <xf numFmtId="2" fontId="3" fillId="0" borderId="0" xfId="0" applyNumberFormat="1" applyFont="1" applyFill="1" applyAlignment="1" applyProtection="1">
      <alignment horizontal="left"/>
      <protection locked="0"/>
    </xf>
    <xf numFmtId="0" fontId="0" fillId="0" borderId="0" xfId="0" applyFill="1" applyBorder="1" applyAlignment="1">
      <alignment horizontal="right"/>
    </xf>
    <xf numFmtId="166" fontId="0" fillId="0" borderId="0" xfId="0" applyNumberFormat="1" applyFill="1" applyBorder="1"/>
    <xf numFmtId="1" fontId="0" fillId="0" borderId="0" xfId="0" applyNumberFormat="1" applyFill="1" applyAlignment="1">
      <alignment horizontal="left"/>
    </xf>
    <xf numFmtId="1" fontId="43" fillId="0" borderId="0" xfId="0" applyNumberFormat="1" applyFont="1" applyFill="1" applyAlignment="1">
      <alignment horizontal="left"/>
    </xf>
    <xf numFmtId="1" fontId="0" fillId="12" borderId="0" xfId="0" applyNumberFormat="1" applyFill="1"/>
    <xf numFmtId="2" fontId="2" fillId="0" borderId="0" xfId="0" applyNumberFormat="1" applyFont="1" applyFill="1" applyAlignment="1">
      <alignment horizontal="center"/>
    </xf>
    <xf numFmtId="0" fontId="1" fillId="0" borderId="9" xfId="0" applyFont="1" applyFill="1" applyBorder="1" applyAlignment="1">
      <alignment horizontal="right"/>
    </xf>
    <xf numFmtId="0" fontId="54" fillId="0" borderId="0" xfId="0" applyFont="1" applyBorder="1"/>
    <xf numFmtId="2" fontId="54" fillId="0" borderId="0" xfId="0" applyNumberFormat="1" applyFont="1" applyBorder="1" applyAlignment="1">
      <alignment horizontal="center"/>
    </xf>
    <xf numFmtId="0" fontId="54" fillId="0" borderId="14" xfId="0" applyFont="1" applyBorder="1" applyAlignment="1">
      <alignment horizontal="right"/>
    </xf>
    <xf numFmtId="2" fontId="54" fillId="0" borderId="5" xfId="0" applyNumberFormat="1" applyFont="1" applyBorder="1" applyAlignment="1">
      <alignment horizontal="center"/>
    </xf>
    <xf numFmtId="0" fontId="90" fillId="0" borderId="10" xfId="0" applyFont="1" applyBorder="1" applyAlignment="1">
      <alignment horizontal="center"/>
    </xf>
    <xf numFmtId="2" fontId="43" fillId="0" borderId="13" xfId="0" applyNumberFormat="1" applyFont="1" applyBorder="1" applyAlignment="1">
      <alignment horizontal="center"/>
    </xf>
    <xf numFmtId="0" fontId="51" fillId="0" borderId="15" xfId="0" applyFont="1" applyBorder="1"/>
    <xf numFmtId="0" fontId="90" fillId="0" borderId="12" xfId="0" applyFont="1" applyBorder="1"/>
    <xf numFmtId="2" fontId="43" fillId="0" borderId="11" xfId="0" applyNumberFormat="1" applyFont="1" applyBorder="1" applyAlignment="1">
      <alignment horizontal="center"/>
    </xf>
    <xf numFmtId="0" fontId="2" fillId="0" borderId="12" xfId="0" applyFont="1" applyBorder="1"/>
    <xf numFmtId="0" fontId="54" fillId="0" borderId="5" xfId="0" applyFont="1" applyBorder="1"/>
    <xf numFmtId="0" fontId="54" fillId="0" borderId="0" xfId="0" applyFont="1" applyBorder="1" applyAlignment="1">
      <alignment horizontal="right"/>
    </xf>
    <xf numFmtId="0" fontId="90" fillId="0" borderId="8" xfId="0" applyFont="1" applyBorder="1" applyAlignment="1">
      <alignment horizontal="center"/>
    </xf>
    <xf numFmtId="0" fontId="91" fillId="0" borderId="0" xfId="0" applyFont="1"/>
    <xf numFmtId="2" fontId="91" fillId="0" borderId="0" xfId="0" applyNumberFormat="1" applyFont="1"/>
    <xf numFmtId="166" fontId="91" fillId="0" borderId="0" xfId="0" applyNumberFormat="1" applyFont="1"/>
    <xf numFmtId="0" fontId="92" fillId="0" borderId="0" xfId="0" applyFont="1" applyAlignment="1"/>
    <xf numFmtId="0" fontId="92" fillId="0" borderId="0" xfId="0" applyFont="1" applyFill="1" applyAlignment="1">
      <alignment horizontal="center"/>
    </xf>
    <xf numFmtId="0" fontId="2" fillId="0" borderId="0" xfId="0" applyFont="1" applyFill="1" applyBorder="1"/>
    <xf numFmtId="0" fontId="0" fillId="0" borderId="0" xfId="0" applyFill="1" applyBorder="1" applyProtection="1"/>
    <xf numFmtId="1" fontId="0" fillId="0" borderId="0" xfId="0" applyNumberFormat="1" applyAlignment="1" applyProtection="1">
      <alignment horizontal="center"/>
      <protection locked="0"/>
    </xf>
    <xf numFmtId="0" fontId="94" fillId="22" borderId="0" xfId="0" applyFont="1" applyFill="1"/>
    <xf numFmtId="0" fontId="95" fillId="22" borderId="0" xfId="0" applyFont="1" applyFill="1"/>
    <xf numFmtId="164" fontId="95" fillId="22" borderId="0" xfId="0" applyNumberFormat="1" applyFont="1" applyFill="1" applyAlignment="1">
      <alignment horizontal="center"/>
    </xf>
    <xf numFmtId="0" fontId="41" fillId="0" borderId="0" xfId="0" applyFont="1"/>
    <xf numFmtId="0" fontId="96" fillId="0" borderId="0" xfId="0" applyFont="1" applyAlignment="1">
      <alignment horizontal="right" readingOrder="1"/>
    </xf>
    <xf numFmtId="2" fontId="0" fillId="5" borderId="0" xfId="0" applyNumberFormat="1" applyFill="1" applyAlignment="1" applyProtection="1">
      <alignment horizontal="left"/>
    </xf>
    <xf numFmtId="2" fontId="7" fillId="0" borderId="0" xfId="0" applyNumberFormat="1" applyFont="1" applyAlignment="1">
      <alignment horizontal="left"/>
    </xf>
    <xf numFmtId="0" fontId="54" fillId="8" borderId="10" xfId="0" applyFont="1" applyFill="1" applyBorder="1"/>
    <xf numFmtId="0" fontId="1" fillId="6" borderId="12" xfId="0" applyFont="1" applyFill="1" applyBorder="1" applyAlignment="1" applyProtection="1">
      <alignment horizontal="center"/>
      <protection locked="0"/>
    </xf>
    <xf numFmtId="0" fontId="51" fillId="14" borderId="4" xfId="0" applyFont="1" applyFill="1" applyBorder="1"/>
    <xf numFmtId="0" fontId="51" fillId="14" borderId="0" xfId="0" applyFont="1" applyFill="1" applyBorder="1" applyAlignment="1">
      <alignment horizontal="center"/>
    </xf>
    <xf numFmtId="0" fontId="51" fillId="14" borderId="9" xfId="0" applyFont="1" applyFill="1" applyBorder="1" applyAlignment="1">
      <alignment horizontal="center"/>
    </xf>
    <xf numFmtId="0" fontId="51" fillId="14" borderId="6" xfId="0" applyFont="1" applyFill="1" applyBorder="1"/>
    <xf numFmtId="0" fontId="51" fillId="14" borderId="7" xfId="0" applyFont="1" applyFill="1" applyBorder="1" applyAlignment="1">
      <alignment horizontal="center"/>
    </xf>
    <xf numFmtId="0" fontId="51" fillId="14" borderId="13" xfId="0" applyFont="1" applyFill="1" applyBorder="1" applyAlignment="1">
      <alignment horizontal="center"/>
    </xf>
    <xf numFmtId="0" fontId="20" fillId="0" borderId="0" xfId="0" applyFont="1" applyFill="1"/>
    <xf numFmtId="0" fontId="2" fillId="9" borderId="0" xfId="0" applyFont="1" applyFill="1" applyBorder="1"/>
    <xf numFmtId="0" fontId="1" fillId="0" borderId="13" xfId="0" applyFont="1" applyBorder="1" applyAlignment="1">
      <alignment vertical="top" wrapText="1"/>
    </xf>
    <xf numFmtId="0" fontId="1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2" fontId="1" fillId="0" borderId="4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 vertical="center"/>
    </xf>
    <xf numFmtId="2" fontId="11" fillId="0" borderId="9" xfId="0" applyNumberFormat="1" applyFont="1" applyBorder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/>
    </xf>
    <xf numFmtId="2" fontId="11" fillId="0" borderId="2" xfId="0" applyNumberFormat="1" applyFont="1" applyBorder="1" applyAlignment="1">
      <alignment horizontal="center"/>
    </xf>
    <xf numFmtId="2" fontId="11" fillId="0" borderId="0" xfId="0" applyNumberFormat="1" applyFont="1" applyBorder="1" applyAlignment="1">
      <alignment horizontal="center"/>
    </xf>
    <xf numFmtId="2" fontId="11" fillId="0" borderId="7" xfId="0" applyNumberFormat="1" applyFont="1" applyBorder="1" applyAlignment="1">
      <alignment horizontal="center"/>
    </xf>
    <xf numFmtId="0" fontId="1" fillId="0" borderId="0" xfId="0" applyFont="1" applyFill="1" applyBorder="1" applyAlignment="1">
      <alignment horizontal="center" vertical="top"/>
    </xf>
    <xf numFmtId="2" fontId="11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2" fontId="17" fillId="0" borderId="0" xfId="0" applyNumberFormat="1" applyFont="1" applyAlignment="1">
      <alignment horizontal="center"/>
    </xf>
    <xf numFmtId="0" fontId="1" fillId="0" borderId="9" xfId="0" applyFont="1" applyBorder="1" applyAlignment="1">
      <alignment horizontal="center" vertical="top"/>
    </xf>
    <xf numFmtId="2" fontId="1" fillId="0" borderId="12" xfId="0" applyNumberFormat="1" applyFont="1" applyBorder="1" applyAlignment="1">
      <alignment horizontal="center" vertical="top"/>
    </xf>
    <xf numFmtId="2" fontId="1" fillId="0" borderId="0" xfId="0" applyNumberFormat="1" applyFont="1" applyFill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15" fillId="0" borderId="9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2" fontId="1" fillId="0" borderId="1" xfId="0" applyNumberFormat="1" applyFont="1" applyFill="1" applyBorder="1" applyAlignment="1" applyProtection="1">
      <alignment horizontal="center" vertical="center"/>
      <protection locked="0"/>
    </xf>
    <xf numFmtId="1" fontId="1" fillId="0" borderId="2" xfId="0" applyNumberFormat="1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1" fontId="1" fillId="0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4" xfId="0" applyNumberFormat="1" applyFont="1" applyFill="1" applyBorder="1" applyAlignment="1" applyProtection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0" fontId="1" fillId="0" borderId="9" xfId="0" applyFont="1" applyFill="1" applyBorder="1" applyAlignment="1">
      <alignment horizontal="center"/>
    </xf>
    <xf numFmtId="2" fontId="11" fillId="0" borderId="2" xfId="0" applyNumberFormat="1" applyFont="1" applyFill="1" applyBorder="1" applyAlignment="1">
      <alignment horizontal="center"/>
    </xf>
    <xf numFmtId="166" fontId="1" fillId="0" borderId="9" xfId="0" applyNumberFormat="1" applyFont="1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2" fontId="1" fillId="0" borderId="15" xfId="0" applyNumberFormat="1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0" fillId="0" borderId="13" xfId="0" applyFill="1" applyBorder="1"/>
    <xf numFmtId="0" fontId="0" fillId="0" borderId="7" xfId="0" applyFill="1" applyBorder="1" applyAlignment="1">
      <alignment horizontal="center" vertical="center"/>
    </xf>
    <xf numFmtId="166" fontId="0" fillId="0" borderId="13" xfId="0" applyNumberFormat="1" applyFill="1" applyBorder="1" applyAlignment="1">
      <alignment horizontal="center" vertical="center"/>
    </xf>
    <xf numFmtId="1" fontId="0" fillId="11" borderId="12" xfId="0" applyNumberFormat="1" applyFill="1" applyBorder="1" applyAlignment="1" applyProtection="1">
      <alignment horizontal="center" vertical="center"/>
      <protection locked="0"/>
    </xf>
    <xf numFmtId="1" fontId="0" fillId="11" borderId="13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2" fontId="1" fillId="0" borderId="6" xfId="0" applyNumberFormat="1" applyFont="1" applyFill="1" applyBorder="1" applyAlignment="1">
      <alignment horizontal="center"/>
    </xf>
    <xf numFmtId="1" fontId="1" fillId="0" borderId="7" xfId="0" applyNumberFormat="1" applyFont="1" applyFill="1" applyBorder="1" applyAlignment="1">
      <alignment horizontal="center"/>
    </xf>
    <xf numFmtId="0" fontId="0" fillId="0" borderId="3" xfId="0" applyFill="1" applyBorder="1"/>
    <xf numFmtId="0" fontId="0" fillId="0" borderId="5" xfId="0" applyFill="1" applyBorder="1"/>
    <xf numFmtId="1" fontId="1" fillId="0" borderId="0" xfId="0" applyNumberFormat="1" applyFont="1" applyFill="1" applyBorder="1" applyAlignment="1" applyProtection="1">
      <alignment horizontal="center"/>
    </xf>
    <xf numFmtId="2" fontId="1" fillId="11" borderId="0" xfId="0" applyNumberFormat="1" applyFont="1" applyFill="1" applyBorder="1" applyProtection="1">
      <protection locked="0"/>
    </xf>
    <xf numFmtId="1" fontId="1" fillId="0" borderId="7" xfId="0" applyNumberFormat="1" applyFont="1" applyFill="1" applyBorder="1" applyAlignment="1" applyProtection="1">
      <alignment horizontal="center"/>
    </xf>
    <xf numFmtId="2" fontId="1" fillId="11" borderId="7" xfId="0" applyNumberFormat="1" applyFont="1" applyFill="1" applyBorder="1" applyProtection="1">
      <protection locked="0"/>
    </xf>
    <xf numFmtId="0" fontId="0" fillId="0" borderId="8" xfId="0" applyFill="1" applyBorder="1"/>
    <xf numFmtId="0" fontId="1" fillId="0" borderId="5" xfId="0" applyFont="1" applyBorder="1" applyAlignment="1">
      <alignment vertical="center" wrapText="1"/>
    </xf>
    <xf numFmtId="0" fontId="0" fillId="11" borderId="11" xfId="0" applyFill="1" applyBorder="1" applyAlignment="1" applyProtection="1">
      <alignment horizontal="center"/>
    </xf>
    <xf numFmtId="0" fontId="0" fillId="11" borderId="12" xfId="0" applyFill="1" applyBorder="1" applyAlignment="1" applyProtection="1">
      <alignment horizontal="center"/>
    </xf>
    <xf numFmtId="1" fontId="0" fillId="0" borderId="5" xfId="0" applyNumberFormat="1" applyFill="1" applyBorder="1" applyAlignment="1">
      <alignment horizontal="center" vertical="center"/>
    </xf>
    <xf numFmtId="1" fontId="0" fillId="0" borderId="7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0" fontId="54" fillId="0" borderId="2" xfId="0" applyFont="1" applyBorder="1"/>
    <xf numFmtId="0" fontId="20" fillId="22" borderId="0" xfId="0" applyFont="1" applyFill="1"/>
    <xf numFmtId="0" fontId="1" fillId="9" borderId="0" xfId="0" applyFont="1" applyFill="1"/>
    <xf numFmtId="2" fontId="1" fillId="0" borderId="0" xfId="0" applyNumberFormat="1" applyFont="1" applyFill="1" applyAlignment="1">
      <alignment horizontal="center" vertical="center"/>
    </xf>
    <xf numFmtId="2" fontId="15" fillId="0" borderId="0" xfId="0" applyNumberFormat="1" applyFont="1" applyAlignment="1">
      <alignment horizontal="left" vertical="top"/>
    </xf>
    <xf numFmtId="166" fontId="0" fillId="0" borderId="2" xfId="0" applyNumberFormat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54" fillId="0" borderId="7" xfId="0" applyFont="1" applyBorder="1" applyAlignment="1">
      <alignment horizontal="center"/>
    </xf>
    <xf numFmtId="0" fontId="54" fillId="0" borderId="7" xfId="0" applyFont="1" applyBorder="1"/>
    <xf numFmtId="2" fontId="54" fillId="0" borderId="13" xfId="0" applyNumberFormat="1" applyFont="1" applyBorder="1" applyAlignment="1">
      <alignment horizontal="center"/>
    </xf>
    <xf numFmtId="166" fontId="54" fillId="0" borderId="7" xfId="0" applyNumberFormat="1" applyFont="1" applyBorder="1" applyAlignment="1">
      <alignment horizontal="center"/>
    </xf>
    <xf numFmtId="0" fontId="61" fillId="0" borderId="13" xfId="0" applyFont="1" applyBorder="1" applyAlignment="1">
      <alignment horizontal="center"/>
    </xf>
    <xf numFmtId="2" fontId="54" fillId="0" borderId="8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0" xfId="0" applyFont="1" applyBorder="1" applyAlignment="1">
      <alignment horizontal="left"/>
    </xf>
    <xf numFmtId="166" fontId="51" fillId="0" borderId="15" xfId="0" applyNumberFormat="1" applyFont="1" applyBorder="1"/>
    <xf numFmtId="0" fontId="2" fillId="0" borderId="3" xfId="0" applyFont="1" applyFill="1" applyBorder="1" applyAlignment="1">
      <alignment horizontal="center"/>
    </xf>
    <xf numFmtId="166" fontId="1" fillId="0" borderId="14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6" xfId="0" applyFont="1" applyBorder="1"/>
    <xf numFmtId="2" fontId="43" fillId="0" borderId="8" xfId="0" applyNumberFormat="1" applyFont="1" applyBorder="1" applyAlignment="1">
      <alignment horizontal="center"/>
    </xf>
    <xf numFmtId="0" fontId="51" fillId="0" borderId="7" xfId="0" applyFont="1" applyBorder="1"/>
    <xf numFmtId="0" fontId="90" fillId="0" borderId="7" xfId="0" applyFont="1" applyBorder="1"/>
    <xf numFmtId="0" fontId="20" fillId="9" borderId="0" xfId="0" applyFont="1" applyFill="1"/>
    <xf numFmtId="0" fontId="5" fillId="0" borderId="0" xfId="0" applyFont="1" applyFill="1"/>
    <xf numFmtId="2" fontId="15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left"/>
    </xf>
    <xf numFmtId="0" fontId="2" fillId="0" borderId="2" xfId="0" applyFont="1" applyFill="1" applyBorder="1" applyAlignment="1">
      <alignment horizontal="center"/>
    </xf>
    <xf numFmtId="0" fontId="54" fillId="0" borderId="0" xfId="0" applyFont="1" applyBorder="1" applyAlignment="1">
      <alignment horizontal="center"/>
    </xf>
    <xf numFmtId="0" fontId="54" fillId="0" borderId="0" xfId="0" applyFont="1" applyBorder="1" applyAlignment="1">
      <alignment horizontal="left"/>
    </xf>
    <xf numFmtId="166" fontId="54" fillId="0" borderId="14" xfId="0" applyNumberFormat="1" applyFont="1" applyFill="1" applyBorder="1" applyAlignment="1">
      <alignment horizontal="center"/>
    </xf>
    <xf numFmtId="0" fontId="61" fillId="0" borderId="0" xfId="0" applyFont="1" applyBorder="1" applyAlignment="1">
      <alignment horizontal="center"/>
    </xf>
    <xf numFmtId="0" fontId="1" fillId="0" borderId="7" xfId="0" applyFont="1" applyBorder="1" applyAlignment="1">
      <alignment horizontal="left"/>
    </xf>
    <xf numFmtId="2" fontId="2" fillId="0" borderId="0" xfId="0" applyNumberFormat="1" applyFont="1" applyBorder="1" applyAlignment="1">
      <alignment horizontal="center"/>
    </xf>
    <xf numFmtId="0" fontId="1" fillId="0" borderId="10" xfId="0" applyFont="1" applyFill="1" applyBorder="1"/>
    <xf numFmtId="0" fontId="0" fillId="0" borderId="11" xfId="0" applyFill="1" applyBorder="1"/>
    <xf numFmtId="2" fontId="0" fillId="0" borderId="11" xfId="0" applyNumberFormat="1" applyFill="1" applyBorder="1" applyAlignment="1">
      <alignment horizontal="center"/>
    </xf>
    <xf numFmtId="166" fontId="0" fillId="0" borderId="15" xfId="0" applyNumberForma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2" fontId="0" fillId="0" borderId="12" xfId="0" applyNumberFormat="1" applyFill="1" applyBorder="1" applyAlignment="1">
      <alignment horizontal="center"/>
    </xf>
    <xf numFmtId="166" fontId="51" fillId="0" borderId="7" xfId="0" applyNumberFormat="1" applyFont="1" applyBorder="1"/>
    <xf numFmtId="0" fontId="29" fillId="22" borderId="0" xfId="0" applyFont="1" applyFill="1"/>
    <xf numFmtId="0" fontId="2" fillId="0" borderId="0" xfId="0" applyFont="1" applyBorder="1"/>
    <xf numFmtId="166" fontId="54" fillId="0" borderId="14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10" fillId="0" borderId="0" xfId="0" applyFont="1" applyBorder="1"/>
    <xf numFmtId="0" fontId="97" fillId="0" borderId="0" xfId="0" applyFont="1" applyAlignment="1">
      <alignment horizontal="left" readingOrder="1"/>
    </xf>
    <xf numFmtId="0" fontId="97" fillId="0" borderId="0" xfId="0" applyFont="1" applyFill="1" applyAlignment="1">
      <alignment horizontal="left" readingOrder="1"/>
    </xf>
    <xf numFmtId="0" fontId="1" fillId="0" borderId="0" xfId="0" applyFont="1" applyBorder="1" applyAlignment="1">
      <alignment horizontal="right" vertical="top"/>
    </xf>
    <xf numFmtId="2" fontId="1" fillId="0" borderId="10" xfId="0" applyNumberFormat="1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 wrapText="1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/>
    </xf>
    <xf numFmtId="0" fontId="1" fillId="0" borderId="14" xfId="0" applyFont="1" applyBorder="1" applyAlignment="1">
      <alignment vertical="top"/>
    </xf>
    <xf numFmtId="0" fontId="1" fillId="0" borderId="12" xfId="0" applyFont="1" applyBorder="1" applyAlignment="1">
      <alignment vertical="top"/>
    </xf>
    <xf numFmtId="0" fontId="0" fillId="10" borderId="1" xfId="0" applyFill="1" applyBorder="1"/>
    <xf numFmtId="0" fontId="98" fillId="10" borderId="2" xfId="0" applyFont="1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98" fillId="10" borderId="0" xfId="0" applyFont="1" applyFill="1" applyBorder="1"/>
    <xf numFmtId="0" fontId="0" fillId="10" borderId="0" xfId="0" applyFill="1" applyBorder="1"/>
    <xf numFmtId="0" fontId="0" fillId="10" borderId="5" xfId="0" applyFill="1" applyBorder="1"/>
    <xf numFmtId="0" fontId="1" fillId="10" borderId="0" xfId="0" applyFont="1" applyFill="1" applyBorder="1" applyAlignment="1">
      <alignment horizontal="right"/>
    </xf>
    <xf numFmtId="2" fontId="0" fillId="10" borderId="0" xfId="0" applyNumberFormat="1" applyFill="1" applyBorder="1" applyAlignment="1">
      <alignment horizontal="right"/>
    </xf>
    <xf numFmtId="0" fontId="1" fillId="10" borderId="0" xfId="0" applyFont="1" applyFill="1" applyBorder="1"/>
    <xf numFmtId="2" fontId="0" fillId="6" borderId="0" xfId="0" applyNumberFormat="1" applyFill="1" applyBorder="1" applyAlignment="1" applyProtection="1">
      <alignment horizontal="right"/>
      <protection locked="0"/>
    </xf>
    <xf numFmtId="0" fontId="0" fillId="10" borderId="0" xfId="0" applyFill="1" applyBorder="1" applyAlignment="1">
      <alignment horizontal="right"/>
    </xf>
    <xf numFmtId="166" fontId="0" fillId="10" borderId="0" xfId="0" applyNumberFormat="1" applyFill="1" applyBorder="1" applyAlignment="1">
      <alignment horizontal="right"/>
    </xf>
    <xf numFmtId="2" fontId="0" fillId="10" borderId="0" xfId="0" applyNumberForma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right"/>
    </xf>
    <xf numFmtId="0" fontId="1" fillId="10" borderId="1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10" borderId="13" xfId="0" applyFont="1" applyFill="1" applyBorder="1" applyAlignment="1">
      <alignment horizontal="center"/>
    </xf>
    <xf numFmtId="0" fontId="1" fillId="10" borderId="6" xfId="0" applyFont="1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2" fontId="0" fillId="10" borderId="14" xfId="0" applyNumberFormat="1" applyFill="1" applyBorder="1" applyAlignment="1">
      <alignment horizontal="center"/>
    </xf>
    <xf numFmtId="0" fontId="99" fillId="6" borderId="4" xfId="0" applyFont="1" applyFill="1" applyBorder="1" applyAlignment="1" applyProtection="1">
      <alignment horizontal="center"/>
      <protection locked="0"/>
    </xf>
    <xf numFmtId="2" fontId="99" fillId="6" borderId="14" xfId="0" applyNumberFormat="1" applyFont="1" applyFill="1" applyBorder="1" applyAlignment="1" applyProtection="1">
      <alignment horizontal="center"/>
      <protection locked="0"/>
    </xf>
    <xf numFmtId="2" fontId="0" fillId="10" borderId="13" xfId="0" applyNumberFormat="1" applyFill="1" applyBorder="1" applyAlignment="1">
      <alignment horizontal="center"/>
    </xf>
    <xf numFmtId="0" fontId="99" fillId="6" borderId="6" xfId="0" applyFont="1" applyFill="1" applyBorder="1" applyAlignment="1" applyProtection="1">
      <alignment horizontal="center"/>
      <protection locked="0"/>
    </xf>
    <xf numFmtId="2" fontId="99" fillId="6" borderId="13" xfId="0" applyNumberFormat="1" applyFont="1" applyFill="1" applyBorder="1" applyAlignment="1" applyProtection="1">
      <alignment horizontal="center"/>
      <protection locked="0"/>
    </xf>
    <xf numFmtId="1" fontId="0" fillId="10" borderId="0" xfId="0" applyNumberFormat="1" applyFill="1" applyBorder="1"/>
    <xf numFmtId="0" fontId="1" fillId="0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4" xfId="0" applyBorder="1"/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Fill="1" applyBorder="1" applyAlignment="1">
      <alignment horizontal="center" vertical="center"/>
    </xf>
    <xf numFmtId="2" fontId="1" fillId="0" borderId="4" xfId="0" applyNumberFormat="1" applyFont="1" applyBorder="1" applyAlignment="1">
      <alignment horizontal="left"/>
    </xf>
    <xf numFmtId="2" fontId="54" fillId="0" borderId="4" xfId="0" applyNumberFormat="1" applyFont="1" applyBorder="1" applyAlignment="1">
      <alignment horizontal="left"/>
    </xf>
    <xf numFmtId="2" fontId="9" fillId="0" borderId="0" xfId="0" applyNumberFormat="1" applyFont="1" applyBorder="1" applyAlignment="1">
      <alignment horizontal="center"/>
    </xf>
    <xf numFmtId="2" fontId="4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1" fontId="0" fillId="11" borderId="6" xfId="0" applyNumberFormat="1" applyFill="1" applyBorder="1" applyAlignment="1" applyProtection="1">
      <alignment horizontal="center" vertical="center"/>
      <protection locked="0"/>
    </xf>
    <xf numFmtId="1" fontId="0" fillId="11" borderId="8" xfId="0" applyNumberForma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>
      <alignment vertical="top" wrapText="1"/>
    </xf>
    <xf numFmtId="2" fontId="54" fillId="0" borderId="0" xfId="0" applyNumberFormat="1" applyFont="1" applyFill="1" applyAlignment="1" applyProtection="1">
      <alignment horizontal="left"/>
    </xf>
    <xf numFmtId="1" fontId="0" fillId="0" borderId="0" xfId="0" applyNumberFormat="1" applyFill="1" applyAlignment="1">
      <alignment horizontal="right"/>
    </xf>
    <xf numFmtId="2" fontId="1" fillId="5" borderId="0" xfId="0" applyNumberFormat="1" applyFont="1" applyFill="1" applyAlignment="1" applyProtection="1">
      <alignment horizontal="left"/>
    </xf>
    <xf numFmtId="0" fontId="0" fillId="8" borderId="10" xfId="0" applyFill="1" applyBorder="1"/>
    <xf numFmtId="0" fontId="0" fillId="8" borderId="4" xfId="0" applyFill="1" applyBorder="1"/>
    <xf numFmtId="0" fontId="0" fillId="8" borderId="6" xfId="0" applyFill="1" applyBorder="1"/>
    <xf numFmtId="0" fontId="0" fillId="8" borderId="14" xfId="0" applyFill="1" applyBorder="1" applyAlignment="1">
      <alignment horizontal="center"/>
    </xf>
    <xf numFmtId="0" fontId="53" fillId="0" borderId="0" xfId="0" applyFont="1" applyFill="1" applyAlignment="1">
      <alignment vertical="top"/>
    </xf>
    <xf numFmtId="166" fontId="51" fillId="13" borderId="9" xfId="0" applyNumberFormat="1" applyFont="1" applyFill="1" applyBorder="1" applyAlignment="1">
      <alignment horizontal="center"/>
    </xf>
    <xf numFmtId="166" fontId="51" fillId="13" borderId="13" xfId="0" applyNumberFormat="1" applyFont="1" applyFill="1" applyBorder="1" applyAlignment="1">
      <alignment horizontal="center"/>
    </xf>
    <xf numFmtId="0" fontId="53" fillId="0" borderId="0" xfId="0" applyFont="1" applyFill="1" applyAlignment="1" applyProtection="1">
      <alignment horizontal="left"/>
    </xf>
    <xf numFmtId="1" fontId="53" fillId="0" borderId="0" xfId="0" applyNumberFormat="1" applyFont="1" applyFill="1" applyAlignment="1" applyProtection="1">
      <alignment horizontal="left"/>
    </xf>
    <xf numFmtId="0" fontId="1" fillId="0" borderId="1" xfId="0" applyFont="1" applyFill="1" applyBorder="1" applyAlignment="1">
      <alignment horizontal="right"/>
    </xf>
    <xf numFmtId="166" fontId="73" fillId="13" borderId="14" xfId="0" applyNumberFormat="1" applyFont="1" applyFill="1" applyBorder="1" applyAlignment="1">
      <alignment horizontal="center"/>
    </xf>
    <xf numFmtId="0" fontId="53" fillId="0" borderId="0" xfId="0" applyFont="1" applyFill="1" applyAlignment="1" applyProtection="1">
      <alignment horizontal="left" vertical="top"/>
    </xf>
    <xf numFmtId="0" fontId="0" fillId="0" borderId="10" xfId="0" applyBorder="1" applyAlignment="1">
      <alignment vertical="center"/>
    </xf>
    <xf numFmtId="166" fontId="0" fillId="0" borderId="10" xfId="0" applyNumberFormat="1" applyBorder="1" applyAlignment="1">
      <alignment horizontal="left" vertical="center"/>
    </xf>
    <xf numFmtId="166" fontId="0" fillId="0" borderId="11" xfId="0" applyNumberFormat="1" applyBorder="1" applyAlignment="1">
      <alignment vertical="center"/>
    </xf>
    <xf numFmtId="0" fontId="2" fillId="5" borderId="32" xfId="0" applyFont="1" applyFill="1" applyBorder="1"/>
    <xf numFmtId="0" fontId="0" fillId="0" borderId="6" xfId="0" applyBorder="1"/>
    <xf numFmtId="166" fontId="0" fillId="6" borderId="0" xfId="0" applyNumberFormat="1" applyFill="1" applyProtection="1">
      <protection locked="0"/>
    </xf>
    <xf numFmtId="0" fontId="0" fillId="0" borderId="4" xfId="0" applyBorder="1"/>
    <xf numFmtId="0" fontId="0" fillId="0" borderId="6" xfId="0" applyBorder="1"/>
    <xf numFmtId="166" fontId="0" fillId="0" borderId="5" xfId="0" applyNumberFormat="1" applyBorder="1"/>
    <xf numFmtId="166" fontId="0" fillId="0" borderId="4" xfId="0" applyNumberFormat="1" applyBorder="1" applyAlignment="1">
      <alignment horizontal="left"/>
    </xf>
    <xf numFmtId="0" fontId="0" fillId="0" borderId="4" xfId="0" applyBorder="1"/>
    <xf numFmtId="0" fontId="0" fillId="0" borderId="6" xfId="0" applyBorder="1"/>
    <xf numFmtId="0" fontId="2" fillId="6" borderId="0" xfId="0" applyFont="1" applyFill="1" applyAlignment="1" applyProtection="1">
      <alignment horizontal="right"/>
      <protection locked="0"/>
    </xf>
    <xf numFmtId="0" fontId="1" fillId="0" borderId="10" xfId="0" applyFont="1" applyBorder="1" applyAlignment="1" applyProtection="1">
      <alignment horizontal="right"/>
      <protection locked="0"/>
    </xf>
    <xf numFmtId="0" fontId="1" fillId="0" borderId="4" xfId="0" applyFont="1" applyBorder="1" applyAlignment="1" applyProtection="1">
      <alignment horizontal="right"/>
      <protection locked="0"/>
    </xf>
    <xf numFmtId="2" fontId="0" fillId="0" borderId="4" xfId="0" applyNumberFormat="1" applyBorder="1" applyAlignment="1" applyProtection="1">
      <alignment horizontal="left"/>
      <protection locked="0"/>
    </xf>
    <xf numFmtId="2" fontId="0" fillId="0" borderId="5" xfId="0" applyNumberFormat="1" applyBorder="1" applyAlignment="1" applyProtection="1">
      <alignment horizontal="right"/>
      <protection locked="0"/>
    </xf>
    <xf numFmtId="2" fontId="0" fillId="0" borderId="0" xfId="0" applyNumberFormat="1" applyBorder="1" applyAlignment="1" applyProtection="1">
      <alignment horizontal="right"/>
      <protection locked="0"/>
    </xf>
    <xf numFmtId="2" fontId="0" fillId="0" borderId="5" xfId="0" applyNumberFormat="1" applyBorder="1" applyProtection="1">
      <protection locked="0"/>
    </xf>
    <xf numFmtId="2" fontId="0" fillId="0" borderId="0" xfId="0" applyNumberFormat="1" applyBorder="1" applyAlignment="1" applyProtection="1">
      <alignment horizontal="left"/>
      <protection locked="0"/>
    </xf>
    <xf numFmtId="2" fontId="0" fillId="0" borderId="5" xfId="0" applyNumberFormat="1" applyBorder="1" applyAlignment="1" applyProtection="1">
      <alignment horizontal="left"/>
      <protection locked="0"/>
    </xf>
    <xf numFmtId="0" fontId="1" fillId="0" borderId="4" xfId="0" applyFont="1" applyBorder="1" applyProtection="1">
      <protection locked="0"/>
    </xf>
    <xf numFmtId="0" fontId="0" fillId="0" borderId="6" xfId="0" applyBorder="1" applyAlignment="1" applyProtection="1">
      <alignment horizontal="right"/>
      <protection locked="0"/>
    </xf>
    <xf numFmtId="2" fontId="0" fillId="0" borderId="6" xfId="0" applyNumberFormat="1" applyBorder="1" applyAlignment="1" applyProtection="1">
      <alignment horizontal="left"/>
      <protection locked="0"/>
    </xf>
    <xf numFmtId="166" fontId="0" fillId="0" borderId="8" xfId="0" applyNumberFormat="1" applyBorder="1" applyAlignment="1" applyProtection="1">
      <alignment horizontal="right"/>
      <protection locked="0"/>
    </xf>
    <xf numFmtId="166" fontId="0" fillId="0" borderId="6" xfId="0" applyNumberFormat="1" applyBorder="1" applyAlignment="1" applyProtection="1">
      <alignment horizontal="left"/>
      <protection locked="0"/>
    </xf>
    <xf numFmtId="166" fontId="0" fillId="0" borderId="7" xfId="0" applyNumberFormat="1" applyBorder="1" applyAlignment="1" applyProtection="1">
      <alignment horizontal="right"/>
      <protection locked="0"/>
    </xf>
    <xf numFmtId="166" fontId="0" fillId="0" borderId="8" xfId="0" applyNumberFormat="1" applyBorder="1" applyProtection="1">
      <protection locked="0"/>
    </xf>
    <xf numFmtId="166" fontId="0" fillId="0" borderId="7" xfId="0" applyNumberFormat="1" applyBorder="1" applyAlignment="1" applyProtection="1">
      <alignment horizontal="left"/>
      <protection locked="0"/>
    </xf>
    <xf numFmtId="166" fontId="0" fillId="0" borderId="7" xfId="0" applyNumberFormat="1" applyBorder="1" applyProtection="1">
      <protection locked="0"/>
    </xf>
    <xf numFmtId="1" fontId="0" fillId="0" borderId="0" xfId="0" applyNumberFormat="1" applyAlignment="1" applyProtection="1">
      <alignment horizontal="left"/>
      <protection locked="0"/>
    </xf>
    <xf numFmtId="1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5" borderId="0" xfId="0" applyFill="1" applyAlignment="1" applyProtection="1">
      <alignment horizontal="center"/>
      <protection locked="0"/>
    </xf>
    <xf numFmtId="1" fontId="0" fillId="5" borderId="0" xfId="0" applyNumberFormat="1" applyFill="1" applyAlignment="1" applyProtection="1">
      <alignment horizontal="left"/>
      <protection locked="0"/>
    </xf>
    <xf numFmtId="1" fontId="0" fillId="5" borderId="0" xfId="0" applyNumberFormat="1" applyFill="1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2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2" fontId="0" fillId="0" borderId="7" xfId="0" applyNumberFormat="1" applyBorder="1" applyAlignment="1" applyProtection="1">
      <alignment horizontal="left"/>
      <protection locked="0"/>
    </xf>
    <xf numFmtId="2" fontId="0" fillId="0" borderId="7" xfId="0" applyNumberFormat="1" applyBorder="1" applyProtection="1">
      <protection locked="0"/>
    </xf>
    <xf numFmtId="166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Fill="1" applyProtection="1">
      <protection locked="0"/>
    </xf>
    <xf numFmtId="166" fontId="0" fillId="0" borderId="0" xfId="0" applyNumberFormat="1" applyFill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166" fontId="0" fillId="0" borderId="0" xfId="0" applyNumberFormat="1" applyBorder="1" applyAlignment="1" applyProtection="1">
      <alignment horizontal="left"/>
      <protection locked="0"/>
    </xf>
    <xf numFmtId="166" fontId="0" fillId="0" borderId="0" xfId="0" applyNumberFormat="1" applyBorder="1" applyProtection="1">
      <protection locked="0"/>
    </xf>
    <xf numFmtId="0" fontId="0" fillId="0" borderId="4" xfId="0" applyBorder="1"/>
    <xf numFmtId="0" fontId="0" fillId="0" borderId="6" xfId="0" applyBorder="1"/>
    <xf numFmtId="0" fontId="1" fillId="0" borderId="0" xfId="0" applyFont="1" applyFill="1" applyAlignment="1">
      <alignment vertical="top"/>
    </xf>
    <xf numFmtId="0" fontId="1" fillId="0" borderId="0" xfId="0" applyNumberFormat="1" applyFont="1" applyFill="1" applyProtection="1">
      <protection locked="0"/>
    </xf>
    <xf numFmtId="0" fontId="1" fillId="0" borderId="0" xfId="0" applyFont="1" applyFill="1" applyProtection="1">
      <protection locked="0"/>
    </xf>
    <xf numFmtId="0" fontId="1" fillId="0" borderId="0" xfId="0" applyFont="1" applyFill="1" applyAlignment="1">
      <alignment horizontal="left" vertical="top" wrapText="1"/>
    </xf>
    <xf numFmtId="2" fontId="1" fillId="0" borderId="0" xfId="0" applyNumberFormat="1" applyFont="1" applyFill="1" applyProtection="1">
      <protection locked="0"/>
    </xf>
    <xf numFmtId="0" fontId="1" fillId="0" borderId="0" xfId="0" applyFont="1" applyFill="1" applyAlignment="1" applyProtection="1">
      <alignment horizontal="left" vertical="top" wrapText="1"/>
      <protection locked="0"/>
    </xf>
    <xf numFmtId="0" fontId="100" fillId="0" borderId="0" xfId="0" applyFont="1" applyFill="1" applyAlignment="1">
      <alignment textRotation="90"/>
    </xf>
    <xf numFmtId="0" fontId="61" fillId="18" borderId="0" xfId="0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2" fontId="0" fillId="0" borderId="1" xfId="0" applyNumberFormat="1" applyBorder="1" applyAlignment="1">
      <alignment horizontal="left"/>
    </xf>
    <xf numFmtId="2" fontId="0" fillId="0" borderId="3" xfId="0" applyNumberFormat="1" applyBorder="1" applyAlignment="1">
      <alignment horizontal="right"/>
    </xf>
    <xf numFmtId="2" fontId="0" fillId="0" borderId="4" xfId="0" applyNumberFormat="1" applyBorder="1" applyAlignment="1">
      <alignment horizontal="left"/>
    </xf>
    <xf numFmtId="2" fontId="0" fillId="0" borderId="5" xfId="0" applyNumberFormat="1" applyBorder="1" applyAlignment="1">
      <alignment horizontal="right"/>
    </xf>
    <xf numFmtId="167" fontId="0" fillId="0" borderId="5" xfId="0" applyNumberFormat="1" applyBorder="1" applyAlignment="1">
      <alignment horizontal="right"/>
    </xf>
    <xf numFmtId="166" fontId="0" fillId="0" borderId="5" xfId="0" applyNumberFormat="1" applyBorder="1" applyAlignment="1">
      <alignment horizontal="right"/>
    </xf>
    <xf numFmtId="166" fontId="0" fillId="0" borderId="6" xfId="0" applyNumberFormat="1" applyBorder="1" applyAlignment="1">
      <alignment horizontal="left"/>
    </xf>
    <xf numFmtId="166" fontId="0" fillId="0" borderId="8" xfId="0" applyNumberFormat="1" applyBorder="1"/>
    <xf numFmtId="167" fontId="0" fillId="0" borderId="4" xfId="0" applyNumberFormat="1" applyBorder="1" applyAlignment="1">
      <alignment horizontal="center"/>
    </xf>
    <xf numFmtId="0" fontId="101" fillId="8" borderId="0" xfId="0" applyFont="1" applyFill="1"/>
    <xf numFmtId="166" fontId="0" fillId="0" borderId="0" xfId="0" applyNumberFormat="1" applyBorder="1" applyAlignment="1">
      <alignment horizontal="left"/>
    </xf>
    <xf numFmtId="166" fontId="0" fillId="0" borderId="0" xfId="0" applyNumberFormat="1" applyBorder="1"/>
    <xf numFmtId="166" fontId="0" fillId="0" borderId="10" xfId="0" applyNumberFormat="1" applyBorder="1" applyAlignment="1">
      <alignment horizontal="right" vertical="center"/>
    </xf>
    <xf numFmtId="166" fontId="0" fillId="0" borderId="12" xfId="0" applyNumberFormat="1" applyBorder="1" applyAlignment="1">
      <alignment horizontal="right" vertical="center"/>
    </xf>
    <xf numFmtId="0" fontId="0" fillId="0" borderId="9" xfId="0" applyBorder="1" applyAlignment="1">
      <alignment horizontal="right"/>
    </xf>
    <xf numFmtId="2" fontId="1" fillId="0" borderId="0" xfId="0" applyNumberFormat="1" applyFont="1" applyBorder="1" applyAlignment="1">
      <alignment horizontal="right"/>
    </xf>
    <xf numFmtId="2" fontId="1" fillId="0" borderId="0" xfId="0" applyNumberFormat="1" applyFont="1" applyBorder="1" applyAlignment="1">
      <alignment horizontal="left"/>
    </xf>
    <xf numFmtId="0" fontId="0" fillId="0" borderId="14" xfId="0" applyBorder="1" applyAlignment="1">
      <alignment horizontal="right"/>
    </xf>
    <xf numFmtId="166" fontId="0" fillId="0" borderId="7" xfId="0" applyNumberFormat="1" applyBorder="1" applyAlignment="1">
      <alignment horizontal="left"/>
    </xf>
    <xf numFmtId="166" fontId="1" fillId="0" borderId="7" xfId="0" applyNumberFormat="1" applyFont="1" applyBorder="1" applyAlignment="1">
      <alignment horizontal="right"/>
    </xf>
    <xf numFmtId="166" fontId="1" fillId="0" borderId="7" xfId="0" applyNumberFormat="1" applyFont="1" applyBorder="1" applyAlignment="1">
      <alignment horizontal="left"/>
    </xf>
    <xf numFmtId="2" fontId="0" fillId="0" borderId="14" xfId="0" applyNumberFormat="1" applyBorder="1" applyAlignment="1">
      <alignment horizontal="right"/>
    </xf>
    <xf numFmtId="2" fontId="0" fillId="0" borderId="13" xfId="0" applyNumberFormat="1" applyBorder="1" applyAlignment="1">
      <alignment horizontal="right"/>
    </xf>
    <xf numFmtId="0" fontId="1" fillId="0" borderId="10" xfId="0" applyFont="1" applyBorder="1" applyAlignment="1">
      <alignment vertical="center"/>
    </xf>
    <xf numFmtId="0" fontId="0" fillId="18" borderId="10" xfId="0" applyFill="1" applyBorder="1" applyAlignment="1"/>
    <xf numFmtId="0" fontId="0" fillId="18" borderId="11" xfId="0" applyFill="1" applyBorder="1" applyAlignment="1"/>
    <xf numFmtId="0" fontId="1" fillId="0" borderId="10" xfId="0" applyFont="1" applyBorder="1" applyAlignment="1">
      <alignment horizontal="left"/>
    </xf>
    <xf numFmtId="0" fontId="54" fillId="18" borderId="4" xfId="0" applyFont="1" applyFill="1" applyBorder="1" applyAlignment="1">
      <alignment horizontal="left"/>
    </xf>
    <xf numFmtId="0" fontId="51" fillId="14" borderId="4" xfId="0" applyFont="1" applyFill="1" applyBorder="1" applyAlignment="1">
      <alignment horizontal="left"/>
    </xf>
    <xf numFmtId="2" fontId="0" fillId="0" borderId="5" xfId="0" applyNumberFormat="1" applyFill="1" applyBorder="1" applyAlignment="1" applyProtection="1"/>
    <xf numFmtId="2" fontId="0" fillId="0" borderId="4" xfId="0" applyNumberFormat="1" applyFill="1" applyBorder="1" applyAlignment="1" applyProtection="1">
      <alignment horizontal="left"/>
    </xf>
    <xf numFmtId="2" fontId="0" fillId="0" borderId="5" xfId="0" applyNumberFormat="1" applyFill="1" applyBorder="1" applyAlignment="1"/>
    <xf numFmtId="1" fontId="0" fillId="0" borderId="0" xfId="0" applyNumberFormat="1" applyFill="1" applyProtection="1"/>
    <xf numFmtId="2" fontId="0" fillId="0" borderId="5" xfId="0" applyNumberFormat="1" applyFill="1" applyBorder="1"/>
    <xf numFmtId="2" fontId="0" fillId="0" borderId="5" xfId="0" applyNumberFormat="1" applyFill="1" applyBorder="1" applyAlignment="1" applyProtection="1">
      <alignment horizontal="right"/>
    </xf>
    <xf numFmtId="2" fontId="0" fillId="0" borderId="0" xfId="0" applyNumberFormat="1" applyFill="1" applyBorder="1" applyAlignment="1"/>
    <xf numFmtId="2" fontId="0" fillId="0" borderId="7" xfId="0" applyNumberFormat="1" applyFill="1" applyBorder="1" applyAlignment="1" applyProtection="1"/>
    <xf numFmtId="2" fontId="0" fillId="0" borderId="0" xfId="0" applyNumberFormat="1" applyFill="1" applyBorder="1" applyAlignment="1" applyProtection="1">
      <alignment horizontal="right"/>
    </xf>
    <xf numFmtId="2" fontId="0" fillId="0" borderId="6" xfId="0" applyNumberFormat="1" applyFill="1" applyBorder="1" applyAlignment="1" applyProtection="1">
      <alignment horizontal="left"/>
    </xf>
    <xf numFmtId="167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166" fontId="0" fillId="0" borderId="7" xfId="0" applyNumberFormat="1" applyBorder="1"/>
    <xf numFmtId="2" fontId="0" fillId="0" borderId="5" xfId="0" applyNumberFormat="1" applyBorder="1"/>
    <xf numFmtId="166" fontId="0" fillId="0" borderId="0" xfId="0" applyNumberFormat="1" applyFill="1" applyBorder="1" applyAlignment="1">
      <alignment horizontal="left"/>
    </xf>
    <xf numFmtId="166" fontId="0" fillId="0" borderId="0" xfId="0" applyNumberFormat="1" applyFill="1" applyBorder="1" applyAlignment="1">
      <alignment horizontal="right"/>
    </xf>
    <xf numFmtId="166" fontId="0" fillId="0" borderId="1" xfId="0" applyNumberFormat="1" applyBorder="1" applyAlignment="1">
      <alignment horizontal="left"/>
    </xf>
    <xf numFmtId="166" fontId="0" fillId="0" borderId="3" xfId="0" applyNumberFormat="1" applyBorder="1" applyAlignment="1"/>
    <xf numFmtId="166" fontId="0" fillId="0" borderId="5" xfId="0" applyNumberFormat="1" applyBorder="1" applyAlignment="1"/>
    <xf numFmtId="166" fontId="0" fillId="0" borderId="8" xfId="0" applyNumberFormat="1" applyBorder="1" applyAlignment="1"/>
    <xf numFmtId="166" fontId="0" fillId="0" borderId="7" xfId="0" applyNumberFormat="1" applyBorder="1" applyAlignment="1">
      <alignment horizontal="right"/>
    </xf>
    <xf numFmtId="166" fontId="0" fillId="0" borderId="6" xfId="0" applyNumberFormat="1" applyBorder="1"/>
    <xf numFmtId="2" fontId="0" fillId="0" borderId="6" xfId="0" applyNumberFormat="1" applyFill="1" applyBorder="1" applyAlignment="1" applyProtection="1">
      <alignment horizontal="center"/>
    </xf>
    <xf numFmtId="2" fontId="0" fillId="0" borderId="8" xfId="0" applyNumberFormat="1" applyFill="1" applyBorder="1" applyAlignment="1" applyProtection="1">
      <alignment horizontal="center"/>
    </xf>
    <xf numFmtId="0" fontId="0" fillId="0" borderId="4" xfId="0" applyBorder="1"/>
    <xf numFmtId="167" fontId="0" fillId="0" borderId="4" xfId="0" applyNumberFormat="1" applyBorder="1" applyAlignment="1">
      <alignment horizontal="left"/>
    </xf>
    <xf numFmtId="0" fontId="0" fillId="5" borderId="14" xfId="0" applyFill="1" applyBorder="1" applyAlignment="1">
      <alignment horizontal="right"/>
    </xf>
    <xf numFmtId="166" fontId="0" fillId="0" borderId="0" xfId="0" applyNumberFormat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27" borderId="0" xfId="0" applyFill="1"/>
    <xf numFmtId="0" fontId="0" fillId="7" borderId="0" xfId="0" applyFill="1" applyAlignment="1">
      <alignment horizontal="center"/>
    </xf>
    <xf numFmtId="2" fontId="0" fillId="0" borderId="0" xfId="0" applyNumberFormat="1" applyFill="1" applyBorder="1" applyProtection="1">
      <protection locked="0"/>
    </xf>
    <xf numFmtId="166" fontId="1" fillId="0" borderId="0" xfId="0" applyNumberFormat="1" applyFont="1" applyFill="1" applyBorder="1"/>
    <xf numFmtId="0" fontId="2" fillId="0" borderId="0" xfId="0" applyFont="1" applyFill="1" applyBorder="1" applyAlignment="1" applyProtection="1">
      <alignment horizontal="right"/>
      <protection locked="0"/>
    </xf>
    <xf numFmtId="0" fontId="14" fillId="9" borderId="7" xfId="0" applyFont="1" applyFill="1" applyBorder="1" applyAlignment="1">
      <alignment horizontal="left"/>
    </xf>
    <xf numFmtId="0" fontId="0" fillId="9" borderId="7" xfId="0" applyFill="1" applyBorder="1"/>
    <xf numFmtId="0" fontId="1" fillId="0" borderId="0" xfId="0" applyFont="1" applyFill="1" applyAlignment="1" applyProtection="1">
      <alignment vertical="top" wrapText="1"/>
      <protection locked="0"/>
    </xf>
    <xf numFmtId="0" fontId="45" fillId="27" borderId="0" xfId="0" applyFont="1" applyFill="1"/>
    <xf numFmtId="0" fontId="0" fillId="0" borderId="7" xfId="0" applyBorder="1" applyAlignment="1">
      <alignment horizontal="right"/>
    </xf>
    <xf numFmtId="2" fontId="0" fillId="0" borderId="6" xfId="0" applyNumberFormat="1" applyBorder="1" applyAlignment="1">
      <alignment horizontal="left"/>
    </xf>
    <xf numFmtId="2" fontId="0" fillId="0" borderId="8" xfId="0" applyNumberFormat="1" applyBorder="1" applyAlignment="1">
      <alignment horizontal="right"/>
    </xf>
    <xf numFmtId="2" fontId="0" fillId="0" borderId="5" xfId="0" applyNumberFormat="1" applyBorder="1" applyAlignment="1">
      <alignment horizontal="left"/>
    </xf>
    <xf numFmtId="0" fontId="0" fillId="14" borderId="10" xfId="0" applyFill="1" applyBorder="1"/>
    <xf numFmtId="0" fontId="1" fillId="14" borderId="11" xfId="0" applyFont="1" applyFill="1" applyBorder="1" applyAlignment="1">
      <alignment horizontal="right"/>
    </xf>
    <xf numFmtId="0" fontId="1" fillId="5" borderId="7" xfId="0" applyFont="1" applyFill="1" applyBorder="1"/>
    <xf numFmtId="0" fontId="0" fillId="5" borderId="7" xfId="0" applyFill="1" applyBorder="1"/>
    <xf numFmtId="0" fontId="62" fillId="21" borderId="32" xfId="0" applyFont="1" applyFill="1" applyBorder="1"/>
    <xf numFmtId="166" fontId="0" fillId="5" borderId="0" xfId="0" applyNumberFormat="1" applyFill="1" applyBorder="1" applyAlignment="1" applyProtection="1">
      <alignment horizontal="left"/>
      <protection locked="0"/>
    </xf>
    <xf numFmtId="166" fontId="0" fillId="5" borderId="0" xfId="0" applyNumberFormat="1" applyFill="1" applyBorder="1" applyProtection="1">
      <protection locked="0"/>
    </xf>
    <xf numFmtId="166" fontId="0" fillId="0" borderId="0" xfId="0" applyNumberFormat="1" applyAlignment="1" applyProtection="1">
      <alignment horizontal="right"/>
      <protection locked="0"/>
    </xf>
    <xf numFmtId="166" fontId="0" fillId="5" borderId="0" xfId="0" applyNumberFormat="1" applyFill="1" applyProtection="1">
      <protection locked="0"/>
    </xf>
    <xf numFmtId="166" fontId="0" fillId="5" borderId="0" xfId="0" applyNumberFormat="1" applyFill="1" applyAlignment="1" applyProtection="1">
      <alignment horizontal="left"/>
      <protection locked="0"/>
    </xf>
    <xf numFmtId="0" fontId="0" fillId="0" borderId="0" xfId="0" applyProtection="1"/>
    <xf numFmtId="0" fontId="0" fillId="0" borderId="4" xfId="0" applyBorder="1"/>
    <xf numFmtId="2" fontId="47" fillId="0" borderId="0" xfId="0" applyNumberFormat="1" applyFont="1" applyFill="1" applyAlignment="1" applyProtection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5" xfId="0" applyFill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6" xfId="0" applyBorder="1"/>
    <xf numFmtId="0" fontId="0" fillId="0" borderId="14" xfId="0" applyBorder="1"/>
    <xf numFmtId="0" fontId="0" fillId="0" borderId="13" xfId="0" applyBorder="1"/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2" fontId="45" fillId="0" borderId="0" xfId="0" applyNumberFormat="1" applyFont="1" applyBorder="1" applyAlignment="1">
      <alignment horizontal="left"/>
    </xf>
    <xf numFmtId="0" fontId="42" fillId="0" borderId="0" xfId="0" applyFont="1"/>
    <xf numFmtId="2" fontId="6" fillId="0" borderId="1" xfId="0" applyNumberFormat="1" applyFont="1" applyBorder="1" applyAlignment="1">
      <alignment horizontal="center"/>
    </xf>
    <xf numFmtId="2" fontId="6" fillId="0" borderId="4" xfId="0" applyNumberFormat="1" applyFont="1" applyBorder="1" applyAlignment="1">
      <alignment horizontal="center"/>
    </xf>
    <xf numFmtId="2" fontId="6" fillId="0" borderId="6" xfId="0" applyNumberFormat="1" applyFont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2" fontId="20" fillId="0" borderId="0" xfId="0" applyNumberFormat="1" applyFont="1" applyBorder="1" applyAlignment="1">
      <alignment horizontal="left"/>
    </xf>
    <xf numFmtId="0" fontId="6" fillId="6" borderId="0" xfId="0" applyFont="1" applyFill="1" applyBorder="1" applyAlignment="1">
      <alignment horizontal="right"/>
    </xf>
    <xf numFmtId="0" fontId="1" fillId="0" borderId="6" xfId="0" applyFont="1" applyFill="1" applyBorder="1"/>
    <xf numFmtId="2" fontId="0" fillId="0" borderId="8" xfId="0" applyNumberFormat="1" applyFill="1" applyBorder="1" applyAlignment="1">
      <alignment horizontal="center"/>
    </xf>
    <xf numFmtId="2" fontId="1" fillId="0" borderId="10" xfId="0" applyNumberFormat="1" applyFont="1" applyBorder="1" applyAlignment="1">
      <alignment horizontal="left"/>
    </xf>
    <xf numFmtId="0" fontId="0" fillId="0" borderId="12" xfId="0" applyFill="1" applyBorder="1" applyAlignment="1">
      <alignment horizontal="center"/>
    </xf>
    <xf numFmtId="0" fontId="2" fillId="0" borderId="0" xfId="0" applyFont="1" applyAlignment="1">
      <alignment horizontal="left" wrapText="1"/>
    </xf>
    <xf numFmtId="0" fontId="103" fillId="0" borderId="0" xfId="0" applyFont="1" applyFill="1" applyAlignment="1">
      <alignment horizontal="center"/>
    </xf>
    <xf numFmtId="0" fontId="59" fillId="21" borderId="1" xfId="0" applyFont="1" applyFill="1" applyBorder="1"/>
    <xf numFmtId="0" fontId="59" fillId="21" borderId="2" xfId="0" applyFont="1" applyFill="1" applyBorder="1"/>
    <xf numFmtId="0" fontId="0" fillId="0" borderId="7" xfId="0" applyFill="1" applyBorder="1"/>
    <xf numFmtId="0" fontId="6" fillId="0" borderId="3" xfId="0" applyFont="1" applyBorder="1"/>
    <xf numFmtId="0" fontId="6" fillId="0" borderId="4" xfId="0" applyFont="1" applyBorder="1"/>
    <xf numFmtId="0" fontId="6" fillId="0" borderId="7" xfId="0" applyFont="1" applyBorder="1"/>
    <xf numFmtId="0" fontId="105" fillId="0" borderId="2" xfId="0" applyFont="1" applyBorder="1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59" fillId="10" borderId="0" xfId="0" applyFont="1" applyFill="1" applyBorder="1"/>
    <xf numFmtId="0" fontId="0" fillId="0" borderId="4" xfId="0" applyBorder="1"/>
    <xf numFmtId="0" fontId="0" fillId="0" borderId="6" xfId="0" applyBorder="1"/>
    <xf numFmtId="2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05" fillId="0" borderId="1" xfId="0" applyFont="1" applyBorder="1"/>
    <xf numFmtId="0" fontId="108" fillId="21" borderId="12" xfId="0" applyFont="1" applyFill="1" applyBorder="1"/>
    <xf numFmtId="2" fontId="0" fillId="0" borderId="5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9" xfId="0" applyFont="1" applyBorder="1" applyAlignment="1">
      <alignment horizontal="center" vertical="top"/>
    </xf>
    <xf numFmtId="0" fontId="1" fillId="0" borderId="15" xfId="0" applyFont="1" applyFill="1" applyBorder="1" applyAlignment="1">
      <alignment horizontal="center"/>
    </xf>
    <xf numFmtId="0" fontId="0" fillId="24" borderId="0" xfId="0" applyFill="1"/>
    <xf numFmtId="0" fontId="0" fillId="24" borderId="0" xfId="0" applyFill="1" applyAlignment="1">
      <alignment horizontal="center"/>
    </xf>
    <xf numFmtId="2" fontId="1" fillId="24" borderId="0" xfId="0" applyNumberFormat="1" applyFont="1" applyFill="1" applyAlignment="1">
      <alignment horizontal="center"/>
    </xf>
    <xf numFmtId="0" fontId="1" fillId="24" borderId="0" xfId="0" applyFont="1" applyFill="1" applyAlignment="1">
      <alignment vertical="center"/>
    </xf>
    <xf numFmtId="0" fontId="0" fillId="24" borderId="0" xfId="0" applyFill="1" applyAlignment="1" applyProtection="1">
      <alignment horizontal="left"/>
      <protection locked="0"/>
    </xf>
    <xf numFmtId="0" fontId="1" fillId="24" borderId="0" xfId="0" applyFont="1" applyFill="1" applyAlignment="1">
      <alignment horizontal="center"/>
    </xf>
    <xf numFmtId="2" fontId="0" fillId="24" borderId="0" xfId="0" applyNumberFormat="1" applyFill="1" applyAlignment="1">
      <alignment horizontal="center"/>
    </xf>
    <xf numFmtId="0" fontId="0" fillId="24" borderId="0" xfId="0" applyFill="1" applyAlignment="1">
      <alignment horizontal="left"/>
    </xf>
    <xf numFmtId="166" fontId="0" fillId="24" borderId="0" xfId="0" applyNumberFormat="1" applyFill="1" applyAlignment="1">
      <alignment horizontal="center"/>
    </xf>
    <xf numFmtId="0" fontId="59" fillId="24" borderId="12" xfId="0" applyFont="1" applyFill="1" applyBorder="1" applyAlignment="1">
      <alignment horizontal="center"/>
    </xf>
    <xf numFmtId="0" fontId="59" fillId="24" borderId="15" xfId="0" applyFont="1" applyFill="1" applyBorder="1"/>
    <xf numFmtId="2" fontId="59" fillId="24" borderId="12" xfId="0" applyNumberFormat="1" applyFont="1" applyFill="1" applyBorder="1" applyAlignment="1">
      <alignment horizontal="center"/>
    </xf>
    <xf numFmtId="0" fontId="59" fillId="24" borderId="11" xfId="0" applyFont="1" applyFill="1" applyBorder="1" applyAlignment="1">
      <alignment horizontal="left"/>
    </xf>
    <xf numFmtId="0" fontId="59" fillId="24" borderId="10" xfId="0" applyFont="1" applyFill="1" applyBorder="1" applyAlignment="1">
      <alignment horizontal="center" vertical="center"/>
    </xf>
    <xf numFmtId="0" fontId="59" fillId="24" borderId="11" xfId="0" applyFont="1" applyFill="1" applyBorder="1"/>
    <xf numFmtId="0" fontId="59" fillId="24" borderId="14" xfId="0" applyFont="1" applyFill="1" applyBorder="1" applyAlignment="1">
      <alignment horizontal="center"/>
    </xf>
    <xf numFmtId="2" fontId="59" fillId="24" borderId="14" xfId="0" applyNumberFormat="1" applyFont="1" applyFill="1" applyBorder="1" applyAlignment="1">
      <alignment horizontal="center"/>
    </xf>
    <xf numFmtId="0" fontId="59" fillId="24" borderId="0" xfId="0" applyFont="1" applyFill="1" applyBorder="1" applyAlignment="1">
      <alignment horizontal="left"/>
    </xf>
    <xf numFmtId="167" fontId="59" fillId="24" borderId="0" xfId="0" applyNumberFormat="1" applyFont="1" applyFill="1" applyBorder="1" applyAlignment="1">
      <alignment horizontal="center"/>
    </xf>
    <xf numFmtId="0" fontId="59" fillId="24" borderId="5" xfId="0" applyFont="1" applyFill="1" applyBorder="1"/>
    <xf numFmtId="166" fontId="59" fillId="24" borderId="6" xfId="0" applyNumberFormat="1" applyFont="1" applyFill="1" applyBorder="1" applyAlignment="1" applyProtection="1">
      <alignment horizontal="center"/>
      <protection locked="0"/>
    </xf>
    <xf numFmtId="2" fontId="59" fillId="24" borderId="13" xfId="0" applyNumberFormat="1" applyFont="1" applyFill="1" applyBorder="1" applyAlignment="1" applyProtection="1">
      <alignment horizontal="center"/>
      <protection locked="0"/>
    </xf>
    <xf numFmtId="165" fontId="59" fillId="24" borderId="8" xfId="0" applyNumberFormat="1" applyFont="1" applyFill="1" applyBorder="1" applyAlignment="1">
      <alignment horizontal="center"/>
    </xf>
    <xf numFmtId="0" fontId="59" fillId="24" borderId="13" xfId="0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0" fontId="59" fillId="24" borderId="7" xfId="0" applyFont="1" applyFill="1" applyBorder="1" applyAlignment="1">
      <alignment horizontal="left"/>
    </xf>
    <xf numFmtId="167" fontId="59" fillId="24" borderId="7" xfId="0" applyNumberFormat="1" applyFont="1" applyFill="1" applyBorder="1" applyAlignment="1">
      <alignment horizontal="center"/>
    </xf>
    <xf numFmtId="0" fontId="59" fillId="24" borderId="8" xfId="0" applyFont="1" applyFill="1" applyBorder="1"/>
    <xf numFmtId="0" fontId="8" fillId="7" borderId="0" xfId="0" applyFont="1" applyFill="1" applyBorder="1"/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 wrapText="1"/>
    </xf>
    <xf numFmtId="2" fontId="0" fillId="0" borderId="2" xfId="0" applyNumberFormat="1" applyBorder="1" applyAlignment="1">
      <alignment horizontal="center"/>
    </xf>
    <xf numFmtId="0" fontId="0" fillId="0" borderId="14" xfId="0" applyBorder="1" applyAlignment="1">
      <alignment vertical="top" wrapText="1"/>
    </xf>
    <xf numFmtId="0" fontId="1" fillId="0" borderId="12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 vertical="top"/>
    </xf>
    <xf numFmtId="0" fontId="0" fillId="0" borderId="4" xfId="0" applyBorder="1"/>
    <xf numFmtId="0" fontId="0" fillId="0" borderId="6" xfId="0" applyBorder="1"/>
    <xf numFmtId="0" fontId="62" fillId="28" borderId="0" xfId="0" applyFont="1" applyFill="1" applyBorder="1"/>
    <xf numFmtId="0" fontId="62" fillId="28" borderId="33" xfId="0" applyFont="1" applyFill="1" applyBorder="1" applyAlignment="1">
      <alignment horizontal="center"/>
    </xf>
    <xf numFmtId="0" fontId="62" fillId="28" borderId="36" xfId="0" applyFont="1" applyFill="1" applyBorder="1"/>
    <xf numFmtId="0" fontId="62" fillId="28" borderId="24" xfId="0" applyFont="1" applyFill="1" applyBorder="1"/>
    <xf numFmtId="0" fontId="62" fillId="28" borderId="37" xfId="0" applyFont="1" applyFill="1" applyBorder="1"/>
    <xf numFmtId="0" fontId="62" fillId="28" borderId="38" xfId="0" applyFont="1" applyFill="1" applyBorder="1"/>
    <xf numFmtId="0" fontId="62" fillId="28" borderId="28" xfId="0" applyFont="1" applyFill="1" applyBorder="1"/>
    <xf numFmtId="0" fontId="62" fillId="28" borderId="29" xfId="0" applyFont="1" applyFill="1" applyBorder="1"/>
    <xf numFmtId="0" fontId="1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2" fontId="0" fillId="17" borderId="0" xfId="0" applyNumberFormat="1" applyFill="1" applyAlignment="1">
      <alignment horizontal="center"/>
    </xf>
    <xf numFmtId="2" fontId="6" fillId="17" borderId="0" xfId="0" applyNumberFormat="1" applyFont="1" applyFill="1"/>
    <xf numFmtId="0" fontId="6" fillId="17" borderId="0" xfId="0" applyFont="1" applyFill="1" applyAlignment="1">
      <alignment horizontal="left"/>
    </xf>
    <xf numFmtId="165" fontId="0" fillId="17" borderId="0" xfId="0" applyNumberFormat="1" applyFill="1" applyAlignment="1">
      <alignment horizontal="center"/>
    </xf>
    <xf numFmtId="0" fontId="6" fillId="17" borderId="0" xfId="0" applyFont="1" applyFill="1"/>
    <xf numFmtId="0" fontId="1" fillId="17" borderId="0" xfId="0" applyFont="1" applyFill="1" applyAlignment="1">
      <alignment vertical="center"/>
    </xf>
    <xf numFmtId="0" fontId="0" fillId="17" borderId="0" xfId="0" applyFill="1" applyAlignment="1">
      <alignment horizontal="left"/>
    </xf>
    <xf numFmtId="166" fontId="1" fillId="17" borderId="0" xfId="0" applyNumberFormat="1" applyFont="1" applyFill="1" applyAlignment="1">
      <alignment horizontal="center"/>
    </xf>
    <xf numFmtId="0" fontId="1" fillId="17" borderId="10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/>
    </xf>
    <xf numFmtId="0" fontId="0" fillId="17" borderId="11" xfId="0" applyFill="1" applyBorder="1"/>
    <xf numFmtId="165" fontId="0" fillId="17" borderId="8" xfId="0" applyNumberFormat="1" applyFill="1" applyBorder="1" applyAlignment="1">
      <alignment horizontal="center"/>
    </xf>
    <xf numFmtId="0" fontId="0" fillId="8" borderId="0" xfId="0" applyFill="1" applyAlignment="1">
      <alignment horizontal="center"/>
    </xf>
    <xf numFmtId="2" fontId="0" fillId="8" borderId="0" xfId="0" applyNumberFormat="1" applyFill="1" applyAlignment="1">
      <alignment horizontal="center"/>
    </xf>
    <xf numFmtId="2" fontId="6" fillId="8" borderId="0" xfId="0" applyNumberFormat="1" applyFont="1" applyFill="1"/>
    <xf numFmtId="0" fontId="6" fillId="8" borderId="0" xfId="0" applyFont="1" applyFill="1" applyAlignment="1">
      <alignment horizontal="left"/>
    </xf>
    <xf numFmtId="167" fontId="0" fillId="8" borderId="0" xfId="0" applyNumberFormat="1" applyFill="1" applyAlignment="1">
      <alignment horizontal="center"/>
    </xf>
    <xf numFmtId="0" fontId="0" fillId="8" borderId="0" xfId="0" applyFill="1" applyAlignment="1">
      <alignment horizontal="left"/>
    </xf>
    <xf numFmtId="166" fontId="0" fillId="8" borderId="0" xfId="0" applyNumberFormat="1" applyFill="1" applyAlignment="1">
      <alignment horizontal="center"/>
    </xf>
    <xf numFmtId="0" fontId="1" fillId="8" borderId="0" xfId="0" applyFont="1" applyFill="1" applyAlignment="1">
      <alignment vertical="center"/>
    </xf>
    <xf numFmtId="165" fontId="0" fillId="8" borderId="0" xfId="0" applyNumberFormat="1" applyFill="1" applyAlignment="1">
      <alignment horizontal="center"/>
    </xf>
    <xf numFmtId="0" fontId="1" fillId="8" borderId="10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/>
    </xf>
    <xf numFmtId="165" fontId="0" fillId="8" borderId="8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4" xfId="0" applyBorder="1"/>
    <xf numFmtId="0" fontId="1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164" fontId="0" fillId="0" borderId="4" xfId="0" applyNumberFormat="1" applyBorder="1" applyAlignment="1">
      <alignment horizontal="center"/>
    </xf>
    <xf numFmtId="0" fontId="45" fillId="0" borderId="0" xfId="0" applyFont="1" applyFill="1" applyAlignment="1">
      <alignment horizontal="right"/>
    </xf>
    <xf numFmtId="0" fontId="1" fillId="0" borderId="15" xfId="0" applyFont="1" applyBorder="1" applyAlignment="1">
      <alignment horizontal="center" vertical="top"/>
    </xf>
    <xf numFmtId="0" fontId="1" fillId="0" borderId="12" xfId="0" applyFont="1" applyFill="1" applyBorder="1" applyAlignment="1">
      <alignment horizontal="center" vertical="top"/>
    </xf>
    <xf numFmtId="0" fontId="1" fillId="0" borderId="15" xfId="0" applyFont="1" applyFill="1" applyBorder="1" applyAlignment="1">
      <alignment horizontal="center" vertical="top"/>
    </xf>
    <xf numFmtId="2" fontId="0" fillId="5" borderId="14" xfId="0" applyNumberFormat="1" applyFill="1" applyBorder="1" applyAlignment="1">
      <alignment horizontal="center"/>
    </xf>
    <xf numFmtId="0" fontId="59" fillId="24" borderId="1" xfId="0" applyFont="1" applyFill="1" applyBorder="1" applyAlignment="1">
      <alignment horizontal="center" vertical="center"/>
    </xf>
    <xf numFmtId="0" fontId="59" fillId="24" borderId="9" xfId="0" applyFont="1" applyFill="1" applyBorder="1" applyAlignment="1">
      <alignment horizontal="center"/>
    </xf>
    <xf numFmtId="0" fontId="59" fillId="24" borderId="3" xfId="0" applyFont="1" applyFill="1" applyBorder="1"/>
    <xf numFmtId="166" fontId="59" fillId="24" borderId="0" xfId="0" applyNumberFormat="1" applyFont="1" applyFill="1" applyBorder="1" applyAlignment="1" applyProtection="1">
      <alignment horizontal="center"/>
      <protection locked="0"/>
    </xf>
    <xf numFmtId="2" fontId="59" fillId="24" borderId="4" xfId="0" applyNumberFormat="1" applyFont="1" applyFill="1" applyBorder="1" applyAlignment="1">
      <alignment horizontal="center"/>
    </xf>
    <xf numFmtId="0" fontId="59" fillId="24" borderId="1" xfId="0" applyFont="1" applyFill="1" applyBorder="1" applyAlignment="1">
      <alignment horizontal="left"/>
    </xf>
    <xf numFmtId="167" fontId="59" fillId="24" borderId="2" xfId="0" applyNumberFormat="1" applyFont="1" applyFill="1" applyBorder="1" applyAlignment="1">
      <alignment horizontal="center"/>
    </xf>
    <xf numFmtId="0" fontId="59" fillId="24" borderId="4" xfId="0" applyFont="1" applyFill="1" applyBorder="1" applyAlignment="1">
      <alignment horizontal="left"/>
    </xf>
    <xf numFmtId="0" fontId="0" fillId="24" borderId="4" xfId="0" applyFill="1" applyBorder="1"/>
    <xf numFmtId="0" fontId="0" fillId="24" borderId="5" xfId="0" applyFill="1" applyBorder="1" applyAlignment="1">
      <alignment horizontal="left"/>
    </xf>
    <xf numFmtId="0" fontId="0" fillId="24" borderId="5" xfId="0" applyFill="1" applyBorder="1"/>
    <xf numFmtId="0" fontId="0" fillId="24" borderId="6" xfId="0" applyFill="1" applyBorder="1"/>
    <xf numFmtId="0" fontId="0" fillId="24" borderId="8" xfId="0" applyFill="1" applyBorder="1"/>
    <xf numFmtId="166" fontId="59" fillId="24" borderId="9" xfId="0" applyNumberFormat="1" applyFont="1" applyFill="1" applyBorder="1" applyAlignment="1" applyProtection="1">
      <alignment horizontal="center"/>
      <protection locked="0"/>
    </xf>
    <xf numFmtId="166" fontId="59" fillId="24" borderId="14" xfId="0" applyNumberFormat="1" applyFont="1" applyFill="1" applyBorder="1" applyAlignment="1" applyProtection="1">
      <alignment horizontal="center"/>
      <protection locked="0"/>
    </xf>
    <xf numFmtId="2" fontId="59" fillId="24" borderId="9" xfId="0" applyNumberFormat="1" applyFont="1" applyFill="1" applyBorder="1" applyAlignment="1" applyProtection="1">
      <alignment horizontal="center"/>
      <protection locked="0"/>
    </xf>
    <xf numFmtId="2" fontId="59" fillId="24" borderId="14" xfId="0" applyNumberFormat="1" applyFont="1" applyFill="1" applyBorder="1" applyAlignment="1" applyProtection="1">
      <alignment horizontal="center"/>
      <protection locked="0"/>
    </xf>
    <xf numFmtId="2" fontId="59" fillId="24" borderId="9" xfId="0" applyNumberFormat="1" applyFont="1" applyFill="1" applyBorder="1" applyAlignment="1">
      <alignment horizontal="center"/>
    </xf>
    <xf numFmtId="0" fontId="59" fillId="24" borderId="2" xfId="0" applyFont="1" applyFill="1" applyBorder="1"/>
    <xf numFmtId="0" fontId="59" fillId="24" borderId="3" xfId="0" applyFont="1" applyFill="1" applyBorder="1" applyAlignment="1">
      <alignment horizontal="left"/>
    </xf>
    <xf numFmtId="166" fontId="59" fillId="24" borderId="2" xfId="0" applyNumberFormat="1" applyFont="1" applyFill="1" applyBorder="1" applyAlignment="1" applyProtection="1">
      <alignment horizontal="center"/>
      <protection locked="0"/>
    </xf>
    <xf numFmtId="2" fontId="59" fillId="24" borderId="1" xfId="0" applyNumberFormat="1" applyFont="1" applyFill="1" applyBorder="1" applyAlignment="1">
      <alignment horizontal="center"/>
    </xf>
    <xf numFmtId="2" fontId="59" fillId="24" borderId="6" xfId="0" applyNumberFormat="1" applyFont="1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2" fontId="54" fillId="0" borderId="9" xfId="0" applyNumberFormat="1" applyFont="1" applyBorder="1" applyAlignment="1">
      <alignment horizontal="center"/>
    </xf>
    <xf numFmtId="2" fontId="54" fillId="0" borderId="2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1" fillId="0" borderId="0" xfId="0" applyFon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/>
    <xf numFmtId="0" fontId="1" fillId="0" borderId="9" xfId="0" applyFont="1" applyBorder="1" applyAlignment="1">
      <alignment horizontal="center" vertical="top"/>
    </xf>
    <xf numFmtId="0" fontId="0" fillId="0" borderId="0" xfId="0" applyBorder="1" applyAlignment="1">
      <alignment horizontal="center"/>
    </xf>
    <xf numFmtId="166" fontId="0" fillId="5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 vertical="top"/>
    </xf>
    <xf numFmtId="0" fontId="1" fillId="0" borderId="9" xfId="0" applyFont="1" applyFill="1" applyBorder="1" applyAlignment="1">
      <alignment horizontal="center" vertical="top"/>
    </xf>
    <xf numFmtId="0" fontId="1" fillId="0" borderId="14" xfId="0" applyFont="1" applyFill="1" applyBorder="1" applyAlignment="1">
      <alignment horizontal="center" vertical="top"/>
    </xf>
    <xf numFmtId="0" fontId="59" fillId="24" borderId="9" xfId="0" applyFont="1" applyFill="1" applyBorder="1" applyAlignment="1">
      <alignment horizontal="left"/>
    </xf>
    <xf numFmtId="167" fontId="59" fillId="24" borderId="9" xfId="0" applyNumberFormat="1" applyFont="1" applyFill="1" applyBorder="1" applyAlignment="1">
      <alignment horizontal="center"/>
    </xf>
    <xf numFmtId="0" fontId="59" fillId="24" borderId="9" xfId="0" applyFont="1" applyFill="1" applyBorder="1"/>
    <xf numFmtId="0" fontId="59" fillId="24" borderId="14" xfId="0" applyFont="1" applyFill="1" applyBorder="1" applyAlignment="1">
      <alignment horizontal="left"/>
    </xf>
    <xf numFmtId="167" fontId="59" fillId="24" borderId="14" xfId="0" applyNumberFormat="1" applyFont="1" applyFill="1" applyBorder="1" applyAlignment="1">
      <alignment horizontal="center"/>
    </xf>
    <xf numFmtId="0" fontId="59" fillId="24" borderId="14" xfId="0" applyFont="1" applyFill="1" applyBorder="1"/>
    <xf numFmtId="0" fontId="0" fillId="24" borderId="14" xfId="0" applyFill="1" applyBorder="1"/>
    <xf numFmtId="0" fontId="0" fillId="24" borderId="14" xfId="0" applyFill="1" applyBorder="1" applyAlignment="1">
      <alignment horizontal="left"/>
    </xf>
    <xf numFmtId="0" fontId="0" fillId="24" borderId="13" xfId="0" applyFill="1" applyBorder="1"/>
    <xf numFmtId="0" fontId="0" fillId="29" borderId="14" xfId="0" applyFill="1" applyBorder="1"/>
    <xf numFmtId="2" fontId="59" fillId="29" borderId="14" xfId="0" applyNumberFormat="1" applyFont="1" applyFill="1" applyBorder="1" applyAlignment="1">
      <alignment horizontal="center"/>
    </xf>
    <xf numFmtId="167" fontId="59" fillId="29" borderId="14" xfId="0" applyNumberFormat="1" applyFont="1" applyFill="1" applyBorder="1" applyAlignment="1">
      <alignment horizontal="center"/>
    </xf>
    <xf numFmtId="167" fontId="59" fillId="24" borderId="13" xfId="0" applyNumberFormat="1" applyFont="1" applyFill="1" applyBorder="1" applyAlignment="1">
      <alignment horizontal="center"/>
    </xf>
    <xf numFmtId="2" fontId="59" fillId="24" borderId="1" xfId="0" applyNumberFormat="1" applyFont="1" applyFill="1" applyBorder="1" applyAlignment="1" applyProtection="1">
      <alignment horizontal="center"/>
      <protection locked="0"/>
    </xf>
    <xf numFmtId="2" fontId="59" fillId="24" borderId="4" xfId="0" applyNumberFormat="1" applyFont="1" applyFill="1" applyBorder="1" applyAlignment="1" applyProtection="1">
      <alignment horizontal="center"/>
      <protection locked="0"/>
    </xf>
    <xf numFmtId="166" fontId="54" fillId="8" borderId="9" xfId="0" applyNumberFormat="1" applyFont="1" applyFill="1" applyBorder="1" applyAlignment="1">
      <alignment horizontal="center" vertical="top"/>
    </xf>
    <xf numFmtId="166" fontId="54" fillId="8" borderId="14" xfId="0" applyNumberFormat="1" applyFont="1" applyFill="1" applyBorder="1" applyAlignment="1">
      <alignment horizontal="center" vertical="top"/>
    </xf>
    <xf numFmtId="166" fontId="54" fillId="8" borderId="13" xfId="0" applyNumberFormat="1" applyFont="1" applyFill="1" applyBorder="1" applyAlignment="1">
      <alignment horizontal="center" vertical="top"/>
    </xf>
    <xf numFmtId="166" fontId="0" fillId="0" borderId="3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2" xfId="0" applyFont="1" applyBorder="1" applyAlignment="1">
      <alignment horizontal="center" vertical="top"/>
    </xf>
    <xf numFmtId="166" fontId="0" fillId="0" borderId="0" xfId="0" applyNumberForma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166" fontId="0" fillId="0" borderId="13" xfId="0" applyNumberFormat="1" applyFill="1" applyBorder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2" fontId="0" fillId="0" borderId="15" xfId="0" applyNumberFormat="1" applyBorder="1"/>
    <xf numFmtId="0" fontId="12" fillId="6" borderId="0" xfId="0" applyFont="1" applyFill="1" applyAlignment="1" applyProtection="1">
      <alignment horizontal="center"/>
      <protection locked="0"/>
    </xf>
    <xf numFmtId="0" fontId="1" fillId="5" borderId="0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right"/>
    </xf>
    <xf numFmtId="0" fontId="1" fillId="8" borderId="6" xfId="0" applyFont="1" applyFill="1" applyBorder="1" applyAlignment="1">
      <alignment horizontal="right"/>
    </xf>
    <xf numFmtId="0" fontId="2" fillId="8" borderId="8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right"/>
    </xf>
    <xf numFmtId="0" fontId="2" fillId="8" borderId="11" xfId="0" applyFont="1" applyFill="1" applyBorder="1" applyAlignment="1">
      <alignment horizontal="center"/>
    </xf>
    <xf numFmtId="0" fontId="12" fillId="6" borderId="12" xfId="0" applyFont="1" applyFill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right" vertical="top"/>
    </xf>
    <xf numFmtId="0" fontId="1" fillId="0" borderId="9" xfId="0" applyFont="1" applyFill="1" applyBorder="1" applyAlignment="1">
      <alignment horizontal="center" vertical="top" wrapText="1"/>
    </xf>
    <xf numFmtId="2" fontId="0" fillId="5" borderId="9" xfId="0" applyNumberForma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0" fillId="5" borderId="7" xfId="0" applyNumberFormat="1" applyFill="1" applyBorder="1" applyAlignment="1">
      <alignment horizontal="center"/>
    </xf>
    <xf numFmtId="2" fontId="0" fillId="5" borderId="1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0" fontId="1" fillId="0" borderId="10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2" fontId="0" fillId="0" borderId="0" xfId="0" applyNumberFormat="1" applyBorder="1" applyAlignment="1">
      <alignment horizontal="center"/>
    </xf>
    <xf numFmtId="0" fontId="1" fillId="0" borderId="6" xfId="0" applyFont="1" applyFill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 wrapText="1"/>
    </xf>
    <xf numFmtId="0" fontId="54" fillId="8" borderId="1" xfId="0" applyFont="1" applyFill="1" applyBorder="1" applyAlignment="1">
      <alignment horizontal="center"/>
    </xf>
    <xf numFmtId="0" fontId="54" fillId="8" borderId="12" xfId="0" applyFont="1" applyFill="1" applyBorder="1" applyAlignment="1">
      <alignment horizontal="center"/>
    </xf>
    <xf numFmtId="0" fontId="54" fillId="8" borderId="15" xfId="0" applyFont="1" applyFill="1" applyBorder="1" applyAlignment="1">
      <alignment horizontal="center"/>
    </xf>
    <xf numFmtId="0" fontId="54" fillId="8" borderId="6" xfId="0" applyFont="1" applyFill="1" applyBorder="1" applyAlignment="1">
      <alignment horizontal="center"/>
    </xf>
    <xf numFmtId="0" fontId="54" fillId="8" borderId="13" xfId="0" applyFont="1" applyFill="1" applyBorder="1" applyAlignment="1">
      <alignment horizontal="center" vertical="center"/>
    </xf>
    <xf numFmtId="0" fontId="54" fillId="8" borderId="7" xfId="0" applyFont="1" applyFill="1" applyBorder="1" applyAlignment="1">
      <alignment horizontal="center" vertical="center"/>
    </xf>
    <xf numFmtId="0" fontId="54" fillId="8" borderId="4" xfId="0" applyFont="1" applyFill="1" applyBorder="1" applyAlignment="1">
      <alignment horizontal="center"/>
    </xf>
    <xf numFmtId="2" fontId="54" fillId="8" borderId="14" xfId="0" applyNumberFormat="1" applyFont="1" applyFill="1" applyBorder="1" applyAlignment="1">
      <alignment horizontal="center"/>
    </xf>
    <xf numFmtId="2" fontId="54" fillId="8" borderId="0" xfId="0" applyNumberFormat="1" applyFont="1" applyFill="1" applyBorder="1" applyAlignment="1">
      <alignment horizontal="center"/>
    </xf>
    <xf numFmtId="2" fontId="54" fillId="8" borderId="9" xfId="0" applyNumberFormat="1" applyFont="1" applyFill="1" applyBorder="1" applyAlignment="1">
      <alignment horizontal="center"/>
    </xf>
    <xf numFmtId="2" fontId="54" fillId="8" borderId="13" xfId="0" applyNumberFormat="1" applyFont="1" applyFill="1" applyBorder="1" applyAlignment="1">
      <alignment horizontal="center"/>
    </xf>
    <xf numFmtId="2" fontId="54" fillId="8" borderId="7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 vertical="top" wrapText="1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4" xfId="0" applyBorder="1"/>
    <xf numFmtId="0" fontId="1" fillId="0" borderId="0" xfId="0" applyFont="1" applyAlignment="1">
      <alignment horizontal="center" vertical="top" wrapText="1"/>
    </xf>
    <xf numFmtId="0" fontId="1" fillId="0" borderId="9" xfId="0" applyFont="1" applyBorder="1" applyAlignment="1">
      <alignment horizontal="center" vertical="top"/>
    </xf>
    <xf numFmtId="0" fontId="1" fillId="0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 vertical="top" wrapText="1"/>
    </xf>
    <xf numFmtId="0" fontId="1" fillId="0" borderId="9" xfId="0" applyFont="1" applyBorder="1" applyAlignment="1">
      <alignment horizontal="center" vertical="top" wrapText="1"/>
    </xf>
    <xf numFmtId="0" fontId="1" fillId="0" borderId="0" xfId="0" applyFont="1" applyBorder="1" applyAlignment="1">
      <alignment horizontal="center"/>
    </xf>
    <xf numFmtId="0" fontId="0" fillId="0" borderId="9" xfId="0" applyBorder="1" applyAlignment="1">
      <alignment horizontal="center" vertical="top" wrapText="1"/>
    </xf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14" xfId="0" applyBorder="1"/>
    <xf numFmtId="0" fontId="6" fillId="0" borderId="0" xfId="0" applyFont="1" applyFill="1" applyAlignment="1" applyProtection="1">
      <alignment horizontal="right"/>
      <protection locked="0"/>
    </xf>
    <xf numFmtId="0" fontId="0" fillId="15" borderId="0" xfId="0" applyFill="1"/>
    <xf numFmtId="0" fontId="0" fillId="24" borderId="30" xfId="0" applyFill="1" applyBorder="1"/>
    <xf numFmtId="0" fontId="0" fillId="24" borderId="31" xfId="0" applyFill="1" applyBorder="1"/>
    <xf numFmtId="0" fontId="22" fillId="24" borderId="27" xfId="0" applyFont="1" applyFill="1" applyBorder="1"/>
    <xf numFmtId="0" fontId="0" fillId="24" borderId="28" xfId="0" applyFill="1" applyBorder="1"/>
    <xf numFmtId="0" fontId="0" fillId="24" borderId="29" xfId="0" applyFill="1" applyBorder="1"/>
    <xf numFmtId="0" fontId="1" fillId="10" borderId="25" xfId="0" applyFont="1" applyFill="1" applyBorder="1"/>
    <xf numFmtId="0" fontId="0" fillId="9" borderId="30" xfId="0" applyFill="1" applyBorder="1"/>
    <xf numFmtId="0" fontId="1" fillId="9" borderId="25" xfId="0" applyFont="1" applyFill="1" applyBorder="1"/>
    <xf numFmtId="0" fontId="22" fillId="9" borderId="27" xfId="0" applyFont="1" applyFill="1" applyBorder="1"/>
    <xf numFmtId="0" fontId="0" fillId="7" borderId="28" xfId="0" applyFill="1" applyBorder="1"/>
    <xf numFmtId="0" fontId="0" fillId="7" borderId="29" xfId="0" applyFill="1" applyBorder="1"/>
    <xf numFmtId="0" fontId="0" fillId="31" borderId="31" xfId="0" applyFill="1" applyBorder="1"/>
    <xf numFmtId="2" fontId="0" fillId="5" borderId="0" xfId="0" applyNumberFormat="1" applyFill="1" applyProtection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166" fontId="0" fillId="0" borderId="12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/>
    </xf>
    <xf numFmtId="0" fontId="0" fillId="0" borderId="9" xfId="0" applyBorder="1" applyAlignment="1">
      <alignment vertical="top" wrapText="1"/>
    </xf>
    <xf numFmtId="0" fontId="1" fillId="0" borderId="9" xfId="0" applyFont="1" applyBorder="1" applyAlignment="1">
      <alignment horizontal="center" vertical="top" wrapText="1"/>
    </xf>
    <xf numFmtId="2" fontId="0" fillId="0" borderId="1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1" fontId="0" fillId="6" borderId="7" xfId="0" applyNumberFormat="1" applyFill="1" applyBorder="1" applyAlignment="1" applyProtection="1">
      <alignment horizontal="center"/>
      <protection locked="0"/>
    </xf>
    <xf numFmtId="1" fontId="0" fillId="6" borderId="15" xfId="0" applyNumberFormat="1" applyFill="1" applyBorder="1" applyAlignment="1" applyProtection="1">
      <alignment horizontal="center"/>
      <protection locked="0"/>
    </xf>
    <xf numFmtId="1" fontId="0" fillId="0" borderId="15" xfId="0" applyNumberFormat="1" applyFill="1" applyBorder="1" applyAlignment="1">
      <alignment horizontal="center"/>
    </xf>
    <xf numFmtId="1" fontId="0" fillId="0" borderId="11" xfId="0" applyNumberFormat="1" applyFill="1" applyBorder="1" applyAlignment="1" applyProtection="1">
      <alignment horizontal="center"/>
    </xf>
    <xf numFmtId="1" fontId="0" fillId="6" borderId="12" xfId="0" applyNumberFormat="1" applyFill="1" applyBorder="1" applyAlignment="1" applyProtection="1">
      <alignment horizontal="center"/>
      <protection locked="0"/>
    </xf>
    <xf numFmtId="0" fontId="0" fillId="0" borderId="3" xfId="0" applyBorder="1" applyAlignment="1">
      <alignment vertical="top" wrapText="1"/>
    </xf>
    <xf numFmtId="1" fontId="0" fillId="0" borderId="12" xfId="0" applyNumberFormat="1" applyFill="1" applyBorder="1" applyAlignment="1">
      <alignment horizontal="center"/>
    </xf>
    <xf numFmtId="1" fontId="0" fillId="6" borderId="8" xfId="0" applyNumberFormat="1" applyFill="1" applyBorder="1" applyAlignment="1" applyProtection="1">
      <alignment horizontal="center"/>
      <protection locked="0"/>
    </xf>
    <xf numFmtId="1" fontId="0" fillId="6" borderId="13" xfId="0" applyNumberFormat="1" applyFill="1" applyBorder="1" applyAlignment="1" applyProtection="1">
      <alignment horizontal="center"/>
      <protection locked="0"/>
    </xf>
    <xf numFmtId="1" fontId="0" fillId="0" borderId="13" xfId="0" applyNumberFormat="1" applyFill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62" fillId="20" borderId="32" xfId="0" applyFont="1" applyFill="1" applyBorder="1" applyAlignment="1">
      <alignment horizontal="left"/>
    </xf>
    <xf numFmtId="0" fontId="0" fillId="0" borderId="6" xfId="0" applyBorder="1"/>
    <xf numFmtId="0" fontId="0" fillId="24" borderId="0" xfId="0" applyFill="1" applyAlignment="1" applyProtection="1">
      <alignment horizontal="center"/>
      <protection locked="0"/>
    </xf>
    <xf numFmtId="0" fontId="2" fillId="6" borderId="16" xfId="0" applyFont="1" applyFill="1" applyBorder="1" applyAlignment="1" applyProtection="1">
      <alignment horizontal="center"/>
      <protection locked="0"/>
    </xf>
    <xf numFmtId="0" fontId="8" fillId="7" borderId="32" xfId="0" applyFont="1" applyFill="1" applyBorder="1"/>
    <xf numFmtId="0" fontId="0" fillId="0" borderId="14" xfId="0" applyFont="1" applyFill="1" applyBorder="1" applyAlignment="1">
      <alignment horizontal="center"/>
    </xf>
    <xf numFmtId="0" fontId="59" fillId="28" borderId="17" xfId="0" applyFont="1" applyFill="1" applyBorder="1" applyAlignment="1">
      <alignment horizontal="center"/>
    </xf>
    <xf numFmtId="166" fontId="2" fillId="0" borderId="10" xfId="0" applyNumberFormat="1" applyFont="1" applyBorder="1" applyAlignment="1">
      <alignment horizontal="left"/>
    </xf>
    <xf numFmtId="0" fontId="62" fillId="28" borderId="12" xfId="0" applyFont="1" applyFill="1" applyBorder="1" applyProtection="1">
      <protection locked="0"/>
    </xf>
    <xf numFmtId="0" fontId="62" fillId="21" borderId="0" xfId="0" applyFont="1" applyFill="1"/>
    <xf numFmtId="0" fontId="1" fillId="5" borderId="4" xfId="0" applyFont="1" applyFill="1" applyBorder="1"/>
    <xf numFmtId="0" fontId="51" fillId="33" borderId="0" xfId="0" applyFont="1" applyFill="1"/>
    <xf numFmtId="0" fontId="1" fillId="5" borderId="0" xfId="0" applyFont="1" applyFill="1" applyBorder="1"/>
    <xf numFmtId="0" fontId="0" fillId="0" borderId="9" xfId="0" applyNumberFormat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0" fontId="1" fillId="0" borderId="14" xfId="0" applyNumberFormat="1" applyFont="1" applyBorder="1" applyAlignment="1">
      <alignment horizontal="center"/>
    </xf>
    <xf numFmtId="0" fontId="1" fillId="0" borderId="13" xfId="0" applyNumberFormat="1" applyFont="1" applyBorder="1" applyAlignment="1">
      <alignment horizontal="center"/>
    </xf>
    <xf numFmtId="0" fontId="20" fillId="0" borderId="1" xfId="0" applyFont="1" applyBorder="1" applyAlignment="1">
      <alignment vertical="top"/>
    </xf>
    <xf numFmtId="0" fontId="1" fillId="5" borderId="10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right"/>
    </xf>
    <xf numFmtId="2" fontId="0" fillId="17" borderId="14" xfId="0" applyNumberFormat="1" applyFill="1" applyBorder="1" applyAlignment="1">
      <alignment horizontal="center"/>
    </xf>
    <xf numFmtId="2" fontId="0" fillId="17" borderId="13" xfId="0" applyNumberFormat="1" applyFill="1" applyBorder="1" applyAlignment="1">
      <alignment horizontal="center"/>
    </xf>
    <xf numFmtId="0" fontId="51" fillId="32" borderId="12" xfId="0" applyFont="1" applyFill="1" applyBorder="1"/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12" xfId="0" applyBorder="1" applyAlignment="1">
      <alignment horizontal="center" wrapText="1"/>
    </xf>
    <xf numFmtId="2" fontId="54" fillId="5" borderId="12" xfId="0" applyNumberFormat="1" applyFont="1" applyFill="1" applyBorder="1" applyAlignment="1">
      <alignment horizontal="center"/>
    </xf>
    <xf numFmtId="0" fontId="0" fillId="0" borderId="10" xfId="0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  <xf numFmtId="165" fontId="1" fillId="0" borderId="0" xfId="0" applyNumberFormat="1" applyFont="1" applyAlignment="1">
      <alignment horizontal="left"/>
    </xf>
    <xf numFmtId="0" fontId="1" fillId="8" borderId="0" xfId="0" applyFont="1" applyFill="1"/>
    <xf numFmtId="165" fontId="1" fillId="0" borderId="0" xfId="0" applyNumberFormat="1" applyFont="1"/>
    <xf numFmtId="2" fontId="6" fillId="0" borderId="0" xfId="0" applyNumberFormat="1" applyFont="1" applyFill="1" applyBorder="1"/>
    <xf numFmtId="0" fontId="6" fillId="0" borderId="0" xfId="0" applyFont="1" applyFill="1" applyBorder="1"/>
    <xf numFmtId="2" fontId="114" fillId="20" borderId="0" xfId="0" applyNumberFormat="1" applyFont="1" applyFill="1" applyAlignment="1">
      <alignment horizontal="left"/>
    </xf>
    <xf numFmtId="0" fontId="54" fillId="5" borderId="0" xfId="0" applyFont="1" applyFill="1"/>
    <xf numFmtId="0" fontId="55" fillId="0" borderId="0" xfId="0" applyFont="1"/>
    <xf numFmtId="0" fontId="116" fillId="23" borderId="0" xfId="0" applyFont="1" applyFill="1"/>
    <xf numFmtId="0" fontId="114" fillId="23" borderId="0" xfId="0" applyFont="1" applyFill="1" applyAlignment="1">
      <alignment horizontal="right"/>
    </xf>
    <xf numFmtId="0" fontId="1" fillId="0" borderId="0" xfId="0" applyFont="1" applyAlignment="1">
      <alignment vertical="top"/>
    </xf>
    <xf numFmtId="1" fontId="6" fillId="0" borderId="0" xfId="0" applyNumberFormat="1" applyFont="1" applyFill="1" applyAlignment="1">
      <alignment horizontal="center"/>
    </xf>
    <xf numFmtId="166" fontId="51" fillId="13" borderId="9" xfId="0" applyNumberFormat="1" applyFont="1" applyFill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14" fillId="34" borderId="0" xfId="0" applyFont="1" applyFill="1"/>
    <xf numFmtId="1" fontId="32" fillId="0" borderId="3" xfId="0" applyNumberFormat="1" applyFont="1" applyFill="1" applyBorder="1" applyAlignment="1">
      <alignment horizontal="right"/>
    </xf>
    <xf numFmtId="1" fontId="6" fillId="0" borderId="5" xfId="0" applyNumberFormat="1" applyFont="1" applyFill="1" applyBorder="1" applyAlignment="1">
      <alignment horizontal="center"/>
    </xf>
    <xf numFmtId="0" fontId="0" fillId="0" borderId="6" xfId="0" applyFill="1" applyBorder="1"/>
    <xf numFmtId="0" fontId="45" fillId="0" borderId="0" xfId="0" applyFont="1" applyAlignment="1">
      <alignment horizontal="right"/>
    </xf>
    <xf numFmtId="0" fontId="117" fillId="35" borderId="0" xfId="0" applyFont="1" applyFill="1"/>
    <xf numFmtId="0" fontId="118" fillId="35" borderId="0" xfId="0" applyFont="1" applyFill="1"/>
    <xf numFmtId="0" fontId="119" fillId="24" borderId="0" xfId="0" applyFont="1" applyFill="1"/>
    <xf numFmtId="2" fontId="119" fillId="24" borderId="0" xfId="0" applyNumberFormat="1" applyFont="1" applyFill="1" applyProtection="1"/>
    <xf numFmtId="2" fontId="119" fillId="24" borderId="0" xfId="0" applyNumberFormat="1" applyFont="1" applyFill="1"/>
    <xf numFmtId="0" fontId="119" fillId="36" borderId="0" xfId="0" applyFont="1" applyFill="1" applyAlignment="1">
      <alignment horizontal="right"/>
    </xf>
    <xf numFmtId="0" fontId="119" fillId="36" borderId="0" xfId="0" applyFont="1" applyFill="1" applyBorder="1" applyAlignment="1">
      <alignment horizontal="right"/>
    </xf>
    <xf numFmtId="2" fontId="0" fillId="6" borderId="0" xfId="0" applyNumberFormat="1" applyFill="1" applyAlignment="1">
      <alignment horizontal="center"/>
    </xf>
    <xf numFmtId="0" fontId="62" fillId="24" borderId="0" xfId="0" applyFont="1" applyFill="1"/>
    <xf numFmtId="0" fontId="114" fillId="24" borderId="32" xfId="0" applyFont="1" applyFill="1" applyBorder="1"/>
    <xf numFmtId="0" fontId="119" fillId="23" borderId="0" xfId="0" applyFont="1" applyFill="1" applyBorder="1"/>
    <xf numFmtId="0" fontId="121" fillId="9" borderId="31" xfId="0" applyFont="1" applyFill="1" applyBorder="1"/>
    <xf numFmtId="0" fontId="120" fillId="9" borderId="31" xfId="0" applyFont="1" applyFill="1" applyBorder="1"/>
    <xf numFmtId="0" fontId="120" fillId="9" borderId="22" xfId="0" applyFont="1" applyFill="1" applyBorder="1"/>
    <xf numFmtId="0" fontId="119" fillId="23" borderId="25" xfId="0" applyFont="1" applyFill="1" applyBorder="1"/>
    <xf numFmtId="0" fontId="119" fillId="23" borderId="24" xfId="0" applyFont="1" applyFill="1" applyBorder="1"/>
    <xf numFmtId="166" fontId="119" fillId="23" borderId="24" xfId="0" applyNumberFormat="1" applyFont="1" applyFill="1" applyBorder="1"/>
    <xf numFmtId="0" fontId="61" fillId="6" borderId="0" xfId="0" applyFont="1" applyFill="1" applyBorder="1" applyAlignment="1" applyProtection="1">
      <alignment horizontal="center"/>
      <protection locked="0"/>
    </xf>
    <xf numFmtId="0" fontId="119" fillId="23" borderId="27" xfId="0" applyFont="1" applyFill="1" applyBorder="1"/>
    <xf numFmtId="0" fontId="119" fillId="23" borderId="28" xfId="0" applyFont="1" applyFill="1" applyBorder="1"/>
    <xf numFmtId="0" fontId="61" fillId="6" borderId="28" xfId="0" applyFont="1" applyFill="1" applyBorder="1" applyAlignment="1" applyProtection="1">
      <alignment horizontal="center"/>
      <protection locked="0"/>
    </xf>
    <xf numFmtId="0" fontId="119" fillId="23" borderId="29" xfId="0" applyFont="1" applyFill="1" applyBorder="1"/>
    <xf numFmtId="0" fontId="1" fillId="0" borderId="30" xfId="0" applyFont="1" applyBorder="1"/>
    <xf numFmtId="0" fontId="0" fillId="0" borderId="31" xfId="0" applyBorder="1"/>
    <xf numFmtId="0" fontId="0" fillId="0" borderId="22" xfId="0" applyBorder="1"/>
    <xf numFmtId="0" fontId="1" fillId="0" borderId="25" xfId="0" applyFont="1" applyFill="1" applyBorder="1"/>
    <xf numFmtId="0" fontId="0" fillId="0" borderId="24" xfId="0" applyFill="1" applyBorder="1"/>
    <xf numFmtId="0" fontId="1" fillId="0" borderId="27" xfId="0" applyFont="1" applyFill="1" applyBorder="1"/>
    <xf numFmtId="0" fontId="0" fillId="0" borderId="28" xfId="0" applyFill="1" applyBorder="1"/>
    <xf numFmtId="0" fontId="0" fillId="0" borderId="28" xfId="0" applyBorder="1"/>
    <xf numFmtId="2" fontId="0" fillId="0" borderId="28" xfId="0" applyNumberFormat="1" applyFill="1" applyBorder="1"/>
    <xf numFmtId="166" fontId="1" fillId="0" borderId="29" xfId="0" applyNumberFormat="1" applyFont="1" applyBorder="1"/>
    <xf numFmtId="0" fontId="119" fillId="37" borderId="39" xfId="0" applyFont="1" applyFill="1" applyBorder="1"/>
    <xf numFmtId="0" fontId="119" fillId="37" borderId="3" xfId="0" applyFont="1" applyFill="1" applyBorder="1"/>
    <xf numFmtId="0" fontId="114" fillId="37" borderId="9" xfId="0" applyFont="1" applyFill="1" applyBorder="1" applyAlignment="1">
      <alignment horizontal="center"/>
    </xf>
    <xf numFmtId="0" fontId="119" fillId="37" borderId="26" xfId="0" applyFont="1" applyFill="1" applyBorder="1"/>
    <xf numFmtId="0" fontId="119" fillId="37" borderId="8" xfId="0" applyFont="1" applyFill="1" applyBorder="1"/>
    <xf numFmtId="0" fontId="114" fillId="37" borderId="13" xfId="0" applyFont="1" applyFill="1" applyBorder="1" applyAlignment="1">
      <alignment horizontal="center"/>
    </xf>
    <xf numFmtId="0" fontId="66" fillId="0" borderId="0" xfId="0" applyFont="1" applyAlignment="1">
      <alignment horizontal="center"/>
    </xf>
    <xf numFmtId="0" fontId="3" fillId="38" borderId="12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6" xfId="0" applyBorder="1"/>
    <xf numFmtId="0" fontId="1" fillId="5" borderId="0" xfId="0" applyFont="1" applyFill="1" applyAlignment="1">
      <alignment horizontal="right"/>
    </xf>
    <xf numFmtId="2" fontId="0" fillId="0" borderId="8" xfId="0" applyNumberFormat="1" applyBorder="1"/>
    <xf numFmtId="2" fontId="0" fillId="0" borderId="0" xfId="0" applyNumberFormat="1" applyAlignment="1">
      <alignment horizontal="center"/>
    </xf>
    <xf numFmtId="0" fontId="0" fillId="0" borderId="0" xfId="0" applyFill="1" applyAlignment="1" applyProtection="1">
      <alignment horizontal="right"/>
    </xf>
    <xf numFmtId="166" fontId="53" fillId="0" borderId="0" xfId="0" applyNumberFormat="1" applyFont="1" applyFill="1"/>
    <xf numFmtId="0" fontId="1" fillId="18" borderId="0" xfId="0" applyFont="1" applyFill="1"/>
    <xf numFmtId="0" fontId="20" fillId="8" borderId="0" xfId="0" applyFont="1" applyFill="1"/>
    <xf numFmtId="0" fontId="53" fillId="0" borderId="0" xfId="0" applyFont="1" applyFill="1" applyAlignment="1"/>
    <xf numFmtId="2" fontId="53" fillId="0" borderId="0" xfId="0" applyNumberFormat="1" applyFont="1" applyFill="1" applyAlignment="1">
      <alignment horizontal="right"/>
    </xf>
    <xf numFmtId="0" fontId="53" fillId="17" borderId="0" xfId="0" applyFont="1" applyFill="1"/>
    <xf numFmtId="2" fontId="1" fillId="17" borderId="0" xfId="0" applyNumberFormat="1" applyFont="1" applyFill="1" applyAlignment="1">
      <alignment horizontal="center"/>
    </xf>
    <xf numFmtId="2" fontId="0" fillId="17" borderId="0" xfId="0" applyNumberFormat="1" applyFill="1" applyAlignment="1">
      <alignment horizontal="right"/>
    </xf>
    <xf numFmtId="165" fontId="59" fillId="24" borderId="9" xfId="0" applyNumberFormat="1" applyFont="1" applyFill="1" applyBorder="1" applyAlignment="1" applyProtection="1">
      <alignment horizontal="center"/>
    </xf>
    <xf numFmtId="0" fontId="8" fillId="10" borderId="0" xfId="0" applyFont="1" applyFill="1" applyBorder="1"/>
    <xf numFmtId="2" fontId="0" fillId="24" borderId="14" xfId="0" applyNumberFormat="1" applyFill="1" applyBorder="1" applyAlignment="1" applyProtection="1">
      <alignment horizontal="center"/>
      <protection locked="0"/>
    </xf>
    <xf numFmtId="2" fontId="0" fillId="24" borderId="13" xfId="0" applyNumberFormat="1" applyFill="1" applyBorder="1" applyAlignment="1" applyProtection="1">
      <alignment horizontal="center"/>
      <protection locked="0"/>
    </xf>
    <xf numFmtId="2" fontId="0" fillId="24" borderId="0" xfId="0" applyNumberFormat="1" applyFill="1" applyBorder="1" applyAlignment="1" applyProtection="1">
      <alignment horizontal="center"/>
      <protection locked="0"/>
    </xf>
    <xf numFmtId="2" fontId="0" fillId="24" borderId="7" xfId="0" applyNumberFormat="1" applyFill="1" applyBorder="1" applyAlignment="1" applyProtection="1">
      <alignment horizontal="center"/>
      <protection locked="0"/>
    </xf>
    <xf numFmtId="166" fontId="0" fillId="24" borderId="14" xfId="0" applyNumberFormat="1" applyFill="1" applyBorder="1" applyAlignment="1" applyProtection="1">
      <alignment horizontal="center"/>
      <protection locked="0"/>
    </xf>
    <xf numFmtId="2" fontId="0" fillId="24" borderId="4" xfId="0" applyNumberFormat="1" applyFill="1" applyBorder="1" applyAlignment="1" applyProtection="1">
      <alignment horizontal="center"/>
      <protection locked="0"/>
    </xf>
    <xf numFmtId="166" fontId="0" fillId="24" borderId="13" xfId="0" applyNumberFormat="1" applyFill="1" applyBorder="1" applyAlignment="1" applyProtection="1">
      <alignment horizontal="center"/>
      <protection locked="0"/>
    </xf>
    <xf numFmtId="2" fontId="0" fillId="24" borderId="6" xfId="0" applyNumberFormat="1" applyFill="1" applyBorder="1" applyAlignment="1" applyProtection="1">
      <alignment horizontal="center"/>
      <protection locked="0"/>
    </xf>
    <xf numFmtId="166" fontId="0" fillId="29" borderId="14" xfId="0" applyNumberFormat="1" applyFill="1" applyBorder="1" applyAlignment="1" applyProtection="1">
      <alignment horizontal="center"/>
      <protection locked="0"/>
    </xf>
    <xf numFmtId="2" fontId="0" fillId="29" borderId="4" xfId="0" applyNumberFormat="1" applyFill="1" applyBorder="1" applyAlignment="1" applyProtection="1">
      <alignment horizontal="center"/>
      <protection locked="0"/>
    </xf>
    <xf numFmtId="165" fontId="59" fillId="24" borderId="14" xfId="0" applyNumberFormat="1" applyFont="1" applyFill="1" applyBorder="1" applyAlignment="1" applyProtection="1">
      <alignment horizontal="center"/>
    </xf>
    <xf numFmtId="165" fontId="59" fillId="24" borderId="13" xfId="0" applyNumberFormat="1" applyFont="1" applyFill="1" applyBorder="1" applyAlignment="1" applyProtection="1">
      <alignment horizontal="center"/>
    </xf>
    <xf numFmtId="165" fontId="59" fillId="24" borderId="3" xfId="0" applyNumberFormat="1" applyFont="1" applyFill="1" applyBorder="1" applyAlignment="1" applyProtection="1">
      <alignment horizontal="center"/>
    </xf>
    <xf numFmtId="165" fontId="59" fillId="24" borderId="5" xfId="0" applyNumberFormat="1" applyFont="1" applyFill="1" applyBorder="1" applyAlignment="1" applyProtection="1">
      <alignment horizontal="center"/>
    </xf>
    <xf numFmtId="165" fontId="59" fillId="24" borderId="8" xfId="0" applyNumberFormat="1" applyFont="1" applyFill="1" applyBorder="1" applyAlignment="1" applyProtection="1">
      <alignment horizontal="center"/>
    </xf>
    <xf numFmtId="165" fontId="59" fillId="29" borderId="14" xfId="0" applyNumberFormat="1" applyFont="1" applyFill="1" applyBorder="1" applyAlignment="1" applyProtection="1">
      <alignment horizontal="center"/>
    </xf>
    <xf numFmtId="165" fontId="59" fillId="29" borderId="13" xfId="0" applyNumberFormat="1" applyFont="1" applyFill="1" applyBorder="1" applyAlignment="1" applyProtection="1">
      <alignment horizontal="center"/>
    </xf>
    <xf numFmtId="0" fontId="62" fillId="10" borderId="10" xfId="0" applyFont="1" applyFill="1" applyBorder="1" applyProtection="1">
      <protection locked="0"/>
    </xf>
    <xf numFmtId="0" fontId="62" fillId="10" borderId="15" xfId="0" applyFont="1" applyFill="1" applyBorder="1"/>
    <xf numFmtId="0" fontId="62" fillId="10" borderId="11" xfId="0" applyFont="1" applyFill="1" applyBorder="1"/>
    <xf numFmtId="0" fontId="62" fillId="10" borderId="15" xfId="0" applyFont="1" applyFill="1" applyBorder="1" applyProtection="1">
      <protection locked="0"/>
    </xf>
    <xf numFmtId="0" fontId="62" fillId="10" borderId="11" xfId="0" applyFont="1" applyFill="1" applyBorder="1" applyProtection="1">
      <protection locked="0"/>
    </xf>
    <xf numFmtId="166" fontId="62" fillId="10" borderId="10" xfId="0" applyNumberFormat="1" applyFont="1" applyFill="1" applyBorder="1" applyAlignment="1">
      <alignment horizontal="left"/>
    </xf>
    <xf numFmtId="2" fontId="62" fillId="10" borderId="11" xfId="0" applyNumberFormat="1" applyFont="1" applyFill="1" applyBorder="1" applyAlignment="1">
      <alignment horizontal="center"/>
    </xf>
    <xf numFmtId="0" fontId="53" fillId="6" borderId="0" xfId="0" applyFont="1" applyFill="1" applyAlignment="1" applyProtection="1">
      <alignment horizontal="center"/>
      <protection locked="0"/>
    </xf>
    <xf numFmtId="1" fontId="53" fillId="0" borderId="0" xfId="0" applyNumberFormat="1" applyFont="1" applyFill="1" applyAlignment="1" applyProtection="1">
      <alignment horizontal="center"/>
    </xf>
    <xf numFmtId="1" fontId="53" fillId="0" borderId="0" xfId="0" applyNumberFormat="1" applyFont="1" applyFill="1" applyAlignment="1" applyProtection="1">
      <alignment horizontal="right"/>
    </xf>
    <xf numFmtId="0" fontId="1" fillId="0" borderId="0" xfId="0" applyFont="1" applyAlignment="1">
      <alignment horizontal="center"/>
    </xf>
    <xf numFmtId="0" fontId="80" fillId="35" borderId="0" xfId="0" applyFont="1" applyFill="1"/>
    <xf numFmtId="0" fontId="81" fillId="35" borderId="0" xfId="0" applyFont="1" applyFill="1"/>
    <xf numFmtId="0" fontId="43" fillId="8" borderId="12" xfId="0" applyFont="1" applyFill="1" applyBorder="1" applyAlignment="1">
      <alignment horizontal="center"/>
    </xf>
    <xf numFmtId="1" fontId="43" fillId="8" borderId="14" xfId="0" applyNumberFormat="1" applyFont="1" applyFill="1" applyBorder="1" applyAlignment="1">
      <alignment horizontal="center"/>
    </xf>
    <xf numFmtId="1" fontId="43" fillId="8" borderId="13" xfId="0" applyNumberFormat="1" applyFont="1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1" fillId="0" borderId="15" xfId="0" applyFont="1" applyBorder="1"/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62" fillId="21" borderId="10" xfId="0" applyNumberFormat="1" applyFont="1" applyFill="1" applyBorder="1" applyAlignment="1">
      <alignment horizontal="left"/>
    </xf>
    <xf numFmtId="2" fontId="62" fillId="21" borderId="15" xfId="0" applyNumberFormat="1" applyFont="1" applyFill="1" applyBorder="1" applyAlignment="1">
      <alignment horizontal="center"/>
    </xf>
    <xf numFmtId="2" fontId="62" fillId="21" borderId="11" xfId="0" applyNumberFormat="1" applyFont="1" applyFill="1" applyBorder="1" applyAlignment="1">
      <alignment horizontal="center"/>
    </xf>
    <xf numFmtId="2" fontId="62" fillId="24" borderId="10" xfId="0" applyNumberFormat="1" applyFont="1" applyFill="1" applyBorder="1" applyAlignment="1">
      <alignment horizontal="left"/>
    </xf>
    <xf numFmtId="0" fontId="62" fillId="24" borderId="15" xfId="0" applyFont="1" applyFill="1" applyBorder="1"/>
    <xf numFmtId="0" fontId="62" fillId="24" borderId="11" xfId="0" applyFont="1" applyFill="1" applyBorder="1"/>
    <xf numFmtId="0" fontId="62" fillId="35" borderId="10" xfId="0" applyFont="1" applyFill="1" applyBorder="1"/>
    <xf numFmtId="0" fontId="62" fillId="35" borderId="15" xfId="0" applyFont="1" applyFill="1" applyBorder="1"/>
    <xf numFmtId="0" fontId="62" fillId="35" borderId="11" xfId="0" applyFont="1" applyFill="1" applyBorder="1"/>
    <xf numFmtId="0" fontId="1" fillId="16" borderId="9" xfId="0" applyFont="1" applyFill="1" applyBorder="1"/>
    <xf numFmtId="0" fontId="0" fillId="16" borderId="14" xfId="0" applyFill="1" applyBorder="1"/>
    <xf numFmtId="0" fontId="0" fillId="16" borderId="13" xfId="0" applyFill="1" applyBorder="1"/>
    <xf numFmtId="0" fontId="0" fillId="16" borderId="1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1" fontId="0" fillId="0" borderId="0" xfId="0" applyNumberFormat="1" applyAlignment="1"/>
    <xf numFmtId="2" fontId="0" fillId="40" borderId="0" xfId="0" applyNumberFormat="1" applyFill="1"/>
    <xf numFmtId="0" fontId="1" fillId="40" borderId="10" xfId="0" applyFont="1" applyFill="1" applyBorder="1"/>
    <xf numFmtId="2" fontId="0" fillId="40" borderId="11" xfId="0" applyNumberFormat="1" applyFill="1" applyBorder="1"/>
    <xf numFmtId="0" fontId="0" fillId="40" borderId="0" xfId="0" applyFill="1"/>
    <xf numFmtId="2" fontId="51" fillId="39" borderId="0" xfId="0" applyNumberFormat="1" applyFont="1" applyFill="1" applyAlignment="1">
      <alignment horizontal="right"/>
    </xf>
    <xf numFmtId="2" fontId="51" fillId="39" borderId="0" xfId="0" applyNumberFormat="1" applyFont="1" applyFill="1" applyAlignment="1">
      <alignment horizontal="left"/>
    </xf>
    <xf numFmtId="2" fontId="72" fillId="39" borderId="0" xfId="0" applyNumberFormat="1" applyFont="1" applyFill="1" applyAlignment="1">
      <alignment horizontal="right"/>
    </xf>
    <xf numFmtId="2" fontId="54" fillId="39" borderId="0" xfId="0" applyNumberFormat="1" applyFont="1" applyFill="1" applyAlignment="1">
      <alignment horizontal="center"/>
    </xf>
    <xf numFmtId="166" fontId="61" fillId="39" borderId="0" xfId="0" applyNumberFormat="1" applyFont="1" applyFill="1"/>
    <xf numFmtId="2" fontId="61" fillId="39" borderId="0" xfId="0" applyNumberFormat="1" applyFont="1" applyFill="1" applyAlignment="1">
      <alignment horizontal="right"/>
    </xf>
    <xf numFmtId="166" fontId="61" fillId="39" borderId="0" xfId="0" applyNumberFormat="1" applyFont="1" applyFill="1" applyAlignment="1">
      <alignment horizontal="left"/>
    </xf>
    <xf numFmtId="2" fontId="61" fillId="39" borderId="0" xfId="0" applyNumberFormat="1" applyFont="1" applyFill="1" applyAlignment="1">
      <alignment horizontal="left"/>
    </xf>
    <xf numFmtId="0" fontId="0" fillId="39" borderId="0" xfId="0" applyFill="1"/>
    <xf numFmtId="0" fontId="1" fillId="0" borderId="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16" fontId="2" fillId="5" borderId="0" xfId="0" applyNumberFormat="1" applyFont="1" applyFill="1" applyProtection="1"/>
    <xf numFmtId="0" fontId="1" fillId="0" borderId="10" xfId="0" applyFont="1" applyBorder="1"/>
    <xf numFmtId="0" fontId="2" fillId="6" borderId="11" xfId="0" applyFont="1" applyFill="1" applyBorder="1" applyAlignment="1" applyProtection="1">
      <alignment horizontal="left"/>
      <protection locked="0"/>
    </xf>
    <xf numFmtId="1" fontId="61" fillId="8" borderId="0" xfId="0" applyNumberFormat="1" applyFont="1" applyFill="1" applyBorder="1" applyAlignment="1" applyProtection="1">
      <alignment horizontal="center"/>
    </xf>
    <xf numFmtId="0" fontId="62" fillId="15" borderId="4" xfId="0" applyNumberFormat="1" applyFont="1" applyFill="1" applyBorder="1" applyAlignment="1">
      <alignment horizontal="center"/>
    </xf>
    <xf numFmtId="0" fontId="62" fillId="15" borderId="14" xfId="0" applyNumberFormat="1" applyFont="1" applyFill="1" applyBorder="1" applyAlignment="1">
      <alignment horizontal="center"/>
    </xf>
    <xf numFmtId="0" fontId="62" fillId="15" borderId="0" xfId="0" applyNumberFormat="1" applyFont="1" applyFill="1" applyBorder="1" applyAlignment="1">
      <alignment horizontal="center"/>
    </xf>
    <xf numFmtId="0" fontId="62" fillId="15" borderId="5" xfId="0" applyNumberFormat="1" applyFont="1" applyFill="1" applyBorder="1" applyAlignment="1">
      <alignment horizontal="center"/>
    </xf>
    <xf numFmtId="16" fontId="62" fillId="15" borderId="4" xfId="0" applyNumberFormat="1" applyFont="1" applyFill="1" applyBorder="1" applyAlignment="1">
      <alignment horizontal="center"/>
    </xf>
    <xf numFmtId="1" fontId="62" fillId="15" borderId="9" xfId="0" applyNumberFormat="1" applyFont="1" applyFill="1" applyBorder="1" applyAlignment="1" applyProtection="1">
      <alignment horizontal="center"/>
    </xf>
    <xf numFmtId="1" fontId="62" fillId="15" borderId="0" xfId="0" applyNumberFormat="1" applyFont="1" applyFill="1" applyBorder="1" applyAlignment="1" applyProtection="1">
      <alignment horizontal="center"/>
    </xf>
    <xf numFmtId="0" fontId="62" fillId="15" borderId="9" xfId="0" applyFont="1" applyFill="1" applyBorder="1" applyAlignment="1">
      <alignment horizontal="center"/>
    </xf>
    <xf numFmtId="1" fontId="62" fillId="15" borderId="5" xfId="0" applyNumberFormat="1" applyFont="1" applyFill="1" applyBorder="1" applyAlignment="1">
      <alignment horizontal="center"/>
    </xf>
    <xf numFmtId="16" fontId="62" fillId="15" borderId="1" xfId="0" applyNumberFormat="1" applyFont="1" applyFill="1" applyBorder="1" applyAlignment="1">
      <alignment horizontal="center"/>
    </xf>
    <xf numFmtId="0" fontId="62" fillId="15" borderId="1" xfId="0" applyNumberFormat="1" applyFont="1" applyFill="1" applyBorder="1" applyAlignment="1">
      <alignment horizontal="center"/>
    </xf>
    <xf numFmtId="1" fontId="62" fillId="15" borderId="9" xfId="0" applyNumberFormat="1" applyFont="1" applyFill="1" applyBorder="1" applyAlignment="1">
      <alignment horizontal="center"/>
    </xf>
    <xf numFmtId="0" fontId="62" fillId="15" borderId="3" xfId="0" applyNumberFormat="1" applyFont="1" applyFill="1" applyBorder="1" applyAlignment="1">
      <alignment horizontal="center"/>
    </xf>
    <xf numFmtId="1" fontId="62" fillId="15" borderId="3" xfId="0" applyNumberFormat="1" applyFont="1" applyFill="1" applyBorder="1" applyAlignment="1">
      <alignment horizontal="center"/>
    </xf>
    <xf numFmtId="0" fontId="62" fillId="15" borderId="6" xfId="0" applyNumberFormat="1" applyFont="1" applyFill="1" applyBorder="1" applyAlignment="1">
      <alignment horizontal="center"/>
    </xf>
    <xf numFmtId="0" fontId="62" fillId="15" borderId="13" xfId="0" applyNumberFormat="1" applyFont="1" applyFill="1" applyBorder="1" applyAlignment="1">
      <alignment horizontal="center"/>
    </xf>
    <xf numFmtId="0" fontId="62" fillId="15" borderId="7" xfId="0" applyNumberFormat="1" applyFont="1" applyFill="1" applyBorder="1" applyAlignment="1">
      <alignment horizontal="center"/>
    </xf>
    <xf numFmtId="0" fontId="62" fillId="15" borderId="8" xfId="0" applyNumberFormat="1" applyFont="1" applyFill="1" applyBorder="1" applyAlignment="1">
      <alignment horizontal="center"/>
    </xf>
    <xf numFmtId="0" fontId="2" fillId="5" borderId="0" xfId="0" applyFont="1" applyFill="1" applyProtection="1"/>
    <xf numFmtId="1" fontId="1" fillId="0" borderId="8" xfId="0" applyNumberFormat="1" applyFont="1" applyFill="1" applyBorder="1" applyAlignment="1" applyProtection="1">
      <alignment horizontal="center"/>
    </xf>
    <xf numFmtId="0" fontId="0" fillId="0" borderId="2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6" xfId="0" applyBorder="1"/>
    <xf numFmtId="0" fontId="0" fillId="0" borderId="3" xfId="0" applyBorder="1" applyAlignment="1">
      <alignment horizontal="center"/>
    </xf>
    <xf numFmtId="2" fontId="1" fillId="39" borderId="0" xfId="0" applyNumberFormat="1" applyFont="1" applyFill="1" applyAlignment="1">
      <alignment horizontal="center"/>
    </xf>
    <xf numFmtId="2" fontId="1" fillId="39" borderId="0" xfId="0" applyNumberFormat="1" applyFont="1" applyFill="1" applyAlignment="1">
      <alignment horizontal="right"/>
    </xf>
    <xf numFmtId="166" fontId="0" fillId="39" borderId="0" xfId="0" applyNumberFormat="1" applyFill="1"/>
    <xf numFmtId="0" fontId="2" fillId="6" borderId="12" xfId="0" applyFont="1" applyFill="1" applyBorder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51" fillId="13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/>
    <xf numFmtId="0" fontId="0" fillId="0" borderId="3" xfId="0" applyBorder="1"/>
    <xf numFmtId="0" fontId="53" fillId="0" borderId="0" xfId="0" applyFont="1" applyFill="1" applyAlignment="1" applyProtection="1">
      <alignment horizontal="center"/>
    </xf>
    <xf numFmtId="2" fontId="51" fillId="17" borderId="0" xfId="0" applyNumberFormat="1" applyFont="1" applyFill="1" applyAlignment="1">
      <alignment horizontal="center"/>
    </xf>
    <xf numFmtId="2" fontId="72" fillId="17" borderId="0" xfId="0" applyNumberFormat="1" applyFont="1" applyFill="1" applyAlignment="1">
      <alignment horizontal="left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6" xfId="0" applyFont="1" applyBorder="1" applyAlignment="1">
      <alignment horizontal="center" vertical="top" wrapText="1"/>
    </xf>
    <xf numFmtId="0" fontId="0" fillId="0" borderId="3" xfId="0" applyBorder="1"/>
    <xf numFmtId="0" fontId="0" fillId="0" borderId="14" xfId="0" applyBorder="1"/>
    <xf numFmtId="0" fontId="0" fillId="0" borderId="13" xfId="0" applyBorder="1"/>
    <xf numFmtId="0" fontId="0" fillId="0" borderId="4" xfId="0" applyBorder="1"/>
    <xf numFmtId="0" fontId="0" fillId="0" borderId="6" xfId="0" applyBorder="1"/>
    <xf numFmtId="0" fontId="1" fillId="0" borderId="9" xfId="0" applyFont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 vertical="top" wrapText="1"/>
    </xf>
    <xf numFmtId="2" fontId="1" fillId="0" borderId="10" xfId="0" applyNumberFormat="1" applyFont="1" applyBorder="1" applyAlignment="1">
      <alignment horizontal="center" vertical="top"/>
    </xf>
    <xf numFmtId="0" fontId="1" fillId="0" borderId="15" xfId="0" applyFont="1" applyFill="1" applyBorder="1" applyAlignment="1">
      <alignment horizontal="center"/>
    </xf>
    <xf numFmtId="2" fontId="0" fillId="0" borderId="2" xfId="0" applyNumberFormat="1" applyBorder="1"/>
    <xf numFmtId="2" fontId="0" fillId="40" borderId="0" xfId="0" applyNumberFormat="1" applyFill="1" applyBorder="1"/>
    <xf numFmtId="0" fontId="0" fillId="0" borderId="6" xfId="0" applyBorder="1" applyAlignment="1">
      <alignment horizontal="right"/>
    </xf>
    <xf numFmtId="0" fontId="12" fillId="5" borderId="0" xfId="0" applyFont="1" applyFill="1"/>
    <xf numFmtId="2" fontId="0" fillId="39" borderId="0" xfId="0" applyNumberFormat="1" applyFill="1" applyBorder="1"/>
    <xf numFmtId="0" fontId="51" fillId="0" borderId="7" xfId="0" applyFont="1" applyFill="1" applyBorder="1"/>
    <xf numFmtId="0" fontId="1" fillId="0" borderId="1" xfId="0" applyFont="1" applyBorder="1" applyAlignment="1">
      <alignment horizontal="center"/>
    </xf>
    <xf numFmtId="1" fontId="1" fillId="0" borderId="0" xfId="0" applyNumberFormat="1" applyFont="1" applyFill="1" applyAlignment="1" applyProtection="1">
      <alignment horizontal="right"/>
    </xf>
    <xf numFmtId="1" fontId="3" fillId="2" borderId="0" xfId="0" applyNumberFormat="1" applyFont="1" applyFill="1" applyAlignment="1" applyProtection="1">
      <alignment horizontal="center"/>
      <protection locked="0"/>
    </xf>
    <xf numFmtId="2" fontId="66" fillId="0" borderId="4" xfId="0" applyNumberFormat="1" applyFont="1" applyBorder="1" applyAlignment="1">
      <alignment horizontal="left"/>
    </xf>
    <xf numFmtId="0" fontId="85" fillId="23" borderId="15" xfId="0" applyFont="1" applyFill="1" applyBorder="1" applyAlignment="1">
      <alignment horizontal="center"/>
    </xf>
    <xf numFmtId="0" fontId="51" fillId="39" borderId="4" xfId="0" applyFont="1" applyFill="1" applyBorder="1" applyAlignment="1">
      <alignment horizontal="left"/>
    </xf>
    <xf numFmtId="0" fontId="51" fillId="39" borderId="0" xfId="0" applyFont="1" applyFill="1" applyBorder="1"/>
    <xf numFmtId="2" fontId="51" fillId="39" borderId="14" xfId="0" applyNumberFormat="1" applyFont="1" applyFill="1" applyBorder="1" applyAlignment="1">
      <alignment horizontal="center"/>
    </xf>
    <xf numFmtId="2" fontId="51" fillId="39" borderId="0" xfId="0" applyNumberFormat="1" applyFont="1" applyFill="1" applyBorder="1" applyAlignment="1">
      <alignment horizontal="center"/>
    </xf>
    <xf numFmtId="0" fontId="51" fillId="39" borderId="14" xfId="0" applyFont="1" applyFill="1" applyBorder="1" applyAlignment="1">
      <alignment horizontal="right"/>
    </xf>
    <xf numFmtId="2" fontId="51" fillId="39" borderId="5" xfId="0" applyNumberFormat="1" applyFont="1" applyFill="1" applyBorder="1" applyAlignment="1">
      <alignment horizontal="center"/>
    </xf>
    <xf numFmtId="0" fontId="51" fillId="39" borderId="5" xfId="0" applyFont="1" applyFill="1" applyBorder="1"/>
    <xf numFmtId="0" fontId="51" fillId="39" borderId="0" xfId="0" applyFont="1" applyFill="1" applyBorder="1" applyAlignment="1">
      <alignment horizontal="right"/>
    </xf>
    <xf numFmtId="0" fontId="63" fillId="39" borderId="4" xfId="0" applyFont="1" applyFill="1" applyBorder="1" applyAlignment="1">
      <alignment horizontal="left"/>
    </xf>
    <xf numFmtId="0" fontId="51" fillId="39" borderId="6" xfId="0" applyFont="1" applyFill="1" applyBorder="1" applyAlignment="1">
      <alignment horizontal="left"/>
    </xf>
    <xf numFmtId="0" fontId="51" fillId="39" borderId="7" xfId="0" applyFont="1" applyFill="1" applyBorder="1"/>
    <xf numFmtId="0" fontId="51" fillId="39" borderId="8" xfId="0" applyFont="1" applyFill="1" applyBorder="1"/>
    <xf numFmtId="2" fontId="51" fillId="39" borderId="13" xfId="0" applyNumberFormat="1" applyFont="1" applyFill="1" applyBorder="1" applyAlignment="1">
      <alignment horizontal="center"/>
    </xf>
    <xf numFmtId="0" fontId="122" fillId="18" borderId="0" xfId="0" applyFont="1" applyFill="1"/>
    <xf numFmtId="0" fontId="123" fillId="18" borderId="0" xfId="0" applyFont="1" applyFill="1"/>
    <xf numFmtId="164" fontId="123" fillId="18" borderId="0" xfId="0" applyNumberFormat="1" applyFont="1" applyFill="1" applyAlignment="1">
      <alignment horizontal="center"/>
    </xf>
    <xf numFmtId="0" fontId="124" fillId="18" borderId="0" xfId="0" applyFont="1" applyFill="1"/>
    <xf numFmtId="0" fontId="94" fillId="18" borderId="0" xfId="0" applyFont="1" applyFill="1"/>
    <xf numFmtId="0" fontId="95" fillId="18" borderId="0" xfId="0" applyFont="1" applyFill="1"/>
    <xf numFmtId="164" fontId="95" fillId="18" borderId="0" xfId="0" applyNumberFormat="1" applyFont="1" applyFill="1" applyAlignment="1">
      <alignment horizontal="center"/>
    </xf>
    <xf numFmtId="0" fontId="1" fillId="0" borderId="12" xfId="0" applyFont="1" applyBorder="1"/>
    <xf numFmtId="0" fontId="62" fillId="21" borderId="10" xfId="0" applyFont="1" applyFill="1" applyBorder="1"/>
    <xf numFmtId="0" fontId="62" fillId="21" borderId="11" xfId="0" applyFont="1" applyFill="1" applyBorder="1"/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2" fontId="51" fillId="0" borderId="0" xfId="0" applyNumberFormat="1" applyFont="1" applyFill="1" applyAlignment="1">
      <alignment horizontal="left"/>
    </xf>
    <xf numFmtId="2" fontId="72" fillId="0" borderId="0" xfId="0" applyNumberFormat="1" applyFont="1" applyFill="1" applyAlignment="1">
      <alignment horizontal="right"/>
    </xf>
    <xf numFmtId="2" fontId="51" fillId="0" borderId="0" xfId="0" applyNumberFormat="1" applyFont="1" applyFill="1" applyAlignment="1">
      <alignment horizontal="right"/>
    </xf>
    <xf numFmtId="2" fontId="0" fillId="0" borderId="0" xfId="0" applyNumberFormat="1" applyFill="1" applyAlignment="1" applyProtection="1">
      <alignment horizontal="left"/>
    </xf>
    <xf numFmtId="16" fontId="1" fillId="0" borderId="0" xfId="0" applyNumberFormat="1" applyFont="1"/>
    <xf numFmtId="2" fontId="53" fillId="0" borderId="0" xfId="0" applyNumberFormat="1" applyFont="1" applyFill="1" applyAlignment="1" applyProtection="1">
      <alignment horizontal="center"/>
    </xf>
    <xf numFmtId="2" fontId="45" fillId="0" borderId="0" xfId="0" applyNumberFormat="1" applyFont="1"/>
    <xf numFmtId="0" fontId="61" fillId="0" borderId="0" xfId="0" applyFon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vertical="center"/>
    </xf>
    <xf numFmtId="0" fontId="0" fillId="0" borderId="4" xfId="0" applyBorder="1"/>
    <xf numFmtId="0" fontId="43" fillId="40" borderId="0" xfId="0" applyFont="1" applyFill="1"/>
    <xf numFmtId="0" fontId="51" fillId="40" borderId="0" xfId="0" applyFont="1" applyFill="1"/>
    <xf numFmtId="2" fontId="43" fillId="40" borderId="0" xfId="0" applyNumberFormat="1" applyFont="1" applyFill="1"/>
    <xf numFmtId="2" fontId="51" fillId="40" borderId="0" xfId="0" applyNumberFormat="1" applyFont="1" applyFill="1"/>
    <xf numFmtId="2" fontId="51" fillId="40" borderId="0" xfId="0" applyNumberFormat="1" applyFont="1" applyFill="1" applyAlignment="1">
      <alignment horizontal="center"/>
    </xf>
    <xf numFmtId="2" fontId="51" fillId="40" borderId="0" xfId="0" applyNumberFormat="1" applyFont="1" applyFill="1" applyAlignment="1">
      <alignment horizontal="left"/>
    </xf>
    <xf numFmtId="1" fontId="0" fillId="6" borderId="0" xfId="0" applyNumberFormat="1" applyFill="1" applyProtection="1">
      <protection locked="0"/>
    </xf>
    <xf numFmtId="0" fontId="0" fillId="6" borderId="0" xfId="0" applyFill="1" applyAlignment="1" applyProtection="1">
      <alignment horizontal="left" indent="4"/>
      <protection locked="0"/>
    </xf>
    <xf numFmtId="1" fontId="1" fillId="0" borderId="0" xfId="0" applyNumberFormat="1" applyFont="1" applyFill="1" applyAlignment="1" applyProtection="1">
      <alignment horizontal="left"/>
    </xf>
    <xf numFmtId="166" fontId="53" fillId="0" borderId="3" xfId="0" applyNumberFormat="1" applyFont="1" applyFill="1" applyBorder="1"/>
    <xf numFmtId="166" fontId="53" fillId="0" borderId="8" xfId="0" applyNumberFormat="1" applyFont="1" applyFill="1" applyBorder="1" applyAlignment="1">
      <alignment horizontal="right"/>
    </xf>
    <xf numFmtId="2" fontId="0" fillId="0" borderId="3" xfId="0" applyNumberFormat="1" applyBorder="1"/>
    <xf numFmtId="167" fontId="0" fillId="0" borderId="0" xfId="0" applyNumberFormat="1"/>
    <xf numFmtId="2" fontId="59" fillId="15" borderId="1" xfId="0" applyNumberFormat="1" applyFont="1" applyFill="1" applyBorder="1" applyAlignment="1" applyProtection="1">
      <alignment horizontal="center"/>
    </xf>
    <xf numFmtId="2" fontId="59" fillId="15" borderId="3" xfId="0" applyNumberFormat="1" applyFont="1" applyFill="1" applyBorder="1" applyAlignment="1" applyProtection="1">
      <alignment horizontal="center"/>
    </xf>
    <xf numFmtId="2" fontId="59" fillId="15" borderId="6" xfId="0" applyNumberFormat="1" applyFont="1" applyFill="1" applyBorder="1" applyAlignment="1" applyProtection="1">
      <alignment horizontal="center"/>
    </xf>
    <xf numFmtId="2" fontId="59" fillId="15" borderId="8" xfId="0" applyNumberFormat="1" applyFont="1" applyFill="1" applyBorder="1" applyAlignment="1" applyProtection="1">
      <alignment horizontal="center"/>
    </xf>
    <xf numFmtId="2" fontId="1" fillId="8" borderId="4" xfId="0" applyNumberFormat="1" applyFont="1" applyFill="1" applyBorder="1" applyAlignment="1" applyProtection="1">
      <alignment horizontal="center"/>
    </xf>
    <xf numFmtId="2" fontId="1" fillId="8" borderId="5" xfId="0" applyNumberFormat="1" applyFont="1" applyFill="1" applyBorder="1" applyAlignment="1" applyProtection="1">
      <alignment horizontal="center"/>
    </xf>
    <xf numFmtId="2" fontId="1" fillId="8" borderId="6" xfId="0" applyNumberFormat="1" applyFont="1" applyFill="1" applyBorder="1" applyAlignment="1" applyProtection="1">
      <alignment horizontal="center"/>
    </xf>
    <xf numFmtId="2" fontId="1" fillId="8" borderId="8" xfId="0" applyNumberFormat="1" applyFont="1" applyFill="1" applyBorder="1" applyAlignment="1" applyProtection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2" fontId="0" fillId="0" borderId="0" xfId="0" applyNumberFormat="1" applyBorder="1" applyAlignment="1">
      <alignment horizontal="center"/>
    </xf>
    <xf numFmtId="0" fontId="1" fillId="0" borderId="13" xfId="0" applyFont="1" applyBorder="1" applyAlignment="1">
      <alignment horizontal="center" vertical="center" wrapText="1"/>
    </xf>
    <xf numFmtId="0" fontId="0" fillId="0" borderId="14" xfId="0" applyBorder="1"/>
    <xf numFmtId="0" fontId="1" fillId="0" borderId="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0" fillId="0" borderId="14" xfId="0" applyBorder="1"/>
    <xf numFmtId="0" fontId="126" fillId="41" borderId="0" xfId="0" applyFont="1" applyFill="1"/>
    <xf numFmtId="0" fontId="80" fillId="41" borderId="0" xfId="0" applyFont="1" applyFill="1"/>
    <xf numFmtId="0" fontId="81" fillId="41" borderId="0" xfId="0" applyFont="1" applyFill="1"/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4" xfId="0" applyBorder="1"/>
    <xf numFmtId="0" fontId="0" fillId="0" borderId="4" xfId="0" applyBorder="1"/>
    <xf numFmtId="0" fontId="1" fillId="0" borderId="13" xfId="0" applyFont="1" applyBorder="1" applyAlignment="1">
      <alignment horizontal="center" vertical="center" wrapText="1"/>
    </xf>
    <xf numFmtId="0" fontId="126" fillId="42" borderId="0" xfId="0" applyFont="1" applyFill="1"/>
    <xf numFmtId="0" fontId="80" fillId="42" borderId="0" xfId="0" applyFont="1" applyFill="1"/>
    <xf numFmtId="0" fontId="81" fillId="42" borderId="0" xfId="0" applyFont="1" applyFill="1"/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51" fillId="0" borderId="0" xfId="0" applyFont="1" applyAlignment="1">
      <alignment horizontal="left"/>
    </xf>
    <xf numFmtId="2" fontId="43" fillId="0" borderId="0" xfId="0" applyNumberFormat="1" applyFont="1" applyAlignment="1">
      <alignment horizontal="right"/>
    </xf>
    <xf numFmtId="0" fontId="62" fillId="41" borderId="0" xfId="0" applyFont="1" applyFill="1"/>
    <xf numFmtId="2" fontId="62" fillId="41" borderId="0" xfId="0" applyNumberFormat="1" applyFont="1" applyFill="1"/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0" fontId="62" fillId="43" borderId="0" xfId="0" applyFont="1" applyFill="1"/>
    <xf numFmtId="0" fontId="62" fillId="43" borderId="0" xfId="0" applyFont="1" applyFill="1" applyAlignment="1">
      <alignment horizontal="left"/>
    </xf>
    <xf numFmtId="166" fontId="62" fillId="43" borderId="0" xfId="0" applyNumberFormat="1" applyFont="1" applyFill="1"/>
    <xf numFmtId="2" fontId="80" fillId="21" borderId="0" xfId="0" applyNumberFormat="1" applyFont="1" applyFill="1"/>
    <xf numFmtId="0" fontId="80" fillId="21" borderId="0" xfId="0" applyFont="1" applyFill="1"/>
    <xf numFmtId="0" fontId="80" fillId="0" borderId="0" xfId="0" applyFont="1" applyFill="1"/>
    <xf numFmtId="0" fontId="81" fillId="21" borderId="0" xfId="0" applyFont="1" applyFill="1"/>
    <xf numFmtId="0" fontId="43" fillId="40" borderId="10" xfId="0" applyFont="1" applyFill="1" applyBorder="1"/>
    <xf numFmtId="0" fontId="43" fillId="40" borderId="15" xfId="0" applyFont="1" applyFill="1" applyBorder="1"/>
    <xf numFmtId="0" fontId="43" fillId="40" borderId="11" xfId="0" applyFont="1" applyFill="1" applyBorder="1"/>
    <xf numFmtId="0" fontId="43" fillId="40" borderId="14" xfId="0" applyFont="1" applyFill="1" applyBorder="1" applyAlignment="1">
      <alignment horizontal="center"/>
    </xf>
    <xf numFmtId="0" fontId="43" fillId="40" borderId="4" xfId="0" applyFont="1" applyFill="1" applyBorder="1"/>
    <xf numFmtId="0" fontId="43" fillId="40" borderId="0" xfId="0" applyFont="1" applyFill="1" applyBorder="1"/>
    <xf numFmtId="0" fontId="43" fillId="40" borderId="5" xfId="0" applyFont="1" applyFill="1" applyBorder="1"/>
    <xf numFmtId="0" fontId="62" fillId="21" borderId="12" xfId="0" applyFont="1" applyFill="1" applyBorder="1" applyAlignment="1" applyProtection="1">
      <alignment horizontal="center"/>
    </xf>
    <xf numFmtId="0" fontId="0" fillId="0" borderId="4" xfId="0" applyBorder="1"/>
    <xf numFmtId="0" fontId="0" fillId="0" borderId="6" xfId="0" applyBorder="1"/>
    <xf numFmtId="2" fontId="0" fillId="0" borderId="10" xfId="0" applyNumberFormat="1" applyBorder="1" applyAlignment="1">
      <alignment horizontal="right"/>
    </xf>
    <xf numFmtId="2" fontId="1" fillId="0" borderId="11" xfId="0" applyNumberFormat="1" applyFont="1" applyBorder="1" applyAlignment="1"/>
    <xf numFmtId="2" fontId="1" fillId="0" borderId="4" xfId="0" applyNumberFormat="1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2" fontId="0" fillId="0" borderId="0" xfId="0" applyNumberFormat="1" applyBorder="1" applyAlignment="1">
      <alignment horizontal="center"/>
    </xf>
    <xf numFmtId="0" fontId="1" fillId="0" borderId="0" xfId="0" applyFont="1" applyFill="1" applyAlignment="1" applyProtection="1">
      <alignment horizontal="left" vertical="top"/>
      <protection locked="0"/>
    </xf>
    <xf numFmtId="2" fontId="0" fillId="0" borderId="0" xfId="0" applyNumberFormat="1" applyFill="1" applyBorder="1" applyAlignment="1">
      <alignment horizontal="right"/>
    </xf>
    <xf numFmtId="2" fontId="0" fillId="0" borderId="9" xfId="0" applyNumberFormat="1" applyFill="1" applyBorder="1" applyAlignment="1">
      <alignment horizontal="center"/>
    </xf>
    <xf numFmtId="2" fontId="1" fillId="6" borderId="0" xfId="0" applyNumberFormat="1" applyFont="1" applyFill="1" applyProtection="1">
      <protection locked="0"/>
    </xf>
    <xf numFmtId="2" fontId="1" fillId="2" borderId="0" xfId="0" applyNumberFormat="1" applyFont="1" applyFill="1" applyProtection="1">
      <protection locked="0"/>
    </xf>
    <xf numFmtId="0" fontId="1" fillId="2" borderId="0" xfId="0" applyNumberFormat="1" applyFont="1" applyFill="1" applyAlignment="1" applyProtection="1">
      <alignment horizontal="right"/>
      <protection locked="0"/>
    </xf>
    <xf numFmtId="0" fontId="43" fillId="6" borderId="1" xfId="0" applyFont="1" applyFill="1" applyBorder="1" applyAlignment="1">
      <alignment horizontal="left" vertical="top"/>
    </xf>
    <xf numFmtId="0" fontId="43" fillId="6" borderId="2" xfId="0" applyFont="1" applyFill="1" applyBorder="1" applyAlignment="1">
      <alignment horizontal="center"/>
    </xf>
    <xf numFmtId="0" fontId="43" fillId="6" borderId="2" xfId="0" applyFont="1" applyFill="1" applyBorder="1" applyAlignment="1">
      <alignment horizontal="center" vertical="top"/>
    </xf>
    <xf numFmtId="0" fontId="43" fillId="6" borderId="6" xfId="0" applyFont="1" applyFill="1" applyBorder="1"/>
    <xf numFmtId="0" fontId="43" fillId="6" borderId="7" xfId="0" applyFont="1" applyFill="1" applyBorder="1"/>
    <xf numFmtId="0" fontId="43" fillId="6" borderId="8" xfId="0" applyNumberFormat="1" applyFont="1" applyFill="1" applyBorder="1"/>
    <xf numFmtId="0" fontId="43" fillId="6" borderId="3" xfId="0" applyFont="1" applyFill="1" applyBorder="1" applyAlignment="1">
      <alignment horizontal="left"/>
    </xf>
    <xf numFmtId="0" fontId="0" fillId="0" borderId="0" xfId="0" applyNumberFormat="1" applyFill="1"/>
    <xf numFmtId="0" fontId="0" fillId="6" borderId="0" xfId="0" applyNumberFormat="1" applyFill="1" applyAlignment="1" applyProtection="1">
      <alignment horizontal="right"/>
      <protection locked="0"/>
    </xf>
    <xf numFmtId="0" fontId="0" fillId="0" borderId="16" xfId="0" applyBorder="1"/>
    <xf numFmtId="0" fontId="1" fillId="0" borderId="17" xfId="0" applyFont="1" applyBorder="1" applyAlignment="1">
      <alignment horizontal="right"/>
    </xf>
    <xf numFmtId="0" fontId="0" fillId="6" borderId="18" xfId="0" applyFill="1" applyBorder="1" applyAlignment="1" applyProtection="1">
      <alignment horizontal="center"/>
      <protection locked="0"/>
    </xf>
    <xf numFmtId="2" fontId="0" fillId="6" borderId="18" xfId="0" applyNumberFormat="1" applyFill="1" applyBorder="1" applyAlignment="1" applyProtection="1">
      <alignment horizontal="center"/>
      <protection locked="0"/>
    </xf>
    <xf numFmtId="0" fontId="127" fillId="24" borderId="22" xfId="0" applyFont="1" applyFill="1" applyBorder="1"/>
    <xf numFmtId="0" fontId="128" fillId="5" borderId="22" xfId="0" applyFont="1" applyFill="1" applyBorder="1" applyAlignment="1">
      <alignment horizontal="center"/>
    </xf>
    <xf numFmtId="0" fontId="1" fillId="6" borderId="0" xfId="0" applyFont="1" applyFill="1" applyProtection="1">
      <protection locked="0"/>
    </xf>
    <xf numFmtId="2" fontId="61" fillId="0" borderId="0" xfId="0" applyNumberFormat="1" applyFont="1"/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/>
    <xf numFmtId="0" fontId="1" fillId="0" borderId="1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3" xfId="0" applyBorder="1"/>
    <xf numFmtId="2" fontId="51" fillId="0" borderId="0" xfId="0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2" fontId="0" fillId="8" borderId="0" xfId="0" applyNumberFormat="1" applyFill="1"/>
    <xf numFmtId="16" fontId="0" fillId="0" borderId="15" xfId="0" applyNumberFormat="1" applyBorder="1" applyAlignment="1">
      <alignment horizontal="right"/>
    </xf>
    <xf numFmtId="16" fontId="0" fillId="0" borderId="15" xfId="0" applyNumberFormat="1" applyBorder="1" applyAlignment="1">
      <alignment horizontal="left"/>
    </xf>
    <xf numFmtId="16" fontId="0" fillId="0" borderId="11" xfId="0" applyNumberFormat="1" applyBorder="1" applyAlignment="1">
      <alignment horizontal="left"/>
    </xf>
    <xf numFmtId="166" fontId="0" fillId="8" borderId="0" xfId="0" applyNumberFormat="1" applyFill="1"/>
    <xf numFmtId="0" fontId="53" fillId="0" borderId="0" xfId="0" applyFont="1" applyFill="1" applyAlignment="1" applyProtection="1">
      <alignment vertical="top"/>
    </xf>
    <xf numFmtId="2" fontId="72" fillId="0" borderId="0" xfId="0" applyNumberFormat="1" applyFont="1" applyFill="1" applyAlignment="1">
      <alignment horizontal="left"/>
    </xf>
    <xf numFmtId="2" fontId="1" fillId="0" borderId="14" xfId="0" applyNumberFormat="1" applyFont="1" applyFill="1" applyBorder="1" applyAlignment="1" applyProtection="1">
      <alignment horizontal="left"/>
    </xf>
    <xf numFmtId="166" fontId="0" fillId="0" borderId="0" xfId="0" applyNumberFormat="1" applyFont="1" applyFill="1" applyAlignment="1">
      <alignment horizontal="right"/>
    </xf>
    <xf numFmtId="2" fontId="0" fillId="0" borderId="0" xfId="0" applyNumberFormat="1" applyFont="1" applyFill="1" applyAlignment="1">
      <alignment horizontal="right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166" fontId="0" fillId="0" borderId="0" xfId="0" applyNumberFormat="1" applyFont="1" applyFill="1"/>
    <xf numFmtId="2" fontId="0" fillId="0" borderId="0" xfId="0" applyNumberFormat="1" applyFont="1" applyFill="1"/>
    <xf numFmtId="0" fontId="129" fillId="0" borderId="0" xfId="0" applyFont="1"/>
    <xf numFmtId="0" fontId="1" fillId="0" borderId="7" xfId="0" applyFont="1" applyFill="1" applyBorder="1" applyAlignment="1">
      <alignment horizontal="center"/>
    </xf>
    <xf numFmtId="2" fontId="1" fillId="0" borderId="0" xfId="0" applyNumberFormat="1" applyFont="1" applyFill="1" applyBorder="1" applyAlignment="1" applyProtection="1">
      <alignment horizontal="right"/>
    </xf>
    <xf numFmtId="2" fontId="1" fillId="0" borderId="5" xfId="0" applyNumberFormat="1" applyFont="1" applyFill="1" applyBorder="1" applyAlignment="1" applyProtection="1">
      <alignment horizontal="left"/>
    </xf>
    <xf numFmtId="2" fontId="1" fillId="0" borderId="7" xfId="0" applyNumberFormat="1" applyFont="1" applyFill="1" applyBorder="1" applyAlignment="1" applyProtection="1">
      <alignment horizontal="right"/>
    </xf>
    <xf numFmtId="2" fontId="1" fillId="0" borderId="8" xfId="0" applyNumberFormat="1" applyFont="1" applyFill="1" applyBorder="1" applyAlignment="1" applyProtection="1">
      <alignment horizontal="left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43" fillId="8" borderId="10" xfId="0" applyFont="1" applyFill="1" applyBorder="1" applyAlignment="1">
      <alignment horizontal="center"/>
    </xf>
    <xf numFmtId="0" fontId="43" fillId="8" borderId="11" xfId="0" applyFont="1" applyFill="1" applyBorder="1" applyAlignment="1">
      <alignment horizontal="center"/>
    </xf>
    <xf numFmtId="0" fontId="43" fillId="8" borderId="9" xfId="0" applyFont="1" applyFill="1" applyBorder="1" applyAlignment="1">
      <alignment horizontal="center" vertical="top"/>
    </xf>
    <xf numFmtId="0" fontId="43" fillId="8" borderId="10" xfId="0" applyFont="1" applyFill="1" applyBorder="1" applyAlignment="1">
      <alignment horizontal="center"/>
    </xf>
    <xf numFmtId="0" fontId="43" fillId="8" borderId="11" xfId="0" applyFont="1" applyFill="1" applyBorder="1" applyAlignment="1">
      <alignment horizontal="center"/>
    </xf>
    <xf numFmtId="1" fontId="0" fillId="0" borderId="10" xfId="0" applyNumberFormat="1" applyBorder="1"/>
    <xf numFmtId="1" fontId="0" fillId="0" borderId="15" xfId="0" applyNumberFormat="1" applyBorder="1"/>
    <xf numFmtId="0" fontId="43" fillId="8" borderId="9" xfId="0" applyFont="1" applyFill="1" applyBorder="1" applyAlignment="1">
      <alignment vertical="top"/>
    </xf>
    <xf numFmtId="0" fontId="43" fillId="8" borderId="14" xfId="0" applyFont="1" applyFill="1" applyBorder="1" applyAlignment="1">
      <alignment vertical="top"/>
    </xf>
    <xf numFmtId="0" fontId="43" fillId="8" borderId="13" xfId="0" applyFont="1" applyFill="1" applyBorder="1" applyAlignment="1">
      <alignment vertical="top"/>
    </xf>
    <xf numFmtId="16" fontId="62" fillId="15" borderId="6" xfId="0" applyNumberFormat="1" applyFont="1" applyFill="1" applyBorder="1" applyAlignment="1">
      <alignment horizontal="center"/>
    </xf>
    <xf numFmtId="16" fontId="43" fillId="7" borderId="4" xfId="0" applyNumberFormat="1" applyFont="1" applyFill="1" applyBorder="1" applyAlignment="1">
      <alignment horizontal="center"/>
    </xf>
    <xf numFmtId="0" fontId="43" fillId="7" borderId="14" xfId="0" applyNumberFormat="1" applyFont="1" applyFill="1" applyBorder="1" applyAlignment="1">
      <alignment horizontal="center"/>
    </xf>
    <xf numFmtId="0" fontId="43" fillId="7" borderId="0" xfId="0" applyNumberFormat="1" applyFont="1" applyFill="1" applyBorder="1" applyAlignment="1">
      <alignment horizontal="center"/>
    </xf>
    <xf numFmtId="0" fontId="43" fillId="7" borderId="5" xfId="0" applyNumberFormat="1" applyFont="1" applyFill="1" applyBorder="1" applyAlignment="1">
      <alignment horizontal="center"/>
    </xf>
    <xf numFmtId="16" fontId="43" fillId="7" borderId="6" xfId="0" applyNumberFormat="1" applyFont="1" applyFill="1" applyBorder="1" applyAlignment="1">
      <alignment horizontal="center"/>
    </xf>
    <xf numFmtId="0" fontId="43" fillId="7" borderId="13" xfId="0" applyNumberFormat="1" applyFont="1" applyFill="1" applyBorder="1" applyAlignment="1">
      <alignment horizontal="center"/>
    </xf>
    <xf numFmtId="0" fontId="43" fillId="7" borderId="7" xfId="0" applyNumberFormat="1" applyFont="1" applyFill="1" applyBorder="1" applyAlignment="1">
      <alignment horizontal="center"/>
    </xf>
    <xf numFmtId="0" fontId="43" fillId="7" borderId="8" xfId="0" applyNumberFormat="1" applyFont="1" applyFill="1" applyBorder="1" applyAlignment="1">
      <alignment horizontal="center"/>
    </xf>
    <xf numFmtId="16" fontId="43" fillId="7" borderId="1" xfId="0" applyNumberFormat="1" applyFont="1" applyFill="1" applyBorder="1" applyAlignment="1">
      <alignment horizontal="center"/>
    </xf>
    <xf numFmtId="0" fontId="43" fillId="7" borderId="9" xfId="0" applyNumberFormat="1" applyFont="1" applyFill="1" applyBorder="1" applyAlignment="1">
      <alignment horizontal="center"/>
    </xf>
    <xf numFmtId="0" fontId="43" fillId="7" borderId="2" xfId="0" applyNumberFormat="1" applyFont="1" applyFill="1" applyBorder="1" applyAlignment="1">
      <alignment horizontal="center"/>
    </xf>
    <xf numFmtId="0" fontId="43" fillId="7" borderId="3" xfId="0" applyNumberFormat="1" applyFont="1" applyFill="1" applyBorder="1" applyAlignment="1">
      <alignment horizontal="center"/>
    </xf>
    <xf numFmtId="16" fontId="130" fillId="40" borderId="1" xfId="0" applyNumberFormat="1" applyFont="1" applyFill="1" applyBorder="1" applyAlignment="1">
      <alignment horizontal="center"/>
    </xf>
    <xf numFmtId="0" fontId="130" fillId="40" borderId="9" xfId="0" applyNumberFormat="1" applyFont="1" applyFill="1" applyBorder="1" applyAlignment="1">
      <alignment horizontal="center"/>
    </xf>
    <xf numFmtId="0" fontId="130" fillId="40" borderId="2" xfId="0" applyNumberFormat="1" applyFont="1" applyFill="1" applyBorder="1" applyAlignment="1">
      <alignment horizontal="center"/>
    </xf>
    <xf numFmtId="0" fontId="130" fillId="40" borderId="3" xfId="0" applyNumberFormat="1" applyFont="1" applyFill="1" applyBorder="1" applyAlignment="1">
      <alignment horizontal="center"/>
    </xf>
    <xf numFmtId="16" fontId="130" fillId="40" borderId="4" xfId="0" applyNumberFormat="1" applyFont="1" applyFill="1" applyBorder="1" applyAlignment="1">
      <alignment horizontal="center"/>
    </xf>
    <xf numFmtId="0" fontId="130" fillId="40" borderId="14" xfId="0" applyNumberFormat="1" applyFont="1" applyFill="1" applyBorder="1" applyAlignment="1">
      <alignment horizontal="center"/>
    </xf>
    <xf numFmtId="0" fontId="130" fillId="40" borderId="0" xfId="0" applyNumberFormat="1" applyFont="1" applyFill="1" applyBorder="1" applyAlignment="1">
      <alignment horizontal="center"/>
    </xf>
    <xf numFmtId="0" fontId="130" fillId="40" borderId="5" xfId="0" applyNumberFormat="1" applyFont="1" applyFill="1" applyBorder="1" applyAlignment="1">
      <alignment horizontal="center"/>
    </xf>
    <xf numFmtId="16" fontId="130" fillId="40" borderId="6" xfId="0" applyNumberFormat="1" applyFont="1" applyFill="1" applyBorder="1" applyAlignment="1">
      <alignment horizontal="center"/>
    </xf>
    <xf numFmtId="0" fontId="130" fillId="40" borderId="13" xfId="0" applyNumberFormat="1" applyFont="1" applyFill="1" applyBorder="1" applyAlignment="1">
      <alignment horizontal="center"/>
    </xf>
    <xf numFmtId="0" fontId="130" fillId="40" borderId="7" xfId="0" applyNumberFormat="1" applyFont="1" applyFill="1" applyBorder="1" applyAlignment="1">
      <alignment horizontal="center"/>
    </xf>
    <xf numFmtId="0" fontId="130" fillId="40" borderId="8" xfId="0" applyNumberFormat="1" applyFont="1" applyFill="1" applyBorder="1" applyAlignment="1">
      <alignment horizontal="center"/>
    </xf>
    <xf numFmtId="0" fontId="43" fillId="8" borderId="9" xfId="0" applyFont="1" applyFill="1" applyBorder="1" applyAlignment="1">
      <alignment horizontal="center"/>
    </xf>
    <xf numFmtId="0" fontId="61" fillId="8" borderId="10" xfId="0" applyFont="1" applyFill="1" applyBorder="1" applyAlignment="1">
      <alignment horizontal="center"/>
    </xf>
    <xf numFmtId="0" fontId="61" fillId="8" borderId="11" xfId="0" applyFont="1" applyFill="1" applyBorder="1" applyAlignment="1">
      <alignment horizontal="center"/>
    </xf>
    <xf numFmtId="0" fontId="62" fillId="15" borderId="0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1" fontId="0" fillId="8" borderId="14" xfId="0" applyNumberFormat="1" applyFill="1" applyBorder="1" applyAlignment="1">
      <alignment horizontal="center"/>
    </xf>
    <xf numFmtId="1" fontId="0" fillId="8" borderId="13" xfId="0" applyNumberFormat="1" applyFill="1" applyBorder="1" applyAlignment="1">
      <alignment horizontal="center"/>
    </xf>
    <xf numFmtId="0" fontId="59" fillId="15" borderId="1" xfId="0" applyFont="1" applyFill="1" applyBorder="1" applyAlignment="1">
      <alignment horizontal="center"/>
    </xf>
    <xf numFmtId="1" fontId="59" fillId="15" borderId="9" xfId="0" applyNumberFormat="1" applyFont="1" applyFill="1" applyBorder="1" applyAlignment="1">
      <alignment horizontal="center"/>
    </xf>
    <xf numFmtId="0" fontId="59" fillId="15" borderId="9" xfId="0" applyFont="1" applyFill="1" applyBorder="1" applyAlignment="1">
      <alignment horizontal="center"/>
    </xf>
    <xf numFmtId="0" fontId="59" fillId="15" borderId="3" xfId="0" applyFont="1" applyFill="1" applyBorder="1" applyAlignment="1">
      <alignment horizontal="center"/>
    </xf>
    <xf numFmtId="0" fontId="61" fillId="8" borderId="5" xfId="0" applyFont="1" applyFill="1" applyBorder="1" applyAlignment="1">
      <alignment horizontal="center"/>
    </xf>
    <xf numFmtId="0" fontId="61" fillId="8" borderId="8" xfId="0" applyFont="1" applyFill="1" applyBorder="1" applyAlignment="1">
      <alignment horizontal="center"/>
    </xf>
    <xf numFmtId="0" fontId="61" fillId="8" borderId="4" xfId="0" applyFont="1" applyFill="1" applyBorder="1" applyAlignment="1">
      <alignment horizontal="center"/>
    </xf>
    <xf numFmtId="0" fontId="62" fillId="15" borderId="4" xfId="0" applyFont="1" applyFill="1" applyBorder="1" applyAlignment="1">
      <alignment horizontal="center"/>
    </xf>
    <xf numFmtId="0" fontId="61" fillId="8" borderId="6" xfId="0" applyFont="1" applyFill="1" applyBorder="1" applyAlignment="1">
      <alignment horizontal="center"/>
    </xf>
    <xf numFmtId="0" fontId="62" fillId="15" borderId="14" xfId="0" applyFont="1" applyFill="1" applyBorder="1" applyAlignment="1">
      <alignment horizontal="center"/>
    </xf>
    <xf numFmtId="0" fontId="62" fillId="15" borderId="6" xfId="0" applyFont="1" applyFill="1" applyBorder="1" applyAlignment="1">
      <alignment horizontal="center"/>
    </xf>
    <xf numFmtId="0" fontId="62" fillId="15" borderId="13" xfId="0" applyFont="1" applyFill="1" applyBorder="1" applyAlignment="1">
      <alignment horizontal="center"/>
    </xf>
    <xf numFmtId="0" fontId="59" fillId="15" borderId="4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5" xfId="0" applyBorder="1" applyAlignment="1">
      <alignment horizontal="left"/>
    </xf>
    <xf numFmtId="0" fontId="1" fillId="0" borderId="15" xfId="0" applyFont="1" applyBorder="1" applyAlignment="1">
      <alignment horizontal="right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14" xfId="0" applyFont="1" applyFill="1" applyBorder="1" applyAlignment="1" applyProtection="1">
      <alignment horizontal="center"/>
      <protection locked="0"/>
    </xf>
    <xf numFmtId="0" fontId="0" fillId="0" borderId="12" xfId="0" applyFill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62" fillId="35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0" fontId="54" fillId="39" borderId="4" xfId="0" applyFont="1" applyFill="1" applyBorder="1" applyAlignment="1">
      <alignment horizontal="center"/>
    </xf>
    <xf numFmtId="0" fontId="54" fillId="39" borderId="6" xfId="0" applyFont="1" applyFill="1" applyBorder="1" applyAlignment="1">
      <alignment horizontal="center"/>
    </xf>
    <xf numFmtId="0" fontId="131" fillId="45" borderId="14" xfId="0" applyFont="1" applyFill="1" applyBorder="1" applyAlignment="1">
      <alignment horizontal="left"/>
    </xf>
    <xf numFmtId="0" fontId="131" fillId="45" borderId="14" xfId="0" applyFont="1" applyFill="1" applyBorder="1"/>
    <xf numFmtId="2" fontId="131" fillId="45" borderId="14" xfId="0" applyNumberFormat="1" applyFont="1" applyFill="1" applyBorder="1" applyAlignment="1">
      <alignment horizontal="center"/>
    </xf>
    <xf numFmtId="0" fontId="131" fillId="45" borderId="14" xfId="0" applyFont="1" applyFill="1" applyBorder="1" applyAlignment="1">
      <alignment horizontal="center"/>
    </xf>
    <xf numFmtId="0" fontId="131" fillId="45" borderId="0" xfId="0" applyFont="1" applyFill="1" applyBorder="1"/>
    <xf numFmtId="0" fontId="131" fillId="45" borderId="0" xfId="0" applyFont="1" applyFill="1" applyBorder="1" applyAlignment="1">
      <alignment horizontal="center"/>
    </xf>
    <xf numFmtId="2" fontId="131" fillId="45" borderId="14" xfId="0" applyNumberFormat="1" applyFont="1" applyFill="1" applyBorder="1" applyAlignment="1">
      <alignment horizontal="center" vertical="center"/>
    </xf>
    <xf numFmtId="0" fontId="131" fillId="45" borderId="5" xfId="0" applyFont="1" applyFill="1" applyBorder="1"/>
    <xf numFmtId="0" fontId="131" fillId="45" borderId="4" xfId="0" applyFont="1" applyFill="1" applyBorder="1"/>
    <xf numFmtId="0" fontId="131" fillId="45" borderId="2" xfId="0" applyFont="1" applyFill="1" applyBorder="1"/>
    <xf numFmtId="0" fontId="131" fillId="45" borderId="1" xfId="0" applyFont="1" applyFill="1" applyBorder="1"/>
    <xf numFmtId="0" fontId="131" fillId="45" borderId="3" xfId="0" applyFont="1" applyFill="1" applyBorder="1"/>
    <xf numFmtId="0" fontId="131" fillId="45" borderId="9" xfId="0" applyFont="1" applyFill="1" applyBorder="1"/>
    <xf numFmtId="166" fontId="131" fillId="45" borderId="14" xfId="0" applyNumberFormat="1" applyFont="1" applyFill="1" applyBorder="1" applyAlignment="1">
      <alignment horizontal="center"/>
    </xf>
    <xf numFmtId="0" fontId="137" fillId="45" borderId="13" xfId="0" applyFont="1" applyFill="1" applyBorder="1" applyAlignment="1">
      <alignment horizontal="left"/>
    </xf>
    <xf numFmtId="0" fontId="131" fillId="45" borderId="13" xfId="0" applyFont="1" applyFill="1" applyBorder="1"/>
    <xf numFmtId="2" fontId="131" fillId="45" borderId="13" xfId="0" applyNumberFormat="1" applyFont="1" applyFill="1" applyBorder="1" applyAlignment="1">
      <alignment horizontal="center"/>
    </xf>
    <xf numFmtId="166" fontId="131" fillId="45" borderId="13" xfId="0" applyNumberFormat="1" applyFont="1" applyFill="1" applyBorder="1" applyAlignment="1">
      <alignment horizontal="center"/>
    </xf>
    <xf numFmtId="0" fontId="131" fillId="45" borderId="13" xfId="0" applyFont="1" applyFill="1" applyBorder="1" applyAlignment="1">
      <alignment horizontal="center"/>
    </xf>
    <xf numFmtId="0" fontId="131" fillId="45" borderId="7" xfId="0" applyFont="1" applyFill="1" applyBorder="1"/>
    <xf numFmtId="0" fontId="131" fillId="45" borderId="7" xfId="0" applyFont="1" applyFill="1" applyBorder="1" applyAlignment="1">
      <alignment horizontal="center"/>
    </xf>
    <xf numFmtId="2" fontId="131" fillId="45" borderId="13" xfId="0" applyNumberFormat="1" applyFont="1" applyFill="1" applyBorder="1" applyAlignment="1">
      <alignment horizontal="center" vertical="center"/>
    </xf>
    <xf numFmtId="0" fontId="131" fillId="45" borderId="8" xfId="0" applyFont="1" applyFill="1" applyBorder="1"/>
    <xf numFmtId="0" fontId="131" fillId="45" borderId="6" xfId="0" applyFont="1" applyFill="1" applyBorder="1"/>
    <xf numFmtId="2" fontId="131" fillId="45" borderId="0" xfId="0" applyNumberFormat="1" applyFont="1" applyFill="1" applyBorder="1" applyAlignment="1">
      <alignment horizontal="center"/>
    </xf>
    <xf numFmtId="2" fontId="131" fillId="45" borderId="1" xfId="0" applyNumberFormat="1" applyFont="1" applyFill="1" applyBorder="1" applyAlignment="1">
      <alignment horizontal="center"/>
    </xf>
    <xf numFmtId="2" fontId="131" fillId="45" borderId="9" xfId="0" applyNumberFormat="1" applyFont="1" applyFill="1" applyBorder="1" applyAlignment="1">
      <alignment horizontal="center"/>
    </xf>
    <xf numFmtId="2" fontId="131" fillId="45" borderId="4" xfId="0" applyNumberFormat="1" applyFont="1" applyFill="1" applyBorder="1" applyAlignment="1">
      <alignment horizontal="center"/>
    </xf>
    <xf numFmtId="2" fontId="131" fillId="45" borderId="5" xfId="0" applyNumberFormat="1" applyFont="1" applyFill="1" applyBorder="1" applyAlignment="1">
      <alignment horizontal="center"/>
    </xf>
    <xf numFmtId="166" fontId="131" fillId="45" borderId="0" xfId="0" applyNumberFormat="1" applyFont="1" applyFill="1" applyBorder="1" applyAlignment="1">
      <alignment horizontal="center"/>
    </xf>
    <xf numFmtId="2" fontId="131" fillId="45" borderId="7" xfId="0" applyNumberFormat="1" applyFont="1" applyFill="1" applyBorder="1" applyAlignment="1">
      <alignment horizontal="center"/>
    </xf>
    <xf numFmtId="2" fontId="131" fillId="45" borderId="6" xfId="0" applyNumberFormat="1" applyFont="1" applyFill="1" applyBorder="1" applyAlignment="1">
      <alignment horizontal="center"/>
    </xf>
    <xf numFmtId="0" fontId="131" fillId="45" borderId="9" xfId="0" applyFont="1" applyFill="1" applyBorder="1" applyAlignment="1" applyProtection="1">
      <alignment horizontal="center"/>
      <protection locked="0"/>
    </xf>
    <xf numFmtId="0" fontId="131" fillId="45" borderId="14" xfId="0" applyFont="1" applyFill="1" applyBorder="1" applyAlignment="1" applyProtection="1">
      <alignment horizontal="center"/>
      <protection locked="0"/>
    </xf>
    <xf numFmtId="166" fontId="1" fillId="0" borderId="0" xfId="0" applyNumberFormat="1" applyFont="1" applyBorder="1" applyAlignment="1">
      <alignment horizontal="left"/>
    </xf>
    <xf numFmtId="2" fontId="0" fillId="0" borderId="0" xfId="0" applyNumberFormat="1" applyAlignment="1">
      <alignment horizontal="right" vertic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6" fillId="6" borderId="13" xfId="0" applyNumberFormat="1" applyFont="1" applyFill="1" applyBorder="1" applyAlignment="1" applyProtection="1">
      <alignment horizontal="center"/>
      <protection locked="0"/>
    </xf>
    <xf numFmtId="2" fontId="6" fillId="6" borderId="14" xfId="0" applyNumberFormat="1" applyFont="1" applyFill="1" applyBorder="1" applyAlignment="1" applyProtection="1">
      <alignment horizontal="center"/>
      <protection locked="0"/>
    </xf>
    <xf numFmtId="2" fontId="131" fillId="45" borderId="13" xfId="0" applyNumberFormat="1" applyFont="1" applyFill="1" applyBorder="1" applyAlignment="1" applyProtection="1">
      <alignment horizontal="center"/>
    </xf>
    <xf numFmtId="2" fontId="131" fillId="45" borderId="2" xfId="0" applyNumberFormat="1" applyFont="1" applyFill="1" applyBorder="1" applyAlignment="1">
      <alignment horizontal="center"/>
    </xf>
    <xf numFmtId="0" fontId="131" fillId="45" borderId="13" xfId="0" applyFont="1" applyFill="1" applyBorder="1" applyAlignment="1" applyProtection="1">
      <alignment horizontal="center"/>
      <protection locked="0"/>
    </xf>
    <xf numFmtId="0" fontId="0" fillId="5" borderId="10" xfId="0" applyFill="1" applyBorder="1"/>
    <xf numFmtId="0" fontId="0" fillId="5" borderId="15" xfId="0" applyFill="1" applyBorder="1"/>
    <xf numFmtId="0" fontId="1" fillId="5" borderId="10" xfId="0" applyFont="1" applyFill="1" applyBorder="1"/>
    <xf numFmtId="2" fontId="0" fillId="0" borderId="0" xfId="0" applyNumberFormat="1" applyAlignment="1">
      <alignment horizontal="right" vertical="center"/>
    </xf>
    <xf numFmtId="0" fontId="45" fillId="5" borderId="0" xfId="0" applyFont="1" applyFill="1"/>
    <xf numFmtId="0" fontId="2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99" fillId="46" borderId="0" xfId="0" applyFont="1" applyFill="1"/>
    <xf numFmtId="2" fontId="99" fillId="46" borderId="0" xfId="0" applyNumberFormat="1" applyFont="1" applyFill="1" applyAlignment="1">
      <alignment horizontal="right"/>
    </xf>
    <xf numFmtId="2" fontId="99" fillId="46" borderId="0" xfId="0" applyNumberFormat="1" applyFont="1" applyFill="1"/>
    <xf numFmtId="2" fontId="0" fillId="0" borderId="0" xfId="0" applyNumberFormat="1" applyAlignment="1">
      <alignment horizontal="right" vertical="center"/>
    </xf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 vertical="top" wrapText="1"/>
    </xf>
    <xf numFmtId="0" fontId="1" fillId="0" borderId="12" xfId="0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0" fillId="0" borderId="14" xfId="0" applyBorder="1"/>
    <xf numFmtId="0" fontId="0" fillId="0" borderId="13" xfId="0" applyBorder="1"/>
    <xf numFmtId="0" fontId="0" fillId="0" borderId="3" xfId="0" applyBorder="1"/>
    <xf numFmtId="0" fontId="1" fillId="0" borderId="10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6" xfId="0" applyFont="1" applyFill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/>
    </xf>
    <xf numFmtId="2" fontId="1" fillId="0" borderId="7" xfId="0" applyNumberFormat="1" applyFont="1" applyFill="1" applyBorder="1" applyAlignment="1">
      <alignment horizontal="center" vertical="top"/>
    </xf>
    <xf numFmtId="0" fontId="62" fillId="42" borderId="0" xfId="0" applyFont="1" applyFill="1"/>
    <xf numFmtId="0" fontId="2" fillId="0" borderId="0" xfId="0" applyFont="1" applyFill="1" applyAlignment="1" applyProtection="1">
      <alignment horizontal="left"/>
    </xf>
    <xf numFmtId="0" fontId="1" fillId="5" borderId="0" xfId="0" applyFont="1" applyFill="1" applyAlignment="1">
      <alignment horizontal="left"/>
    </xf>
    <xf numFmtId="2" fontId="1" fillId="0" borderId="2" xfId="0" applyNumberFormat="1" applyFont="1" applyFill="1" applyBorder="1" applyAlignment="1">
      <alignment horizontal="center" vertical="top"/>
    </xf>
    <xf numFmtId="0" fontId="1" fillId="0" borderId="15" xfId="0" applyFont="1" applyBorder="1" applyAlignment="1">
      <alignment horizontal="center" vertical="center"/>
    </xf>
    <xf numFmtId="0" fontId="2" fillId="5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1" fillId="14" borderId="12" xfId="0" applyFont="1" applyFill="1" applyBorder="1" applyAlignment="1">
      <alignment horizontal="center" vertical="top"/>
    </xf>
    <xf numFmtId="0" fontId="0" fillId="14" borderId="12" xfId="0" applyFill="1" applyBorder="1"/>
    <xf numFmtId="166" fontId="0" fillId="14" borderId="14" xfId="0" applyNumberFormat="1" applyFill="1" applyBorder="1" applyAlignment="1">
      <alignment horizontal="center"/>
    </xf>
    <xf numFmtId="0" fontId="0" fillId="14" borderId="13" xfId="0" applyFill="1" applyBorder="1" applyAlignment="1">
      <alignment horizontal="center"/>
    </xf>
    <xf numFmtId="2" fontId="0" fillId="14" borderId="14" xfId="0" applyNumberFormat="1" applyFill="1" applyBorder="1" applyAlignment="1">
      <alignment horizontal="center"/>
    </xf>
    <xf numFmtId="2" fontId="1" fillId="0" borderId="12" xfId="0" applyNumberFormat="1" applyFont="1" applyFill="1" applyBorder="1" applyAlignment="1" applyProtection="1">
      <alignment horizontal="center"/>
    </xf>
    <xf numFmtId="0" fontId="131" fillId="46" borderId="0" xfId="0" applyFont="1" applyFill="1"/>
    <xf numFmtId="0" fontId="131" fillId="46" borderId="0" xfId="0" applyFont="1" applyFill="1" applyBorder="1" applyAlignment="1">
      <alignment horizontal="left"/>
    </xf>
    <xf numFmtId="166" fontId="1" fillId="0" borderId="12" xfId="0" applyNumberFormat="1" applyFont="1" applyFill="1" applyBorder="1" applyAlignment="1" applyProtection="1">
      <alignment horizontal="center"/>
    </xf>
    <xf numFmtId="0" fontId="0" fillId="13" borderId="9" xfId="0" applyFill="1" applyBorder="1"/>
    <xf numFmtId="0" fontId="0" fillId="46" borderId="9" xfId="0" applyFill="1" applyBorder="1"/>
    <xf numFmtId="2" fontId="47" fillId="0" borderId="0" xfId="0" applyNumberFormat="1" applyFont="1" applyFill="1" applyAlignment="1">
      <alignment horizontal="right"/>
    </xf>
    <xf numFmtId="0" fontId="0" fillId="8" borderId="1" xfId="0" applyFill="1" applyBorder="1"/>
    <xf numFmtId="0" fontId="0" fillId="8" borderId="0" xfId="0" applyFill="1" applyBorder="1" applyAlignment="1">
      <alignment horizontal="center"/>
    </xf>
    <xf numFmtId="0" fontId="53" fillId="8" borderId="4" xfId="0" applyFont="1" applyFill="1" applyBorder="1"/>
    <xf numFmtId="0" fontId="53" fillId="8" borderId="0" xfId="0" applyFont="1" applyFill="1" applyBorder="1"/>
    <xf numFmtId="0" fontId="53" fillId="8" borderId="0" xfId="0" applyFont="1" applyFill="1" applyBorder="1" applyAlignment="1">
      <alignment horizontal="right"/>
    </xf>
    <xf numFmtId="0" fontId="1" fillId="8" borderId="0" xfId="0" applyFont="1" applyFill="1" applyBorder="1" applyAlignment="1">
      <alignment horizontal="left"/>
    </xf>
    <xf numFmtId="2" fontId="0" fillId="8" borderId="0" xfId="0" applyNumberFormat="1" applyFill="1" applyBorder="1"/>
    <xf numFmtId="166" fontId="0" fillId="8" borderId="0" xfId="0" applyNumberFormat="1" applyFill="1" applyBorder="1" applyAlignment="1">
      <alignment horizontal="right"/>
    </xf>
    <xf numFmtId="2" fontId="1" fillId="8" borderId="0" xfId="0" applyNumberFormat="1" applyFont="1" applyFill="1" applyBorder="1"/>
    <xf numFmtId="2" fontId="1" fillId="8" borderId="0" xfId="0" applyNumberFormat="1" applyFont="1" applyFill="1" applyBorder="1" applyAlignment="1">
      <alignment horizontal="center"/>
    </xf>
    <xf numFmtId="166" fontId="53" fillId="8" borderId="0" xfId="0" applyNumberFormat="1" applyFont="1" applyFill="1" applyBorder="1" applyAlignment="1">
      <alignment horizontal="center"/>
    </xf>
    <xf numFmtId="0" fontId="2" fillId="8" borderId="0" xfId="0" applyFont="1" applyFill="1" applyBorder="1"/>
    <xf numFmtId="0" fontId="2" fillId="8" borderId="4" xfId="0" applyFont="1" applyFill="1" applyBorder="1"/>
    <xf numFmtId="0" fontId="1" fillId="8" borderId="4" xfId="0" applyFont="1" applyFill="1" applyBorder="1" applyAlignment="1">
      <alignment horizontal="right"/>
    </xf>
    <xf numFmtId="2" fontId="1" fillId="8" borderId="0" xfId="0" applyNumberFormat="1" applyFont="1" applyFill="1" applyBorder="1" applyAlignment="1">
      <alignment horizontal="left"/>
    </xf>
    <xf numFmtId="166" fontId="53" fillId="8" borderId="0" xfId="0" applyNumberFormat="1" applyFont="1" applyFill="1" applyBorder="1" applyAlignment="1">
      <alignment horizontal="right"/>
    </xf>
    <xf numFmtId="2" fontId="1" fillId="8" borderId="0" xfId="0" applyNumberFormat="1" applyFont="1" applyFill="1" applyBorder="1" applyAlignment="1">
      <alignment horizontal="right"/>
    </xf>
    <xf numFmtId="0" fontId="1" fillId="8" borderId="0" xfId="0" applyFont="1" applyFill="1" applyBorder="1" applyAlignment="1">
      <alignment horizontal="right"/>
    </xf>
    <xf numFmtId="2" fontId="6" fillId="8" borderId="0" xfId="0" applyNumberFormat="1" applyFont="1" applyFill="1" applyBorder="1" applyAlignment="1">
      <alignment horizontal="left"/>
    </xf>
    <xf numFmtId="2" fontId="54" fillId="8" borderId="0" xfId="0" applyNumberFormat="1" applyFont="1" applyFill="1" applyBorder="1" applyAlignment="1">
      <alignment horizontal="left"/>
    </xf>
    <xf numFmtId="2" fontId="53" fillId="8" borderId="0" xfId="0" applyNumberFormat="1" applyFont="1" applyFill="1" applyBorder="1" applyAlignment="1">
      <alignment horizontal="left"/>
    </xf>
    <xf numFmtId="2" fontId="54" fillId="8" borderId="4" xfId="0" applyNumberFormat="1" applyFont="1" applyFill="1" applyBorder="1" applyAlignment="1">
      <alignment horizontal="left"/>
    </xf>
    <xf numFmtId="166" fontId="53" fillId="8" borderId="0" xfId="0" applyNumberFormat="1" applyFont="1" applyFill="1" applyBorder="1" applyAlignment="1">
      <alignment horizontal="left"/>
    </xf>
    <xf numFmtId="2" fontId="0" fillId="8" borderId="0" xfId="0" applyNumberFormat="1" applyFill="1" applyBorder="1" applyAlignment="1">
      <alignment horizontal="center"/>
    </xf>
    <xf numFmtId="0" fontId="7" fillId="8" borderId="0" xfId="0" applyFont="1" applyFill="1" applyBorder="1"/>
    <xf numFmtId="0" fontId="41" fillId="8" borderId="4" xfId="0" applyFont="1" applyFill="1" applyBorder="1" applyAlignment="1">
      <alignment horizontal="right"/>
    </xf>
    <xf numFmtId="2" fontId="0" fillId="8" borderId="0" xfId="0" applyNumberFormat="1" applyFill="1" applyBorder="1" applyAlignment="1">
      <alignment horizontal="left"/>
    </xf>
    <xf numFmtId="166" fontId="41" fillId="8" borderId="0" xfId="0" applyNumberFormat="1" applyFont="1" applyFill="1" applyBorder="1" applyAlignment="1">
      <alignment horizontal="right"/>
    </xf>
    <xf numFmtId="0" fontId="0" fillId="8" borderId="0" xfId="0" applyFill="1" applyBorder="1" applyAlignment="1">
      <alignment horizontal="left"/>
    </xf>
    <xf numFmtId="166" fontId="1" fillId="8" borderId="0" xfId="0" applyNumberFormat="1" applyFont="1" applyFill="1" applyBorder="1" applyAlignment="1">
      <alignment horizontal="center"/>
    </xf>
    <xf numFmtId="2" fontId="0" fillId="8" borderId="0" xfId="0" applyNumberFormat="1" applyFill="1" applyBorder="1" applyAlignment="1">
      <alignment horizontal="right"/>
    </xf>
    <xf numFmtId="1" fontId="0" fillId="8" borderId="0" xfId="0" applyNumberFormat="1" applyFill="1" applyBorder="1"/>
    <xf numFmtId="0" fontId="17" fillId="8" borderId="0" xfId="0" applyFont="1" applyFill="1" applyBorder="1" applyAlignment="1" applyProtection="1">
      <alignment horizontal="center"/>
    </xf>
    <xf numFmtId="0" fontId="1" fillId="8" borderId="0" xfId="0" applyFont="1" applyFill="1" applyBorder="1" applyAlignment="1" applyProtection="1">
      <alignment horizontal="center"/>
    </xf>
    <xf numFmtId="0" fontId="34" fillId="8" borderId="0" xfId="0" applyFont="1" applyFill="1" applyBorder="1"/>
    <xf numFmtId="0" fontId="17" fillId="8" borderId="0" xfId="0" applyFont="1" applyFill="1" applyBorder="1" applyAlignment="1" applyProtection="1">
      <alignment horizontal="center"/>
      <protection locked="0"/>
    </xf>
    <xf numFmtId="2" fontId="1" fillId="8" borderId="0" xfId="0" applyNumberFormat="1" applyFont="1" applyFill="1" applyBorder="1" applyProtection="1"/>
    <xf numFmtId="0" fontId="1" fillId="8" borderId="0" xfId="0" applyFont="1" applyFill="1" applyBorder="1" applyProtection="1"/>
    <xf numFmtId="2" fontId="1" fillId="8" borderId="0" xfId="0" applyNumberFormat="1" applyFont="1" applyFill="1" applyBorder="1" applyAlignment="1" applyProtection="1">
      <alignment horizontal="center"/>
    </xf>
    <xf numFmtId="0" fontId="1" fillId="8" borderId="4" xfId="0" applyFont="1" applyFill="1" applyBorder="1"/>
    <xf numFmtId="0" fontId="1" fillId="8" borderId="0" xfId="0" applyFont="1" applyFill="1" applyBorder="1" applyAlignment="1">
      <alignment horizontal="center"/>
    </xf>
    <xf numFmtId="0" fontId="1" fillId="8" borderId="6" xfId="0" applyFont="1" applyFill="1" applyBorder="1"/>
    <xf numFmtId="0" fontId="1" fillId="8" borderId="0" xfId="0" applyFont="1" applyFill="1" applyBorder="1" applyAlignment="1">
      <alignment horizontal="center" vertical="center" wrapText="1"/>
    </xf>
    <xf numFmtId="1" fontId="1" fillId="8" borderId="0" xfId="0" applyNumberFormat="1" applyFont="1" applyFill="1" applyBorder="1" applyAlignment="1">
      <alignment horizontal="center"/>
    </xf>
    <xf numFmtId="1" fontId="1" fillId="8" borderId="0" xfId="0" applyNumberFormat="1" applyFont="1" applyFill="1" applyBorder="1" applyAlignment="1" applyProtection="1">
      <alignment horizontal="center"/>
    </xf>
    <xf numFmtId="2" fontId="1" fillId="8" borderId="0" xfId="0" applyNumberFormat="1" applyFont="1" applyFill="1" applyBorder="1" applyAlignment="1" applyProtection="1">
      <alignment horizontal="left"/>
    </xf>
    <xf numFmtId="0" fontId="2" fillId="8" borderId="0" xfId="0" applyFont="1" applyFill="1" applyBorder="1" applyAlignment="1">
      <alignment horizontal="left"/>
    </xf>
    <xf numFmtId="0" fontId="59" fillId="21" borderId="4" xfId="0" applyFont="1" applyFill="1" applyBorder="1"/>
    <xf numFmtId="0" fontId="59" fillId="21" borderId="0" xfId="0" applyFont="1" applyFill="1" applyBorder="1"/>
    <xf numFmtId="0" fontId="0" fillId="0" borderId="0" xfId="0" applyNumberFormat="1" applyFill="1" applyAlignment="1" applyProtection="1">
      <alignment horizontal="right"/>
      <protection locked="0"/>
    </xf>
    <xf numFmtId="0" fontId="1" fillId="0" borderId="0" xfId="0" applyFont="1" applyFill="1" applyAlignment="1" applyProtection="1">
      <alignment horizontal="left" vertical="center"/>
      <protection locked="0"/>
    </xf>
    <xf numFmtId="166" fontId="1" fillId="0" borderId="0" xfId="0" applyNumberFormat="1" applyFont="1" applyFill="1" applyProtection="1">
      <protection locked="0"/>
    </xf>
    <xf numFmtId="0" fontId="51" fillId="39" borderId="0" xfId="0" applyFont="1" applyFill="1"/>
    <xf numFmtId="2" fontId="51" fillId="39" borderId="0" xfId="0" applyNumberFormat="1" applyFont="1" applyFill="1" applyAlignment="1">
      <alignment horizontal="center"/>
    </xf>
    <xf numFmtId="0" fontId="51" fillId="47" borderId="0" xfId="0" applyFont="1" applyFill="1"/>
    <xf numFmtId="2" fontId="51" fillId="47" borderId="0" xfId="0" applyNumberFormat="1" applyFont="1" applyFill="1"/>
    <xf numFmtId="2" fontId="51" fillId="47" borderId="0" xfId="0" applyNumberFormat="1" applyFont="1" applyFill="1" applyAlignment="1">
      <alignment horizontal="center"/>
    </xf>
    <xf numFmtId="2" fontId="51" fillId="47" borderId="0" xfId="0" applyNumberFormat="1" applyFont="1" applyFill="1" applyAlignment="1">
      <alignment horizontal="right"/>
    </xf>
    <xf numFmtId="0" fontId="51" fillId="47" borderId="0" xfId="0" applyFont="1" applyFill="1" applyAlignment="1">
      <alignment horizontal="center"/>
    </xf>
    <xf numFmtId="2" fontId="114" fillId="28" borderId="0" xfId="0" applyNumberFormat="1" applyFont="1" applyFill="1" applyAlignment="1">
      <alignment horizontal="left"/>
    </xf>
    <xf numFmtId="0" fontId="2" fillId="6" borderId="0" xfId="0" applyFont="1" applyFill="1" applyAlignment="1" applyProtection="1">
      <alignment horizontal="center"/>
      <protection locked="0"/>
    </xf>
    <xf numFmtId="0" fontId="1" fillId="0" borderId="12" xfId="0" applyFont="1" applyBorder="1" applyAlignment="1">
      <alignment horizontal="center" vertical="top"/>
    </xf>
    <xf numFmtId="0" fontId="51" fillId="8" borderId="1" xfId="0" applyFont="1" applyFill="1" applyBorder="1"/>
    <xf numFmtId="2" fontId="59" fillId="15" borderId="2" xfId="0" applyNumberFormat="1" applyFont="1" applyFill="1" applyBorder="1" applyAlignment="1" applyProtection="1">
      <alignment horizontal="center"/>
    </xf>
    <xf numFmtId="2" fontId="0" fillId="0" borderId="1" xfId="0" applyNumberFormat="1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139" fillId="42" borderId="4" xfId="0" applyNumberFormat="1" applyFont="1" applyFill="1" applyBorder="1" applyAlignment="1">
      <alignment horizontal="center"/>
    </xf>
    <xf numFmtId="2" fontId="139" fillId="42" borderId="13" xfId="0" applyNumberFormat="1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 vertical="top" wrapText="1"/>
    </xf>
    <xf numFmtId="0" fontId="4" fillId="0" borderId="5" xfId="0" applyFont="1" applyBorder="1"/>
    <xf numFmtId="0" fontId="4" fillId="0" borderId="8" xfId="0" applyFont="1" applyBorder="1"/>
    <xf numFmtId="1" fontId="0" fillId="6" borderId="0" xfId="0" applyNumberFormat="1" applyFill="1" applyBorder="1" applyProtection="1">
      <protection locked="0"/>
    </xf>
    <xf numFmtId="1" fontId="0" fillId="6" borderId="7" xfId="0" applyNumberFormat="1" applyFill="1" applyBorder="1" applyProtection="1">
      <protection locked="0"/>
    </xf>
    <xf numFmtId="0" fontId="140" fillId="24" borderId="10" xfId="0" applyFont="1" applyFill="1" applyBorder="1"/>
    <xf numFmtId="0" fontId="0" fillId="24" borderId="15" xfId="0" applyFill="1" applyBorder="1"/>
    <xf numFmtId="0" fontId="0" fillId="24" borderId="11" xfId="0" applyFill="1" applyBorder="1"/>
    <xf numFmtId="0" fontId="1" fillId="48" borderId="4" xfId="0" applyFont="1" applyFill="1" applyBorder="1" applyAlignment="1">
      <alignment horizontal="right"/>
    </xf>
    <xf numFmtId="0" fontId="1" fillId="48" borderId="6" xfId="0" applyFont="1" applyFill="1" applyBorder="1" applyAlignment="1">
      <alignment horizontal="right"/>
    </xf>
    <xf numFmtId="2" fontId="0" fillId="0" borderId="1" xfId="0" applyNumberFormat="1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80" fillId="23" borderId="10" xfId="0" applyFont="1" applyFill="1" applyBorder="1" applyAlignment="1">
      <alignment horizontal="center"/>
    </xf>
    <xf numFmtId="2" fontId="59" fillId="15" borderId="4" xfId="0" applyNumberFormat="1" applyFont="1" applyFill="1" applyBorder="1" applyAlignment="1">
      <alignment horizontal="center"/>
    </xf>
    <xf numFmtId="0" fontId="120" fillId="27" borderId="3" xfId="0" applyFont="1" applyFill="1" applyBorder="1"/>
    <xf numFmtId="0" fontId="120" fillId="27" borderId="5" xfId="0" applyFont="1" applyFill="1" applyBorder="1"/>
    <xf numFmtId="0" fontId="120" fillId="39" borderId="8" xfId="0" applyFont="1" applyFill="1" applyBorder="1"/>
    <xf numFmtId="0" fontId="121" fillId="27" borderId="14" xfId="0" applyFont="1" applyFill="1" applyBorder="1" applyAlignment="1"/>
    <xf numFmtId="166" fontId="120" fillId="27" borderId="1" xfId="0" applyNumberFormat="1" applyFont="1" applyFill="1" applyBorder="1" applyAlignment="1"/>
    <xf numFmtId="2" fontId="121" fillId="39" borderId="6" xfId="0" applyNumberFormat="1" applyFont="1" applyFill="1" applyBorder="1"/>
    <xf numFmtId="0" fontId="1" fillId="16" borderId="3" xfId="0" applyFont="1" applyFill="1" applyBorder="1" applyAlignment="1">
      <alignment horizontal="center"/>
    </xf>
    <xf numFmtId="2" fontId="3" fillId="39" borderId="0" xfId="0" applyNumberFormat="1" applyFont="1" applyFill="1" applyAlignment="1" applyProtection="1">
      <alignment horizontal="center"/>
    </xf>
    <xf numFmtId="2" fontId="3" fillId="39" borderId="0" xfId="0" applyNumberFormat="1" applyFont="1" applyFill="1" applyAlignment="1" applyProtection="1">
      <alignment horizontal="left"/>
    </xf>
    <xf numFmtId="16" fontId="73" fillId="13" borderId="14" xfId="0" applyNumberFormat="1" applyFont="1" applyFill="1" applyBorder="1" applyAlignment="1">
      <alignment horizontal="center"/>
    </xf>
    <xf numFmtId="0" fontId="54" fillId="13" borderId="12" xfId="0" applyFont="1" applyFill="1" applyBorder="1" applyAlignment="1">
      <alignment horizontal="center"/>
    </xf>
    <xf numFmtId="0" fontId="51" fillId="13" borderId="12" xfId="0" applyFont="1" applyFill="1" applyBorder="1" applyAlignment="1">
      <alignment horizontal="center"/>
    </xf>
    <xf numFmtId="2" fontId="51" fillId="13" borderId="4" xfId="0" applyNumberFormat="1" applyFont="1" applyFill="1" applyBorder="1" applyAlignment="1">
      <alignment horizontal="center"/>
    </xf>
    <xf numFmtId="0" fontId="0" fillId="16" borderId="5" xfId="0" applyFill="1" applyBorder="1" applyAlignment="1">
      <alignment horizontal="center"/>
    </xf>
    <xf numFmtId="2" fontId="51" fillId="13" borderId="1" xfId="0" applyNumberFormat="1" applyFont="1" applyFill="1" applyBorder="1" applyAlignment="1">
      <alignment horizontal="center"/>
    </xf>
    <xf numFmtId="2" fontId="73" fillId="13" borderId="4" xfId="0" applyNumberFormat="1" applyFont="1" applyFill="1" applyBorder="1" applyAlignment="1">
      <alignment horizontal="center"/>
    </xf>
    <xf numFmtId="2" fontId="51" fillId="13" borderId="6" xfId="0" applyNumberFormat="1" applyFont="1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5" borderId="0" xfId="0" applyFill="1" applyProtection="1">
      <protection locked="0"/>
    </xf>
    <xf numFmtId="0" fontId="0" fillId="6" borderId="12" xfId="0" applyFill="1" applyBorder="1" applyAlignment="1" applyProtection="1">
      <alignment horizontal="center"/>
    </xf>
    <xf numFmtId="0" fontId="1" fillId="0" borderId="0" xfId="0" applyFont="1" applyAlignment="1">
      <alignment horizontal="left" vertical="center"/>
    </xf>
    <xf numFmtId="0" fontId="0" fillId="0" borderId="3" xfId="0" applyBorder="1"/>
    <xf numFmtId="0" fontId="142" fillId="0" borderId="0" xfId="0" applyFont="1"/>
    <xf numFmtId="0" fontId="0" fillId="0" borderId="4" xfId="0" applyBorder="1"/>
    <xf numFmtId="0" fontId="0" fillId="0" borderId="6" xfId="0" applyBorder="1"/>
    <xf numFmtId="0" fontId="1" fillId="8" borderId="10" xfId="0" applyFont="1" applyFill="1" applyBorder="1" applyAlignment="1">
      <alignment horizontal="center"/>
    </xf>
    <xf numFmtId="0" fontId="0" fillId="39" borderId="15" xfId="0" applyFill="1" applyBorder="1" applyAlignment="1">
      <alignment horizontal="center"/>
    </xf>
    <xf numFmtId="0" fontId="1" fillId="8" borderId="15" xfId="0" applyFont="1" applyFill="1" applyBorder="1" applyAlignment="1">
      <alignment horizontal="center"/>
    </xf>
    <xf numFmtId="1" fontId="0" fillId="39" borderId="15" xfId="0" applyNumberFormat="1" applyFill="1" applyBorder="1" applyAlignment="1">
      <alignment horizontal="center"/>
    </xf>
    <xf numFmtId="2" fontId="1" fillId="8" borderId="11" xfId="0" applyNumberFormat="1" applyFont="1" applyFill="1" applyBorder="1" applyAlignment="1">
      <alignment horizontal="center"/>
    </xf>
    <xf numFmtId="0" fontId="61" fillId="0" borderId="1" xfId="0" applyFont="1" applyBorder="1" applyAlignment="1">
      <alignment vertical="top"/>
    </xf>
    <xf numFmtId="0" fontId="61" fillId="0" borderId="6" xfId="0" applyFont="1" applyBorder="1" applyAlignment="1">
      <alignment vertical="top"/>
    </xf>
    <xf numFmtId="0" fontId="61" fillId="0" borderId="4" xfId="0" applyFont="1" applyBorder="1" applyAlignment="1">
      <alignment vertical="top"/>
    </xf>
    <xf numFmtId="1" fontId="62" fillId="15" borderId="7" xfId="0" applyNumberFormat="1" applyFont="1" applyFill="1" applyBorder="1" applyAlignment="1">
      <alignment horizontal="center"/>
    </xf>
    <xf numFmtId="1" fontId="62" fillId="15" borderId="8" xfId="0" applyNumberFormat="1" applyFont="1" applyFill="1" applyBorder="1" applyAlignment="1">
      <alignment horizontal="center"/>
    </xf>
    <xf numFmtId="0" fontId="62" fillId="15" borderId="10" xfId="0" applyNumberFormat="1" applyFont="1" applyFill="1" applyBorder="1" applyAlignment="1">
      <alignment horizontal="center"/>
    </xf>
    <xf numFmtId="0" fontId="62" fillId="15" borderId="12" xfId="0" applyNumberFormat="1" applyFont="1" applyFill="1" applyBorder="1" applyAlignment="1">
      <alignment horizontal="center"/>
    </xf>
    <xf numFmtId="1" fontId="62" fillId="15" borderId="15" xfId="0" applyNumberFormat="1" applyFont="1" applyFill="1" applyBorder="1" applyAlignment="1">
      <alignment horizontal="center"/>
    </xf>
    <xf numFmtId="1" fontId="62" fillId="15" borderId="11" xfId="0" applyNumberFormat="1" applyFont="1" applyFill="1" applyBorder="1" applyAlignment="1">
      <alignment horizontal="center"/>
    </xf>
    <xf numFmtId="0" fontId="61" fillId="8" borderId="10" xfId="0" applyNumberFormat="1" applyFont="1" applyFill="1" applyBorder="1" applyAlignment="1">
      <alignment horizontal="center"/>
    </xf>
    <xf numFmtId="0" fontId="61" fillId="8" borderId="12" xfId="0" applyNumberFormat="1" applyFont="1" applyFill="1" applyBorder="1" applyAlignment="1">
      <alignment horizontal="center"/>
    </xf>
    <xf numFmtId="1" fontId="61" fillId="8" borderId="15" xfId="0" applyNumberFormat="1" applyFont="1" applyFill="1" applyBorder="1" applyAlignment="1">
      <alignment horizontal="center"/>
    </xf>
    <xf numFmtId="1" fontId="61" fillId="8" borderId="11" xfId="0" applyNumberFormat="1" applyFont="1" applyFill="1" applyBorder="1" applyAlignment="1">
      <alignment horizontal="center"/>
    </xf>
    <xf numFmtId="1" fontId="61" fillId="8" borderId="3" xfId="0" applyNumberFormat="1" applyFont="1" applyFill="1" applyBorder="1" applyAlignment="1">
      <alignment horizontal="center"/>
    </xf>
    <xf numFmtId="1" fontId="61" fillId="8" borderId="2" xfId="0" applyNumberFormat="1" applyFont="1" applyFill="1" applyBorder="1" applyAlignment="1">
      <alignment horizontal="center"/>
    </xf>
    <xf numFmtId="2" fontId="61" fillId="6" borderId="0" xfId="0" applyNumberFormat="1" applyFont="1" applyFill="1" applyBorder="1" applyAlignment="1" applyProtection="1">
      <alignment horizontal="center"/>
      <protection locked="0"/>
    </xf>
    <xf numFmtId="1" fontId="61" fillId="0" borderId="0" xfId="0" applyNumberFormat="1" applyFont="1" applyFill="1" applyAlignment="1">
      <alignment horizontal="right"/>
    </xf>
    <xf numFmtId="0" fontId="1" fillId="0" borderId="0" xfId="0" applyFont="1" applyFill="1" applyAlignment="1" applyProtection="1">
      <alignment horizontal="left"/>
    </xf>
    <xf numFmtId="0" fontId="1" fillId="0" borderId="0" xfId="0" applyFont="1" applyFill="1" applyAlignment="1">
      <alignment vertical="center" textRotation="90"/>
    </xf>
    <xf numFmtId="0" fontId="1" fillId="0" borderId="0" xfId="0" applyFont="1" applyAlignment="1">
      <alignment vertical="center" textRotation="90"/>
    </xf>
    <xf numFmtId="2" fontId="0" fillId="0" borderId="0" xfId="0" applyNumberFormat="1" applyAlignment="1">
      <alignment horizontal="center"/>
    </xf>
    <xf numFmtId="0" fontId="0" fillId="7" borderId="12" xfId="0" applyFill="1" applyBorder="1" applyAlignment="1" applyProtection="1">
      <alignment horizont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3" xfId="0" applyBorder="1"/>
    <xf numFmtId="0" fontId="62" fillId="49" borderId="0" xfId="0" applyFont="1" applyFill="1"/>
    <xf numFmtId="165" fontId="0" fillId="5" borderId="0" xfId="0" applyNumberFormat="1" applyFill="1"/>
    <xf numFmtId="167" fontId="0" fillId="5" borderId="0" xfId="0" applyNumberFormat="1" applyFill="1"/>
    <xf numFmtId="0" fontId="62" fillId="15" borderId="11" xfId="0" applyNumberFormat="1" applyFont="1" applyFill="1" applyBorder="1" applyAlignment="1">
      <alignment horizontal="center"/>
    </xf>
    <xf numFmtId="0" fontId="62" fillId="15" borderId="40" xfId="0" applyNumberFormat="1" applyFont="1" applyFill="1" applyBorder="1" applyAlignment="1">
      <alignment horizontal="center"/>
    </xf>
    <xf numFmtId="0" fontId="2" fillId="39" borderId="0" xfId="0" applyFont="1" applyFill="1"/>
    <xf numFmtId="0" fontId="0" fillId="39" borderId="0" xfId="0" applyFill="1" applyProtection="1">
      <protection locked="0"/>
    </xf>
    <xf numFmtId="0" fontId="0" fillId="0" borderId="2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3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0" xfId="0" applyNumberFormat="1" applyFont="1" applyFill="1" applyAlignment="1">
      <alignment horizontal="left"/>
    </xf>
    <xf numFmtId="0" fontId="20" fillId="0" borderId="1" xfId="0" applyFont="1" applyFill="1" applyBorder="1"/>
    <xf numFmtId="2" fontId="0" fillId="0" borderId="1" xfId="0" applyNumberFormat="1" applyBorder="1" applyAlignment="1">
      <alignment horizontal="right"/>
    </xf>
    <xf numFmtId="0" fontId="0" fillId="0" borderId="3" xfId="0" applyBorder="1" applyAlignment="1"/>
    <xf numFmtId="0" fontId="1" fillId="0" borderId="7" xfId="0" applyFon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12" xfId="0" applyFont="1" applyFill="1" applyBorder="1" applyAlignment="1">
      <alignment horizontal="left"/>
    </xf>
    <xf numFmtId="0" fontId="1" fillId="0" borderId="14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4" xfId="0" applyFont="1" applyFill="1" applyBorder="1" applyAlignment="1">
      <alignment horizontal="right"/>
    </xf>
    <xf numFmtId="0" fontId="1" fillId="0" borderId="13" xfId="0" applyFont="1" applyFill="1" applyBorder="1" applyAlignment="1">
      <alignment horizontal="right"/>
    </xf>
    <xf numFmtId="2" fontId="0" fillId="0" borderId="0" xfId="0" applyNumberFormat="1" applyAlignment="1">
      <alignment horizontal="center"/>
    </xf>
    <xf numFmtId="0" fontId="0" fillId="0" borderId="4" xfId="0" applyBorder="1"/>
    <xf numFmtId="0" fontId="0" fillId="0" borderId="6" xfId="0" applyBorder="1"/>
    <xf numFmtId="0" fontId="1" fillId="0" borderId="1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34" fillId="0" borderId="1" xfId="0" applyFont="1" applyFill="1" applyBorder="1"/>
    <xf numFmtId="0" fontId="1" fillId="0" borderId="3" xfId="0" applyFont="1" applyFill="1" applyBorder="1" applyProtection="1">
      <protection locked="0"/>
    </xf>
    <xf numFmtId="2" fontId="1" fillId="0" borderId="0" xfId="0" applyNumberFormat="1" applyFont="1" applyFill="1" applyBorder="1" applyAlignment="1" applyProtection="1">
      <alignment horizontal="left"/>
    </xf>
    <xf numFmtId="2" fontId="1" fillId="0" borderId="7" xfId="0" applyNumberFormat="1" applyFont="1" applyFill="1" applyBorder="1" applyAlignment="1" applyProtection="1">
      <alignment horizontal="left"/>
    </xf>
    <xf numFmtId="2" fontId="1" fillId="0" borderId="4" xfId="0" applyNumberFormat="1" applyFont="1" applyFill="1" applyBorder="1" applyAlignment="1" applyProtection="1">
      <alignment horizontal="right"/>
    </xf>
    <xf numFmtId="2" fontId="1" fillId="0" borderId="6" xfId="0" applyNumberFormat="1" applyFont="1" applyFill="1" applyBorder="1" applyAlignment="1" applyProtection="1">
      <alignment horizontal="right"/>
    </xf>
    <xf numFmtId="2" fontId="1" fillId="0" borderId="13" xfId="0" applyNumberFormat="1" applyFont="1" applyFill="1" applyBorder="1" applyAlignment="1" applyProtection="1">
      <alignment horizontal="left"/>
    </xf>
    <xf numFmtId="16" fontId="0" fillId="0" borderId="8" xfId="0" applyNumberFormat="1" applyBorder="1" applyAlignment="1">
      <alignment horizontal="left"/>
    </xf>
    <xf numFmtId="2" fontId="1" fillId="0" borderId="8" xfId="0" applyNumberFormat="1" applyFont="1" applyBorder="1"/>
    <xf numFmtId="0" fontId="1" fillId="0" borderId="4" xfId="0" applyFont="1" applyBorder="1" applyAlignment="1">
      <alignment vertical="center"/>
    </xf>
    <xf numFmtId="0" fontId="1" fillId="5" borderId="0" xfId="0" applyFont="1" applyFill="1" applyProtection="1">
      <protection locked="0"/>
    </xf>
    <xf numFmtId="0" fontId="0" fillId="0" borderId="2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62" fillId="44" borderId="10" xfId="0" applyFon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Border="1"/>
    <xf numFmtId="0" fontId="0" fillId="0" borderId="6" xfId="0" applyBorder="1"/>
    <xf numFmtId="0" fontId="1" fillId="0" borderId="1" xfId="0" applyFon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108" fillId="21" borderId="0" xfId="0" applyFont="1" applyFill="1"/>
    <xf numFmtId="2" fontId="59" fillId="21" borderId="12" xfId="0" applyNumberFormat="1" applyFont="1" applyFill="1" applyBorder="1" applyAlignment="1">
      <alignment horizontal="center"/>
    </xf>
    <xf numFmtId="2" fontId="59" fillId="21" borderId="13" xfId="0" applyNumberFormat="1" applyFont="1" applyFill="1" applyBorder="1" applyAlignment="1">
      <alignment horizontal="center"/>
    </xf>
    <xf numFmtId="0" fontId="20" fillId="0" borderId="25" xfId="0" applyFont="1" applyBorder="1"/>
    <xf numFmtId="0" fontId="0" fillId="0" borderId="24" xfId="0" applyBorder="1"/>
    <xf numFmtId="0" fontId="0" fillId="0" borderId="25" xfId="0" applyBorder="1"/>
    <xf numFmtId="0" fontId="108" fillId="21" borderId="0" xfId="0" applyFont="1" applyFill="1" applyBorder="1"/>
    <xf numFmtId="0" fontId="0" fillId="0" borderId="26" xfId="0" applyBorder="1"/>
    <xf numFmtId="0" fontId="62" fillId="44" borderId="23" xfId="0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17" borderId="30" xfId="0" applyFill="1" applyBorder="1"/>
    <xf numFmtId="0" fontId="0" fillId="17" borderId="31" xfId="0" applyFill="1" applyBorder="1"/>
    <xf numFmtId="2" fontId="0" fillId="17" borderId="31" xfId="0" applyNumberFormat="1" applyFill="1" applyBorder="1" applyAlignment="1">
      <alignment horizontal="center"/>
    </xf>
    <xf numFmtId="0" fontId="0" fillId="17" borderId="31" xfId="0" applyFill="1" applyBorder="1" applyAlignment="1">
      <alignment horizontal="left"/>
    </xf>
    <xf numFmtId="0" fontId="0" fillId="17" borderId="22" xfId="0" applyFill="1" applyBorder="1"/>
    <xf numFmtId="0" fontId="0" fillId="17" borderId="27" xfId="0" applyFill="1" applyBorder="1"/>
    <xf numFmtId="0" fontId="0" fillId="17" borderId="28" xfId="0" applyFill="1" applyBorder="1"/>
    <xf numFmtId="2" fontId="0" fillId="17" borderId="28" xfId="0" applyNumberFormat="1" applyFill="1" applyBorder="1" applyAlignment="1">
      <alignment horizontal="center"/>
    </xf>
    <xf numFmtId="0" fontId="0" fillId="17" borderId="28" xfId="0" applyFill="1" applyBorder="1" applyAlignment="1">
      <alignment horizontal="left"/>
    </xf>
    <xf numFmtId="166" fontId="0" fillId="17" borderId="28" xfId="0" applyNumberFormat="1" applyFill="1" applyBorder="1" applyAlignment="1">
      <alignment horizontal="center"/>
    </xf>
    <xf numFmtId="0" fontId="0" fillId="17" borderId="29" xfId="0" applyFill="1" applyBorder="1"/>
    <xf numFmtId="2" fontId="1" fillId="0" borderId="9" xfId="0" applyNumberFormat="1" applyFont="1" applyBorder="1" applyAlignment="1" applyProtection="1">
      <alignment horizontal="center"/>
    </xf>
    <xf numFmtId="2" fontId="1" fillId="0" borderId="14" xfId="0" applyNumberFormat="1" applyFont="1" applyBorder="1" applyAlignment="1" applyProtection="1">
      <alignment horizontal="center"/>
    </xf>
    <xf numFmtId="2" fontId="0" fillId="0" borderId="9" xfId="0" applyNumberFormat="1" applyFill="1" applyBorder="1" applyAlignment="1" applyProtection="1">
      <alignment horizontal="center"/>
    </xf>
    <xf numFmtId="2" fontId="0" fillId="0" borderId="9" xfId="0" applyNumberFormat="1" applyBorder="1" applyAlignment="1" applyProtection="1">
      <alignment horizontal="center"/>
    </xf>
    <xf numFmtId="2" fontId="0" fillId="0" borderId="14" xfId="0" applyNumberFormat="1" applyFill="1" applyBorder="1" applyAlignment="1" applyProtection="1">
      <alignment horizontal="center"/>
    </xf>
    <xf numFmtId="2" fontId="1" fillId="0" borderId="13" xfId="0" applyNumberFormat="1" applyFont="1" applyBorder="1" applyAlignment="1" applyProtection="1">
      <alignment horizontal="center"/>
    </xf>
    <xf numFmtId="2" fontId="0" fillId="0" borderId="13" xfId="0" applyNumberFormat="1" applyFill="1" applyBorder="1" applyAlignment="1" applyProtection="1">
      <alignment horizontal="center"/>
    </xf>
    <xf numFmtId="2" fontId="1" fillId="0" borderId="14" xfId="0" applyNumberFormat="1" applyFont="1" applyFill="1" applyBorder="1" applyAlignment="1" applyProtection="1">
      <alignment horizontal="center"/>
    </xf>
    <xf numFmtId="2" fontId="1" fillId="0" borderId="13" xfId="0" applyNumberFormat="1" applyFont="1" applyFill="1" applyBorder="1" applyAlignment="1" applyProtection="1">
      <alignment horizontal="center"/>
    </xf>
    <xf numFmtId="2" fontId="59" fillId="44" borderId="12" xfId="0" applyNumberFormat="1" applyFont="1" applyFill="1" applyBorder="1" applyAlignment="1">
      <alignment horizontal="center"/>
    </xf>
    <xf numFmtId="2" fontId="59" fillId="44" borderId="15" xfId="0" applyNumberFormat="1" applyFont="1" applyFill="1" applyBorder="1" applyAlignment="1">
      <alignment horizontal="center"/>
    </xf>
    <xf numFmtId="2" fontId="59" fillId="44" borderId="10" xfId="0" applyNumberFormat="1" applyFont="1" applyFill="1" applyBorder="1" applyAlignment="1">
      <alignment horizontal="center"/>
    </xf>
    <xf numFmtId="2" fontId="59" fillId="44" borderId="11" xfId="0" applyNumberFormat="1" applyFont="1" applyFill="1" applyBorder="1" applyAlignment="1">
      <alignment horizontal="center"/>
    </xf>
    <xf numFmtId="2" fontId="59" fillId="29" borderId="13" xfId="0" applyNumberFormat="1" applyFont="1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62" fillId="44" borderId="1" xfId="0" applyFont="1" applyFill="1" applyBorder="1" applyAlignment="1">
      <alignment horizontal="center"/>
    </xf>
    <xf numFmtId="0" fontId="54" fillId="5" borderId="32" xfId="0" applyFont="1" applyFill="1" applyBorder="1" applyAlignment="1">
      <alignment horizontal="center"/>
    </xf>
    <xf numFmtId="0" fontId="2" fillId="5" borderId="12" xfId="0" applyFont="1" applyFill="1" applyBorder="1" applyAlignment="1" applyProtection="1">
      <alignment horizontal="center"/>
    </xf>
    <xf numFmtId="0" fontId="143" fillId="27" borderId="25" xfId="0" applyFont="1" applyFill="1" applyBorder="1"/>
    <xf numFmtId="0" fontId="120" fillId="27" borderId="0" xfId="0" applyFont="1" applyFill="1" applyBorder="1"/>
    <xf numFmtId="0" fontId="1" fillId="0" borderId="39" xfId="0" applyFont="1" applyBorder="1"/>
    <xf numFmtId="0" fontId="1" fillId="5" borderId="1" xfId="0" applyFont="1" applyFill="1" applyBorder="1"/>
    <xf numFmtId="0" fontId="0" fillId="0" borderId="14" xfId="0" applyFill="1" applyBorder="1"/>
    <xf numFmtId="1" fontId="0" fillId="0" borderId="4" xfId="0" applyNumberFormat="1" applyBorder="1" applyAlignment="1">
      <alignment horizontal="center"/>
    </xf>
    <xf numFmtId="0" fontId="0" fillId="0" borderId="5" xfId="0" applyFill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62" fillId="44" borderId="32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0" fillId="0" borderId="4" xfId="0" applyBorder="1"/>
    <xf numFmtId="0" fontId="1" fillId="0" borderId="13" xfId="0" applyFont="1" applyBorder="1" applyAlignment="1">
      <alignment horizontal="center" vertical="center" wrapText="1"/>
    </xf>
    <xf numFmtId="2" fontId="0" fillId="0" borderId="10" xfId="0" applyNumberFormat="1" applyBorder="1" applyAlignment="1">
      <alignment horizontal="center"/>
    </xf>
    <xf numFmtId="0" fontId="1" fillId="0" borderId="6" xfId="0" applyFont="1" applyBorder="1" applyAlignment="1">
      <alignment horizontal="center" vertical="center" wrapText="1"/>
    </xf>
    <xf numFmtId="0" fontId="0" fillId="16" borderId="1" xfId="0" applyFill="1" applyBorder="1"/>
    <xf numFmtId="0" fontId="0" fillId="16" borderId="2" xfId="0" applyFill="1" applyBorder="1"/>
    <xf numFmtId="0" fontId="0" fillId="16" borderId="3" xfId="0" applyFill="1" applyBorder="1"/>
    <xf numFmtId="0" fontId="0" fillId="16" borderId="4" xfId="0" applyFill="1" applyBorder="1"/>
    <xf numFmtId="0" fontId="0" fillId="16" borderId="0" xfId="0" applyFill="1" applyBorder="1"/>
    <xf numFmtId="0" fontId="0" fillId="16" borderId="5" xfId="0" applyFill="1" applyBorder="1"/>
    <xf numFmtId="0" fontId="0" fillId="16" borderId="6" xfId="0" applyFill="1" applyBorder="1"/>
    <xf numFmtId="0" fontId="0" fillId="16" borderId="7" xfId="0" applyFill="1" applyBorder="1"/>
    <xf numFmtId="0" fontId="0" fillId="16" borderId="8" xfId="0" applyFill="1" applyBorder="1"/>
    <xf numFmtId="0" fontId="54" fillId="46" borderId="0" xfId="0" applyFont="1" applyFill="1"/>
    <xf numFmtId="0" fontId="1" fillId="0" borderId="7" xfId="0" applyFont="1" applyBorder="1" applyAlignment="1">
      <alignment horizontal="center"/>
    </xf>
    <xf numFmtId="0" fontId="2" fillId="6" borderId="12" xfId="0" applyFont="1" applyFill="1" applyBorder="1" applyAlignment="1" applyProtection="1">
      <alignment horizontal="center" vertical="top"/>
      <protection locked="0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10" xfId="0" applyNumberFormat="1" applyBorder="1"/>
    <xf numFmtId="16" fontId="0" fillId="0" borderId="12" xfId="0" applyNumberFormat="1" applyFill="1" applyBorder="1" applyAlignment="1">
      <alignment horizontal="center"/>
    </xf>
    <xf numFmtId="16" fontId="0" fillId="0" borderId="9" xfId="0" applyNumberFormat="1" applyFill="1" applyBorder="1" applyAlignment="1">
      <alignment horizontal="center"/>
    </xf>
    <xf numFmtId="2" fontId="0" fillId="0" borderId="14" xfId="0" applyNumberFormat="1" applyFill="1" applyBorder="1"/>
    <xf numFmtId="0" fontId="0" fillId="0" borderId="9" xfId="0" applyFill="1" applyBorder="1"/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4" xfId="0" applyBorder="1"/>
    <xf numFmtId="0" fontId="0" fillId="0" borderId="13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1" fillId="0" borderId="1" xfId="0" applyNumberFormat="1" applyFont="1" applyBorder="1" applyAlignment="1" applyProtection="1">
      <alignment horizontal="center"/>
    </xf>
    <xf numFmtId="2" fontId="1" fillId="0" borderId="4" xfId="0" applyNumberFormat="1" applyFont="1" applyBorder="1" applyAlignment="1" applyProtection="1">
      <alignment horizontal="center"/>
    </xf>
    <xf numFmtId="2" fontId="59" fillId="21" borderId="10" xfId="0" applyNumberFormat="1" applyFont="1" applyFill="1" applyBorder="1" applyAlignment="1">
      <alignment horizontal="center"/>
    </xf>
    <xf numFmtId="2" fontId="119" fillId="50" borderId="12" xfId="0" applyNumberFormat="1" applyFont="1" applyFill="1" applyBorder="1" applyAlignment="1">
      <alignment horizontal="center"/>
    </xf>
    <xf numFmtId="2" fontId="119" fillId="50" borderId="14" xfId="0" applyNumberFormat="1" applyFont="1" applyFill="1" applyBorder="1" applyAlignment="1">
      <alignment horizontal="center"/>
    </xf>
    <xf numFmtId="2" fontId="1" fillId="0" borderId="12" xfId="0" applyNumberFormat="1" applyFont="1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2" fontId="59" fillId="21" borderId="6" xfId="0" applyNumberFormat="1" applyFont="1" applyFill="1" applyBorder="1" applyAlignment="1">
      <alignment horizontal="center"/>
    </xf>
    <xf numFmtId="0" fontId="126" fillId="35" borderId="0" xfId="0" applyFont="1" applyFill="1"/>
    <xf numFmtId="0" fontId="0" fillId="0" borderId="15" xfId="0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1" fillId="0" borderId="10" xfId="0" applyFont="1" applyBorder="1" applyAlignment="1"/>
    <xf numFmtId="0" fontId="0" fillId="0" borderId="10" xfId="0" applyFill="1" applyBorder="1" applyAlignment="1"/>
    <xf numFmtId="0" fontId="0" fillId="0" borderId="11" xfId="0" applyFill="1" applyBorder="1" applyAlignment="1"/>
    <xf numFmtId="0" fontId="0" fillId="0" borderId="3" xfId="0" applyBorder="1"/>
    <xf numFmtId="0" fontId="3" fillId="2" borderId="0" xfId="0" applyFont="1" applyFill="1" applyAlignment="1" applyProtection="1">
      <alignment horizontal="left"/>
    </xf>
    <xf numFmtId="0" fontId="61" fillId="38" borderId="10" xfId="0" applyFont="1" applyFill="1" applyBorder="1" applyAlignment="1">
      <alignment horizontal="center" vertical="center"/>
    </xf>
    <xf numFmtId="0" fontId="144" fillId="6" borderId="15" xfId="0" applyFont="1" applyFill="1" applyBorder="1" applyAlignment="1" applyProtection="1">
      <alignment horizontal="center" vertical="center"/>
      <protection locked="0"/>
    </xf>
    <xf numFmtId="0" fontId="51" fillId="8" borderId="15" xfId="0" applyFont="1" applyFill="1" applyBorder="1" applyAlignment="1">
      <alignment horizontal="left" vertical="center"/>
    </xf>
    <xf numFmtId="0" fontId="51" fillId="8" borderId="15" xfId="0" applyFont="1" applyFill="1" applyBorder="1"/>
    <xf numFmtId="0" fontId="51" fillId="8" borderId="11" xfId="0" applyFont="1" applyFill="1" applyBorder="1"/>
    <xf numFmtId="0" fontId="54" fillId="46" borderId="2" xfId="0" applyFont="1" applyFill="1" applyBorder="1" applyAlignment="1">
      <alignment horizontal="center"/>
    </xf>
    <xf numFmtId="0" fontId="1" fillId="8" borderId="14" xfId="0" applyFont="1" applyFill="1" applyBorder="1" applyAlignment="1">
      <alignment horizontal="center"/>
    </xf>
    <xf numFmtId="0" fontId="54" fillId="46" borderId="0" xfId="0" applyFont="1" applyFill="1" applyBorder="1" applyAlignment="1">
      <alignment horizontal="center"/>
    </xf>
    <xf numFmtId="0" fontId="54" fillId="46" borderId="0" xfId="0" applyFont="1" applyFill="1" applyBorder="1"/>
    <xf numFmtId="0" fontId="54" fillId="46" borderId="5" xfId="0" applyFont="1" applyFill="1" applyBorder="1"/>
    <xf numFmtId="0" fontId="1" fillId="8" borderId="13" xfId="0" applyFont="1" applyFill="1" applyBorder="1" applyAlignment="1">
      <alignment horizontal="center"/>
    </xf>
    <xf numFmtId="0" fontId="54" fillId="46" borderId="7" xfId="0" applyFont="1" applyFill="1" applyBorder="1" applyAlignment="1">
      <alignment horizontal="center"/>
    </xf>
    <xf numFmtId="2" fontId="51" fillId="8" borderId="12" xfId="0" applyNumberFormat="1" applyFont="1" applyFill="1" applyBorder="1" applyAlignment="1" applyProtection="1">
      <alignment horizontal="center"/>
    </xf>
    <xf numFmtId="0" fontId="51" fillId="8" borderId="10" xfId="0" applyFont="1" applyFill="1" applyBorder="1"/>
    <xf numFmtId="2" fontId="51" fillId="8" borderId="12" xfId="0" applyNumberFormat="1" applyFont="1" applyFill="1" applyBorder="1" applyAlignment="1">
      <alignment horizontal="center"/>
    </xf>
    <xf numFmtId="0" fontId="145" fillId="8" borderId="15" xfId="0" applyFont="1" applyFill="1" applyBorder="1" applyAlignment="1">
      <alignment horizontal="left" vertical="center"/>
    </xf>
    <xf numFmtId="0" fontId="145" fillId="8" borderId="15" xfId="0" applyFont="1" applyFill="1" applyBorder="1" applyAlignment="1">
      <alignment horizontal="right" vertical="center"/>
    </xf>
    <xf numFmtId="166" fontId="0" fillId="0" borderId="0" xfId="0" applyNumberFormat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3" xfId="0" applyBorder="1"/>
    <xf numFmtId="0" fontId="54" fillId="30" borderId="10" xfId="0" applyFont="1" applyFill="1" applyBorder="1"/>
    <xf numFmtId="0" fontId="54" fillId="30" borderId="15" xfId="0" applyFont="1" applyFill="1" applyBorder="1"/>
    <xf numFmtId="2" fontId="54" fillId="8" borderId="0" xfId="0" applyNumberFormat="1" applyFont="1" applyFill="1"/>
    <xf numFmtId="2" fontId="6" fillId="6" borderId="0" xfId="0" applyNumberFormat="1" applyFont="1" applyFill="1" applyProtection="1"/>
    <xf numFmtId="2" fontId="6" fillId="0" borderId="0" xfId="0" applyNumberFormat="1" applyFont="1" applyFill="1" applyProtection="1"/>
    <xf numFmtId="2" fontId="1" fillId="46" borderId="0" xfId="0" applyNumberFormat="1" applyFont="1" applyFill="1" applyBorder="1" applyAlignment="1">
      <alignment horizontal="center"/>
    </xf>
    <xf numFmtId="2" fontId="0" fillId="46" borderId="0" xfId="0" applyNumberFormat="1" applyFill="1" applyBorder="1" applyAlignment="1">
      <alignment horizontal="center"/>
    </xf>
    <xf numFmtId="2" fontId="0" fillId="46" borderId="7" xfId="0" applyNumberFormat="1" applyFill="1" applyBorder="1" applyAlignment="1">
      <alignment horizontal="center"/>
    </xf>
    <xf numFmtId="166" fontId="54" fillId="46" borderId="14" xfId="0" applyNumberFormat="1" applyFont="1" applyFill="1" applyBorder="1" applyAlignment="1">
      <alignment horizontal="center" vertical="top"/>
    </xf>
    <xf numFmtId="166" fontId="54" fillId="46" borderId="13" xfId="0" applyNumberFormat="1" applyFont="1" applyFill="1" applyBorder="1" applyAlignment="1">
      <alignment horizontal="center" vertical="top"/>
    </xf>
    <xf numFmtId="0" fontId="1" fillId="0" borderId="9" xfId="0" applyFont="1" applyBorder="1" applyAlignment="1">
      <alignment horizontal="center" vertical="top" wrapText="1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166" fontId="0" fillId="0" borderId="6" xfId="0" applyNumberFormat="1" applyBorder="1" applyAlignment="1">
      <alignment horizontal="center"/>
    </xf>
    <xf numFmtId="0" fontId="1" fillId="0" borderId="9" xfId="0" applyFont="1" applyBorder="1" applyAlignment="1">
      <alignment horizontal="center" vertical="top"/>
    </xf>
    <xf numFmtId="166" fontId="0" fillId="0" borderId="4" xfId="0" applyNumberFormat="1" applyBorder="1" applyAlignment="1">
      <alignment horizontal="center"/>
    </xf>
    <xf numFmtId="0" fontId="1" fillId="0" borderId="0" xfId="0" applyFont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1" fillId="0" borderId="9" xfId="0" applyFont="1" applyBorder="1" applyAlignment="1">
      <alignment horizontal="center" vertical="top"/>
    </xf>
    <xf numFmtId="166" fontId="0" fillId="0" borderId="4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1" fillId="5" borderId="2" xfId="0" applyFont="1" applyFill="1" applyBorder="1" applyAlignment="1">
      <alignment horizontal="center" vertical="top"/>
    </xf>
    <xf numFmtId="0" fontId="1" fillId="5" borderId="15" xfId="0" applyFont="1" applyFill="1" applyBorder="1" applyAlignment="1">
      <alignment horizontal="center" vertical="top"/>
    </xf>
    <xf numFmtId="165" fontId="0" fillId="5" borderId="2" xfId="0" applyNumberFormat="1" applyFill="1" applyBorder="1" applyAlignment="1">
      <alignment horizontal="center"/>
    </xf>
    <xf numFmtId="165" fontId="0" fillId="5" borderId="0" xfId="0" applyNumberFormat="1" applyFill="1" applyBorder="1" applyAlignment="1">
      <alignment horizontal="center"/>
    </xf>
    <xf numFmtId="165" fontId="0" fillId="5" borderId="7" xfId="0" applyNumberFormat="1" applyFill="1" applyBorder="1" applyAlignment="1">
      <alignment horizontal="center"/>
    </xf>
    <xf numFmtId="165" fontId="0" fillId="5" borderId="14" xfId="0" applyNumberFormat="1" applyFill="1" applyBorder="1" applyAlignment="1">
      <alignment horizontal="center"/>
    </xf>
    <xf numFmtId="0" fontId="62" fillId="44" borderId="0" xfId="0" applyFont="1" applyFill="1" applyAlignment="1" applyProtection="1">
      <alignment horizontal="left"/>
    </xf>
    <xf numFmtId="0" fontId="62" fillId="44" borderId="0" xfId="0" applyFont="1" applyFill="1"/>
    <xf numFmtId="0" fontId="62" fillId="44" borderId="0" xfId="0" applyFont="1" applyFill="1" applyAlignment="1">
      <alignment horizontal="right"/>
    </xf>
    <xf numFmtId="2" fontId="43" fillId="0" borderId="0" xfId="0" applyNumberFormat="1" applyFont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6" borderId="14" xfId="0" applyFill="1" applyBorder="1" applyProtection="1">
      <protection locked="0"/>
    </xf>
    <xf numFmtId="2" fontId="0" fillId="6" borderId="14" xfId="0" applyNumberFormat="1" applyFill="1" applyBorder="1" applyProtection="1">
      <protection locked="0"/>
    </xf>
    <xf numFmtId="0" fontId="0" fillId="6" borderId="13" xfId="0" applyFill="1" applyBorder="1" applyProtection="1">
      <protection locked="0"/>
    </xf>
    <xf numFmtId="2" fontId="59" fillId="15" borderId="14" xfId="0" applyNumberFormat="1" applyFont="1" applyFill="1" applyBorder="1" applyAlignment="1" applyProtection="1">
      <alignment horizontal="center"/>
    </xf>
    <xf numFmtId="2" fontId="59" fillId="15" borderId="13" xfId="0" applyNumberFormat="1" applyFont="1" applyFill="1" applyBorder="1" applyAlignment="1" applyProtection="1">
      <alignment horizontal="center"/>
    </xf>
    <xf numFmtId="0" fontId="54" fillId="18" borderId="0" xfId="0" applyFont="1" applyFill="1"/>
    <xf numFmtId="0" fontId="51" fillId="18" borderId="0" xfId="0" applyFont="1" applyFill="1"/>
    <xf numFmtId="2" fontId="1" fillId="8" borderId="9" xfId="0" applyNumberFormat="1" applyFont="1" applyFill="1" applyBorder="1" applyAlignment="1" applyProtection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47" borderId="15" xfId="0" applyNumberFormat="1" applyFill="1" applyBorder="1"/>
    <xf numFmtId="0" fontId="81" fillId="6" borderId="13" xfId="0" applyFont="1" applyFill="1" applyBorder="1" applyAlignment="1" applyProtection="1">
      <alignment horizontal="center"/>
      <protection locked="0"/>
    </xf>
    <xf numFmtId="0" fontId="0" fillId="47" borderId="11" xfId="0" applyFill="1" applyBorder="1"/>
    <xf numFmtId="0" fontId="80" fillId="44" borderId="6" xfId="0" applyFont="1" applyFill="1" applyBorder="1"/>
    <xf numFmtId="0" fontId="80" fillId="44" borderId="8" xfId="0" applyFont="1" applyFill="1" applyBorder="1" applyAlignment="1">
      <alignment horizontal="right"/>
    </xf>
    <xf numFmtId="0" fontId="0" fillId="0" borderId="3" xfId="0" applyBorder="1"/>
    <xf numFmtId="0" fontId="1" fillId="0" borderId="0" xfId="0" applyFont="1" applyAlignment="1">
      <alignment horizontal="center"/>
    </xf>
    <xf numFmtId="0" fontId="2" fillId="8" borderId="12" xfId="0" applyFont="1" applyFill="1" applyBorder="1" applyAlignment="1" applyProtection="1">
      <alignment horizontal="center" vertical="top"/>
    </xf>
    <xf numFmtId="0" fontId="2" fillId="18" borderId="12" xfId="0" applyFont="1" applyFill="1" applyBorder="1" applyAlignment="1" applyProtection="1">
      <alignment horizontal="center" vertical="top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7" fillId="0" borderId="1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2" fontId="0" fillId="6" borderId="0" xfId="0" applyNumberFormat="1" applyFill="1" applyAlignment="1" applyProtection="1">
      <alignment horizontal="center"/>
      <protection locked="0"/>
    </xf>
    <xf numFmtId="166" fontId="0" fillId="5" borderId="0" xfId="0" applyNumberFormat="1" applyFill="1"/>
    <xf numFmtId="0" fontId="0" fillId="0" borderId="3" xfId="0" applyBorder="1"/>
    <xf numFmtId="0" fontId="9" fillId="5" borderId="0" xfId="0" applyFont="1" applyFill="1" applyAlignment="1">
      <alignment horizontal="left"/>
    </xf>
    <xf numFmtId="0" fontId="1" fillId="6" borderId="2" xfId="0" applyFont="1" applyFill="1" applyBorder="1" applyAlignment="1" applyProtection="1">
      <alignment horizontal="center" vertical="top"/>
      <protection locked="0"/>
    </xf>
    <xf numFmtId="0" fontId="15" fillId="0" borderId="4" xfId="0" applyFont="1" applyBorder="1"/>
    <xf numFmtId="2" fontId="0" fillId="6" borderId="0" xfId="0" applyNumberFormat="1" applyFill="1" applyBorder="1" applyProtection="1">
      <protection locked="0"/>
    </xf>
    <xf numFmtId="1" fontId="1" fillId="0" borderId="0" xfId="0" applyNumberFormat="1" applyFont="1" applyBorder="1"/>
    <xf numFmtId="0" fontId="1" fillId="5" borderId="6" xfId="0" applyFont="1" applyFill="1" applyBorder="1"/>
    <xf numFmtId="2" fontId="0" fillId="5" borderId="7" xfId="0" applyNumberFormat="1" applyFill="1" applyBorder="1"/>
    <xf numFmtId="0" fontId="0" fillId="5" borderId="8" xfId="0" applyFill="1" applyBorder="1"/>
    <xf numFmtId="0" fontId="0" fillId="6" borderId="0" xfId="0" applyFill="1" applyBorder="1" applyProtection="1">
      <protection locked="0"/>
    </xf>
    <xf numFmtId="2" fontId="0" fillId="0" borderId="0" xfId="0" applyNumberFormat="1" applyAlignment="1">
      <alignment horizontal="center"/>
    </xf>
    <xf numFmtId="0" fontId="0" fillId="30" borderId="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3" xfId="0" applyFill="1" applyBorder="1"/>
    <xf numFmtId="2" fontId="6" fillId="0" borderId="7" xfId="0" applyNumberFormat="1" applyFont="1" applyBorder="1" applyAlignment="1">
      <alignment horizontal="right"/>
    </xf>
    <xf numFmtId="0" fontId="59" fillId="44" borderId="0" xfId="0" applyFont="1" applyFill="1"/>
    <xf numFmtId="0" fontId="54" fillId="39" borderId="0" xfId="0" applyFont="1" applyFill="1"/>
    <xf numFmtId="0" fontId="51" fillId="31" borderId="0" xfId="0" applyFont="1" applyFill="1"/>
    <xf numFmtId="0" fontId="59" fillId="35" borderId="0" xfId="0" applyFont="1" applyFill="1"/>
    <xf numFmtId="0" fontId="0" fillId="0" borderId="3" xfId="0" applyBorder="1"/>
    <xf numFmtId="0" fontId="6" fillId="0" borderId="1" xfId="0" applyFont="1" applyFill="1" applyBorder="1"/>
    <xf numFmtId="0" fontId="6" fillId="0" borderId="2" xfId="0" applyFont="1" applyFill="1" applyBorder="1"/>
    <xf numFmtId="2" fontId="6" fillId="0" borderId="2" xfId="0" applyNumberFormat="1" applyFont="1" applyFill="1" applyBorder="1"/>
    <xf numFmtId="0" fontId="6" fillId="0" borderId="4" xfId="0" applyFont="1" applyFill="1" applyBorder="1"/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/>
    <xf numFmtId="0" fontId="6" fillId="0" borderId="8" xfId="0" applyFont="1" applyFill="1" applyBorder="1" applyAlignment="1">
      <alignment horizontal="right"/>
    </xf>
    <xf numFmtId="2" fontId="0" fillId="6" borderId="7" xfId="0" applyNumberFormat="1" applyFill="1" applyBorder="1" applyProtection="1">
      <protection locked="0"/>
    </xf>
    <xf numFmtId="0" fontId="6" fillId="0" borderId="10" xfId="0" applyFont="1" applyFill="1" applyBorder="1"/>
    <xf numFmtId="0" fontId="6" fillId="0" borderId="15" xfId="0" applyFont="1" applyFill="1" applyBorder="1"/>
    <xf numFmtId="2" fontId="1" fillId="0" borderId="0" xfId="0" applyNumberFormat="1" applyFont="1" applyAlignment="1">
      <alignment vertical="center"/>
    </xf>
    <xf numFmtId="0" fontId="1" fillId="18" borderId="1" xfId="0" applyFont="1" applyFill="1" applyBorder="1"/>
    <xf numFmtId="2" fontId="1" fillId="18" borderId="2" xfId="0" applyNumberFormat="1" applyFont="1" applyFill="1" applyBorder="1"/>
    <xf numFmtId="0" fontId="1" fillId="18" borderId="2" xfId="0" applyFont="1" applyFill="1" applyBorder="1"/>
    <xf numFmtId="0" fontId="1" fillId="18" borderId="3" xfId="0" applyFont="1" applyFill="1" applyBorder="1"/>
    <xf numFmtId="2" fontId="1" fillId="18" borderId="4" xfId="0" applyNumberFormat="1" applyFont="1" applyFill="1" applyBorder="1"/>
    <xf numFmtId="0" fontId="1" fillId="18" borderId="0" xfId="0" applyFont="1" applyFill="1" applyBorder="1"/>
    <xf numFmtId="2" fontId="1" fillId="18" borderId="0" xfId="0" applyNumberFormat="1" applyFont="1" applyFill="1" applyBorder="1"/>
    <xf numFmtId="0" fontId="1" fillId="18" borderId="5" xfId="0" applyFont="1" applyFill="1" applyBorder="1"/>
    <xf numFmtId="0" fontId="1" fillId="18" borderId="4" xfId="0" applyFont="1" applyFill="1" applyBorder="1"/>
    <xf numFmtId="2" fontId="1" fillId="18" borderId="0" xfId="0" applyNumberFormat="1" applyFont="1" applyFill="1" applyBorder="1" applyAlignment="1">
      <alignment horizontal="right"/>
    </xf>
    <xf numFmtId="2" fontId="1" fillId="18" borderId="5" xfId="0" applyNumberFormat="1" applyFont="1" applyFill="1" applyBorder="1" applyAlignment="1">
      <alignment horizontal="left"/>
    </xf>
    <xf numFmtId="2" fontId="1" fillId="18" borderId="5" xfId="0" applyNumberFormat="1" applyFont="1" applyFill="1" applyBorder="1" applyAlignment="1">
      <alignment horizontal="right"/>
    </xf>
    <xf numFmtId="0" fontId="1" fillId="18" borderId="6" xfId="0" applyFont="1" applyFill="1" applyBorder="1"/>
    <xf numFmtId="0" fontId="1" fillId="18" borderId="8" xfId="0" applyFont="1" applyFill="1" applyBorder="1"/>
    <xf numFmtId="2" fontId="1" fillId="18" borderId="4" xfId="0" applyNumberFormat="1" applyFont="1" applyFill="1" applyBorder="1" applyAlignment="1">
      <alignment horizontal="right"/>
    </xf>
    <xf numFmtId="0" fontId="0" fillId="18" borderId="0" xfId="0" applyFill="1" applyAlignment="1" applyProtection="1">
      <alignment horizontal="right"/>
    </xf>
    <xf numFmtId="0" fontId="0" fillId="6" borderId="0" xfId="0" applyFill="1" applyBorder="1" applyAlignment="1" applyProtection="1">
      <alignment horizontal="center"/>
      <protection locked="0"/>
    </xf>
    <xf numFmtId="0" fontId="0" fillId="6" borderId="7" xfId="0" applyFill="1" applyBorder="1" applyAlignment="1" applyProtection="1">
      <alignment horizontal="center"/>
      <protection locked="0"/>
    </xf>
    <xf numFmtId="0" fontId="1" fillId="17" borderId="4" xfId="0" applyFont="1" applyFill="1" applyBorder="1" applyAlignment="1">
      <alignment horizontal="left"/>
    </xf>
    <xf numFmtId="0" fontId="0" fillId="17" borderId="5" xfId="0" applyFill="1" applyBorder="1" applyAlignment="1">
      <alignment horizontal="left"/>
    </xf>
    <xf numFmtId="0" fontId="0" fillId="17" borderId="6" xfId="0" applyFill="1" applyBorder="1" applyAlignment="1">
      <alignment horizontal="left"/>
    </xf>
    <xf numFmtId="0" fontId="0" fillId="17" borderId="7" xfId="0" applyFill="1" applyBorder="1" applyAlignment="1">
      <alignment horizontal="left"/>
    </xf>
    <xf numFmtId="0" fontId="0" fillId="17" borderId="7" xfId="0" applyFill="1" applyBorder="1"/>
    <xf numFmtId="0" fontId="0" fillId="17" borderId="8" xfId="0" applyFill="1" applyBorder="1" applyAlignment="1">
      <alignment horizontal="center"/>
    </xf>
    <xf numFmtId="0" fontId="1" fillId="47" borderId="1" xfId="0" applyFont="1" applyFill="1" applyBorder="1" applyAlignment="1">
      <alignment horizontal="left"/>
    </xf>
    <xf numFmtId="0" fontId="0" fillId="47" borderId="2" xfId="0" applyFill="1" applyBorder="1"/>
    <xf numFmtId="0" fontId="1" fillId="47" borderId="6" xfId="0" applyFont="1" applyFill="1" applyBorder="1" applyAlignment="1">
      <alignment horizontal="left"/>
    </xf>
    <xf numFmtId="0" fontId="0" fillId="47" borderId="7" xfId="0" applyFill="1" applyBorder="1"/>
    <xf numFmtId="1" fontId="0" fillId="47" borderId="2" xfId="0" applyNumberFormat="1" applyFill="1" applyBorder="1"/>
    <xf numFmtId="2" fontId="0" fillId="0" borderId="2" xfId="0" applyNumberFormat="1" applyFill="1" applyBorder="1"/>
    <xf numFmtId="0" fontId="0" fillId="18" borderId="0" xfId="0" applyFill="1" applyAlignment="1" applyProtection="1">
      <alignment horizontal="center"/>
    </xf>
    <xf numFmtId="0" fontId="54" fillId="18" borderId="4" xfId="0" applyFont="1" applyFill="1" applyBorder="1" applyAlignment="1">
      <alignment horizontal="right"/>
    </xf>
    <xf numFmtId="166" fontId="0" fillId="0" borderId="0" xfId="0" applyNumberFormat="1" applyAlignment="1">
      <alignment horizontal="center"/>
    </xf>
    <xf numFmtId="1" fontId="0" fillId="5" borderId="0" xfId="0" applyNumberFormat="1" applyFill="1"/>
    <xf numFmtId="0" fontId="54" fillId="0" borderId="2" xfId="0" applyFont="1" applyFill="1" applyBorder="1"/>
    <xf numFmtId="0" fontId="54" fillId="0" borderId="3" xfId="0" applyFont="1" applyFill="1" applyBorder="1"/>
    <xf numFmtId="0" fontId="54" fillId="0" borderId="5" xfId="0" applyFont="1" applyFill="1" applyBorder="1"/>
    <xf numFmtId="0" fontId="54" fillId="0" borderId="7" xfId="0" applyFont="1" applyFill="1" applyBorder="1"/>
    <xf numFmtId="0" fontId="54" fillId="0" borderId="8" xfId="0" applyFont="1" applyFill="1" applyBorder="1"/>
    <xf numFmtId="0" fontId="51" fillId="47" borderId="1" xfId="0" applyFont="1" applyFill="1" applyBorder="1"/>
    <xf numFmtId="0" fontId="51" fillId="47" borderId="2" xfId="0" applyFont="1" applyFill="1" applyBorder="1"/>
    <xf numFmtId="0" fontId="51" fillId="47" borderId="3" xfId="0" applyFont="1" applyFill="1" applyBorder="1"/>
    <xf numFmtId="0" fontId="51" fillId="47" borderId="4" xfId="0" applyFont="1" applyFill="1" applyBorder="1"/>
    <xf numFmtId="0" fontId="51" fillId="47" borderId="0" xfId="0" applyFont="1" applyFill="1" applyBorder="1"/>
    <xf numFmtId="0" fontId="51" fillId="47" borderId="0" xfId="0" applyFont="1" applyFill="1" applyBorder="1" applyProtection="1"/>
    <xf numFmtId="0" fontId="51" fillId="47" borderId="5" xfId="0" applyFont="1" applyFill="1" applyBorder="1"/>
    <xf numFmtId="0" fontId="63" fillId="47" borderId="4" xfId="0" applyFont="1" applyFill="1" applyBorder="1"/>
    <xf numFmtId="2" fontId="51" fillId="47" borderId="0" xfId="0" applyNumberFormat="1" applyFont="1" applyFill="1" applyBorder="1" applyProtection="1"/>
    <xf numFmtId="2" fontId="51" fillId="47" borderId="0" xfId="0" applyNumberFormat="1" applyFont="1" applyFill="1" applyBorder="1" applyAlignment="1">
      <alignment horizontal="right"/>
    </xf>
    <xf numFmtId="2" fontId="51" fillId="47" borderId="0" xfId="0" applyNumberFormat="1" applyFont="1" applyFill="1" applyBorder="1"/>
    <xf numFmtId="0" fontId="51" fillId="47" borderId="0" xfId="0" applyFont="1" applyFill="1" applyBorder="1" applyAlignment="1">
      <alignment horizontal="center"/>
    </xf>
    <xf numFmtId="2" fontId="51" fillId="47" borderId="0" xfId="0" applyNumberFormat="1" applyFont="1" applyFill="1" applyBorder="1" applyAlignment="1">
      <alignment horizontal="center"/>
    </xf>
    <xf numFmtId="1" fontId="51" fillId="47" borderId="0" xfId="0" applyNumberFormat="1" applyFont="1" applyFill="1" applyBorder="1" applyAlignment="1">
      <alignment horizontal="center"/>
    </xf>
    <xf numFmtId="2" fontId="51" fillId="47" borderId="5" xfId="0" applyNumberFormat="1" applyFont="1" applyFill="1" applyBorder="1"/>
    <xf numFmtId="0" fontId="51" fillId="47" borderId="0" xfId="0" applyFont="1" applyFill="1" applyBorder="1" applyAlignment="1">
      <alignment horizontal="right"/>
    </xf>
    <xf numFmtId="2" fontId="51" fillId="47" borderId="7" xfId="0" applyNumberFormat="1" applyFont="1" applyFill="1" applyBorder="1"/>
    <xf numFmtId="0" fontId="51" fillId="47" borderId="7" xfId="0" applyFont="1" applyFill="1" applyBorder="1"/>
    <xf numFmtId="0" fontId="51" fillId="47" borderId="6" xfId="0" applyFont="1" applyFill="1" applyBorder="1"/>
    <xf numFmtId="0" fontId="51" fillId="47" borderId="7" xfId="0" applyFont="1" applyFill="1" applyBorder="1" applyAlignment="1">
      <alignment horizontal="right"/>
    </xf>
    <xf numFmtId="2" fontId="51" fillId="47" borderId="7" xfId="0" applyNumberFormat="1" applyFont="1" applyFill="1" applyBorder="1" applyAlignment="1">
      <alignment horizontal="right"/>
    </xf>
    <xf numFmtId="0" fontId="51" fillId="47" borderId="8" xfId="0" applyFont="1" applyFill="1" applyBorder="1"/>
    <xf numFmtId="0" fontId="51" fillId="5" borderId="12" xfId="0" applyFont="1" applyFill="1" applyBorder="1" applyAlignment="1" applyProtection="1">
      <alignment horizontal="center" vertical="top"/>
    </xf>
    <xf numFmtId="2" fontId="51" fillId="5" borderId="0" xfId="0" applyNumberFormat="1" applyFont="1" applyFill="1" applyBorder="1"/>
    <xf numFmtId="0" fontId="51" fillId="5" borderId="0" xfId="0" applyFont="1" applyFill="1"/>
    <xf numFmtId="1" fontId="51" fillId="5" borderId="0" xfId="0" applyNumberFormat="1" applyFont="1" applyFill="1" applyAlignment="1" applyProtection="1">
      <alignment horizontal="right"/>
    </xf>
    <xf numFmtId="0" fontId="147" fillId="5" borderId="0" xfId="0" applyFont="1" applyFill="1"/>
    <xf numFmtId="166" fontId="51" fillId="5" borderId="0" xfId="0" applyNumberFormat="1" applyFont="1" applyFill="1"/>
    <xf numFmtId="0" fontId="0" fillId="51" borderId="0" xfId="0" applyFill="1" applyAlignment="1" applyProtection="1">
      <alignment horizontal="left"/>
      <protection locked="0"/>
    </xf>
    <xf numFmtId="0" fontId="0" fillId="51" borderId="0" xfId="0" applyFill="1" applyProtection="1">
      <protection locked="0"/>
    </xf>
    <xf numFmtId="1" fontId="0" fillId="0" borderId="0" xfId="0" applyNumberFormat="1" applyFill="1" applyAlignment="1" applyProtection="1">
      <alignment horizontal="center"/>
      <protection locked="0"/>
    </xf>
    <xf numFmtId="0" fontId="126" fillId="10" borderId="0" xfId="0" applyFont="1" applyFill="1"/>
    <xf numFmtId="0" fontId="80" fillId="10" borderId="0" xfId="0" applyFont="1" applyFill="1"/>
    <xf numFmtId="0" fontId="0" fillId="46" borderId="0" xfId="0" applyFill="1"/>
    <xf numFmtId="1" fontId="0" fillId="6" borderId="0" xfId="0" applyNumberFormat="1" applyFill="1" applyAlignment="1" applyProtection="1">
      <alignment horizontal="right"/>
      <protection locked="0"/>
    </xf>
    <xf numFmtId="1" fontId="1" fillId="6" borderId="0" xfId="0" applyNumberFormat="1" applyFont="1" applyFill="1" applyAlignment="1" applyProtection="1">
      <alignment horizontal="right"/>
      <protection locked="0"/>
    </xf>
    <xf numFmtId="0" fontId="55" fillId="16" borderId="0" xfId="0" applyFont="1" applyFill="1"/>
    <xf numFmtId="0" fontId="51" fillId="16" borderId="0" xfId="0" applyFont="1" applyFill="1"/>
    <xf numFmtId="0" fontId="0" fillId="0" borderId="0" xfId="0" applyFill="1" applyProtection="1">
      <protection locked="0"/>
    </xf>
    <xf numFmtId="2" fontId="6" fillId="0" borderId="0" xfId="0" applyNumberFormat="1" applyFont="1" applyFill="1" applyAlignment="1" applyProtection="1">
      <alignment horizontal="left"/>
    </xf>
    <xf numFmtId="2" fontId="1" fillId="0" borderId="0" xfId="0" applyNumberFormat="1" applyFont="1" applyFill="1" applyProtection="1"/>
    <xf numFmtId="2" fontId="1" fillId="8" borderId="12" xfId="0" applyNumberFormat="1" applyFont="1" applyFill="1" applyBorder="1" applyAlignment="1" applyProtection="1">
      <alignment horizontal="center"/>
      <protection locked="0"/>
    </xf>
    <xf numFmtId="0" fontId="0" fillId="0" borderId="14" xfId="0" applyBorder="1"/>
    <xf numFmtId="0" fontId="0" fillId="0" borderId="13" xfId="0" applyBorder="1"/>
    <xf numFmtId="0" fontId="0" fillId="0" borderId="3" xfId="0" applyBorder="1"/>
    <xf numFmtId="0" fontId="0" fillId="6" borderId="12" xfId="0" applyFill="1" applyBorder="1" applyAlignment="1" applyProtection="1">
      <alignment horizontal="center" vertical="top"/>
      <protection locked="0"/>
    </xf>
    <xf numFmtId="0" fontId="2" fillId="0" borderId="0" xfId="0" applyFont="1" applyFill="1" applyBorder="1" applyAlignment="1"/>
    <xf numFmtId="166" fontId="3" fillId="0" borderId="0" xfId="0" applyNumberFormat="1" applyFont="1" applyFill="1" applyBorder="1" applyAlignment="1" applyProtection="1">
      <alignment horizontal="right"/>
    </xf>
    <xf numFmtId="0" fontId="6" fillId="0" borderId="6" xfId="0" applyFont="1" applyBorder="1"/>
    <xf numFmtId="2" fontId="0" fillId="46" borderId="8" xfId="0" applyNumberFormat="1" applyFill="1" applyBorder="1" applyAlignment="1">
      <alignment horizontal="center"/>
    </xf>
    <xf numFmtId="0" fontId="6" fillId="0" borderId="6" xfId="0" applyFont="1" applyFill="1" applyBorder="1" applyAlignment="1" applyProtection="1">
      <alignment horizontal="left" vertical="top" wrapText="1"/>
      <protection locked="0"/>
    </xf>
    <xf numFmtId="2" fontId="6" fillId="0" borderId="3" xfId="0" applyNumberFormat="1" applyFont="1" applyFill="1" applyBorder="1" applyAlignment="1" applyProtection="1">
      <alignment horizontal="center"/>
    </xf>
    <xf numFmtId="2" fontId="6" fillId="0" borderId="8" xfId="0" applyNumberFormat="1" applyFont="1" applyFill="1" applyBorder="1" applyAlignment="1" applyProtection="1">
      <alignment horizontal="center"/>
    </xf>
    <xf numFmtId="2" fontId="6" fillId="0" borderId="9" xfId="0" applyNumberFormat="1" applyFont="1" applyFill="1" applyBorder="1" applyAlignment="1" applyProtection="1">
      <alignment horizontal="center"/>
    </xf>
    <xf numFmtId="2" fontId="6" fillId="0" borderId="13" xfId="0" applyNumberFormat="1" applyFont="1" applyFill="1" applyBorder="1" applyAlignment="1" applyProtection="1">
      <alignment horizontal="center"/>
    </xf>
    <xf numFmtId="2" fontId="0" fillId="46" borderId="13" xfId="0" applyNumberFormat="1" applyFill="1" applyBorder="1" applyAlignment="1">
      <alignment horizontal="center"/>
    </xf>
    <xf numFmtId="0" fontId="6" fillId="0" borderId="11" xfId="0" applyFont="1" applyBorder="1" applyProtection="1"/>
    <xf numFmtId="2" fontId="1" fillId="0" borderId="2" xfId="0" applyNumberFormat="1" applyFont="1" applyFill="1" applyBorder="1" applyAlignment="1" applyProtection="1">
      <alignment horizontal="center"/>
    </xf>
    <xf numFmtId="2" fontId="1" fillId="0" borderId="7" xfId="0" applyNumberFormat="1" applyFont="1" applyFill="1" applyBorder="1" applyAlignment="1" applyProtection="1">
      <alignment horizontal="center"/>
    </xf>
    <xf numFmtId="2" fontId="6" fillId="46" borderId="1" xfId="0" applyNumberFormat="1" applyFont="1" applyFill="1" applyBorder="1" applyAlignment="1" applyProtection="1">
      <alignment horizontal="center"/>
    </xf>
    <xf numFmtId="0" fontId="0" fillId="46" borderId="6" xfId="0" applyFill="1" applyBorder="1"/>
    <xf numFmtId="0" fontId="51" fillId="8" borderId="9" xfId="0" applyFont="1" applyFill="1" applyBorder="1"/>
    <xf numFmtId="0" fontId="51" fillId="8" borderId="13" xfId="0" applyFont="1" applyFill="1" applyBorder="1"/>
    <xf numFmtId="0" fontId="6" fillId="0" borderId="0" xfId="0" applyFont="1" applyFill="1" applyBorder="1" applyProtection="1"/>
    <xf numFmtId="2" fontId="0" fillId="18" borderId="2" xfId="0" applyNumberFormat="1" applyFill="1" applyBorder="1" applyProtection="1"/>
    <xf numFmtId="0" fontId="0" fillId="18" borderId="3" xfId="0" applyFill="1" applyBorder="1"/>
    <xf numFmtId="0" fontId="1" fillId="18" borderId="7" xfId="0" applyFont="1" applyFill="1" applyBorder="1"/>
    <xf numFmtId="0" fontId="0" fillId="18" borderId="8" xfId="0" applyFill="1" applyBorder="1"/>
    <xf numFmtId="0" fontId="0" fillId="17" borderId="8" xfId="0" applyFill="1" applyBorder="1"/>
    <xf numFmtId="0" fontId="1" fillId="14" borderId="2" xfId="0" applyFont="1" applyFill="1" applyBorder="1"/>
    <xf numFmtId="0" fontId="0" fillId="14" borderId="3" xfId="0" applyFill="1" applyBorder="1"/>
    <xf numFmtId="0" fontId="0" fillId="14" borderId="7" xfId="0" applyFill="1" applyBorder="1"/>
    <xf numFmtId="0" fontId="0" fillId="14" borderId="8" xfId="0" applyFill="1" applyBorder="1"/>
    <xf numFmtId="0" fontId="1" fillId="47" borderId="2" xfId="0" applyFont="1" applyFill="1" applyBorder="1"/>
    <xf numFmtId="0" fontId="0" fillId="47" borderId="3" xfId="0" applyFill="1" applyBorder="1"/>
    <xf numFmtId="0" fontId="1" fillId="47" borderId="7" xfId="0" applyFont="1" applyFill="1" applyBorder="1"/>
    <xf numFmtId="0" fontId="0" fillId="47" borderId="8" xfId="0" applyFill="1" applyBorder="1"/>
    <xf numFmtId="0" fontId="2" fillId="0" borderId="2" xfId="0" applyFont="1" applyFill="1" applyBorder="1" applyAlignment="1"/>
    <xf numFmtId="0" fontId="1" fillId="17" borderId="0" xfId="0" applyFont="1" applyFill="1" applyBorder="1"/>
    <xf numFmtId="0" fontId="0" fillId="17" borderId="5" xfId="0" applyFill="1" applyBorder="1"/>
    <xf numFmtId="2" fontId="0" fillId="17" borderId="7" xfId="0" applyNumberFormat="1" applyFill="1" applyBorder="1" applyProtection="1"/>
    <xf numFmtId="0" fontId="1" fillId="17" borderId="7" xfId="0" applyFont="1" applyFill="1" applyBorder="1"/>
    <xf numFmtId="0" fontId="1" fillId="16" borderId="1" xfId="0" applyFont="1" applyFill="1" applyBorder="1"/>
    <xf numFmtId="0" fontId="1" fillId="16" borderId="6" xfId="0" applyFont="1" applyFill="1" applyBorder="1"/>
    <xf numFmtId="2" fontId="6" fillId="0" borderId="2" xfId="0" applyNumberFormat="1" applyFont="1" applyFill="1" applyBorder="1" applyAlignment="1" applyProtection="1">
      <alignment horizontal="center"/>
      <protection locked="0"/>
    </xf>
    <xf numFmtId="0" fontId="43" fillId="46" borderId="0" xfId="0" applyFont="1" applyFill="1"/>
    <xf numFmtId="0" fontId="43" fillId="0" borderId="0" xfId="0" applyFont="1" applyFill="1"/>
    <xf numFmtId="164" fontId="1" fillId="6" borderId="0" xfId="0" applyNumberFormat="1" applyFont="1" applyFill="1" applyProtection="1"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6" borderId="9" xfId="0" applyFill="1" applyBorder="1" applyAlignment="1" applyProtection="1">
      <alignment horizontal="center"/>
      <protection locked="0"/>
    </xf>
    <xf numFmtId="2" fontId="1" fillId="6" borderId="9" xfId="0" applyNumberFormat="1" applyFont="1" applyFill="1" applyBorder="1" applyAlignment="1" applyProtection="1">
      <alignment horizontal="center"/>
      <protection locked="0"/>
    </xf>
    <xf numFmtId="2" fontId="1" fillId="6" borderId="1" xfId="0" applyNumberFormat="1" applyFont="1" applyFill="1" applyBorder="1" applyAlignment="1" applyProtection="1">
      <alignment horizontal="center"/>
      <protection locked="0"/>
    </xf>
    <xf numFmtId="2" fontId="1" fillId="6" borderId="14" xfId="0" applyNumberFormat="1" applyFont="1" applyFill="1" applyBorder="1" applyAlignment="1" applyProtection="1">
      <alignment horizontal="center"/>
      <protection locked="0"/>
    </xf>
    <xf numFmtId="2" fontId="1" fillId="6" borderId="4" xfId="0" applyNumberFormat="1" applyFont="1" applyFill="1" applyBorder="1" applyAlignment="1" applyProtection="1">
      <alignment horizontal="center"/>
      <protection locked="0"/>
    </xf>
    <xf numFmtId="2" fontId="1" fillId="6" borderId="13" xfId="0" applyNumberFormat="1" applyFont="1" applyFill="1" applyBorder="1" applyAlignment="1" applyProtection="1">
      <alignment horizontal="center"/>
      <protection locked="0"/>
    </xf>
    <xf numFmtId="2" fontId="1" fillId="6" borderId="6" xfId="0" applyNumberFormat="1" applyFont="1" applyFill="1" applyBorder="1" applyAlignment="1" applyProtection="1">
      <alignment horizontal="center"/>
      <protection locked="0"/>
    </xf>
    <xf numFmtId="1" fontId="77" fillId="5" borderId="0" xfId="0" applyNumberFormat="1" applyFont="1" applyFill="1" applyBorder="1" applyAlignment="1" applyProtection="1">
      <alignment horizontal="center"/>
      <protection locked="0"/>
    </xf>
    <xf numFmtId="0" fontId="54" fillId="18" borderId="7" xfId="0" applyFont="1" applyFill="1" applyBorder="1" applyAlignment="1">
      <alignment horizontal="center"/>
    </xf>
    <xf numFmtId="2" fontId="0" fillId="5" borderId="0" xfId="0" applyNumberFormat="1" applyFill="1" applyAlignment="1">
      <alignment horizontal="right" vertical="center"/>
    </xf>
    <xf numFmtId="2" fontId="0" fillId="6" borderId="0" xfId="0" applyNumberFormat="1" applyFill="1" applyAlignment="1" applyProtection="1">
      <alignment horizontal="left" vertical="center"/>
      <protection locked="0"/>
    </xf>
    <xf numFmtId="0" fontId="0" fillId="13" borderId="10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" fontId="0" fillId="0" borderId="0" xfId="0" applyNumberForma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6" fillId="0" borderId="0" xfId="0" applyNumberFormat="1" applyFont="1" applyFill="1" applyAlignment="1">
      <alignment horizontal="left" vertical="center"/>
    </xf>
    <xf numFmtId="0" fontId="34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42" fillId="0" borderId="0" xfId="0" applyFont="1" applyFill="1" applyAlignment="1">
      <alignment horizontal="center"/>
    </xf>
    <xf numFmtId="0" fontId="1" fillId="0" borderId="0" xfId="0" applyFont="1" applyFill="1" applyAlignment="1" applyProtection="1">
      <alignment horizontal="left" vertical="top" wrapText="1"/>
      <protection locked="0"/>
    </xf>
    <xf numFmtId="0" fontId="1" fillId="0" borderId="1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30" borderId="9" xfId="0" applyFill="1" applyBorder="1" applyAlignment="1">
      <alignment horizontal="center" vertical="center"/>
    </xf>
    <xf numFmtId="0" fontId="0" fillId="30" borderId="13" xfId="0" applyFill="1" applyBorder="1" applyAlignment="1">
      <alignment horizontal="center" vertical="center"/>
    </xf>
    <xf numFmtId="0" fontId="2" fillId="0" borderId="0" xfId="0" applyFont="1" applyAlignment="1">
      <alignment horizontal="left" wrapText="1"/>
    </xf>
    <xf numFmtId="2" fontId="6" fillId="0" borderId="10" xfId="0" applyNumberFormat="1" applyFont="1" applyFill="1" applyBorder="1" applyAlignment="1" applyProtection="1">
      <alignment horizontal="center"/>
    </xf>
    <xf numFmtId="2" fontId="6" fillId="0" borderId="11" xfId="0" applyNumberFormat="1" applyFont="1" applyFill="1" applyBorder="1" applyAlignment="1" applyProtection="1">
      <alignment horizontal="center"/>
    </xf>
    <xf numFmtId="0" fontId="1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 vertical="top" wrapText="1"/>
    </xf>
    <xf numFmtId="0" fontId="1" fillId="0" borderId="13" xfId="0" applyFont="1" applyBorder="1" applyAlignment="1">
      <alignment horizontal="center" vertical="top" wrapText="1"/>
    </xf>
    <xf numFmtId="0" fontId="0" fillId="0" borderId="0" xfId="0" applyAlignment="1">
      <alignment horizontal="left" vertical="center"/>
    </xf>
    <xf numFmtId="0" fontId="1" fillId="0" borderId="7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1" fillId="0" borderId="14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right" vertical="top" wrapText="1"/>
    </xf>
    <xf numFmtId="0" fontId="6" fillId="0" borderId="0" xfId="0" applyFont="1" applyAlignment="1">
      <alignment horizontal="left" vertical="center"/>
    </xf>
    <xf numFmtId="0" fontId="1" fillId="46" borderId="10" xfId="0" applyFont="1" applyFill="1" applyBorder="1" applyAlignment="1">
      <alignment horizontal="center"/>
    </xf>
    <xf numFmtId="0" fontId="1" fillId="46" borderId="15" xfId="0" applyFont="1" applyFill="1" applyBorder="1" applyAlignment="1">
      <alignment horizontal="center"/>
    </xf>
    <xf numFmtId="0" fontId="1" fillId="46" borderId="11" xfId="0" applyFont="1" applyFill="1" applyBorder="1" applyAlignment="1">
      <alignment horizontal="center"/>
    </xf>
    <xf numFmtId="0" fontId="54" fillId="47" borderId="1" xfId="0" applyFont="1" applyFill="1" applyBorder="1" applyAlignment="1">
      <alignment horizontal="center" wrapText="1"/>
    </xf>
    <xf numFmtId="0" fontId="54" fillId="47" borderId="6" xfId="0" applyFont="1" applyFill="1" applyBorder="1" applyAlignment="1">
      <alignment horizontal="center" wrapText="1"/>
    </xf>
    <xf numFmtId="0" fontId="81" fillId="10" borderId="10" xfId="0" applyFont="1" applyFill="1" applyBorder="1" applyAlignment="1">
      <alignment horizontal="center"/>
    </xf>
    <xf numFmtId="0" fontId="81" fillId="10" borderId="15" xfId="0" applyFont="1" applyFill="1" applyBorder="1" applyAlignment="1">
      <alignment horizontal="center"/>
    </xf>
    <xf numFmtId="0" fontId="81" fillId="10" borderId="11" xfId="0" applyFont="1" applyFill="1" applyBorder="1" applyAlignment="1">
      <alignment horizontal="center"/>
    </xf>
    <xf numFmtId="0" fontId="62" fillId="44" borderId="0" xfId="0" applyFont="1" applyFill="1" applyAlignment="1">
      <alignment horizontal="center"/>
    </xf>
    <xf numFmtId="0" fontId="1" fillId="8" borderId="9" xfId="0" applyFont="1" applyFill="1" applyBorder="1" applyAlignment="1">
      <alignment horizontal="center" vertical="top" wrapText="1"/>
    </xf>
    <xf numFmtId="0" fontId="1" fillId="8" borderId="13" xfId="0" applyFont="1" applyFill="1" applyBorder="1" applyAlignment="1">
      <alignment horizontal="center" vertical="top" wrapText="1"/>
    </xf>
    <xf numFmtId="0" fontId="2" fillId="8" borderId="10" xfId="0" applyFont="1" applyFill="1" applyBorder="1" applyAlignment="1">
      <alignment horizontal="center"/>
    </xf>
    <xf numFmtId="0" fontId="2" fillId="8" borderId="15" xfId="0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59" fillId="21" borderId="1" xfId="0" applyFont="1" applyFill="1" applyBorder="1" applyAlignment="1">
      <alignment horizontal="center" wrapText="1"/>
    </xf>
    <xf numFmtId="0" fontId="59" fillId="21" borderId="6" xfId="0" applyFont="1" applyFill="1" applyBorder="1" applyAlignment="1">
      <alignment horizontal="center" wrapText="1"/>
    </xf>
    <xf numFmtId="0" fontId="62" fillId="28" borderId="34" xfId="0" applyFont="1" applyFill="1" applyBorder="1" applyAlignment="1">
      <alignment horizontal="center"/>
    </xf>
    <xf numFmtId="0" fontId="62" fillId="28" borderId="20" xfId="0" applyFont="1" applyFill="1" applyBorder="1" applyAlignment="1">
      <alignment horizontal="center"/>
    </xf>
    <xf numFmtId="0" fontId="62" fillId="28" borderId="35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9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62" fillId="44" borderId="4" xfId="0" applyFont="1" applyFill="1" applyBorder="1" applyAlignment="1">
      <alignment horizontal="left" wrapText="1"/>
    </xf>
    <xf numFmtId="0" fontId="62" fillId="44" borderId="0" xfId="0" applyFont="1" applyFill="1" applyBorder="1" applyAlignment="1">
      <alignment horizontal="left" wrapText="1"/>
    </xf>
    <xf numFmtId="0" fontId="62" fillId="44" borderId="5" xfId="0" applyFont="1" applyFill="1" applyBorder="1" applyAlignment="1">
      <alignment horizontal="left" wrapText="1"/>
    </xf>
    <xf numFmtId="0" fontId="0" fillId="0" borderId="10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7" borderId="0" xfId="0" applyFont="1" applyFill="1" applyAlignment="1">
      <alignment horizontal="left" wrapText="1"/>
    </xf>
    <xf numFmtId="0" fontId="6" fillId="0" borderId="9" xfId="0" applyFont="1" applyBorder="1" applyAlignment="1">
      <alignment horizontal="center" vertical="top" wrapText="1"/>
    </xf>
    <xf numFmtId="0" fontId="6" fillId="0" borderId="13" xfId="0" applyFont="1" applyBorder="1" applyAlignment="1">
      <alignment horizontal="center" vertical="top" wrapText="1"/>
    </xf>
    <xf numFmtId="0" fontId="1" fillId="0" borderId="0" xfId="0" applyFont="1" applyAlignment="1">
      <alignment horizontal="left" vertical="top" wrapText="1"/>
    </xf>
    <xf numFmtId="0" fontId="1" fillId="0" borderId="2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51" fillId="0" borderId="0" xfId="0" applyFont="1" applyAlignment="1">
      <alignment horizontal="right" vertical="center" textRotation="90"/>
    </xf>
    <xf numFmtId="0" fontId="51" fillId="0" borderId="0" xfId="0" applyFont="1" applyAlignment="1">
      <alignment horizontal="left" vertical="center" textRotation="90"/>
    </xf>
    <xf numFmtId="0" fontId="1" fillId="0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8" fontId="0" fillId="0" borderId="4" xfId="0" applyNumberFormat="1" applyFill="1" applyBorder="1" applyAlignment="1" applyProtection="1">
      <alignment horizontal="center"/>
    </xf>
    <xf numFmtId="168" fontId="0" fillId="0" borderId="5" xfId="0" applyNumberFormat="1" applyFill="1" applyBorder="1" applyAlignment="1" applyProtection="1">
      <alignment horizontal="center"/>
    </xf>
    <xf numFmtId="168" fontId="0" fillId="0" borderId="0" xfId="0" applyNumberFormat="1" applyFill="1" applyBorder="1" applyAlignment="1" applyProtection="1">
      <alignment horizontal="center"/>
    </xf>
    <xf numFmtId="2" fontId="0" fillId="0" borderId="4" xfId="0" applyNumberFormat="1" applyFill="1" applyBorder="1" applyAlignment="1" applyProtection="1">
      <alignment horizontal="center"/>
    </xf>
    <xf numFmtId="2" fontId="0" fillId="0" borderId="5" xfId="0" applyNumberFormat="1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2" fontId="0" fillId="0" borderId="1" xfId="0" applyNumberFormat="1" applyFill="1" applyBorder="1" applyAlignment="1" applyProtection="1">
      <alignment horizontal="center"/>
      <protection locked="0"/>
    </xf>
    <xf numFmtId="2" fontId="0" fillId="0" borderId="3" xfId="0" applyNumberFormat="1" applyFill="1" applyBorder="1" applyAlignment="1" applyProtection="1">
      <alignment horizontal="center"/>
      <protection locked="0"/>
    </xf>
    <xf numFmtId="2" fontId="0" fillId="0" borderId="1" xfId="0" applyNumberFormat="1" applyFill="1" applyBorder="1" applyAlignment="1" applyProtection="1">
      <alignment horizontal="center"/>
    </xf>
    <xf numFmtId="2" fontId="0" fillId="0" borderId="3" xfId="0" applyNumberFormat="1" applyFill="1" applyBorder="1" applyAlignment="1" applyProtection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0" fontId="61" fillId="8" borderId="9" xfId="0" applyFont="1" applyFill="1" applyBorder="1" applyAlignment="1">
      <alignment horizontal="center" vertical="top" wrapText="1"/>
    </xf>
    <xf numFmtId="0" fontId="61" fillId="8" borderId="14" xfId="0" applyFont="1" applyFill="1" applyBorder="1" applyAlignment="1">
      <alignment horizontal="center" vertical="top" wrapText="1"/>
    </xf>
    <xf numFmtId="0" fontId="61" fillId="8" borderId="10" xfId="0" applyFont="1" applyFill="1" applyBorder="1" applyAlignment="1">
      <alignment horizontal="center"/>
    </xf>
    <xf numFmtId="0" fontId="61" fillId="8" borderId="11" xfId="0" applyFont="1" applyFill="1" applyBorder="1" applyAlignment="1">
      <alignment horizontal="center"/>
    </xf>
    <xf numFmtId="0" fontId="61" fillId="9" borderId="10" xfId="0" applyFont="1" applyFill="1" applyBorder="1" applyAlignment="1">
      <alignment horizontal="center"/>
    </xf>
    <xf numFmtId="0" fontId="61" fillId="9" borderId="15" xfId="0" applyFont="1" applyFill="1" applyBorder="1" applyAlignment="1">
      <alignment horizontal="center"/>
    </xf>
    <xf numFmtId="0" fontId="61" fillId="9" borderId="11" xfId="0" applyFont="1" applyFill="1" applyBorder="1" applyAlignment="1">
      <alignment horizontal="center"/>
    </xf>
    <xf numFmtId="0" fontId="61" fillId="8" borderId="15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3" fillId="8" borderId="0" xfId="0" applyFont="1" applyFill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4" fillId="30" borderId="0" xfId="0" applyFont="1" applyFill="1" applyAlignment="1">
      <alignment horizontal="center" vertical="center" wrapText="1"/>
    </xf>
    <xf numFmtId="0" fontId="1" fillId="0" borderId="3" xfId="0" applyFont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 vertical="top" wrapText="1"/>
    </xf>
    <xf numFmtId="0" fontId="0" fillId="0" borderId="9" xfId="0" applyBorder="1" applyAlignment="1">
      <alignment horizontal="center" wrapText="1"/>
    </xf>
    <xf numFmtId="0" fontId="0" fillId="0" borderId="14" xfId="0" applyBorder="1"/>
    <xf numFmtId="0" fontId="0" fillId="0" borderId="13" xfId="0" applyBorder="1"/>
    <xf numFmtId="0" fontId="0" fillId="0" borderId="13" xfId="0" applyBorder="1" applyAlignment="1">
      <alignment horizontal="center" vertical="top" wrapText="1"/>
    </xf>
    <xf numFmtId="0" fontId="61" fillId="8" borderId="9" xfId="0" applyFont="1" applyFill="1" applyBorder="1" applyAlignment="1">
      <alignment horizontal="center" vertical="top"/>
    </xf>
    <xf numFmtId="0" fontId="61" fillId="8" borderId="14" xfId="0" applyFont="1" applyFill="1" applyBorder="1" applyAlignment="1">
      <alignment horizontal="center" vertical="top"/>
    </xf>
    <xf numFmtId="0" fontId="61" fillId="8" borderId="13" xfId="0" applyFont="1" applyFill="1" applyBorder="1" applyAlignment="1">
      <alignment horizontal="center" vertical="top"/>
    </xf>
    <xf numFmtId="0" fontId="43" fillId="8" borderId="9" xfId="0" applyFont="1" applyFill="1" applyBorder="1" applyAlignment="1">
      <alignment horizontal="center" vertical="top"/>
    </xf>
    <xf numFmtId="0" fontId="43" fillId="8" borderId="14" xfId="0" applyFont="1" applyFill="1" applyBorder="1" applyAlignment="1">
      <alignment horizontal="center" vertical="top"/>
    </xf>
    <xf numFmtId="0" fontId="43" fillId="8" borderId="10" xfId="0" applyFont="1" applyFill="1" applyBorder="1" applyAlignment="1">
      <alignment horizontal="center"/>
    </xf>
    <xf numFmtId="0" fontId="43" fillId="8" borderId="15" xfId="0" applyFont="1" applyFill="1" applyBorder="1" applyAlignment="1">
      <alignment horizontal="center"/>
    </xf>
    <xf numFmtId="0" fontId="43" fillId="8" borderId="11" xfId="0" applyFont="1" applyFill="1" applyBorder="1" applyAlignment="1">
      <alignment horizontal="center"/>
    </xf>
    <xf numFmtId="0" fontId="51" fillId="13" borderId="1" xfId="0" applyFont="1" applyFill="1" applyBorder="1" applyAlignment="1">
      <alignment horizontal="center"/>
    </xf>
    <xf numFmtId="0" fontId="51" fillId="13" borderId="3" xfId="0" applyFont="1" applyFill="1" applyBorder="1" applyAlignment="1">
      <alignment horizontal="center"/>
    </xf>
    <xf numFmtId="0" fontId="0" fillId="5" borderId="6" xfId="0" applyFill="1" applyBorder="1" applyAlignment="1">
      <alignment horizontal="center" vertical="top" wrapText="1"/>
    </xf>
    <xf numFmtId="0" fontId="0" fillId="5" borderId="8" xfId="0" applyFill="1" applyBorder="1" applyAlignment="1">
      <alignment horizontal="center" vertical="top" wrapText="1"/>
    </xf>
    <xf numFmtId="0" fontId="51" fillId="13" borderId="9" xfId="0" applyFont="1" applyFill="1" applyBorder="1" applyAlignment="1">
      <alignment horizontal="center" vertical="top" wrapText="1"/>
    </xf>
    <xf numFmtId="0" fontId="51" fillId="13" borderId="13" xfId="0" applyFont="1" applyFill="1" applyBorder="1" applyAlignment="1">
      <alignment horizontal="center" vertical="top" wrapText="1"/>
    </xf>
    <xf numFmtId="0" fontId="74" fillId="13" borderId="10" xfId="0" applyFont="1" applyFill="1" applyBorder="1" applyAlignment="1">
      <alignment horizontal="center"/>
    </xf>
    <xf numFmtId="0" fontId="74" fillId="13" borderId="15" xfId="0" applyFont="1" applyFill="1" applyBorder="1" applyAlignment="1">
      <alignment horizontal="center"/>
    </xf>
    <xf numFmtId="0" fontId="74" fillId="13" borderId="11" xfId="0" applyFont="1" applyFill="1" applyBorder="1" applyAlignment="1">
      <alignment horizontal="center"/>
    </xf>
    <xf numFmtId="0" fontId="43" fillId="8" borderId="13" xfId="0" applyFont="1" applyFill="1" applyBorder="1" applyAlignment="1">
      <alignment horizontal="center" vertical="top"/>
    </xf>
    <xf numFmtId="2" fontId="0" fillId="0" borderId="0" xfId="0" applyNumberFormat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wrapText="1"/>
    </xf>
    <xf numFmtId="2" fontId="0" fillId="0" borderId="0" xfId="0" applyNumberFormat="1" applyFill="1" applyAlignment="1" applyProtection="1">
      <alignment horizontal="left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6" xfId="0" applyFont="1" applyBorder="1" applyAlignment="1">
      <alignment horizontal="center" vertical="top" wrapText="1"/>
    </xf>
    <xf numFmtId="0" fontId="0" fillId="0" borderId="4" xfId="0" applyBorder="1"/>
    <xf numFmtId="0" fontId="0" fillId="0" borderId="6" xfId="0" applyBorder="1"/>
    <xf numFmtId="0" fontId="0" fillId="46" borderId="10" xfId="0" applyFill="1" applyBorder="1" applyAlignment="1">
      <alignment horizontal="center"/>
    </xf>
    <xf numFmtId="0" fontId="0" fillId="46" borderId="15" xfId="0" applyFill="1" applyBorder="1" applyAlignment="1">
      <alignment horizontal="center"/>
    </xf>
    <xf numFmtId="0" fontId="0" fillId="46" borderId="11" xfId="0" applyFill="1" applyBorder="1" applyAlignment="1">
      <alignment horizontal="center"/>
    </xf>
    <xf numFmtId="0" fontId="43" fillId="13" borderId="10" xfId="0" applyFont="1" applyFill="1" applyBorder="1" applyAlignment="1">
      <alignment horizontal="center"/>
    </xf>
    <xf numFmtId="0" fontId="43" fillId="13" borderId="15" xfId="0" applyFont="1" applyFill="1" applyBorder="1" applyAlignment="1">
      <alignment horizontal="center"/>
    </xf>
    <xf numFmtId="0" fontId="43" fillId="13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 vertical="center" wrapText="1"/>
    </xf>
    <xf numFmtId="0" fontId="0" fillId="0" borderId="3" xfId="0" applyBorder="1"/>
    <xf numFmtId="0" fontId="1" fillId="0" borderId="6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 vertical="top" wrapText="1"/>
    </xf>
    <xf numFmtId="0" fontId="0" fillId="5" borderId="9" xfId="0" applyFill="1" applyBorder="1" applyAlignment="1">
      <alignment horizontal="center" wrapText="1"/>
    </xf>
    <xf numFmtId="0" fontId="0" fillId="5" borderId="13" xfId="0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2" fontId="0" fillId="39" borderId="0" xfId="0" applyNumberFormat="1" applyFill="1" applyAlignment="1">
      <alignment horizontal="right" vertical="center"/>
    </xf>
    <xf numFmtId="0" fontId="0" fillId="5" borderId="12" xfId="0" applyFill="1" applyBorder="1" applyAlignment="1">
      <alignment horizontal="center" wrapText="1"/>
    </xf>
    <xf numFmtId="0" fontId="0" fillId="5" borderId="9" xfId="0" applyFill="1" applyBorder="1" applyAlignment="1">
      <alignment horizontal="center" vertical="top" wrapText="1"/>
    </xf>
    <xf numFmtId="0" fontId="0" fillId="5" borderId="13" xfId="0" applyFill="1" applyBorder="1" applyAlignment="1">
      <alignment horizontal="center" vertical="top" wrapText="1"/>
    </xf>
    <xf numFmtId="2" fontId="0" fillId="0" borderId="0" xfId="0" applyNumberFormat="1" applyAlignment="1">
      <alignment vertical="center"/>
    </xf>
    <xf numFmtId="2" fontId="0" fillId="0" borderId="14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" xfId="0" applyFont="1" applyBorder="1" applyAlignment="1">
      <alignment vertical="top" wrapText="1"/>
    </xf>
    <xf numFmtId="0" fontId="1" fillId="0" borderId="4" xfId="0" applyFont="1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1" fillId="0" borderId="0" xfId="0" applyFont="1" applyFill="1" applyBorder="1" applyAlignment="1">
      <alignment horizontal="center" vertical="top"/>
    </xf>
    <xf numFmtId="0" fontId="1" fillId="0" borderId="1" xfId="0" applyFont="1" applyFill="1" applyBorder="1" applyAlignment="1">
      <alignment horizontal="center" vertical="top" wrapText="1"/>
    </xf>
    <xf numFmtId="0" fontId="1" fillId="0" borderId="6" xfId="0" applyFont="1" applyFill="1" applyBorder="1" applyAlignment="1">
      <alignment horizontal="center" vertical="top" wrapText="1"/>
    </xf>
    <xf numFmtId="0" fontId="11" fillId="0" borderId="0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1" fillId="0" borderId="0" xfId="0" applyFont="1" applyAlignment="1">
      <alignment horizontal="center" vertical="top" wrapText="1"/>
    </xf>
    <xf numFmtId="2" fontId="1" fillId="0" borderId="10" xfId="0" applyNumberFormat="1" applyFont="1" applyBorder="1" applyAlignment="1">
      <alignment horizontal="center" vertical="top"/>
    </xf>
    <xf numFmtId="2" fontId="1" fillId="0" borderId="15" xfId="0" applyNumberFormat="1" applyFont="1" applyBorder="1" applyAlignment="1">
      <alignment horizontal="center" vertical="top"/>
    </xf>
    <xf numFmtId="2" fontId="1" fillId="0" borderId="11" xfId="0" applyNumberFormat="1" applyFont="1" applyBorder="1" applyAlignment="1">
      <alignment horizontal="center" vertical="top"/>
    </xf>
    <xf numFmtId="0" fontId="11" fillId="0" borderId="9" xfId="0" applyFont="1" applyBorder="1" applyAlignment="1">
      <alignment horizontal="center" vertical="top" wrapText="1"/>
    </xf>
    <xf numFmtId="0" fontId="11" fillId="0" borderId="13" xfId="0" applyFont="1" applyBorder="1" applyAlignment="1">
      <alignment horizontal="center" vertical="top" wrapText="1"/>
    </xf>
    <xf numFmtId="2" fontId="1" fillId="0" borderId="4" xfId="0" applyNumberFormat="1" applyFont="1" applyFill="1" applyBorder="1" applyAlignment="1" applyProtection="1">
      <alignment horizontal="center"/>
    </xf>
    <xf numFmtId="2" fontId="1" fillId="0" borderId="5" xfId="0" applyNumberFormat="1" applyFont="1" applyFill="1" applyBorder="1" applyAlignment="1" applyProtection="1">
      <alignment horizontal="center"/>
    </xf>
    <xf numFmtId="2" fontId="0" fillId="0" borderId="0" xfId="0" applyNumberFormat="1" applyFill="1" applyAlignment="1" applyProtection="1">
      <alignment horizontal="center" vertic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2" fontId="15" fillId="0" borderId="6" xfId="0" applyNumberFormat="1" applyFont="1" applyBorder="1" applyAlignment="1">
      <alignment horizontal="center"/>
    </xf>
    <xf numFmtId="2" fontId="15" fillId="0" borderId="8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1" fillId="0" borderId="0" xfId="0" applyFont="1" applyFill="1" applyAlignment="1">
      <alignment horizontal="left" vertical="center"/>
    </xf>
    <xf numFmtId="2" fontId="0" fillId="0" borderId="0" xfId="0" applyNumberFormat="1" applyFill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1" xfId="0" applyFont="1" applyFill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2" fontId="1" fillId="0" borderId="0" xfId="0" applyNumberFormat="1" applyFont="1" applyFill="1" applyAlignment="1">
      <alignment horizontal="right" vertical="center"/>
    </xf>
    <xf numFmtId="0" fontId="100" fillId="14" borderId="0" xfId="0" applyFont="1" applyFill="1" applyAlignment="1">
      <alignment horizontal="left" textRotation="90"/>
    </xf>
    <xf numFmtId="0" fontId="0" fillId="18" borderId="10" xfId="0" applyFill="1" applyBorder="1" applyAlignment="1" applyProtection="1">
      <alignment horizontal="center"/>
      <protection locked="0"/>
    </xf>
    <xf numFmtId="0" fontId="0" fillId="18" borderId="11" xfId="0" applyFill="1" applyBorder="1" applyAlignment="1" applyProtection="1">
      <alignment horizontal="center"/>
      <protection locked="0"/>
    </xf>
    <xf numFmtId="0" fontId="0" fillId="18" borderId="15" xfId="0" applyFill="1" applyBorder="1" applyAlignment="1" applyProtection="1">
      <alignment horizontal="center"/>
      <protection locked="0"/>
    </xf>
    <xf numFmtId="2" fontId="0" fillId="0" borderId="4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2" fontId="0" fillId="0" borderId="5" xfId="0" applyNumberFormat="1" applyBorder="1" applyAlignment="1" applyProtection="1">
      <alignment horizontal="center"/>
      <protection locked="0"/>
    </xf>
    <xf numFmtId="2" fontId="0" fillId="0" borderId="1" xfId="0" applyNumberFormat="1" applyBorder="1" applyAlignment="1" applyProtection="1">
      <alignment horizontal="center"/>
      <protection locked="0"/>
    </xf>
    <xf numFmtId="2" fontId="0" fillId="0" borderId="3" xfId="0" applyNumberFormat="1" applyBorder="1" applyAlignment="1" applyProtection="1">
      <alignment horizontal="center"/>
      <protection locked="0"/>
    </xf>
    <xf numFmtId="2" fontId="0" fillId="0" borderId="2" xfId="0" applyNumberFormat="1" applyBorder="1" applyAlignment="1" applyProtection="1">
      <alignment horizontal="center"/>
      <protection locked="0"/>
    </xf>
    <xf numFmtId="0" fontId="1" fillId="8" borderId="0" xfId="0" applyFont="1" applyFill="1" applyBorder="1" applyAlignment="1">
      <alignment horizontal="center" vertical="top" wrapText="1"/>
    </xf>
    <xf numFmtId="0" fontId="1" fillId="8" borderId="0" xfId="0" applyFont="1" applyFill="1" applyBorder="1" applyAlignment="1">
      <alignment horizontal="center" vertical="center" wrapText="1"/>
    </xf>
    <xf numFmtId="0" fontId="1" fillId="8" borderId="0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mruColors>
      <color rgb="FF00FF00"/>
      <color rgb="FFFFCCFF"/>
      <color rgb="FF75EBFB"/>
      <color rgb="FF0000FF"/>
      <color rgb="FFFF66CC"/>
      <color rgb="FFCC99FF"/>
      <color rgb="FF0066CC"/>
      <color rgb="FF79E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340</xdr:row>
      <xdr:rowOff>9525</xdr:rowOff>
    </xdr:from>
    <xdr:to>
      <xdr:col>0</xdr:col>
      <xdr:colOff>600075</xdr:colOff>
      <xdr:row>341</xdr:row>
      <xdr:rowOff>9525</xdr:rowOff>
    </xdr:to>
    <xdr:sp macro="" textlink="">
      <xdr:nvSpPr>
        <xdr:cNvPr id="2" name="Line 5"/>
        <xdr:cNvSpPr>
          <a:spLocks noChangeShapeType="1"/>
        </xdr:cNvSpPr>
      </xdr:nvSpPr>
      <xdr:spPr bwMode="auto">
        <a:xfrm flipV="1">
          <a:off x="600075" y="447579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485775</xdr:colOff>
      <xdr:row>338</xdr:row>
      <xdr:rowOff>38099</xdr:rowOff>
    </xdr:from>
    <xdr:to>
      <xdr:col>3</xdr:col>
      <xdr:colOff>266700</xdr:colOff>
      <xdr:row>339</xdr:row>
      <xdr:rowOff>161924</xdr:rowOff>
    </xdr:to>
    <xdr:sp macro="" textlink="">
      <xdr:nvSpPr>
        <xdr:cNvPr id="4" name="Line 7"/>
        <xdr:cNvSpPr>
          <a:spLocks noChangeShapeType="1"/>
        </xdr:cNvSpPr>
      </xdr:nvSpPr>
      <xdr:spPr bwMode="auto">
        <a:xfrm flipV="1">
          <a:off x="1095375" y="38957249"/>
          <a:ext cx="390525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257175</xdr:colOff>
      <xdr:row>338</xdr:row>
      <xdr:rowOff>47625</xdr:rowOff>
    </xdr:from>
    <xdr:to>
      <xdr:col>4</xdr:col>
      <xdr:colOff>600075</xdr:colOff>
      <xdr:row>338</xdr:row>
      <xdr:rowOff>47625</xdr:rowOff>
    </xdr:to>
    <xdr:sp macro="" textlink="">
      <xdr:nvSpPr>
        <xdr:cNvPr id="5" name="Line 8"/>
        <xdr:cNvSpPr>
          <a:spLocks noChangeShapeType="1"/>
        </xdr:cNvSpPr>
      </xdr:nvSpPr>
      <xdr:spPr bwMode="auto">
        <a:xfrm>
          <a:off x="1514475" y="7086600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600074</xdr:colOff>
      <xdr:row>338</xdr:row>
      <xdr:rowOff>47625</xdr:rowOff>
    </xdr:from>
    <xdr:to>
      <xdr:col>5</xdr:col>
      <xdr:colOff>447675</xdr:colOff>
      <xdr:row>339</xdr:row>
      <xdr:rowOff>152400</xdr:rowOff>
    </xdr:to>
    <xdr:sp macro="" textlink="">
      <xdr:nvSpPr>
        <xdr:cNvPr id="6" name="Line 9"/>
        <xdr:cNvSpPr>
          <a:spLocks noChangeShapeType="1"/>
        </xdr:cNvSpPr>
      </xdr:nvSpPr>
      <xdr:spPr bwMode="auto">
        <a:xfrm>
          <a:off x="2428874" y="38966775"/>
          <a:ext cx="457201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438150</xdr:colOff>
      <xdr:row>339</xdr:row>
      <xdr:rowOff>152400</xdr:rowOff>
    </xdr:from>
    <xdr:to>
      <xdr:col>8</xdr:col>
      <xdr:colOff>219075</xdr:colOff>
      <xdr:row>339</xdr:row>
      <xdr:rowOff>152400</xdr:rowOff>
    </xdr:to>
    <xdr:sp macro="" textlink="">
      <xdr:nvSpPr>
        <xdr:cNvPr id="7" name="Line 10"/>
        <xdr:cNvSpPr>
          <a:spLocks noChangeShapeType="1"/>
        </xdr:cNvSpPr>
      </xdr:nvSpPr>
      <xdr:spPr bwMode="auto">
        <a:xfrm>
          <a:off x="2876550" y="39233475"/>
          <a:ext cx="1609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200025</xdr:colOff>
      <xdr:row>339</xdr:row>
      <xdr:rowOff>152400</xdr:rowOff>
    </xdr:from>
    <xdr:to>
      <xdr:col>8</xdr:col>
      <xdr:colOff>200025</xdr:colOff>
      <xdr:row>341</xdr:row>
      <xdr:rowOff>85725</xdr:rowOff>
    </xdr:to>
    <xdr:sp macro="" textlink="">
      <xdr:nvSpPr>
        <xdr:cNvPr id="8" name="Line 11"/>
        <xdr:cNvSpPr>
          <a:spLocks noChangeShapeType="1"/>
        </xdr:cNvSpPr>
      </xdr:nvSpPr>
      <xdr:spPr bwMode="auto">
        <a:xfrm>
          <a:off x="4467225" y="39233475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257175</xdr:colOff>
      <xdr:row>333</xdr:row>
      <xdr:rowOff>123825</xdr:rowOff>
    </xdr:from>
    <xdr:to>
      <xdr:col>3</xdr:col>
      <xdr:colOff>257175</xdr:colOff>
      <xdr:row>335</xdr:row>
      <xdr:rowOff>0</xdr:rowOff>
    </xdr:to>
    <xdr:sp macro="" textlink="">
      <xdr:nvSpPr>
        <xdr:cNvPr id="9" name="Line 12"/>
        <xdr:cNvSpPr>
          <a:spLocks noChangeShapeType="1"/>
        </xdr:cNvSpPr>
      </xdr:nvSpPr>
      <xdr:spPr bwMode="auto">
        <a:xfrm flipV="1">
          <a:off x="1514475" y="6353175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257175</xdr:colOff>
      <xdr:row>335</xdr:row>
      <xdr:rowOff>0</xdr:rowOff>
    </xdr:from>
    <xdr:to>
      <xdr:col>5</xdr:col>
      <xdr:colOff>0</xdr:colOff>
      <xdr:row>335</xdr:row>
      <xdr:rowOff>0</xdr:rowOff>
    </xdr:to>
    <xdr:sp macro="" textlink="">
      <xdr:nvSpPr>
        <xdr:cNvPr id="10" name="Line 13"/>
        <xdr:cNvSpPr>
          <a:spLocks noChangeShapeType="1"/>
        </xdr:cNvSpPr>
      </xdr:nvSpPr>
      <xdr:spPr bwMode="auto">
        <a:xfrm>
          <a:off x="1514475" y="6553200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333</xdr:row>
      <xdr:rowOff>133350</xdr:rowOff>
    </xdr:from>
    <xdr:to>
      <xdr:col>5</xdr:col>
      <xdr:colOff>0</xdr:colOff>
      <xdr:row>335</xdr:row>
      <xdr:rowOff>0</xdr:rowOff>
    </xdr:to>
    <xdr:sp macro="" textlink="">
      <xdr:nvSpPr>
        <xdr:cNvPr id="11" name="Line 14"/>
        <xdr:cNvSpPr>
          <a:spLocks noChangeShapeType="1"/>
        </xdr:cNvSpPr>
      </xdr:nvSpPr>
      <xdr:spPr bwMode="auto">
        <a:xfrm flipV="1">
          <a:off x="2476500" y="636270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335</xdr:row>
      <xdr:rowOff>9524</xdr:rowOff>
    </xdr:from>
    <xdr:to>
      <xdr:col>7</xdr:col>
      <xdr:colOff>447675</xdr:colOff>
      <xdr:row>338</xdr:row>
      <xdr:rowOff>47624</xdr:rowOff>
    </xdr:to>
    <xdr:sp macro="" textlink="">
      <xdr:nvSpPr>
        <xdr:cNvPr id="12" name="Freeform 15"/>
        <xdr:cNvSpPr>
          <a:spLocks/>
        </xdr:cNvSpPr>
      </xdr:nvSpPr>
      <xdr:spPr bwMode="auto">
        <a:xfrm>
          <a:off x="1219200" y="43910249"/>
          <a:ext cx="3495675" cy="600075"/>
        </a:xfrm>
        <a:custGeom>
          <a:avLst/>
          <a:gdLst>
            <a:gd name="T0" fmla="*/ 0 w 369"/>
            <a:gd name="T1" fmla="*/ 0 h 55"/>
            <a:gd name="T2" fmla="*/ 2147483647 w 369"/>
            <a:gd name="T3" fmla="*/ 2147483647 h 55"/>
            <a:gd name="T4" fmla="*/ 2147483647 w 369"/>
            <a:gd name="T5" fmla="*/ 2147483647 h 55"/>
            <a:gd name="T6" fmla="*/ 2147483647 w 369"/>
            <a:gd name="T7" fmla="*/ 2147483647 h 55"/>
            <a:gd name="T8" fmla="*/ 2147483647 w 369"/>
            <a:gd name="T9" fmla="*/ 2147483647 h 55"/>
            <a:gd name="T10" fmla="*/ 2147483647 w 369"/>
            <a:gd name="T11" fmla="*/ 2147483647 h 55"/>
            <a:gd name="T12" fmla="*/ 2147483647 w 369"/>
            <a:gd name="T13" fmla="*/ 2147483647 h 55"/>
            <a:gd name="T14" fmla="*/ 2147483647 w 369"/>
            <a:gd name="T15" fmla="*/ 2147483647 h 55"/>
            <a:gd name="T16" fmla="*/ 2147483647 w 369"/>
            <a:gd name="T17" fmla="*/ 2147483647 h 55"/>
            <a:gd name="T18" fmla="*/ 2147483647 w 369"/>
            <a:gd name="T19" fmla="*/ 2147483647 h 55"/>
            <a:gd name="T20" fmla="*/ 2147483647 w 369"/>
            <a:gd name="T21" fmla="*/ 2147483647 h 55"/>
            <a:gd name="T22" fmla="*/ 2147483647 w 369"/>
            <a:gd name="T23" fmla="*/ 2147483647 h 55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69"/>
            <a:gd name="T37" fmla="*/ 0 h 55"/>
            <a:gd name="T38" fmla="*/ 369 w 369"/>
            <a:gd name="T39" fmla="*/ 55 h 55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69" h="55">
              <a:moveTo>
                <a:pt x="0" y="0"/>
              </a:moveTo>
              <a:cubicBezTo>
                <a:pt x="52" y="2"/>
                <a:pt x="102" y="21"/>
                <a:pt x="153" y="27"/>
              </a:cubicBezTo>
              <a:cubicBezTo>
                <a:pt x="161" y="30"/>
                <a:pt x="170" y="33"/>
                <a:pt x="178" y="34"/>
              </a:cubicBezTo>
              <a:cubicBezTo>
                <a:pt x="191" y="38"/>
                <a:pt x="204" y="42"/>
                <a:pt x="217" y="46"/>
              </a:cubicBezTo>
              <a:cubicBezTo>
                <a:pt x="222" y="48"/>
                <a:pt x="226" y="48"/>
                <a:pt x="231" y="50"/>
              </a:cubicBezTo>
              <a:cubicBezTo>
                <a:pt x="232" y="50"/>
                <a:pt x="234" y="51"/>
                <a:pt x="234" y="51"/>
              </a:cubicBezTo>
              <a:cubicBezTo>
                <a:pt x="238" y="55"/>
                <a:pt x="241" y="54"/>
                <a:pt x="246" y="51"/>
              </a:cubicBezTo>
              <a:cubicBezTo>
                <a:pt x="248" y="46"/>
                <a:pt x="247" y="43"/>
                <a:pt x="252" y="41"/>
              </a:cubicBezTo>
              <a:cubicBezTo>
                <a:pt x="253" y="37"/>
                <a:pt x="255" y="29"/>
                <a:pt x="259" y="28"/>
              </a:cubicBezTo>
              <a:cubicBezTo>
                <a:pt x="260" y="24"/>
                <a:pt x="264" y="21"/>
                <a:pt x="268" y="18"/>
              </a:cubicBezTo>
              <a:cubicBezTo>
                <a:pt x="272" y="6"/>
                <a:pt x="278" y="10"/>
                <a:pt x="296" y="9"/>
              </a:cubicBezTo>
              <a:cubicBezTo>
                <a:pt x="319" y="8"/>
                <a:pt x="345" y="8"/>
                <a:pt x="369" y="8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571500</xdr:colOff>
      <xdr:row>337</xdr:row>
      <xdr:rowOff>47625</xdr:rowOff>
    </xdr:from>
    <xdr:ext cx="171450" cy="342900"/>
    <xdr:sp macro="" textlink="">
      <xdr:nvSpPr>
        <xdr:cNvPr id="13" name="Text Box 16"/>
        <xdr:cNvSpPr txBox="1">
          <a:spLocks noChangeArrowheads="1"/>
        </xdr:cNvSpPr>
      </xdr:nvSpPr>
      <xdr:spPr bwMode="auto">
        <a:xfrm>
          <a:off x="2438400" y="6924675"/>
          <a:ext cx="1714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 y</a:t>
          </a:r>
          <a:r>
            <a:rPr lang="en-GB" sz="7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5</xdr:col>
      <xdr:colOff>0</xdr:colOff>
      <xdr:row>337</xdr:row>
      <xdr:rowOff>57150</xdr:rowOff>
    </xdr:from>
    <xdr:to>
      <xdr:col>5</xdr:col>
      <xdr:colOff>0</xdr:colOff>
      <xdr:row>338</xdr:row>
      <xdr:rowOff>47625</xdr:rowOff>
    </xdr:to>
    <xdr:sp macro="" textlink="">
      <xdr:nvSpPr>
        <xdr:cNvPr id="14" name="Line 17"/>
        <xdr:cNvSpPr>
          <a:spLocks noChangeShapeType="1"/>
        </xdr:cNvSpPr>
      </xdr:nvSpPr>
      <xdr:spPr bwMode="auto">
        <a:xfrm>
          <a:off x="2476500" y="69342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5</xdr:col>
      <xdr:colOff>476250</xdr:colOff>
      <xdr:row>338</xdr:row>
      <xdr:rowOff>28575</xdr:rowOff>
    </xdr:from>
    <xdr:to>
      <xdr:col>5</xdr:col>
      <xdr:colOff>552450</xdr:colOff>
      <xdr:row>339</xdr:row>
      <xdr:rowOff>66675</xdr:rowOff>
    </xdr:to>
    <xdr:sp macro="" textlink="">
      <xdr:nvSpPr>
        <xdr:cNvPr id="15" name="Text Box 18"/>
        <xdr:cNvSpPr txBox="1">
          <a:spLocks noChangeArrowheads="1"/>
        </xdr:cNvSpPr>
      </xdr:nvSpPr>
      <xdr:spPr bwMode="auto">
        <a:xfrm>
          <a:off x="2952750" y="70675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5</xdr:col>
      <xdr:colOff>476250</xdr:colOff>
      <xdr:row>338</xdr:row>
      <xdr:rowOff>28575</xdr:rowOff>
    </xdr:from>
    <xdr:ext cx="114300" cy="342900"/>
    <xdr:sp macro="" textlink="">
      <xdr:nvSpPr>
        <xdr:cNvPr id="16" name="Text Box 19"/>
        <xdr:cNvSpPr txBox="1">
          <a:spLocks noChangeArrowheads="1"/>
        </xdr:cNvSpPr>
      </xdr:nvSpPr>
      <xdr:spPr bwMode="auto">
        <a:xfrm>
          <a:off x="2952750" y="7067550"/>
          <a:ext cx="1143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y</a:t>
          </a:r>
          <a:r>
            <a:rPr lang="en-GB" sz="7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5</xdr:col>
      <xdr:colOff>457200</xdr:colOff>
      <xdr:row>335</xdr:row>
      <xdr:rowOff>85725</xdr:rowOff>
    </xdr:from>
    <xdr:to>
      <xdr:col>5</xdr:col>
      <xdr:colOff>457200</xdr:colOff>
      <xdr:row>336</xdr:row>
      <xdr:rowOff>152400</xdr:rowOff>
    </xdr:to>
    <xdr:sp macro="" textlink="">
      <xdr:nvSpPr>
        <xdr:cNvPr id="22" name="Line 28"/>
        <xdr:cNvSpPr>
          <a:spLocks noChangeShapeType="1"/>
        </xdr:cNvSpPr>
      </xdr:nvSpPr>
      <xdr:spPr bwMode="auto">
        <a:xfrm>
          <a:off x="2933700" y="6638925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457200</xdr:colOff>
      <xdr:row>340</xdr:row>
      <xdr:rowOff>133350</xdr:rowOff>
    </xdr:from>
    <xdr:to>
      <xdr:col>5</xdr:col>
      <xdr:colOff>457200</xdr:colOff>
      <xdr:row>341</xdr:row>
      <xdr:rowOff>152400</xdr:rowOff>
    </xdr:to>
    <xdr:sp macro="" textlink="">
      <xdr:nvSpPr>
        <xdr:cNvPr id="23" name="Line 29"/>
        <xdr:cNvSpPr>
          <a:spLocks noChangeShapeType="1"/>
        </xdr:cNvSpPr>
      </xdr:nvSpPr>
      <xdr:spPr bwMode="auto">
        <a:xfrm>
          <a:off x="2933700" y="733425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</xdr:col>
      <xdr:colOff>409575</xdr:colOff>
      <xdr:row>334</xdr:row>
      <xdr:rowOff>47625</xdr:rowOff>
    </xdr:from>
    <xdr:ext cx="19050" cy="342900"/>
    <xdr:sp macro="" textlink="">
      <xdr:nvSpPr>
        <xdr:cNvPr id="25" name="Text Box 31"/>
        <xdr:cNvSpPr txBox="1">
          <a:spLocks noChangeArrowheads="1"/>
        </xdr:cNvSpPr>
      </xdr:nvSpPr>
      <xdr:spPr bwMode="auto">
        <a:xfrm>
          <a:off x="2886075" y="6438900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7</xdr:col>
      <xdr:colOff>211138</xdr:colOff>
      <xdr:row>335</xdr:row>
      <xdr:rowOff>127000</xdr:rowOff>
    </xdr:from>
    <xdr:to>
      <xdr:col>7</xdr:col>
      <xdr:colOff>363538</xdr:colOff>
      <xdr:row>335</xdr:row>
      <xdr:rowOff>127000</xdr:rowOff>
    </xdr:to>
    <xdr:sp macro="" textlink="">
      <xdr:nvSpPr>
        <xdr:cNvPr id="26" name="Line 32"/>
        <xdr:cNvSpPr>
          <a:spLocks noChangeShapeType="1"/>
        </xdr:cNvSpPr>
      </xdr:nvSpPr>
      <xdr:spPr bwMode="auto">
        <a:xfrm>
          <a:off x="4478338" y="440277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277812</xdr:colOff>
      <xdr:row>335</xdr:row>
      <xdr:rowOff>95249</xdr:rowOff>
    </xdr:from>
    <xdr:to>
      <xdr:col>7</xdr:col>
      <xdr:colOff>306387</xdr:colOff>
      <xdr:row>335</xdr:row>
      <xdr:rowOff>95249</xdr:rowOff>
    </xdr:to>
    <xdr:sp macro="" textlink="">
      <xdr:nvSpPr>
        <xdr:cNvPr id="27" name="Line 33"/>
        <xdr:cNvSpPr>
          <a:spLocks noChangeShapeType="1"/>
        </xdr:cNvSpPr>
      </xdr:nvSpPr>
      <xdr:spPr bwMode="auto">
        <a:xfrm>
          <a:off x="4545012" y="43995974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376238</xdr:colOff>
      <xdr:row>335</xdr:row>
      <xdr:rowOff>28575</xdr:rowOff>
    </xdr:from>
    <xdr:to>
      <xdr:col>1</xdr:col>
      <xdr:colOff>585788</xdr:colOff>
      <xdr:row>335</xdr:row>
      <xdr:rowOff>28575</xdr:rowOff>
    </xdr:to>
    <xdr:sp macro="" textlink="">
      <xdr:nvSpPr>
        <xdr:cNvPr id="28" name="Line 34"/>
        <xdr:cNvSpPr>
          <a:spLocks noChangeShapeType="1"/>
        </xdr:cNvSpPr>
      </xdr:nvSpPr>
      <xdr:spPr bwMode="auto">
        <a:xfrm>
          <a:off x="985838" y="4392930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433388</xdr:colOff>
      <xdr:row>335</xdr:row>
      <xdr:rowOff>47625</xdr:rowOff>
    </xdr:from>
    <xdr:to>
      <xdr:col>1</xdr:col>
      <xdr:colOff>509588</xdr:colOff>
      <xdr:row>335</xdr:row>
      <xdr:rowOff>47625</xdr:rowOff>
    </xdr:to>
    <xdr:sp macro="" textlink="">
      <xdr:nvSpPr>
        <xdr:cNvPr id="30" name="Line 36"/>
        <xdr:cNvSpPr>
          <a:spLocks noChangeShapeType="1"/>
        </xdr:cNvSpPr>
      </xdr:nvSpPr>
      <xdr:spPr bwMode="auto">
        <a:xfrm>
          <a:off x="1042988" y="43948350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552450</xdr:colOff>
      <xdr:row>340</xdr:row>
      <xdr:rowOff>123825</xdr:rowOff>
    </xdr:from>
    <xdr:to>
      <xdr:col>5</xdr:col>
      <xdr:colOff>19050</xdr:colOff>
      <xdr:row>342</xdr:row>
      <xdr:rowOff>560</xdr:rowOff>
    </xdr:to>
    <xdr:sp macro="" textlink="">
      <xdr:nvSpPr>
        <xdr:cNvPr id="33" name="Text Box 42"/>
        <xdr:cNvSpPr txBox="1">
          <a:spLocks noChangeArrowheads="1"/>
        </xdr:cNvSpPr>
      </xdr:nvSpPr>
      <xdr:spPr bwMode="auto">
        <a:xfrm>
          <a:off x="2419350" y="73247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4</xdr:col>
      <xdr:colOff>552450</xdr:colOff>
      <xdr:row>335</xdr:row>
      <xdr:rowOff>28575</xdr:rowOff>
    </xdr:from>
    <xdr:ext cx="19050" cy="342900"/>
    <xdr:sp macro="" textlink="">
      <xdr:nvSpPr>
        <xdr:cNvPr id="34" name="Text Box 43"/>
        <xdr:cNvSpPr txBox="1">
          <a:spLocks noChangeArrowheads="1"/>
        </xdr:cNvSpPr>
      </xdr:nvSpPr>
      <xdr:spPr bwMode="auto">
        <a:xfrm>
          <a:off x="2419350" y="658177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4</xdr:col>
      <xdr:colOff>600075</xdr:colOff>
      <xdr:row>340</xdr:row>
      <xdr:rowOff>104775</xdr:rowOff>
    </xdr:from>
    <xdr:to>
      <xdr:col>4</xdr:col>
      <xdr:colOff>600075</xdr:colOff>
      <xdr:row>341</xdr:row>
      <xdr:rowOff>85725</xdr:rowOff>
    </xdr:to>
    <xdr:sp macro="" textlink="">
      <xdr:nvSpPr>
        <xdr:cNvPr id="38" name="Line 66"/>
        <xdr:cNvSpPr>
          <a:spLocks noChangeShapeType="1"/>
        </xdr:cNvSpPr>
      </xdr:nvSpPr>
      <xdr:spPr bwMode="auto">
        <a:xfrm>
          <a:off x="2428875" y="393477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</xdr:col>
      <xdr:colOff>304799</xdr:colOff>
      <xdr:row>339</xdr:row>
      <xdr:rowOff>142875</xdr:rowOff>
    </xdr:from>
    <xdr:ext cx="161924" cy="170560"/>
    <xdr:sp macro="" textlink="">
      <xdr:nvSpPr>
        <xdr:cNvPr id="41" name="Text Box 69"/>
        <xdr:cNvSpPr txBox="1">
          <a:spLocks noChangeArrowheads="1"/>
        </xdr:cNvSpPr>
      </xdr:nvSpPr>
      <xdr:spPr bwMode="auto">
        <a:xfrm flipH="1">
          <a:off x="3352799" y="39709725"/>
          <a:ext cx="16192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504825</xdr:colOff>
      <xdr:row>340</xdr:row>
      <xdr:rowOff>66675</xdr:rowOff>
    </xdr:from>
    <xdr:to>
      <xdr:col>2</xdr:col>
      <xdr:colOff>504825</xdr:colOff>
      <xdr:row>341</xdr:row>
      <xdr:rowOff>0</xdr:rowOff>
    </xdr:to>
    <xdr:sp macro="" textlink="">
      <xdr:nvSpPr>
        <xdr:cNvPr id="42" name="Line 2369"/>
        <xdr:cNvSpPr>
          <a:spLocks noChangeShapeType="1"/>
        </xdr:cNvSpPr>
      </xdr:nvSpPr>
      <xdr:spPr bwMode="auto">
        <a:xfrm>
          <a:off x="1114425" y="393096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266700</xdr:colOff>
      <xdr:row>340</xdr:row>
      <xdr:rowOff>66675</xdr:rowOff>
    </xdr:from>
    <xdr:to>
      <xdr:col>3</xdr:col>
      <xdr:colOff>266700</xdr:colOff>
      <xdr:row>340</xdr:row>
      <xdr:rowOff>152400</xdr:rowOff>
    </xdr:to>
    <xdr:sp macro="" textlink="">
      <xdr:nvSpPr>
        <xdr:cNvPr id="43" name="Line 2370"/>
        <xdr:cNvSpPr>
          <a:spLocks noChangeShapeType="1"/>
        </xdr:cNvSpPr>
      </xdr:nvSpPr>
      <xdr:spPr bwMode="auto">
        <a:xfrm>
          <a:off x="1524000" y="72675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</xdr:col>
      <xdr:colOff>314325</xdr:colOff>
      <xdr:row>340</xdr:row>
      <xdr:rowOff>76200</xdr:rowOff>
    </xdr:from>
    <xdr:ext cx="19050" cy="342900"/>
    <xdr:sp macro="" textlink="">
      <xdr:nvSpPr>
        <xdr:cNvPr id="44" name="Text Box 2371"/>
        <xdr:cNvSpPr txBox="1">
          <a:spLocks noChangeArrowheads="1"/>
        </xdr:cNvSpPr>
      </xdr:nvSpPr>
      <xdr:spPr bwMode="auto">
        <a:xfrm>
          <a:off x="1571625" y="7277100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3</xdr:col>
      <xdr:colOff>314325</xdr:colOff>
      <xdr:row>341</xdr:row>
      <xdr:rowOff>0</xdr:rowOff>
    </xdr:from>
    <xdr:ext cx="19050" cy="342900"/>
    <xdr:sp macro="" textlink="">
      <xdr:nvSpPr>
        <xdr:cNvPr id="45" name="Text Box 2372"/>
        <xdr:cNvSpPr txBox="1">
          <a:spLocks noChangeArrowheads="1"/>
        </xdr:cNvSpPr>
      </xdr:nvSpPr>
      <xdr:spPr bwMode="auto">
        <a:xfrm>
          <a:off x="1571625" y="736282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3</xdr:col>
      <xdr:colOff>314325</xdr:colOff>
      <xdr:row>341</xdr:row>
      <xdr:rowOff>0</xdr:rowOff>
    </xdr:from>
    <xdr:ext cx="19050" cy="342900"/>
    <xdr:sp macro="" textlink="">
      <xdr:nvSpPr>
        <xdr:cNvPr id="46" name="Text Box 2373"/>
        <xdr:cNvSpPr txBox="1">
          <a:spLocks noChangeArrowheads="1"/>
        </xdr:cNvSpPr>
      </xdr:nvSpPr>
      <xdr:spPr bwMode="auto">
        <a:xfrm>
          <a:off x="1571625" y="736282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 editAs="oneCell">
    <xdr:from>
      <xdr:col>5</xdr:col>
      <xdr:colOff>171450</xdr:colOff>
      <xdr:row>334</xdr:row>
      <xdr:rowOff>95250</xdr:rowOff>
    </xdr:from>
    <xdr:to>
      <xdr:col>5</xdr:col>
      <xdr:colOff>247650</xdr:colOff>
      <xdr:row>335</xdr:row>
      <xdr:rowOff>133350</xdr:rowOff>
    </xdr:to>
    <xdr:sp macro="" textlink="">
      <xdr:nvSpPr>
        <xdr:cNvPr id="49" name="Text Box 2716"/>
        <xdr:cNvSpPr txBox="1">
          <a:spLocks noChangeArrowheads="1"/>
        </xdr:cNvSpPr>
      </xdr:nvSpPr>
      <xdr:spPr bwMode="auto">
        <a:xfrm>
          <a:off x="2647950" y="64865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352425</xdr:colOff>
      <xdr:row>334</xdr:row>
      <xdr:rowOff>104775</xdr:rowOff>
    </xdr:from>
    <xdr:to>
      <xdr:col>5</xdr:col>
      <xdr:colOff>581025</xdr:colOff>
      <xdr:row>336</xdr:row>
      <xdr:rowOff>19050</xdr:rowOff>
    </xdr:to>
    <xdr:sp macro="" textlink="">
      <xdr:nvSpPr>
        <xdr:cNvPr id="50" name="Oval 3239"/>
        <xdr:cNvSpPr>
          <a:spLocks noChangeArrowheads="1"/>
        </xdr:cNvSpPr>
      </xdr:nvSpPr>
      <xdr:spPr bwMode="auto">
        <a:xfrm>
          <a:off x="2828925" y="6496050"/>
          <a:ext cx="228600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twoCellAnchor>
  <xdr:twoCellAnchor>
    <xdr:from>
      <xdr:col>5</xdr:col>
      <xdr:colOff>352425</xdr:colOff>
      <xdr:row>341</xdr:row>
      <xdr:rowOff>95250</xdr:rowOff>
    </xdr:from>
    <xdr:to>
      <xdr:col>5</xdr:col>
      <xdr:colOff>590550</xdr:colOff>
      <xdr:row>342</xdr:row>
      <xdr:rowOff>133350</xdr:rowOff>
    </xdr:to>
    <xdr:sp macro="" textlink="">
      <xdr:nvSpPr>
        <xdr:cNvPr id="51" name="Oval 3240"/>
        <xdr:cNvSpPr>
          <a:spLocks noChangeArrowheads="1"/>
        </xdr:cNvSpPr>
      </xdr:nvSpPr>
      <xdr:spPr bwMode="auto">
        <a:xfrm>
          <a:off x="2828925" y="7458075"/>
          <a:ext cx="238125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1</a:t>
          </a:r>
        </a:p>
      </xdr:txBody>
    </xdr:sp>
    <xdr:clientData/>
  </xdr:twoCellAnchor>
  <xdr:twoCellAnchor>
    <xdr:from>
      <xdr:col>3</xdr:col>
      <xdr:colOff>533400</xdr:colOff>
      <xdr:row>331</xdr:row>
      <xdr:rowOff>95250</xdr:rowOff>
    </xdr:from>
    <xdr:to>
      <xdr:col>4</xdr:col>
      <xdr:colOff>200025</xdr:colOff>
      <xdr:row>341</xdr:row>
      <xdr:rowOff>152400</xdr:rowOff>
    </xdr:to>
    <xdr:grpSp>
      <xdr:nvGrpSpPr>
        <xdr:cNvPr id="3" name="Group 2"/>
        <xdr:cNvGrpSpPr/>
      </xdr:nvGrpSpPr>
      <xdr:grpSpPr>
        <a:xfrm>
          <a:off x="2362200" y="56464200"/>
          <a:ext cx="276225" cy="1771650"/>
          <a:chOff x="1333500" y="55025925"/>
          <a:chExt cx="276225" cy="1771650"/>
        </a:xfrm>
      </xdr:grpSpPr>
      <xdr:sp macro="" textlink="">
        <xdr:nvSpPr>
          <xdr:cNvPr id="47" name="Line 2714"/>
          <xdr:cNvSpPr>
            <a:spLocks noChangeShapeType="1"/>
          </xdr:cNvSpPr>
        </xdr:nvSpPr>
        <xdr:spPr bwMode="auto">
          <a:xfrm>
            <a:off x="1457325" y="56368950"/>
            <a:ext cx="0" cy="1809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" name="Line 2715"/>
          <xdr:cNvSpPr>
            <a:spLocks noChangeShapeType="1"/>
          </xdr:cNvSpPr>
        </xdr:nvSpPr>
        <xdr:spPr bwMode="auto">
          <a:xfrm flipV="1">
            <a:off x="1466850" y="55225950"/>
            <a:ext cx="0" cy="20955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" name="Oval 3241"/>
          <xdr:cNvSpPr>
            <a:spLocks noChangeArrowheads="1"/>
          </xdr:cNvSpPr>
        </xdr:nvSpPr>
        <xdr:spPr bwMode="auto">
          <a:xfrm>
            <a:off x="1371600" y="55025925"/>
            <a:ext cx="238125" cy="238125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GB" sz="1000" b="1" i="0" strike="noStrike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xdr:txBody>
      </xdr:sp>
      <xdr:sp macro="" textlink="">
        <xdr:nvSpPr>
          <xdr:cNvPr id="53" name="Oval 3242"/>
          <xdr:cNvSpPr>
            <a:spLocks noChangeArrowheads="1"/>
          </xdr:cNvSpPr>
        </xdr:nvSpPr>
        <xdr:spPr bwMode="auto">
          <a:xfrm>
            <a:off x="1333500" y="56578500"/>
            <a:ext cx="228600" cy="219075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GB" sz="1000" b="1" i="0" strike="noStrike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xdr:txBody>
      </xdr:sp>
    </xdr:grpSp>
    <xdr:clientData/>
  </xdr:twoCellAnchor>
  <xdr:oneCellAnchor>
    <xdr:from>
      <xdr:col>3</xdr:col>
      <xdr:colOff>304800</xdr:colOff>
      <xdr:row>340</xdr:row>
      <xdr:rowOff>142875</xdr:rowOff>
    </xdr:from>
    <xdr:ext cx="160941" cy="180036"/>
    <xdr:sp macro="" textlink="">
      <xdr:nvSpPr>
        <xdr:cNvPr id="54" name="Text Box 3261"/>
        <xdr:cNvSpPr txBox="1">
          <a:spLocks noChangeArrowheads="1"/>
        </xdr:cNvSpPr>
      </xdr:nvSpPr>
      <xdr:spPr bwMode="auto">
        <a:xfrm>
          <a:off x="1524000" y="39385875"/>
          <a:ext cx="160941" cy="180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m.</a:t>
          </a:r>
        </a:p>
      </xdr:txBody>
    </xdr:sp>
    <xdr:clientData/>
  </xdr:oneCellAnchor>
  <xdr:twoCellAnchor>
    <xdr:from>
      <xdr:col>2</xdr:col>
      <xdr:colOff>333375</xdr:colOff>
      <xdr:row>340</xdr:row>
      <xdr:rowOff>114300</xdr:rowOff>
    </xdr:from>
    <xdr:to>
      <xdr:col>2</xdr:col>
      <xdr:colOff>504825</xdr:colOff>
      <xdr:row>340</xdr:row>
      <xdr:rowOff>114300</xdr:rowOff>
    </xdr:to>
    <xdr:sp macro="" textlink="">
      <xdr:nvSpPr>
        <xdr:cNvPr id="55" name="Line 3262"/>
        <xdr:cNvSpPr>
          <a:spLocks noChangeShapeType="1"/>
        </xdr:cNvSpPr>
      </xdr:nvSpPr>
      <xdr:spPr bwMode="auto">
        <a:xfrm>
          <a:off x="942975" y="393573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266700</xdr:colOff>
      <xdr:row>340</xdr:row>
      <xdr:rowOff>114300</xdr:rowOff>
    </xdr:from>
    <xdr:to>
      <xdr:col>3</xdr:col>
      <xdr:colOff>466725</xdr:colOff>
      <xdr:row>340</xdr:row>
      <xdr:rowOff>114300</xdr:rowOff>
    </xdr:to>
    <xdr:sp macro="" textlink="">
      <xdr:nvSpPr>
        <xdr:cNvPr id="56" name="Line 3263"/>
        <xdr:cNvSpPr>
          <a:spLocks noChangeShapeType="1"/>
        </xdr:cNvSpPr>
      </xdr:nvSpPr>
      <xdr:spPr bwMode="auto">
        <a:xfrm flipH="1">
          <a:off x="1524000" y="7315200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oneCellAnchor>
    <xdr:from>
      <xdr:col>7</xdr:col>
      <xdr:colOff>276224</xdr:colOff>
      <xdr:row>338</xdr:row>
      <xdr:rowOff>76200</xdr:rowOff>
    </xdr:from>
    <xdr:ext cx="161924" cy="170560"/>
    <xdr:sp macro="" textlink="">
      <xdr:nvSpPr>
        <xdr:cNvPr id="59" name="Text Box 69"/>
        <xdr:cNvSpPr txBox="1">
          <a:spLocks noChangeArrowheads="1"/>
        </xdr:cNvSpPr>
      </xdr:nvSpPr>
      <xdr:spPr bwMode="auto">
        <a:xfrm flipH="1">
          <a:off x="4543424" y="44700825"/>
          <a:ext cx="16192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1</xdr:col>
      <xdr:colOff>190500</xdr:colOff>
      <xdr:row>338</xdr:row>
      <xdr:rowOff>9525</xdr:rowOff>
    </xdr:from>
    <xdr:to>
      <xdr:col>1</xdr:col>
      <xdr:colOff>466725</xdr:colOff>
      <xdr:row>338</xdr:row>
      <xdr:rowOff>11113</xdr:rowOff>
    </xdr:to>
    <xdr:cxnSp macro="">
      <xdr:nvCxnSpPr>
        <xdr:cNvPr id="61" name="Straight Connector 3312"/>
        <xdr:cNvCxnSpPr>
          <a:cxnSpLocks noChangeShapeType="1"/>
        </xdr:cNvCxnSpPr>
      </xdr:nvCxnSpPr>
      <xdr:spPr bwMode="auto">
        <a:xfrm>
          <a:off x="800100" y="44634150"/>
          <a:ext cx="276225" cy="1588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3</xdr:col>
      <xdr:colOff>370681</xdr:colOff>
      <xdr:row>335</xdr:row>
      <xdr:rowOff>10319</xdr:rowOff>
    </xdr:from>
    <xdr:to>
      <xdr:col>3</xdr:col>
      <xdr:colOff>372269</xdr:colOff>
      <xdr:row>338</xdr:row>
      <xdr:rowOff>57944</xdr:rowOff>
    </xdr:to>
    <xdr:cxnSp macro="">
      <xdr:nvCxnSpPr>
        <xdr:cNvPr id="62" name="Straight Arrow Connector 61"/>
        <xdr:cNvCxnSpPr/>
      </xdr:nvCxnSpPr>
      <xdr:spPr bwMode="auto">
        <a:xfrm rot="5400000">
          <a:off x="1362075" y="6829425"/>
          <a:ext cx="533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 editAs="oneCell">
    <xdr:from>
      <xdr:col>6</xdr:col>
      <xdr:colOff>361950</xdr:colOff>
      <xdr:row>345</xdr:row>
      <xdr:rowOff>123825</xdr:rowOff>
    </xdr:from>
    <xdr:to>
      <xdr:col>6</xdr:col>
      <xdr:colOff>438150</xdr:colOff>
      <xdr:row>346</xdr:row>
      <xdr:rowOff>161925</xdr:rowOff>
    </xdr:to>
    <xdr:sp macro="" textlink="">
      <xdr:nvSpPr>
        <xdr:cNvPr id="78" name="Text Box 74"/>
        <xdr:cNvSpPr txBox="1">
          <a:spLocks noChangeArrowheads="1"/>
        </xdr:cNvSpPr>
      </xdr:nvSpPr>
      <xdr:spPr bwMode="auto">
        <a:xfrm>
          <a:off x="4095750" y="94297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362</xdr:row>
      <xdr:rowOff>190500</xdr:rowOff>
    </xdr:from>
    <xdr:to>
      <xdr:col>2</xdr:col>
      <xdr:colOff>114300</xdr:colOff>
      <xdr:row>362</xdr:row>
      <xdr:rowOff>192088</xdr:rowOff>
    </xdr:to>
    <xdr:cxnSp macro="">
      <xdr:nvCxnSpPr>
        <xdr:cNvPr id="97" name="Straight Connector 96"/>
        <xdr:cNvCxnSpPr/>
      </xdr:nvCxnSpPr>
      <xdr:spPr bwMode="auto">
        <a:xfrm>
          <a:off x="1000125" y="14001750"/>
          <a:ext cx="333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485775</xdr:colOff>
      <xdr:row>504</xdr:row>
      <xdr:rowOff>9525</xdr:rowOff>
    </xdr:from>
    <xdr:to>
      <xdr:col>4</xdr:col>
      <xdr:colOff>0</xdr:colOff>
      <xdr:row>506</xdr:row>
      <xdr:rowOff>9525</xdr:rowOff>
    </xdr:to>
    <xdr:sp macro="" textlink="">
      <xdr:nvSpPr>
        <xdr:cNvPr id="99" name="Line 2429"/>
        <xdr:cNvSpPr>
          <a:spLocks noChangeShapeType="1"/>
        </xdr:cNvSpPr>
      </xdr:nvSpPr>
      <xdr:spPr bwMode="auto">
        <a:xfrm>
          <a:off x="485775" y="18135600"/>
          <a:ext cx="13811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514350</xdr:colOff>
      <xdr:row>504</xdr:row>
      <xdr:rowOff>152400</xdr:rowOff>
    </xdr:from>
    <xdr:to>
      <xdr:col>4</xdr:col>
      <xdr:colOff>0</xdr:colOff>
      <xdr:row>504</xdr:row>
      <xdr:rowOff>152400</xdr:rowOff>
    </xdr:to>
    <xdr:sp macro="" textlink="">
      <xdr:nvSpPr>
        <xdr:cNvPr id="101" name="Line 2431"/>
        <xdr:cNvSpPr>
          <a:spLocks noChangeShapeType="1"/>
        </xdr:cNvSpPr>
      </xdr:nvSpPr>
      <xdr:spPr bwMode="auto">
        <a:xfrm>
          <a:off x="1162050" y="18278475"/>
          <a:ext cx="704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504</xdr:row>
      <xdr:rowOff>152400</xdr:rowOff>
    </xdr:from>
    <xdr:to>
      <xdr:col>4</xdr:col>
      <xdr:colOff>0</xdr:colOff>
      <xdr:row>506</xdr:row>
      <xdr:rowOff>0</xdr:rowOff>
    </xdr:to>
    <xdr:sp macro="" textlink="">
      <xdr:nvSpPr>
        <xdr:cNvPr id="102" name="Line 2432"/>
        <xdr:cNvSpPr>
          <a:spLocks noChangeShapeType="1"/>
        </xdr:cNvSpPr>
      </xdr:nvSpPr>
      <xdr:spPr bwMode="auto">
        <a:xfrm>
          <a:off x="1866900" y="1827847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507</xdr:row>
      <xdr:rowOff>47625</xdr:rowOff>
    </xdr:from>
    <xdr:to>
      <xdr:col>4</xdr:col>
      <xdr:colOff>0</xdr:colOff>
      <xdr:row>508</xdr:row>
      <xdr:rowOff>28575</xdr:rowOff>
    </xdr:to>
    <xdr:sp macro="" textlink="">
      <xdr:nvSpPr>
        <xdr:cNvPr id="114" name="Line 2444"/>
        <xdr:cNvSpPr>
          <a:spLocks noChangeShapeType="1"/>
        </xdr:cNvSpPr>
      </xdr:nvSpPr>
      <xdr:spPr bwMode="auto">
        <a:xfrm>
          <a:off x="1828800" y="4307205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504</xdr:row>
      <xdr:rowOff>0</xdr:rowOff>
    </xdr:from>
    <xdr:to>
      <xdr:col>4</xdr:col>
      <xdr:colOff>190500</xdr:colOff>
      <xdr:row>504</xdr:row>
      <xdr:rowOff>142875</xdr:rowOff>
    </xdr:to>
    <xdr:sp macro="" textlink="">
      <xdr:nvSpPr>
        <xdr:cNvPr id="119" name="Line 3289"/>
        <xdr:cNvSpPr>
          <a:spLocks noChangeShapeType="1"/>
        </xdr:cNvSpPr>
      </xdr:nvSpPr>
      <xdr:spPr bwMode="auto">
        <a:xfrm flipV="1">
          <a:off x="1866900" y="18126075"/>
          <a:ext cx="19050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200025</xdr:colOff>
      <xdr:row>504</xdr:row>
      <xdr:rowOff>0</xdr:rowOff>
    </xdr:from>
    <xdr:to>
      <xdr:col>4</xdr:col>
      <xdr:colOff>200025</xdr:colOff>
      <xdr:row>505</xdr:row>
      <xdr:rowOff>38100</xdr:rowOff>
    </xdr:to>
    <xdr:sp macro="" textlink="">
      <xdr:nvSpPr>
        <xdr:cNvPr id="120" name="Line 3290"/>
        <xdr:cNvSpPr>
          <a:spLocks noChangeShapeType="1"/>
        </xdr:cNvSpPr>
      </xdr:nvSpPr>
      <xdr:spPr bwMode="auto">
        <a:xfrm flipH="1">
          <a:off x="2066925" y="18126075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152400</xdr:colOff>
      <xdr:row>504</xdr:row>
      <xdr:rowOff>0</xdr:rowOff>
    </xdr:from>
    <xdr:to>
      <xdr:col>4</xdr:col>
      <xdr:colOff>180975</xdr:colOff>
      <xdr:row>504</xdr:row>
      <xdr:rowOff>0</xdr:rowOff>
    </xdr:to>
    <xdr:sp macro="" textlink="">
      <xdr:nvSpPr>
        <xdr:cNvPr id="121" name="Line 3291"/>
        <xdr:cNvSpPr>
          <a:spLocks noChangeShapeType="1"/>
        </xdr:cNvSpPr>
      </xdr:nvSpPr>
      <xdr:spPr bwMode="auto">
        <a:xfrm flipH="1">
          <a:off x="1371600" y="42510075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523875</xdr:colOff>
      <xdr:row>503</xdr:row>
      <xdr:rowOff>142875</xdr:rowOff>
    </xdr:from>
    <xdr:to>
      <xdr:col>3</xdr:col>
      <xdr:colOff>161925</xdr:colOff>
      <xdr:row>504</xdr:row>
      <xdr:rowOff>152400</xdr:rowOff>
    </xdr:to>
    <xdr:sp macro="" textlink="">
      <xdr:nvSpPr>
        <xdr:cNvPr id="122" name="Line 3292"/>
        <xdr:cNvSpPr>
          <a:spLocks noChangeShapeType="1"/>
        </xdr:cNvSpPr>
      </xdr:nvSpPr>
      <xdr:spPr bwMode="auto">
        <a:xfrm flipH="1">
          <a:off x="1171575" y="18107025"/>
          <a:ext cx="2476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600075</xdr:colOff>
      <xdr:row>505</xdr:row>
      <xdr:rowOff>28574</xdr:rowOff>
    </xdr:from>
    <xdr:to>
      <xdr:col>4</xdr:col>
      <xdr:colOff>209550</xdr:colOff>
      <xdr:row>505</xdr:row>
      <xdr:rowOff>161924</xdr:rowOff>
    </xdr:to>
    <xdr:sp macro="" textlink="">
      <xdr:nvSpPr>
        <xdr:cNvPr id="123" name="Line 3293"/>
        <xdr:cNvSpPr>
          <a:spLocks noChangeShapeType="1"/>
        </xdr:cNvSpPr>
      </xdr:nvSpPr>
      <xdr:spPr bwMode="auto">
        <a:xfrm flipV="1">
          <a:off x="1819275" y="42729149"/>
          <a:ext cx="21907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552450</xdr:colOff>
      <xdr:row>505</xdr:row>
      <xdr:rowOff>0</xdr:rowOff>
    </xdr:from>
    <xdr:to>
      <xdr:col>2</xdr:col>
      <xdr:colOff>28575</xdr:colOff>
      <xdr:row>505</xdr:row>
      <xdr:rowOff>0</xdr:rowOff>
    </xdr:to>
    <xdr:sp macro="" textlink="">
      <xdr:nvSpPr>
        <xdr:cNvPr id="126" name="Line 3296"/>
        <xdr:cNvSpPr>
          <a:spLocks noChangeShapeType="1"/>
        </xdr:cNvSpPr>
      </xdr:nvSpPr>
      <xdr:spPr bwMode="auto">
        <a:xfrm>
          <a:off x="552450" y="1828800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533400</xdr:colOff>
      <xdr:row>506</xdr:row>
      <xdr:rowOff>0</xdr:rowOff>
    </xdr:from>
    <xdr:to>
      <xdr:col>2</xdr:col>
      <xdr:colOff>28575</xdr:colOff>
      <xdr:row>506</xdr:row>
      <xdr:rowOff>0</xdr:rowOff>
    </xdr:to>
    <xdr:sp macro="" textlink="">
      <xdr:nvSpPr>
        <xdr:cNvPr id="127" name="Line 3297"/>
        <xdr:cNvSpPr>
          <a:spLocks noChangeShapeType="1"/>
        </xdr:cNvSpPr>
      </xdr:nvSpPr>
      <xdr:spPr bwMode="auto">
        <a:xfrm>
          <a:off x="533400" y="184499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504</xdr:row>
      <xdr:rowOff>152400</xdr:rowOff>
    </xdr:from>
    <xdr:to>
      <xdr:col>2</xdr:col>
      <xdr:colOff>0</xdr:colOff>
      <xdr:row>506</xdr:row>
      <xdr:rowOff>0</xdr:rowOff>
    </xdr:to>
    <xdr:sp macro="" textlink="">
      <xdr:nvSpPr>
        <xdr:cNvPr id="128" name="Line 3298"/>
        <xdr:cNvSpPr>
          <a:spLocks noChangeShapeType="1"/>
        </xdr:cNvSpPr>
      </xdr:nvSpPr>
      <xdr:spPr bwMode="auto">
        <a:xfrm>
          <a:off x="647700" y="1827847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</xdr:col>
      <xdr:colOff>180975</xdr:colOff>
      <xdr:row>469</xdr:row>
      <xdr:rowOff>9525</xdr:rowOff>
    </xdr:from>
    <xdr:to>
      <xdr:col>2</xdr:col>
      <xdr:colOff>0</xdr:colOff>
      <xdr:row>469</xdr:row>
      <xdr:rowOff>161924</xdr:rowOff>
    </xdr:to>
    <xdr:sp macro="" textlink="">
      <xdr:nvSpPr>
        <xdr:cNvPr id="130" name="Line 3300"/>
        <xdr:cNvSpPr>
          <a:spLocks noChangeShapeType="1"/>
        </xdr:cNvSpPr>
      </xdr:nvSpPr>
      <xdr:spPr bwMode="auto">
        <a:xfrm>
          <a:off x="2619375" y="72551925"/>
          <a:ext cx="428625" cy="15239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470</xdr:row>
      <xdr:rowOff>0</xdr:rowOff>
    </xdr:from>
    <xdr:to>
      <xdr:col>5</xdr:col>
      <xdr:colOff>466725</xdr:colOff>
      <xdr:row>470</xdr:row>
      <xdr:rowOff>0</xdr:rowOff>
    </xdr:to>
    <xdr:sp macro="" textlink="">
      <xdr:nvSpPr>
        <xdr:cNvPr id="131" name="Line 3301"/>
        <xdr:cNvSpPr>
          <a:spLocks noChangeShapeType="1"/>
        </xdr:cNvSpPr>
      </xdr:nvSpPr>
      <xdr:spPr bwMode="auto">
        <a:xfrm>
          <a:off x="3076575" y="19745325"/>
          <a:ext cx="2343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469</xdr:row>
      <xdr:rowOff>0</xdr:rowOff>
    </xdr:from>
    <xdr:to>
      <xdr:col>2</xdr:col>
      <xdr:colOff>0</xdr:colOff>
      <xdr:row>470</xdr:row>
      <xdr:rowOff>0</xdr:rowOff>
    </xdr:to>
    <xdr:sp macro="" textlink="">
      <xdr:nvSpPr>
        <xdr:cNvPr id="132" name="Line 3302"/>
        <xdr:cNvSpPr>
          <a:spLocks noChangeShapeType="1"/>
        </xdr:cNvSpPr>
      </xdr:nvSpPr>
      <xdr:spPr bwMode="auto">
        <a:xfrm>
          <a:off x="3076575" y="195834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304800</xdr:colOff>
      <xdr:row>469</xdr:row>
      <xdr:rowOff>0</xdr:rowOff>
    </xdr:from>
    <xdr:to>
      <xdr:col>3</xdr:col>
      <xdr:colOff>304800</xdr:colOff>
      <xdr:row>470</xdr:row>
      <xdr:rowOff>0</xdr:rowOff>
    </xdr:to>
    <xdr:sp macro="" textlink="">
      <xdr:nvSpPr>
        <xdr:cNvPr id="134" name="Line 3304"/>
        <xdr:cNvSpPr>
          <a:spLocks noChangeShapeType="1"/>
        </xdr:cNvSpPr>
      </xdr:nvSpPr>
      <xdr:spPr bwMode="auto">
        <a:xfrm>
          <a:off x="4038600" y="195834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419100</xdr:colOff>
      <xdr:row>469</xdr:row>
      <xdr:rowOff>9525</xdr:rowOff>
    </xdr:from>
    <xdr:to>
      <xdr:col>4</xdr:col>
      <xdr:colOff>47625</xdr:colOff>
      <xdr:row>470</xdr:row>
      <xdr:rowOff>9525</xdr:rowOff>
    </xdr:to>
    <xdr:sp macro="" textlink="">
      <xdr:nvSpPr>
        <xdr:cNvPr id="135" name="Line 3305"/>
        <xdr:cNvSpPr>
          <a:spLocks noChangeShapeType="1"/>
        </xdr:cNvSpPr>
      </xdr:nvSpPr>
      <xdr:spPr bwMode="auto">
        <a:xfrm>
          <a:off x="4076700" y="44643675"/>
          <a:ext cx="23812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466725</xdr:colOff>
      <xdr:row>469</xdr:row>
      <xdr:rowOff>57150</xdr:rowOff>
    </xdr:from>
    <xdr:to>
      <xdr:col>4</xdr:col>
      <xdr:colOff>466725</xdr:colOff>
      <xdr:row>470</xdr:row>
      <xdr:rowOff>0</xdr:rowOff>
    </xdr:to>
    <xdr:sp macro="" textlink="">
      <xdr:nvSpPr>
        <xdr:cNvPr id="136" name="Line 3306"/>
        <xdr:cNvSpPr>
          <a:spLocks noChangeShapeType="1"/>
        </xdr:cNvSpPr>
      </xdr:nvSpPr>
      <xdr:spPr bwMode="auto">
        <a:xfrm>
          <a:off x="4810125" y="196405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469</xdr:row>
      <xdr:rowOff>66675</xdr:rowOff>
    </xdr:from>
    <xdr:to>
      <xdr:col>5</xdr:col>
      <xdr:colOff>219075</xdr:colOff>
      <xdr:row>469</xdr:row>
      <xdr:rowOff>152400</xdr:rowOff>
    </xdr:to>
    <xdr:sp macro="" textlink="">
      <xdr:nvSpPr>
        <xdr:cNvPr id="137" name="Line 3307"/>
        <xdr:cNvSpPr>
          <a:spLocks noChangeShapeType="1"/>
        </xdr:cNvSpPr>
      </xdr:nvSpPr>
      <xdr:spPr bwMode="auto">
        <a:xfrm>
          <a:off x="4829175" y="63169800"/>
          <a:ext cx="26670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304800</xdr:colOff>
      <xdr:row>471</xdr:row>
      <xdr:rowOff>66675</xdr:rowOff>
    </xdr:from>
    <xdr:to>
      <xdr:col>3</xdr:col>
      <xdr:colOff>304800</xdr:colOff>
      <xdr:row>472</xdr:row>
      <xdr:rowOff>95250</xdr:rowOff>
    </xdr:to>
    <xdr:sp macro="" textlink="">
      <xdr:nvSpPr>
        <xdr:cNvPr id="139" name="Line 3309"/>
        <xdr:cNvSpPr>
          <a:spLocks noChangeShapeType="1"/>
        </xdr:cNvSpPr>
      </xdr:nvSpPr>
      <xdr:spPr bwMode="auto">
        <a:xfrm>
          <a:off x="4038600" y="1997392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476250</xdr:colOff>
      <xdr:row>473</xdr:row>
      <xdr:rowOff>66675</xdr:rowOff>
    </xdr:from>
    <xdr:to>
      <xdr:col>4</xdr:col>
      <xdr:colOff>476250</xdr:colOff>
      <xdr:row>474</xdr:row>
      <xdr:rowOff>66675</xdr:rowOff>
    </xdr:to>
    <xdr:sp macro="" textlink="">
      <xdr:nvSpPr>
        <xdr:cNvPr id="140" name="Line 3310"/>
        <xdr:cNvSpPr>
          <a:spLocks noChangeShapeType="1"/>
        </xdr:cNvSpPr>
      </xdr:nvSpPr>
      <xdr:spPr bwMode="auto">
        <a:xfrm>
          <a:off x="4819650" y="202977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504825</xdr:colOff>
      <xdr:row>475</xdr:row>
      <xdr:rowOff>76200</xdr:rowOff>
    </xdr:from>
    <xdr:to>
      <xdr:col>5</xdr:col>
      <xdr:colOff>504825</xdr:colOff>
      <xdr:row>476</xdr:row>
      <xdr:rowOff>123825</xdr:rowOff>
    </xdr:to>
    <xdr:sp macro="" textlink="">
      <xdr:nvSpPr>
        <xdr:cNvPr id="141" name="Line 3311"/>
        <xdr:cNvSpPr>
          <a:spLocks noChangeShapeType="1"/>
        </xdr:cNvSpPr>
      </xdr:nvSpPr>
      <xdr:spPr bwMode="auto">
        <a:xfrm>
          <a:off x="5457825" y="2063115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472</xdr:row>
      <xdr:rowOff>0</xdr:rowOff>
    </xdr:from>
    <xdr:to>
      <xdr:col>3</xdr:col>
      <xdr:colOff>304800</xdr:colOff>
      <xdr:row>472</xdr:row>
      <xdr:rowOff>0</xdr:rowOff>
    </xdr:to>
    <xdr:sp macro="" textlink="">
      <xdr:nvSpPr>
        <xdr:cNvPr id="142" name="Line 3312"/>
        <xdr:cNvSpPr>
          <a:spLocks noChangeShapeType="1"/>
        </xdr:cNvSpPr>
      </xdr:nvSpPr>
      <xdr:spPr bwMode="auto">
        <a:xfrm>
          <a:off x="3076575" y="20069175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</xdr:col>
      <xdr:colOff>0</xdr:colOff>
      <xdr:row>474</xdr:row>
      <xdr:rowOff>0</xdr:rowOff>
    </xdr:from>
    <xdr:to>
      <xdr:col>4</xdr:col>
      <xdr:colOff>476250</xdr:colOff>
      <xdr:row>474</xdr:row>
      <xdr:rowOff>0</xdr:rowOff>
    </xdr:to>
    <xdr:sp macro="" textlink="">
      <xdr:nvSpPr>
        <xdr:cNvPr id="143" name="Line 3313"/>
        <xdr:cNvSpPr>
          <a:spLocks noChangeShapeType="1"/>
        </xdr:cNvSpPr>
      </xdr:nvSpPr>
      <xdr:spPr bwMode="auto">
        <a:xfrm>
          <a:off x="3076575" y="20393025"/>
          <a:ext cx="1743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0</xdr:colOff>
      <xdr:row>476</xdr:row>
      <xdr:rowOff>9525</xdr:rowOff>
    </xdr:from>
    <xdr:to>
      <xdr:col>5</xdr:col>
      <xdr:colOff>504825</xdr:colOff>
      <xdr:row>476</xdr:row>
      <xdr:rowOff>9525</xdr:rowOff>
    </xdr:to>
    <xdr:sp macro="" textlink="">
      <xdr:nvSpPr>
        <xdr:cNvPr id="144" name="Line 3314"/>
        <xdr:cNvSpPr>
          <a:spLocks noChangeShapeType="1"/>
        </xdr:cNvSpPr>
      </xdr:nvSpPr>
      <xdr:spPr bwMode="auto">
        <a:xfrm>
          <a:off x="3076575" y="20726400"/>
          <a:ext cx="2381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</xdr:col>
      <xdr:colOff>266700</xdr:colOff>
      <xdr:row>63</xdr:row>
      <xdr:rowOff>0</xdr:rowOff>
    </xdr:from>
    <xdr:to>
      <xdr:col>3</xdr:col>
      <xdr:colOff>602052</xdr:colOff>
      <xdr:row>64</xdr:row>
      <xdr:rowOff>8986</xdr:rowOff>
    </xdr:to>
    <xdr:sp macro="" textlink="">
      <xdr:nvSpPr>
        <xdr:cNvPr id="146" name="Line 816"/>
        <xdr:cNvSpPr>
          <a:spLocks noChangeShapeType="1"/>
        </xdr:cNvSpPr>
      </xdr:nvSpPr>
      <xdr:spPr bwMode="auto">
        <a:xfrm>
          <a:off x="877738" y="9578915"/>
          <a:ext cx="1557427" cy="1707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371475</xdr:colOff>
      <xdr:row>62</xdr:row>
      <xdr:rowOff>161922</xdr:rowOff>
    </xdr:from>
    <xdr:to>
      <xdr:col>8</xdr:col>
      <xdr:colOff>0</xdr:colOff>
      <xdr:row>64</xdr:row>
      <xdr:rowOff>9525</xdr:rowOff>
    </xdr:to>
    <xdr:sp macro="" textlink="">
      <xdr:nvSpPr>
        <xdr:cNvPr id="148" name="Line 818"/>
        <xdr:cNvSpPr>
          <a:spLocks noChangeShapeType="1"/>
        </xdr:cNvSpPr>
      </xdr:nvSpPr>
      <xdr:spPr bwMode="auto">
        <a:xfrm flipV="1">
          <a:off x="3419475" y="9648822"/>
          <a:ext cx="1533525" cy="171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66</xdr:row>
      <xdr:rowOff>19050</xdr:rowOff>
    </xdr:from>
    <xdr:to>
      <xdr:col>4</xdr:col>
      <xdr:colOff>0</xdr:colOff>
      <xdr:row>67</xdr:row>
      <xdr:rowOff>0</xdr:rowOff>
    </xdr:to>
    <xdr:sp macro="" textlink="">
      <xdr:nvSpPr>
        <xdr:cNvPr id="150" name="Line 820"/>
        <xdr:cNvSpPr>
          <a:spLocks noChangeShapeType="1"/>
        </xdr:cNvSpPr>
      </xdr:nvSpPr>
      <xdr:spPr bwMode="auto">
        <a:xfrm flipH="1">
          <a:off x="904875" y="10153650"/>
          <a:ext cx="153352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66</xdr:row>
      <xdr:rowOff>19050</xdr:rowOff>
    </xdr:from>
    <xdr:to>
      <xdr:col>8</xdr:col>
      <xdr:colOff>0</xdr:colOff>
      <xdr:row>67</xdr:row>
      <xdr:rowOff>0</xdr:rowOff>
    </xdr:to>
    <xdr:sp macro="" textlink="">
      <xdr:nvSpPr>
        <xdr:cNvPr id="153" name="Line 823"/>
        <xdr:cNvSpPr>
          <a:spLocks noChangeShapeType="1"/>
        </xdr:cNvSpPr>
      </xdr:nvSpPr>
      <xdr:spPr bwMode="auto">
        <a:xfrm>
          <a:off x="3400425" y="9344025"/>
          <a:ext cx="15525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590550</xdr:colOff>
      <xdr:row>65</xdr:row>
      <xdr:rowOff>47625</xdr:rowOff>
    </xdr:from>
    <xdr:to>
      <xdr:col>8</xdr:col>
      <xdr:colOff>190500</xdr:colOff>
      <xdr:row>65</xdr:row>
      <xdr:rowOff>47625</xdr:rowOff>
    </xdr:to>
    <xdr:sp macro="" textlink="">
      <xdr:nvSpPr>
        <xdr:cNvPr id="155" name="Line 825"/>
        <xdr:cNvSpPr>
          <a:spLocks noChangeShapeType="1"/>
        </xdr:cNvSpPr>
      </xdr:nvSpPr>
      <xdr:spPr bwMode="auto">
        <a:xfrm>
          <a:off x="4256776" y="9950031"/>
          <a:ext cx="89391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oneCellAnchor>
    <xdr:from>
      <xdr:col>9</xdr:col>
      <xdr:colOff>361950</xdr:colOff>
      <xdr:row>64</xdr:row>
      <xdr:rowOff>142875</xdr:rowOff>
    </xdr:from>
    <xdr:ext cx="125291" cy="180036"/>
    <xdr:sp macro="" textlink="">
      <xdr:nvSpPr>
        <xdr:cNvPr id="159" name="Text Box 3267"/>
        <xdr:cNvSpPr txBox="1">
          <a:spLocks noChangeArrowheads="1"/>
        </xdr:cNvSpPr>
      </xdr:nvSpPr>
      <xdr:spPr bwMode="auto">
        <a:xfrm>
          <a:off x="5848350" y="8515350"/>
          <a:ext cx="125291" cy="180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6</xdr:col>
      <xdr:colOff>9529</xdr:colOff>
      <xdr:row>70</xdr:row>
      <xdr:rowOff>143670</xdr:rowOff>
    </xdr:from>
    <xdr:to>
      <xdr:col>6</xdr:col>
      <xdr:colOff>10326</xdr:colOff>
      <xdr:row>72</xdr:row>
      <xdr:rowOff>76203</xdr:rowOff>
    </xdr:to>
    <xdr:cxnSp macro="">
      <xdr:nvCxnSpPr>
        <xdr:cNvPr id="162" name="Straight Connector 161"/>
        <xdr:cNvCxnSpPr/>
      </xdr:nvCxnSpPr>
      <xdr:spPr bwMode="auto">
        <a:xfrm rot="5400000">
          <a:off x="3539336" y="10406063"/>
          <a:ext cx="256383" cy="79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72</xdr:row>
      <xdr:rowOff>1588</xdr:rowOff>
    </xdr:from>
    <xdr:to>
      <xdr:col>7</xdr:col>
      <xdr:colOff>590550</xdr:colOff>
      <xdr:row>72</xdr:row>
      <xdr:rowOff>9525</xdr:rowOff>
    </xdr:to>
    <xdr:cxnSp macro="">
      <xdr:nvCxnSpPr>
        <xdr:cNvPr id="163" name="Straight Arrow Connector 162"/>
        <xdr:cNvCxnSpPr/>
      </xdr:nvCxnSpPr>
      <xdr:spPr bwMode="auto">
        <a:xfrm flipV="1">
          <a:off x="3648075" y="11107738"/>
          <a:ext cx="1285875" cy="793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0</xdr:colOff>
      <xdr:row>745</xdr:row>
      <xdr:rowOff>0</xdr:rowOff>
    </xdr:from>
    <xdr:to>
      <xdr:col>1</xdr:col>
      <xdr:colOff>0</xdr:colOff>
      <xdr:row>746</xdr:row>
      <xdr:rowOff>0</xdr:rowOff>
    </xdr:to>
    <xdr:sp macro="" textlink="">
      <xdr:nvSpPr>
        <xdr:cNvPr id="165" name="Line 2375"/>
        <xdr:cNvSpPr>
          <a:spLocks noChangeShapeType="1"/>
        </xdr:cNvSpPr>
      </xdr:nvSpPr>
      <xdr:spPr bwMode="auto">
        <a:xfrm>
          <a:off x="647700" y="339090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745</xdr:row>
      <xdr:rowOff>0</xdr:rowOff>
    </xdr:from>
    <xdr:to>
      <xdr:col>2</xdr:col>
      <xdr:colOff>9525</xdr:colOff>
      <xdr:row>745</xdr:row>
      <xdr:rowOff>0</xdr:rowOff>
    </xdr:to>
    <xdr:sp macro="" textlink="">
      <xdr:nvSpPr>
        <xdr:cNvPr id="166" name="Line 2376"/>
        <xdr:cNvSpPr>
          <a:spLocks noChangeShapeType="1"/>
        </xdr:cNvSpPr>
      </xdr:nvSpPr>
      <xdr:spPr bwMode="auto">
        <a:xfrm>
          <a:off x="647700" y="3390900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744</xdr:row>
      <xdr:rowOff>0</xdr:rowOff>
    </xdr:from>
    <xdr:to>
      <xdr:col>2</xdr:col>
      <xdr:colOff>295275</xdr:colOff>
      <xdr:row>745</xdr:row>
      <xdr:rowOff>0</xdr:rowOff>
    </xdr:to>
    <xdr:sp macro="" textlink="">
      <xdr:nvSpPr>
        <xdr:cNvPr id="167" name="Line 2377"/>
        <xdr:cNvSpPr>
          <a:spLocks noChangeShapeType="1"/>
        </xdr:cNvSpPr>
      </xdr:nvSpPr>
      <xdr:spPr bwMode="auto">
        <a:xfrm flipV="1">
          <a:off x="1257300" y="33747075"/>
          <a:ext cx="29527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276225</xdr:colOff>
      <xdr:row>744</xdr:row>
      <xdr:rowOff>0</xdr:rowOff>
    </xdr:from>
    <xdr:to>
      <xdr:col>4</xdr:col>
      <xdr:colOff>228600</xdr:colOff>
      <xdr:row>744</xdr:row>
      <xdr:rowOff>0</xdr:rowOff>
    </xdr:to>
    <xdr:sp macro="" textlink="">
      <xdr:nvSpPr>
        <xdr:cNvPr id="168" name="Line 2378"/>
        <xdr:cNvSpPr>
          <a:spLocks noChangeShapeType="1"/>
        </xdr:cNvSpPr>
      </xdr:nvSpPr>
      <xdr:spPr bwMode="auto">
        <a:xfrm>
          <a:off x="1533525" y="33747075"/>
          <a:ext cx="1171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744</xdr:row>
      <xdr:rowOff>0</xdr:rowOff>
    </xdr:from>
    <xdr:to>
      <xdr:col>5</xdr:col>
      <xdr:colOff>333375</xdr:colOff>
      <xdr:row>745</xdr:row>
      <xdr:rowOff>0</xdr:rowOff>
    </xdr:to>
    <xdr:sp macro="" textlink="">
      <xdr:nvSpPr>
        <xdr:cNvPr id="169" name="Line 2379"/>
        <xdr:cNvSpPr>
          <a:spLocks noChangeShapeType="1"/>
        </xdr:cNvSpPr>
      </xdr:nvSpPr>
      <xdr:spPr bwMode="auto">
        <a:xfrm>
          <a:off x="2695575" y="33747075"/>
          <a:ext cx="71437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333375</xdr:colOff>
      <xdr:row>745</xdr:row>
      <xdr:rowOff>0</xdr:rowOff>
    </xdr:from>
    <xdr:to>
      <xdr:col>7</xdr:col>
      <xdr:colOff>9525</xdr:colOff>
      <xdr:row>745</xdr:row>
      <xdr:rowOff>0</xdr:rowOff>
    </xdr:to>
    <xdr:sp macro="" textlink="">
      <xdr:nvSpPr>
        <xdr:cNvPr id="170" name="Line 2380"/>
        <xdr:cNvSpPr>
          <a:spLocks noChangeShapeType="1"/>
        </xdr:cNvSpPr>
      </xdr:nvSpPr>
      <xdr:spPr bwMode="auto">
        <a:xfrm>
          <a:off x="3409950" y="33909000"/>
          <a:ext cx="942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745</xdr:row>
      <xdr:rowOff>9525</xdr:rowOff>
    </xdr:from>
    <xdr:to>
      <xdr:col>7</xdr:col>
      <xdr:colOff>304800</xdr:colOff>
      <xdr:row>748</xdr:row>
      <xdr:rowOff>104775</xdr:rowOff>
    </xdr:to>
    <xdr:sp macro="" textlink="">
      <xdr:nvSpPr>
        <xdr:cNvPr id="171" name="Line 2381"/>
        <xdr:cNvSpPr>
          <a:spLocks noChangeShapeType="1"/>
        </xdr:cNvSpPr>
      </xdr:nvSpPr>
      <xdr:spPr bwMode="auto">
        <a:xfrm>
          <a:off x="4572000" y="83658075"/>
          <a:ext cx="0" cy="581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</xdr:col>
      <xdr:colOff>276225</xdr:colOff>
      <xdr:row>741</xdr:row>
      <xdr:rowOff>152400</xdr:rowOff>
    </xdr:from>
    <xdr:to>
      <xdr:col>4</xdr:col>
      <xdr:colOff>190500</xdr:colOff>
      <xdr:row>741</xdr:row>
      <xdr:rowOff>152400</xdr:rowOff>
    </xdr:to>
    <xdr:sp macro="" textlink="">
      <xdr:nvSpPr>
        <xdr:cNvPr id="172" name="Line 2382"/>
        <xdr:cNvSpPr>
          <a:spLocks noChangeShapeType="1"/>
        </xdr:cNvSpPr>
      </xdr:nvSpPr>
      <xdr:spPr bwMode="auto">
        <a:xfrm>
          <a:off x="1533525" y="33413700"/>
          <a:ext cx="1133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276225</xdr:colOff>
      <xdr:row>741</xdr:row>
      <xdr:rowOff>76200</xdr:rowOff>
    </xdr:from>
    <xdr:to>
      <xdr:col>2</xdr:col>
      <xdr:colOff>276225</xdr:colOff>
      <xdr:row>741</xdr:row>
      <xdr:rowOff>152400</xdr:rowOff>
    </xdr:to>
    <xdr:sp macro="" textlink="">
      <xdr:nvSpPr>
        <xdr:cNvPr id="173" name="Line 2383"/>
        <xdr:cNvSpPr>
          <a:spLocks noChangeShapeType="1"/>
        </xdr:cNvSpPr>
      </xdr:nvSpPr>
      <xdr:spPr bwMode="auto">
        <a:xfrm flipV="1">
          <a:off x="1533525" y="3333750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180975</xdr:colOff>
      <xdr:row>741</xdr:row>
      <xdr:rowOff>66675</xdr:rowOff>
    </xdr:from>
    <xdr:to>
      <xdr:col>4</xdr:col>
      <xdr:colOff>180975</xdr:colOff>
      <xdr:row>741</xdr:row>
      <xdr:rowOff>152400</xdr:rowOff>
    </xdr:to>
    <xdr:sp macro="" textlink="">
      <xdr:nvSpPr>
        <xdr:cNvPr id="174" name="Line 2384"/>
        <xdr:cNvSpPr>
          <a:spLocks noChangeShapeType="1"/>
        </xdr:cNvSpPr>
      </xdr:nvSpPr>
      <xdr:spPr bwMode="auto">
        <a:xfrm flipV="1">
          <a:off x="2657475" y="333279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171450</xdr:colOff>
      <xdr:row>742</xdr:row>
      <xdr:rowOff>114300</xdr:rowOff>
    </xdr:from>
    <xdr:to>
      <xdr:col>2</xdr:col>
      <xdr:colOff>581025</xdr:colOff>
      <xdr:row>742</xdr:row>
      <xdr:rowOff>114300</xdr:rowOff>
    </xdr:to>
    <xdr:sp macro="" textlink="">
      <xdr:nvSpPr>
        <xdr:cNvPr id="175" name="Line 2385"/>
        <xdr:cNvSpPr>
          <a:spLocks noChangeShapeType="1"/>
        </xdr:cNvSpPr>
      </xdr:nvSpPr>
      <xdr:spPr bwMode="auto">
        <a:xfrm>
          <a:off x="1390650" y="83277075"/>
          <a:ext cx="40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285750</xdr:colOff>
      <xdr:row>749</xdr:row>
      <xdr:rowOff>19050</xdr:rowOff>
    </xdr:from>
    <xdr:to>
      <xdr:col>2</xdr:col>
      <xdr:colOff>285750</xdr:colOff>
      <xdr:row>749</xdr:row>
      <xdr:rowOff>133350</xdr:rowOff>
    </xdr:to>
    <xdr:sp macro="" textlink="">
      <xdr:nvSpPr>
        <xdr:cNvPr id="176" name="Line 2390"/>
        <xdr:cNvSpPr>
          <a:spLocks noChangeShapeType="1"/>
        </xdr:cNvSpPr>
      </xdr:nvSpPr>
      <xdr:spPr bwMode="auto">
        <a:xfrm>
          <a:off x="1543050" y="3425190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749</xdr:row>
      <xdr:rowOff>19050</xdr:rowOff>
    </xdr:from>
    <xdr:to>
      <xdr:col>4</xdr:col>
      <xdr:colOff>257175</xdr:colOff>
      <xdr:row>749</xdr:row>
      <xdr:rowOff>133350</xdr:rowOff>
    </xdr:to>
    <xdr:sp macro="" textlink="">
      <xdr:nvSpPr>
        <xdr:cNvPr id="177" name="Line 2391"/>
        <xdr:cNvSpPr>
          <a:spLocks noChangeShapeType="1"/>
        </xdr:cNvSpPr>
      </xdr:nvSpPr>
      <xdr:spPr bwMode="auto">
        <a:xfrm>
          <a:off x="2733675" y="3425190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749</xdr:row>
      <xdr:rowOff>9525</xdr:rowOff>
    </xdr:from>
    <xdr:to>
      <xdr:col>2</xdr:col>
      <xdr:colOff>0</xdr:colOff>
      <xdr:row>749</xdr:row>
      <xdr:rowOff>142875</xdr:rowOff>
    </xdr:to>
    <xdr:sp macro="" textlink="">
      <xdr:nvSpPr>
        <xdr:cNvPr id="178" name="Line 2392"/>
        <xdr:cNvSpPr>
          <a:spLocks noChangeShapeType="1"/>
        </xdr:cNvSpPr>
      </xdr:nvSpPr>
      <xdr:spPr bwMode="auto">
        <a:xfrm>
          <a:off x="1257300" y="3424237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749</xdr:row>
      <xdr:rowOff>19050</xdr:rowOff>
    </xdr:from>
    <xdr:to>
      <xdr:col>1</xdr:col>
      <xdr:colOff>0</xdr:colOff>
      <xdr:row>749</xdr:row>
      <xdr:rowOff>152400</xdr:rowOff>
    </xdr:to>
    <xdr:sp macro="" textlink="">
      <xdr:nvSpPr>
        <xdr:cNvPr id="179" name="Line 2393"/>
        <xdr:cNvSpPr>
          <a:spLocks noChangeShapeType="1"/>
        </xdr:cNvSpPr>
      </xdr:nvSpPr>
      <xdr:spPr bwMode="auto">
        <a:xfrm>
          <a:off x="647700" y="34251900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323850</xdr:colOff>
      <xdr:row>749</xdr:row>
      <xdr:rowOff>19050</xdr:rowOff>
    </xdr:from>
    <xdr:to>
      <xdr:col>5</xdr:col>
      <xdr:colOff>323850</xdr:colOff>
      <xdr:row>749</xdr:row>
      <xdr:rowOff>133350</xdr:rowOff>
    </xdr:to>
    <xdr:sp macro="" textlink="">
      <xdr:nvSpPr>
        <xdr:cNvPr id="180" name="Line 2394"/>
        <xdr:cNvSpPr>
          <a:spLocks noChangeShapeType="1"/>
        </xdr:cNvSpPr>
      </xdr:nvSpPr>
      <xdr:spPr bwMode="auto">
        <a:xfrm>
          <a:off x="3400425" y="3425190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749</xdr:row>
      <xdr:rowOff>19050</xdr:rowOff>
    </xdr:from>
    <xdr:to>
      <xdr:col>7</xdr:col>
      <xdr:colOff>0</xdr:colOff>
      <xdr:row>749</xdr:row>
      <xdr:rowOff>142875</xdr:rowOff>
    </xdr:to>
    <xdr:sp macro="" textlink="">
      <xdr:nvSpPr>
        <xdr:cNvPr id="181" name="Line 2395"/>
        <xdr:cNvSpPr>
          <a:spLocks noChangeShapeType="1"/>
        </xdr:cNvSpPr>
      </xdr:nvSpPr>
      <xdr:spPr bwMode="auto">
        <a:xfrm>
          <a:off x="4343400" y="342519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19050</xdr:colOff>
      <xdr:row>749</xdr:row>
      <xdr:rowOff>76200</xdr:rowOff>
    </xdr:from>
    <xdr:to>
      <xdr:col>5</xdr:col>
      <xdr:colOff>314325</xdr:colOff>
      <xdr:row>749</xdr:row>
      <xdr:rowOff>76200</xdr:rowOff>
    </xdr:to>
    <xdr:sp macro="" textlink="">
      <xdr:nvSpPr>
        <xdr:cNvPr id="182" name="Line 2396"/>
        <xdr:cNvSpPr>
          <a:spLocks noChangeShapeType="1"/>
        </xdr:cNvSpPr>
      </xdr:nvSpPr>
      <xdr:spPr bwMode="auto">
        <a:xfrm>
          <a:off x="3095625" y="3430905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333375</xdr:colOff>
      <xdr:row>749</xdr:row>
      <xdr:rowOff>76200</xdr:rowOff>
    </xdr:from>
    <xdr:to>
      <xdr:col>5</xdr:col>
      <xdr:colOff>600075</xdr:colOff>
      <xdr:row>749</xdr:row>
      <xdr:rowOff>76200</xdr:rowOff>
    </xdr:to>
    <xdr:sp macro="" textlink="">
      <xdr:nvSpPr>
        <xdr:cNvPr id="183" name="Line 2397"/>
        <xdr:cNvSpPr>
          <a:spLocks noChangeShapeType="1"/>
        </xdr:cNvSpPr>
      </xdr:nvSpPr>
      <xdr:spPr bwMode="auto">
        <a:xfrm flipH="1">
          <a:off x="3409950" y="34309050"/>
          <a:ext cx="266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219075</xdr:colOff>
      <xdr:row>745</xdr:row>
      <xdr:rowOff>0</xdr:rowOff>
    </xdr:from>
    <xdr:to>
      <xdr:col>7</xdr:col>
      <xdr:colOff>409575</xdr:colOff>
      <xdr:row>745</xdr:row>
      <xdr:rowOff>0</xdr:rowOff>
    </xdr:to>
    <xdr:sp macro="" textlink="">
      <xdr:nvSpPr>
        <xdr:cNvPr id="184" name="Line 2398"/>
        <xdr:cNvSpPr>
          <a:spLocks noChangeShapeType="1"/>
        </xdr:cNvSpPr>
      </xdr:nvSpPr>
      <xdr:spPr bwMode="auto">
        <a:xfrm>
          <a:off x="4562475" y="3390900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247650</xdr:colOff>
      <xdr:row>748</xdr:row>
      <xdr:rowOff>95250</xdr:rowOff>
    </xdr:from>
    <xdr:to>
      <xdr:col>7</xdr:col>
      <xdr:colOff>419100</xdr:colOff>
      <xdr:row>748</xdr:row>
      <xdr:rowOff>95250</xdr:rowOff>
    </xdr:to>
    <xdr:sp macro="" textlink="">
      <xdr:nvSpPr>
        <xdr:cNvPr id="185" name="Line 2399"/>
        <xdr:cNvSpPr>
          <a:spLocks noChangeShapeType="1"/>
        </xdr:cNvSpPr>
      </xdr:nvSpPr>
      <xdr:spPr bwMode="auto">
        <a:xfrm>
          <a:off x="4591050" y="341661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228600</xdr:colOff>
      <xdr:row>748</xdr:row>
      <xdr:rowOff>104775</xdr:rowOff>
    </xdr:from>
    <xdr:to>
      <xdr:col>0</xdr:col>
      <xdr:colOff>333375</xdr:colOff>
      <xdr:row>748</xdr:row>
      <xdr:rowOff>104775</xdr:rowOff>
    </xdr:to>
    <xdr:sp macro="" textlink="">
      <xdr:nvSpPr>
        <xdr:cNvPr id="188" name="Line 2403"/>
        <xdr:cNvSpPr>
          <a:spLocks noChangeShapeType="1"/>
        </xdr:cNvSpPr>
      </xdr:nvSpPr>
      <xdr:spPr bwMode="auto">
        <a:xfrm>
          <a:off x="228600" y="8423910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257175</xdr:colOff>
      <xdr:row>745</xdr:row>
      <xdr:rowOff>0</xdr:rowOff>
    </xdr:from>
    <xdr:to>
      <xdr:col>0</xdr:col>
      <xdr:colOff>342900</xdr:colOff>
      <xdr:row>745</xdr:row>
      <xdr:rowOff>0</xdr:rowOff>
    </xdr:to>
    <xdr:sp macro="" textlink="">
      <xdr:nvSpPr>
        <xdr:cNvPr id="189" name="Line 2404"/>
        <xdr:cNvSpPr>
          <a:spLocks noChangeShapeType="1"/>
        </xdr:cNvSpPr>
      </xdr:nvSpPr>
      <xdr:spPr bwMode="auto">
        <a:xfrm>
          <a:off x="257175" y="3390900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590550</xdr:colOff>
      <xdr:row>750</xdr:row>
      <xdr:rowOff>19050</xdr:rowOff>
    </xdr:from>
    <xdr:to>
      <xdr:col>0</xdr:col>
      <xdr:colOff>590550</xdr:colOff>
      <xdr:row>750</xdr:row>
      <xdr:rowOff>19050</xdr:rowOff>
    </xdr:to>
    <xdr:sp macro="" textlink="">
      <xdr:nvSpPr>
        <xdr:cNvPr id="192" name="Line 2408"/>
        <xdr:cNvSpPr>
          <a:spLocks noChangeShapeType="1"/>
        </xdr:cNvSpPr>
      </xdr:nvSpPr>
      <xdr:spPr bwMode="auto">
        <a:xfrm>
          <a:off x="590550" y="344138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750</xdr:row>
      <xdr:rowOff>19050</xdr:rowOff>
    </xdr:from>
    <xdr:to>
      <xdr:col>1</xdr:col>
      <xdr:colOff>0</xdr:colOff>
      <xdr:row>750</xdr:row>
      <xdr:rowOff>123825</xdr:rowOff>
    </xdr:to>
    <xdr:sp macro="" textlink="">
      <xdr:nvSpPr>
        <xdr:cNvPr id="193" name="Line 2409"/>
        <xdr:cNvSpPr>
          <a:spLocks noChangeShapeType="1"/>
        </xdr:cNvSpPr>
      </xdr:nvSpPr>
      <xdr:spPr bwMode="auto">
        <a:xfrm>
          <a:off x="647700" y="344138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750</xdr:row>
      <xdr:rowOff>19050</xdr:rowOff>
    </xdr:from>
    <xdr:to>
      <xdr:col>7</xdr:col>
      <xdr:colOff>0</xdr:colOff>
      <xdr:row>750</xdr:row>
      <xdr:rowOff>123825</xdr:rowOff>
    </xdr:to>
    <xdr:sp macro="" textlink="">
      <xdr:nvSpPr>
        <xdr:cNvPr id="194" name="Line 2410"/>
        <xdr:cNvSpPr>
          <a:spLocks noChangeShapeType="1"/>
        </xdr:cNvSpPr>
      </xdr:nvSpPr>
      <xdr:spPr bwMode="auto">
        <a:xfrm>
          <a:off x="4343400" y="344138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750</xdr:row>
      <xdr:rowOff>76200</xdr:rowOff>
    </xdr:from>
    <xdr:to>
      <xdr:col>3</xdr:col>
      <xdr:colOff>95250</xdr:colOff>
      <xdr:row>750</xdr:row>
      <xdr:rowOff>76200</xdr:rowOff>
    </xdr:to>
    <xdr:sp macro="" textlink="">
      <xdr:nvSpPr>
        <xdr:cNvPr id="195" name="Line 2411"/>
        <xdr:cNvSpPr>
          <a:spLocks noChangeShapeType="1"/>
        </xdr:cNvSpPr>
      </xdr:nvSpPr>
      <xdr:spPr bwMode="auto">
        <a:xfrm flipH="1">
          <a:off x="657225" y="34470975"/>
          <a:ext cx="1304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6</xdr:col>
      <xdr:colOff>381000</xdr:colOff>
      <xdr:row>749</xdr:row>
      <xdr:rowOff>76200</xdr:rowOff>
    </xdr:from>
    <xdr:to>
      <xdr:col>6</xdr:col>
      <xdr:colOff>600075</xdr:colOff>
      <xdr:row>749</xdr:row>
      <xdr:rowOff>76200</xdr:rowOff>
    </xdr:to>
    <xdr:sp macro="" textlink="">
      <xdr:nvSpPr>
        <xdr:cNvPr id="196" name="Line 2685"/>
        <xdr:cNvSpPr>
          <a:spLocks noChangeShapeType="1"/>
        </xdr:cNvSpPr>
      </xdr:nvSpPr>
      <xdr:spPr bwMode="auto">
        <a:xfrm>
          <a:off x="4114800" y="3430905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561975</xdr:colOff>
      <xdr:row>749</xdr:row>
      <xdr:rowOff>85725</xdr:rowOff>
    </xdr:from>
    <xdr:to>
      <xdr:col>4</xdr:col>
      <xdr:colOff>247650</xdr:colOff>
      <xdr:row>749</xdr:row>
      <xdr:rowOff>85725</xdr:rowOff>
    </xdr:to>
    <xdr:sp macro="" textlink="">
      <xdr:nvSpPr>
        <xdr:cNvPr id="197" name="Line 2699"/>
        <xdr:cNvSpPr>
          <a:spLocks noChangeShapeType="1"/>
        </xdr:cNvSpPr>
      </xdr:nvSpPr>
      <xdr:spPr bwMode="auto">
        <a:xfrm>
          <a:off x="2428875" y="34318575"/>
          <a:ext cx="295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295275</xdr:colOff>
      <xdr:row>749</xdr:row>
      <xdr:rowOff>85725</xdr:rowOff>
    </xdr:from>
    <xdr:to>
      <xdr:col>3</xdr:col>
      <xdr:colOff>76200</xdr:colOff>
      <xdr:row>749</xdr:row>
      <xdr:rowOff>85725</xdr:rowOff>
    </xdr:to>
    <xdr:sp macro="" textlink="">
      <xdr:nvSpPr>
        <xdr:cNvPr id="198" name="Line 2700"/>
        <xdr:cNvSpPr>
          <a:spLocks noChangeShapeType="1"/>
        </xdr:cNvSpPr>
      </xdr:nvSpPr>
      <xdr:spPr bwMode="auto">
        <a:xfrm flipH="1">
          <a:off x="1552575" y="34318575"/>
          <a:ext cx="390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0</xdr:colOff>
      <xdr:row>749</xdr:row>
      <xdr:rowOff>76200</xdr:rowOff>
    </xdr:from>
    <xdr:to>
      <xdr:col>1</xdr:col>
      <xdr:colOff>95250</xdr:colOff>
      <xdr:row>749</xdr:row>
      <xdr:rowOff>76200</xdr:rowOff>
    </xdr:to>
    <xdr:sp macro="" textlink="">
      <xdr:nvSpPr>
        <xdr:cNvPr id="199" name="Line 2701"/>
        <xdr:cNvSpPr>
          <a:spLocks noChangeShapeType="1"/>
        </xdr:cNvSpPr>
      </xdr:nvSpPr>
      <xdr:spPr bwMode="auto">
        <a:xfrm flipH="1">
          <a:off x="647700" y="34309050"/>
          <a:ext cx="9525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257175</xdr:colOff>
      <xdr:row>749</xdr:row>
      <xdr:rowOff>76200</xdr:rowOff>
    </xdr:from>
    <xdr:to>
      <xdr:col>4</xdr:col>
      <xdr:colOff>381000</xdr:colOff>
      <xdr:row>749</xdr:row>
      <xdr:rowOff>76200</xdr:rowOff>
    </xdr:to>
    <xdr:sp macro="" textlink="">
      <xdr:nvSpPr>
        <xdr:cNvPr id="200" name="Line 2702"/>
        <xdr:cNvSpPr>
          <a:spLocks noChangeShapeType="1"/>
        </xdr:cNvSpPr>
      </xdr:nvSpPr>
      <xdr:spPr bwMode="auto">
        <a:xfrm flipH="1">
          <a:off x="2733675" y="34309050"/>
          <a:ext cx="1238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476250</xdr:colOff>
      <xdr:row>749</xdr:row>
      <xdr:rowOff>76200</xdr:rowOff>
    </xdr:from>
    <xdr:to>
      <xdr:col>1</xdr:col>
      <xdr:colOff>600075</xdr:colOff>
      <xdr:row>749</xdr:row>
      <xdr:rowOff>76200</xdr:rowOff>
    </xdr:to>
    <xdr:sp macro="" textlink="">
      <xdr:nvSpPr>
        <xdr:cNvPr id="201" name="Line 2703"/>
        <xdr:cNvSpPr>
          <a:spLocks noChangeShapeType="1"/>
        </xdr:cNvSpPr>
      </xdr:nvSpPr>
      <xdr:spPr bwMode="auto">
        <a:xfrm>
          <a:off x="1123950" y="34309050"/>
          <a:ext cx="1238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590550</xdr:colOff>
      <xdr:row>750</xdr:row>
      <xdr:rowOff>66675</xdr:rowOff>
    </xdr:from>
    <xdr:to>
      <xdr:col>7</xdr:col>
      <xdr:colOff>0</xdr:colOff>
      <xdr:row>750</xdr:row>
      <xdr:rowOff>66675</xdr:rowOff>
    </xdr:to>
    <xdr:sp macro="" textlink="">
      <xdr:nvSpPr>
        <xdr:cNvPr id="202" name="Line 2706"/>
        <xdr:cNvSpPr>
          <a:spLocks noChangeShapeType="1"/>
        </xdr:cNvSpPr>
      </xdr:nvSpPr>
      <xdr:spPr bwMode="auto">
        <a:xfrm>
          <a:off x="2457450" y="34461450"/>
          <a:ext cx="1885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0</xdr:colOff>
      <xdr:row>810</xdr:row>
      <xdr:rowOff>0</xdr:rowOff>
    </xdr:from>
    <xdr:to>
      <xdr:col>2</xdr:col>
      <xdr:colOff>0</xdr:colOff>
      <xdr:row>812</xdr:row>
      <xdr:rowOff>9525</xdr:rowOff>
    </xdr:to>
    <xdr:sp macro="" textlink="">
      <xdr:nvSpPr>
        <xdr:cNvPr id="204" name="Line 3270"/>
        <xdr:cNvSpPr>
          <a:spLocks noChangeShapeType="1"/>
        </xdr:cNvSpPr>
      </xdr:nvSpPr>
      <xdr:spPr bwMode="auto">
        <a:xfrm flipV="1">
          <a:off x="1257300" y="43272075"/>
          <a:ext cx="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809</xdr:row>
      <xdr:rowOff>0</xdr:rowOff>
    </xdr:from>
    <xdr:to>
      <xdr:col>4</xdr:col>
      <xdr:colOff>0</xdr:colOff>
      <xdr:row>810</xdr:row>
      <xdr:rowOff>9525</xdr:rowOff>
    </xdr:to>
    <xdr:sp macro="" textlink="">
      <xdr:nvSpPr>
        <xdr:cNvPr id="205" name="Line 3271"/>
        <xdr:cNvSpPr>
          <a:spLocks noChangeShapeType="1"/>
        </xdr:cNvSpPr>
      </xdr:nvSpPr>
      <xdr:spPr bwMode="auto">
        <a:xfrm flipV="1">
          <a:off x="1257300" y="43072050"/>
          <a:ext cx="121920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809</xdr:row>
      <xdr:rowOff>0</xdr:rowOff>
    </xdr:from>
    <xdr:to>
      <xdr:col>6</xdr:col>
      <xdr:colOff>0</xdr:colOff>
      <xdr:row>809</xdr:row>
      <xdr:rowOff>0</xdr:rowOff>
    </xdr:to>
    <xdr:sp macro="" textlink="">
      <xdr:nvSpPr>
        <xdr:cNvPr id="206" name="Line 3272"/>
        <xdr:cNvSpPr>
          <a:spLocks noChangeShapeType="1"/>
        </xdr:cNvSpPr>
      </xdr:nvSpPr>
      <xdr:spPr bwMode="auto">
        <a:xfrm>
          <a:off x="2476500" y="43072050"/>
          <a:ext cx="1257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809</xdr:row>
      <xdr:rowOff>0</xdr:rowOff>
    </xdr:from>
    <xdr:to>
      <xdr:col>8</xdr:col>
      <xdr:colOff>0</xdr:colOff>
      <xdr:row>810</xdr:row>
      <xdr:rowOff>0</xdr:rowOff>
    </xdr:to>
    <xdr:sp macro="" textlink="">
      <xdr:nvSpPr>
        <xdr:cNvPr id="207" name="Line 3273"/>
        <xdr:cNvSpPr>
          <a:spLocks noChangeShapeType="1"/>
        </xdr:cNvSpPr>
      </xdr:nvSpPr>
      <xdr:spPr bwMode="auto">
        <a:xfrm>
          <a:off x="3733800" y="43072050"/>
          <a:ext cx="121920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810</xdr:row>
      <xdr:rowOff>0</xdr:rowOff>
    </xdr:from>
    <xdr:to>
      <xdr:col>8</xdr:col>
      <xdr:colOff>0</xdr:colOff>
      <xdr:row>812</xdr:row>
      <xdr:rowOff>9525</xdr:rowOff>
    </xdr:to>
    <xdr:sp macro="" textlink="">
      <xdr:nvSpPr>
        <xdr:cNvPr id="208" name="Line 3274"/>
        <xdr:cNvSpPr>
          <a:spLocks noChangeShapeType="1"/>
        </xdr:cNvSpPr>
      </xdr:nvSpPr>
      <xdr:spPr bwMode="auto">
        <a:xfrm>
          <a:off x="4953000" y="43272075"/>
          <a:ext cx="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104774</xdr:colOff>
      <xdr:row>810</xdr:row>
      <xdr:rowOff>104773</xdr:rowOff>
    </xdr:from>
    <xdr:to>
      <xdr:col>2</xdr:col>
      <xdr:colOff>552450</xdr:colOff>
      <xdr:row>810</xdr:row>
      <xdr:rowOff>150492</xdr:rowOff>
    </xdr:to>
    <xdr:sp macro="" textlink="">
      <xdr:nvSpPr>
        <xdr:cNvPr id="209" name="Line 3275"/>
        <xdr:cNvSpPr>
          <a:spLocks noChangeShapeType="1"/>
        </xdr:cNvSpPr>
      </xdr:nvSpPr>
      <xdr:spPr bwMode="auto">
        <a:xfrm flipH="1">
          <a:off x="1323974" y="92268673"/>
          <a:ext cx="447676" cy="457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323850</xdr:colOff>
      <xdr:row>810</xdr:row>
      <xdr:rowOff>0</xdr:rowOff>
    </xdr:from>
    <xdr:to>
      <xdr:col>1</xdr:col>
      <xdr:colOff>323850</xdr:colOff>
      <xdr:row>812</xdr:row>
      <xdr:rowOff>0</xdr:rowOff>
    </xdr:to>
    <xdr:sp macro="" textlink="">
      <xdr:nvSpPr>
        <xdr:cNvPr id="210" name="Line 3276"/>
        <xdr:cNvSpPr>
          <a:spLocks noChangeShapeType="1"/>
        </xdr:cNvSpPr>
      </xdr:nvSpPr>
      <xdr:spPr bwMode="auto">
        <a:xfrm>
          <a:off x="971550" y="43272075"/>
          <a:ext cx="0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</xdr:col>
      <xdr:colOff>276225</xdr:colOff>
      <xdr:row>810</xdr:row>
      <xdr:rowOff>19050</xdr:rowOff>
    </xdr:from>
    <xdr:to>
      <xdr:col>1</xdr:col>
      <xdr:colOff>390525</xdr:colOff>
      <xdr:row>810</xdr:row>
      <xdr:rowOff>19050</xdr:rowOff>
    </xdr:to>
    <xdr:sp macro="" textlink="">
      <xdr:nvSpPr>
        <xdr:cNvPr id="211" name="Line 3277"/>
        <xdr:cNvSpPr>
          <a:spLocks noChangeShapeType="1"/>
        </xdr:cNvSpPr>
      </xdr:nvSpPr>
      <xdr:spPr bwMode="auto">
        <a:xfrm>
          <a:off x="885825" y="808196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266700</xdr:colOff>
      <xdr:row>812</xdr:row>
      <xdr:rowOff>0</xdr:rowOff>
    </xdr:from>
    <xdr:to>
      <xdr:col>1</xdr:col>
      <xdr:colOff>409575</xdr:colOff>
      <xdr:row>812</xdr:row>
      <xdr:rowOff>0</xdr:rowOff>
    </xdr:to>
    <xdr:sp macro="" textlink="">
      <xdr:nvSpPr>
        <xdr:cNvPr id="212" name="Line 3278"/>
        <xdr:cNvSpPr>
          <a:spLocks noChangeShapeType="1"/>
        </xdr:cNvSpPr>
      </xdr:nvSpPr>
      <xdr:spPr bwMode="auto">
        <a:xfrm>
          <a:off x="876300" y="811625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428625</xdr:colOff>
      <xdr:row>810</xdr:row>
      <xdr:rowOff>0</xdr:rowOff>
    </xdr:from>
    <xdr:to>
      <xdr:col>8</xdr:col>
      <xdr:colOff>542925</xdr:colOff>
      <xdr:row>810</xdr:row>
      <xdr:rowOff>0</xdr:rowOff>
    </xdr:to>
    <xdr:sp macro="" textlink="">
      <xdr:nvSpPr>
        <xdr:cNvPr id="213" name="Line 3279"/>
        <xdr:cNvSpPr>
          <a:spLocks noChangeShapeType="1"/>
        </xdr:cNvSpPr>
      </xdr:nvSpPr>
      <xdr:spPr bwMode="auto">
        <a:xfrm>
          <a:off x="5305425" y="923639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476250</xdr:colOff>
      <xdr:row>812</xdr:row>
      <xdr:rowOff>28575</xdr:rowOff>
    </xdr:from>
    <xdr:to>
      <xdr:col>8</xdr:col>
      <xdr:colOff>590550</xdr:colOff>
      <xdr:row>812</xdr:row>
      <xdr:rowOff>28575</xdr:rowOff>
    </xdr:to>
    <xdr:sp macro="" textlink="">
      <xdr:nvSpPr>
        <xdr:cNvPr id="214" name="Line 3280"/>
        <xdr:cNvSpPr>
          <a:spLocks noChangeShapeType="1"/>
        </xdr:cNvSpPr>
      </xdr:nvSpPr>
      <xdr:spPr bwMode="auto">
        <a:xfrm>
          <a:off x="5353050" y="92754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504825</xdr:colOff>
      <xdr:row>810</xdr:row>
      <xdr:rowOff>9525</xdr:rowOff>
    </xdr:from>
    <xdr:to>
      <xdr:col>8</xdr:col>
      <xdr:colOff>504825</xdr:colOff>
      <xdr:row>812</xdr:row>
      <xdr:rowOff>9525</xdr:rowOff>
    </xdr:to>
    <xdr:sp macro="" textlink="">
      <xdr:nvSpPr>
        <xdr:cNvPr id="215" name="Line 3281"/>
        <xdr:cNvSpPr>
          <a:spLocks noChangeShapeType="1"/>
        </xdr:cNvSpPr>
      </xdr:nvSpPr>
      <xdr:spPr bwMode="auto">
        <a:xfrm>
          <a:off x="5381625" y="92373450"/>
          <a:ext cx="0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0</xdr:colOff>
      <xdr:row>813</xdr:row>
      <xdr:rowOff>0</xdr:rowOff>
    </xdr:from>
    <xdr:to>
      <xdr:col>8</xdr:col>
      <xdr:colOff>0</xdr:colOff>
      <xdr:row>813</xdr:row>
      <xdr:rowOff>0</xdr:rowOff>
    </xdr:to>
    <xdr:sp macro="" textlink="">
      <xdr:nvSpPr>
        <xdr:cNvPr id="216" name="Line 3282"/>
        <xdr:cNvSpPr>
          <a:spLocks noChangeShapeType="1"/>
        </xdr:cNvSpPr>
      </xdr:nvSpPr>
      <xdr:spPr bwMode="auto">
        <a:xfrm>
          <a:off x="1257300" y="43795950"/>
          <a:ext cx="3695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0</xdr:colOff>
      <xdr:row>812</xdr:row>
      <xdr:rowOff>95250</xdr:rowOff>
    </xdr:from>
    <xdr:to>
      <xdr:col>2</xdr:col>
      <xdr:colOff>0</xdr:colOff>
      <xdr:row>813</xdr:row>
      <xdr:rowOff>57150</xdr:rowOff>
    </xdr:to>
    <xdr:sp macro="" textlink="">
      <xdr:nvSpPr>
        <xdr:cNvPr id="217" name="Line 3283"/>
        <xdr:cNvSpPr>
          <a:spLocks noChangeShapeType="1"/>
        </xdr:cNvSpPr>
      </xdr:nvSpPr>
      <xdr:spPr bwMode="auto">
        <a:xfrm>
          <a:off x="1257300" y="437292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812</xdr:row>
      <xdr:rowOff>114300</xdr:rowOff>
    </xdr:from>
    <xdr:to>
      <xdr:col>8</xdr:col>
      <xdr:colOff>0</xdr:colOff>
      <xdr:row>813</xdr:row>
      <xdr:rowOff>28575</xdr:rowOff>
    </xdr:to>
    <xdr:sp macro="" textlink="">
      <xdr:nvSpPr>
        <xdr:cNvPr id="218" name="Line 3284"/>
        <xdr:cNvSpPr>
          <a:spLocks noChangeShapeType="1"/>
        </xdr:cNvSpPr>
      </xdr:nvSpPr>
      <xdr:spPr bwMode="auto">
        <a:xfrm>
          <a:off x="4953000" y="4374832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7</xdr:col>
      <xdr:colOff>28575</xdr:colOff>
      <xdr:row>827</xdr:row>
      <xdr:rowOff>0</xdr:rowOff>
    </xdr:from>
    <xdr:ext cx="238125" cy="180975"/>
    <xdr:sp macro="" textlink="">
      <xdr:nvSpPr>
        <xdr:cNvPr id="219" name="Text Box 3287"/>
        <xdr:cNvSpPr txBox="1">
          <a:spLocks noChangeArrowheads="1"/>
        </xdr:cNvSpPr>
      </xdr:nvSpPr>
      <xdr:spPr bwMode="auto">
        <a:xfrm>
          <a:off x="3762375" y="44767500"/>
          <a:ext cx="2381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= 1/</a:t>
          </a:r>
        </a:p>
      </xdr:txBody>
    </xdr:sp>
    <xdr:clientData/>
  </xdr:oneCellAnchor>
  <xdr:twoCellAnchor>
    <xdr:from>
      <xdr:col>7</xdr:col>
      <xdr:colOff>85725</xdr:colOff>
      <xdr:row>811</xdr:row>
      <xdr:rowOff>19050</xdr:rowOff>
    </xdr:from>
    <xdr:to>
      <xdr:col>8</xdr:col>
      <xdr:colOff>0</xdr:colOff>
      <xdr:row>811</xdr:row>
      <xdr:rowOff>104775</xdr:rowOff>
    </xdr:to>
    <xdr:sp macro="" textlink="">
      <xdr:nvSpPr>
        <xdr:cNvPr id="220" name="Line 3288"/>
        <xdr:cNvSpPr>
          <a:spLocks noChangeShapeType="1"/>
        </xdr:cNvSpPr>
      </xdr:nvSpPr>
      <xdr:spPr bwMode="auto">
        <a:xfrm flipV="1">
          <a:off x="4429125" y="43491150"/>
          <a:ext cx="52387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0</xdr:colOff>
      <xdr:row>853</xdr:row>
      <xdr:rowOff>0</xdr:rowOff>
    </xdr:from>
    <xdr:to>
      <xdr:col>2</xdr:col>
      <xdr:colOff>247650</xdr:colOff>
      <xdr:row>853</xdr:row>
      <xdr:rowOff>0</xdr:rowOff>
    </xdr:to>
    <xdr:sp macro="" textlink="">
      <xdr:nvSpPr>
        <xdr:cNvPr id="221" name="Line 2480"/>
        <xdr:cNvSpPr>
          <a:spLocks noChangeShapeType="1"/>
        </xdr:cNvSpPr>
      </xdr:nvSpPr>
      <xdr:spPr bwMode="auto">
        <a:xfrm>
          <a:off x="647700" y="47844075"/>
          <a:ext cx="857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238125</xdr:colOff>
      <xdr:row>851</xdr:row>
      <xdr:rowOff>152400</xdr:rowOff>
    </xdr:from>
    <xdr:to>
      <xdr:col>3</xdr:col>
      <xdr:colOff>0</xdr:colOff>
      <xdr:row>853</xdr:row>
      <xdr:rowOff>0</xdr:rowOff>
    </xdr:to>
    <xdr:sp macro="" textlink="">
      <xdr:nvSpPr>
        <xdr:cNvPr id="222" name="Line 2481"/>
        <xdr:cNvSpPr>
          <a:spLocks noChangeShapeType="1"/>
        </xdr:cNvSpPr>
      </xdr:nvSpPr>
      <xdr:spPr bwMode="auto">
        <a:xfrm flipV="1">
          <a:off x="1495425" y="47672625"/>
          <a:ext cx="3714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851</xdr:row>
      <xdr:rowOff>152400</xdr:rowOff>
    </xdr:from>
    <xdr:to>
      <xdr:col>4</xdr:col>
      <xdr:colOff>342900</xdr:colOff>
      <xdr:row>851</xdr:row>
      <xdr:rowOff>152400</xdr:rowOff>
    </xdr:to>
    <xdr:sp macro="" textlink="">
      <xdr:nvSpPr>
        <xdr:cNvPr id="223" name="Line 2482"/>
        <xdr:cNvSpPr>
          <a:spLocks noChangeShapeType="1"/>
        </xdr:cNvSpPr>
      </xdr:nvSpPr>
      <xdr:spPr bwMode="auto">
        <a:xfrm>
          <a:off x="1866900" y="47672625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333375</xdr:colOff>
      <xdr:row>851</xdr:row>
      <xdr:rowOff>152400</xdr:rowOff>
    </xdr:from>
    <xdr:to>
      <xdr:col>6</xdr:col>
      <xdr:colOff>9525</xdr:colOff>
      <xdr:row>853</xdr:row>
      <xdr:rowOff>0</xdr:rowOff>
    </xdr:to>
    <xdr:sp macro="" textlink="">
      <xdr:nvSpPr>
        <xdr:cNvPr id="224" name="Line 2483"/>
        <xdr:cNvSpPr>
          <a:spLocks noChangeShapeType="1"/>
        </xdr:cNvSpPr>
      </xdr:nvSpPr>
      <xdr:spPr bwMode="auto">
        <a:xfrm>
          <a:off x="2809875" y="47672625"/>
          <a:ext cx="9334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852</xdr:row>
      <xdr:rowOff>152400</xdr:rowOff>
    </xdr:from>
    <xdr:to>
      <xdr:col>7</xdr:col>
      <xdr:colOff>523875</xdr:colOff>
      <xdr:row>852</xdr:row>
      <xdr:rowOff>152400</xdr:rowOff>
    </xdr:to>
    <xdr:sp macro="" textlink="">
      <xdr:nvSpPr>
        <xdr:cNvPr id="225" name="Line 2484"/>
        <xdr:cNvSpPr>
          <a:spLocks noChangeShapeType="1"/>
        </xdr:cNvSpPr>
      </xdr:nvSpPr>
      <xdr:spPr bwMode="auto">
        <a:xfrm>
          <a:off x="3733800" y="47834550"/>
          <a:ext cx="1133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850</xdr:row>
      <xdr:rowOff>0</xdr:rowOff>
    </xdr:from>
    <xdr:to>
      <xdr:col>4</xdr:col>
      <xdr:colOff>323850</xdr:colOff>
      <xdr:row>850</xdr:row>
      <xdr:rowOff>0</xdr:rowOff>
    </xdr:to>
    <xdr:sp macro="" textlink="">
      <xdr:nvSpPr>
        <xdr:cNvPr id="226" name="Line 2486"/>
        <xdr:cNvSpPr>
          <a:spLocks noChangeShapeType="1"/>
        </xdr:cNvSpPr>
      </xdr:nvSpPr>
      <xdr:spPr bwMode="auto">
        <a:xfrm>
          <a:off x="1866900" y="47358300"/>
          <a:ext cx="933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849</xdr:row>
      <xdr:rowOff>38100</xdr:rowOff>
    </xdr:from>
    <xdr:to>
      <xdr:col>3</xdr:col>
      <xdr:colOff>0</xdr:colOff>
      <xdr:row>849</xdr:row>
      <xdr:rowOff>152400</xdr:rowOff>
    </xdr:to>
    <xdr:sp macro="" textlink="">
      <xdr:nvSpPr>
        <xdr:cNvPr id="227" name="Line 2487"/>
        <xdr:cNvSpPr>
          <a:spLocks noChangeShapeType="1"/>
        </xdr:cNvSpPr>
      </xdr:nvSpPr>
      <xdr:spPr bwMode="auto">
        <a:xfrm flipV="1">
          <a:off x="1866900" y="472344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342900</xdr:colOff>
      <xdr:row>849</xdr:row>
      <xdr:rowOff>28575</xdr:rowOff>
    </xdr:from>
    <xdr:to>
      <xdr:col>4</xdr:col>
      <xdr:colOff>342900</xdr:colOff>
      <xdr:row>850</xdr:row>
      <xdr:rowOff>0</xdr:rowOff>
    </xdr:to>
    <xdr:sp macro="" textlink="">
      <xdr:nvSpPr>
        <xdr:cNvPr id="228" name="Line 2488"/>
        <xdr:cNvSpPr>
          <a:spLocks noChangeShapeType="1"/>
        </xdr:cNvSpPr>
      </xdr:nvSpPr>
      <xdr:spPr bwMode="auto">
        <a:xfrm flipV="1">
          <a:off x="2781300" y="9745027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419100</xdr:colOff>
      <xdr:row>849</xdr:row>
      <xdr:rowOff>47625</xdr:rowOff>
    </xdr:from>
    <xdr:to>
      <xdr:col>2</xdr:col>
      <xdr:colOff>114300</xdr:colOff>
      <xdr:row>849</xdr:row>
      <xdr:rowOff>47625</xdr:rowOff>
    </xdr:to>
    <xdr:sp macro="" textlink="">
      <xdr:nvSpPr>
        <xdr:cNvPr id="229" name="Line 2489"/>
        <xdr:cNvSpPr>
          <a:spLocks noChangeShapeType="1"/>
        </xdr:cNvSpPr>
      </xdr:nvSpPr>
      <xdr:spPr bwMode="auto">
        <a:xfrm>
          <a:off x="1066800" y="47244000"/>
          <a:ext cx="304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</xdr:col>
      <xdr:colOff>552450</xdr:colOff>
      <xdr:row>850</xdr:row>
      <xdr:rowOff>123825</xdr:rowOff>
    </xdr:from>
    <xdr:ext cx="19050" cy="342900"/>
    <xdr:sp macro="" textlink="">
      <xdr:nvSpPr>
        <xdr:cNvPr id="230" name="Text Box 2490"/>
        <xdr:cNvSpPr txBox="1">
          <a:spLocks noChangeArrowheads="1"/>
        </xdr:cNvSpPr>
      </xdr:nvSpPr>
      <xdr:spPr bwMode="auto">
        <a:xfrm>
          <a:off x="1200150" y="4748212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1</xdr:col>
      <xdr:colOff>457200</xdr:colOff>
      <xdr:row>848</xdr:row>
      <xdr:rowOff>142875</xdr:rowOff>
    </xdr:from>
    <xdr:to>
      <xdr:col>1</xdr:col>
      <xdr:colOff>514350</xdr:colOff>
      <xdr:row>849</xdr:row>
      <xdr:rowOff>47625</xdr:rowOff>
    </xdr:to>
    <xdr:sp macro="" textlink="">
      <xdr:nvSpPr>
        <xdr:cNvPr id="231" name="Line 2491"/>
        <xdr:cNvSpPr>
          <a:spLocks noChangeShapeType="1"/>
        </xdr:cNvSpPr>
      </xdr:nvSpPr>
      <xdr:spPr bwMode="auto">
        <a:xfrm>
          <a:off x="1104900" y="47177325"/>
          <a:ext cx="5715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514350</xdr:colOff>
      <xdr:row>848</xdr:row>
      <xdr:rowOff>133350</xdr:rowOff>
    </xdr:from>
    <xdr:to>
      <xdr:col>1</xdr:col>
      <xdr:colOff>552450</xdr:colOff>
      <xdr:row>849</xdr:row>
      <xdr:rowOff>38100</xdr:rowOff>
    </xdr:to>
    <xdr:sp macro="" textlink="">
      <xdr:nvSpPr>
        <xdr:cNvPr id="232" name="Line 2492"/>
        <xdr:cNvSpPr>
          <a:spLocks noChangeShapeType="1"/>
        </xdr:cNvSpPr>
      </xdr:nvSpPr>
      <xdr:spPr bwMode="auto">
        <a:xfrm flipV="1">
          <a:off x="1162050" y="471678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457200</xdr:colOff>
      <xdr:row>848</xdr:row>
      <xdr:rowOff>133350</xdr:rowOff>
    </xdr:from>
    <xdr:to>
      <xdr:col>1</xdr:col>
      <xdr:colOff>571500</xdr:colOff>
      <xdr:row>848</xdr:row>
      <xdr:rowOff>133350</xdr:rowOff>
    </xdr:to>
    <xdr:sp macro="" textlink="">
      <xdr:nvSpPr>
        <xdr:cNvPr id="233" name="Line 2493"/>
        <xdr:cNvSpPr>
          <a:spLocks noChangeShapeType="1"/>
        </xdr:cNvSpPr>
      </xdr:nvSpPr>
      <xdr:spPr bwMode="auto">
        <a:xfrm>
          <a:off x="1104900" y="4716780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466725</xdr:colOff>
      <xdr:row>849</xdr:row>
      <xdr:rowOff>66675</xdr:rowOff>
    </xdr:from>
    <xdr:to>
      <xdr:col>1</xdr:col>
      <xdr:colOff>552450</xdr:colOff>
      <xdr:row>849</xdr:row>
      <xdr:rowOff>66675</xdr:rowOff>
    </xdr:to>
    <xdr:sp macro="" textlink="">
      <xdr:nvSpPr>
        <xdr:cNvPr id="234" name="Line 2494"/>
        <xdr:cNvSpPr>
          <a:spLocks noChangeShapeType="1"/>
        </xdr:cNvSpPr>
      </xdr:nvSpPr>
      <xdr:spPr bwMode="auto">
        <a:xfrm flipH="1">
          <a:off x="1114425" y="4726305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514350</xdr:colOff>
      <xdr:row>849</xdr:row>
      <xdr:rowOff>85725</xdr:rowOff>
    </xdr:from>
    <xdr:to>
      <xdr:col>1</xdr:col>
      <xdr:colOff>533400</xdr:colOff>
      <xdr:row>849</xdr:row>
      <xdr:rowOff>85725</xdr:rowOff>
    </xdr:to>
    <xdr:sp macro="" textlink="">
      <xdr:nvSpPr>
        <xdr:cNvPr id="235" name="Line 2495"/>
        <xdr:cNvSpPr>
          <a:spLocks noChangeShapeType="1"/>
        </xdr:cNvSpPr>
      </xdr:nvSpPr>
      <xdr:spPr bwMode="auto">
        <a:xfrm flipH="1">
          <a:off x="1162050" y="4728210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238125</xdr:colOff>
      <xdr:row>850</xdr:row>
      <xdr:rowOff>152400</xdr:rowOff>
    </xdr:from>
    <xdr:to>
      <xdr:col>3</xdr:col>
      <xdr:colOff>523875</xdr:colOff>
      <xdr:row>850</xdr:row>
      <xdr:rowOff>152400</xdr:rowOff>
    </xdr:to>
    <xdr:sp macro="" textlink="">
      <xdr:nvSpPr>
        <xdr:cNvPr id="236" name="Line 2496"/>
        <xdr:cNvSpPr>
          <a:spLocks noChangeShapeType="1"/>
        </xdr:cNvSpPr>
      </xdr:nvSpPr>
      <xdr:spPr bwMode="auto">
        <a:xfrm>
          <a:off x="2105025" y="4751070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0</xdr:colOff>
      <xdr:row>858</xdr:row>
      <xdr:rowOff>0</xdr:rowOff>
    </xdr:from>
    <xdr:to>
      <xdr:col>1</xdr:col>
      <xdr:colOff>0</xdr:colOff>
      <xdr:row>859</xdr:row>
      <xdr:rowOff>0</xdr:rowOff>
    </xdr:to>
    <xdr:sp macro="" textlink="">
      <xdr:nvSpPr>
        <xdr:cNvPr id="237" name="Line 2498"/>
        <xdr:cNvSpPr>
          <a:spLocks noChangeShapeType="1"/>
        </xdr:cNvSpPr>
      </xdr:nvSpPr>
      <xdr:spPr bwMode="auto">
        <a:xfrm>
          <a:off x="647700" y="486537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523875</xdr:colOff>
      <xdr:row>858</xdr:row>
      <xdr:rowOff>47625</xdr:rowOff>
    </xdr:from>
    <xdr:to>
      <xdr:col>7</xdr:col>
      <xdr:colOff>523875</xdr:colOff>
      <xdr:row>859</xdr:row>
      <xdr:rowOff>19050</xdr:rowOff>
    </xdr:to>
    <xdr:sp macro="" textlink="">
      <xdr:nvSpPr>
        <xdr:cNvPr id="238" name="Line 2499"/>
        <xdr:cNvSpPr>
          <a:spLocks noChangeShapeType="1"/>
        </xdr:cNvSpPr>
      </xdr:nvSpPr>
      <xdr:spPr bwMode="auto">
        <a:xfrm>
          <a:off x="4791075" y="98926650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858</xdr:row>
      <xdr:rowOff>104775</xdr:rowOff>
    </xdr:from>
    <xdr:to>
      <xdr:col>3</xdr:col>
      <xdr:colOff>152400</xdr:colOff>
      <xdr:row>858</xdr:row>
      <xdr:rowOff>104775</xdr:rowOff>
    </xdr:to>
    <xdr:sp macro="" textlink="">
      <xdr:nvSpPr>
        <xdr:cNvPr id="239" name="Line 2500"/>
        <xdr:cNvSpPr>
          <a:spLocks noChangeShapeType="1"/>
        </xdr:cNvSpPr>
      </xdr:nvSpPr>
      <xdr:spPr bwMode="auto">
        <a:xfrm flipH="1">
          <a:off x="647700" y="48758475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238125</xdr:colOff>
      <xdr:row>858</xdr:row>
      <xdr:rowOff>95250</xdr:rowOff>
    </xdr:from>
    <xdr:to>
      <xdr:col>7</xdr:col>
      <xdr:colOff>514350</xdr:colOff>
      <xdr:row>858</xdr:row>
      <xdr:rowOff>95250</xdr:rowOff>
    </xdr:to>
    <xdr:sp macro="" textlink="">
      <xdr:nvSpPr>
        <xdr:cNvPr id="240" name="Line 2501"/>
        <xdr:cNvSpPr>
          <a:spLocks noChangeShapeType="1"/>
        </xdr:cNvSpPr>
      </xdr:nvSpPr>
      <xdr:spPr bwMode="auto">
        <a:xfrm>
          <a:off x="3314700" y="48748950"/>
          <a:ext cx="1543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9</xdr:col>
      <xdr:colOff>0</xdr:colOff>
      <xdr:row>853</xdr:row>
      <xdr:rowOff>57150</xdr:rowOff>
    </xdr:from>
    <xdr:to>
      <xdr:col>9</xdr:col>
      <xdr:colOff>38100</xdr:colOff>
      <xdr:row>853</xdr:row>
      <xdr:rowOff>57150</xdr:rowOff>
    </xdr:to>
    <xdr:sp macro="" textlink="">
      <xdr:nvSpPr>
        <xdr:cNvPr id="245" name="Line 2508"/>
        <xdr:cNvSpPr>
          <a:spLocks noChangeShapeType="1"/>
        </xdr:cNvSpPr>
      </xdr:nvSpPr>
      <xdr:spPr bwMode="auto">
        <a:xfrm>
          <a:off x="5486400" y="98126550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849</xdr:row>
      <xdr:rowOff>38100</xdr:rowOff>
    </xdr:from>
    <xdr:to>
      <xdr:col>2</xdr:col>
      <xdr:colOff>0</xdr:colOff>
      <xdr:row>850</xdr:row>
      <xdr:rowOff>104775</xdr:rowOff>
    </xdr:to>
    <xdr:sp macro="" textlink="">
      <xdr:nvSpPr>
        <xdr:cNvPr id="246" name="Line 3229"/>
        <xdr:cNvSpPr>
          <a:spLocks noChangeShapeType="1"/>
        </xdr:cNvSpPr>
      </xdr:nvSpPr>
      <xdr:spPr bwMode="auto">
        <a:xfrm flipV="1">
          <a:off x="1257300" y="47234475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0</xdr:colOff>
      <xdr:row>850</xdr:row>
      <xdr:rowOff>95250</xdr:rowOff>
    </xdr:from>
    <xdr:to>
      <xdr:col>2</xdr:col>
      <xdr:colOff>0</xdr:colOff>
      <xdr:row>853</xdr:row>
      <xdr:rowOff>0</xdr:rowOff>
    </xdr:to>
    <xdr:sp macro="" textlink="">
      <xdr:nvSpPr>
        <xdr:cNvPr id="247" name="Line 3230"/>
        <xdr:cNvSpPr>
          <a:spLocks noChangeShapeType="1"/>
        </xdr:cNvSpPr>
      </xdr:nvSpPr>
      <xdr:spPr bwMode="auto">
        <a:xfrm>
          <a:off x="1257300" y="47453550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199232</xdr:colOff>
      <xdr:row>853</xdr:row>
      <xdr:rowOff>10319</xdr:rowOff>
    </xdr:from>
    <xdr:to>
      <xdr:col>1</xdr:col>
      <xdr:colOff>200820</xdr:colOff>
      <xdr:row>856</xdr:row>
      <xdr:rowOff>10319</xdr:rowOff>
    </xdr:to>
    <xdr:cxnSp macro="">
      <xdr:nvCxnSpPr>
        <xdr:cNvPr id="248" name="Straight Connector 247"/>
        <xdr:cNvCxnSpPr/>
      </xdr:nvCxnSpPr>
      <xdr:spPr bwMode="auto">
        <a:xfrm rot="5400000">
          <a:off x="604838" y="48096488"/>
          <a:ext cx="4857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361950</xdr:colOff>
      <xdr:row>853</xdr:row>
      <xdr:rowOff>3</xdr:rowOff>
    </xdr:from>
    <xdr:to>
      <xdr:col>7</xdr:col>
      <xdr:colOff>371475</xdr:colOff>
      <xdr:row>855</xdr:row>
      <xdr:rowOff>152403</xdr:rowOff>
    </xdr:to>
    <xdr:cxnSp macro="">
      <xdr:nvCxnSpPr>
        <xdr:cNvPr id="249" name="Straight Connector 248"/>
        <xdr:cNvCxnSpPr/>
      </xdr:nvCxnSpPr>
      <xdr:spPr bwMode="auto">
        <a:xfrm rot="5400000">
          <a:off x="4395788" y="98664715"/>
          <a:ext cx="4762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200025</xdr:colOff>
      <xdr:row>925</xdr:row>
      <xdr:rowOff>0</xdr:rowOff>
    </xdr:from>
    <xdr:to>
      <xdr:col>12</xdr:col>
      <xdr:colOff>200025</xdr:colOff>
      <xdr:row>927</xdr:row>
      <xdr:rowOff>152400</xdr:rowOff>
    </xdr:to>
    <xdr:sp macro="" textlink="">
      <xdr:nvSpPr>
        <xdr:cNvPr id="251" name="Line 2510"/>
        <xdr:cNvSpPr>
          <a:spLocks noChangeShapeType="1"/>
        </xdr:cNvSpPr>
      </xdr:nvSpPr>
      <xdr:spPr bwMode="auto">
        <a:xfrm>
          <a:off x="7115175" y="110194725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371475</xdr:colOff>
      <xdr:row>924</xdr:row>
      <xdr:rowOff>152400</xdr:rowOff>
    </xdr:from>
    <xdr:to>
      <xdr:col>18</xdr:col>
      <xdr:colOff>371475</xdr:colOff>
      <xdr:row>926</xdr:row>
      <xdr:rowOff>0</xdr:rowOff>
    </xdr:to>
    <xdr:sp macro="" textlink="">
      <xdr:nvSpPr>
        <xdr:cNvPr id="252" name="Line 2511"/>
        <xdr:cNvSpPr>
          <a:spLocks noChangeShapeType="1"/>
        </xdr:cNvSpPr>
      </xdr:nvSpPr>
      <xdr:spPr bwMode="auto">
        <a:xfrm>
          <a:off x="10944225" y="1101852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190501</xdr:colOff>
      <xdr:row>925</xdr:row>
      <xdr:rowOff>142874</xdr:rowOff>
    </xdr:from>
    <xdr:to>
      <xdr:col>18</xdr:col>
      <xdr:colOff>381001</xdr:colOff>
      <xdr:row>927</xdr:row>
      <xdr:rowOff>123823</xdr:rowOff>
    </xdr:to>
    <xdr:sp macro="" textlink="">
      <xdr:nvSpPr>
        <xdr:cNvPr id="253" name="Line 2512"/>
        <xdr:cNvSpPr>
          <a:spLocks noChangeShapeType="1"/>
        </xdr:cNvSpPr>
      </xdr:nvSpPr>
      <xdr:spPr bwMode="auto">
        <a:xfrm flipV="1">
          <a:off x="7105651" y="110337599"/>
          <a:ext cx="3848100" cy="30479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</xdr:col>
      <xdr:colOff>428625</xdr:colOff>
      <xdr:row>937</xdr:row>
      <xdr:rowOff>0</xdr:rowOff>
    </xdr:from>
    <xdr:ext cx="19050" cy="342900"/>
    <xdr:sp macro="" textlink="">
      <xdr:nvSpPr>
        <xdr:cNvPr id="254" name="Text Box 2708"/>
        <xdr:cNvSpPr txBox="1">
          <a:spLocks noChangeArrowheads="1"/>
        </xdr:cNvSpPr>
      </xdr:nvSpPr>
      <xdr:spPr bwMode="auto">
        <a:xfrm>
          <a:off x="3505200" y="6319837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20</xdr:col>
      <xdr:colOff>409575</xdr:colOff>
      <xdr:row>924</xdr:row>
      <xdr:rowOff>142875</xdr:rowOff>
    </xdr:from>
    <xdr:ext cx="133350" cy="342900"/>
    <xdr:sp macro="" textlink="">
      <xdr:nvSpPr>
        <xdr:cNvPr id="255" name="Text Box 2709"/>
        <xdr:cNvSpPr txBox="1">
          <a:spLocks noChangeArrowheads="1"/>
        </xdr:cNvSpPr>
      </xdr:nvSpPr>
      <xdr:spPr bwMode="auto">
        <a:xfrm>
          <a:off x="4143375" y="63179325"/>
          <a:ext cx="1333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%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1</xdr:col>
      <xdr:colOff>0</xdr:colOff>
      <xdr:row>970</xdr:row>
      <xdr:rowOff>9525</xdr:rowOff>
    </xdr:from>
    <xdr:to>
      <xdr:col>2</xdr:col>
      <xdr:colOff>219075</xdr:colOff>
      <xdr:row>970</xdr:row>
      <xdr:rowOff>9525</xdr:rowOff>
    </xdr:to>
    <xdr:sp macro="" textlink="">
      <xdr:nvSpPr>
        <xdr:cNvPr id="256" name="Line 2594"/>
        <xdr:cNvSpPr>
          <a:spLocks noChangeShapeType="1"/>
        </xdr:cNvSpPr>
      </xdr:nvSpPr>
      <xdr:spPr bwMode="auto">
        <a:xfrm>
          <a:off x="647700" y="66446400"/>
          <a:ext cx="828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209550</xdr:colOff>
      <xdr:row>969</xdr:row>
      <xdr:rowOff>9525</xdr:rowOff>
    </xdr:from>
    <xdr:to>
      <xdr:col>3</xdr:col>
      <xdr:colOff>0</xdr:colOff>
      <xdr:row>970</xdr:row>
      <xdr:rowOff>9525</xdr:rowOff>
    </xdr:to>
    <xdr:sp macro="" textlink="">
      <xdr:nvSpPr>
        <xdr:cNvPr id="257" name="Line 2595"/>
        <xdr:cNvSpPr>
          <a:spLocks noChangeShapeType="1"/>
        </xdr:cNvSpPr>
      </xdr:nvSpPr>
      <xdr:spPr bwMode="auto">
        <a:xfrm flipV="1">
          <a:off x="1466850" y="66284475"/>
          <a:ext cx="40005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969</xdr:row>
      <xdr:rowOff>9525</xdr:rowOff>
    </xdr:from>
    <xdr:to>
      <xdr:col>4</xdr:col>
      <xdr:colOff>333375</xdr:colOff>
      <xdr:row>969</xdr:row>
      <xdr:rowOff>9525</xdr:rowOff>
    </xdr:to>
    <xdr:sp macro="" textlink="">
      <xdr:nvSpPr>
        <xdr:cNvPr id="258" name="Line 2596"/>
        <xdr:cNvSpPr>
          <a:spLocks noChangeShapeType="1"/>
        </xdr:cNvSpPr>
      </xdr:nvSpPr>
      <xdr:spPr bwMode="auto">
        <a:xfrm>
          <a:off x="1866900" y="66284475"/>
          <a:ext cx="942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969</xdr:row>
      <xdr:rowOff>9525</xdr:rowOff>
    </xdr:from>
    <xdr:to>
      <xdr:col>5</xdr:col>
      <xdr:colOff>438150</xdr:colOff>
      <xdr:row>969</xdr:row>
      <xdr:rowOff>152400</xdr:rowOff>
    </xdr:to>
    <xdr:sp macro="" textlink="">
      <xdr:nvSpPr>
        <xdr:cNvPr id="259" name="Line 2597"/>
        <xdr:cNvSpPr>
          <a:spLocks noChangeShapeType="1"/>
        </xdr:cNvSpPr>
      </xdr:nvSpPr>
      <xdr:spPr bwMode="auto">
        <a:xfrm>
          <a:off x="2800350" y="66284475"/>
          <a:ext cx="7143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457200</xdr:colOff>
      <xdr:row>969</xdr:row>
      <xdr:rowOff>152400</xdr:rowOff>
    </xdr:from>
    <xdr:to>
      <xdr:col>7</xdr:col>
      <xdr:colOff>238125</xdr:colOff>
      <xdr:row>969</xdr:row>
      <xdr:rowOff>152400</xdr:rowOff>
    </xdr:to>
    <xdr:sp macro="" textlink="">
      <xdr:nvSpPr>
        <xdr:cNvPr id="260" name="Line 2598"/>
        <xdr:cNvSpPr>
          <a:spLocks noChangeShapeType="1"/>
        </xdr:cNvSpPr>
      </xdr:nvSpPr>
      <xdr:spPr bwMode="auto">
        <a:xfrm>
          <a:off x="3533775" y="66427350"/>
          <a:ext cx="1047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966</xdr:row>
      <xdr:rowOff>85725</xdr:rowOff>
    </xdr:from>
    <xdr:to>
      <xdr:col>3</xdr:col>
      <xdr:colOff>0</xdr:colOff>
      <xdr:row>967</xdr:row>
      <xdr:rowOff>0</xdr:rowOff>
    </xdr:to>
    <xdr:sp macro="" textlink="">
      <xdr:nvSpPr>
        <xdr:cNvPr id="262" name="Line 2600"/>
        <xdr:cNvSpPr>
          <a:spLocks noChangeShapeType="1"/>
        </xdr:cNvSpPr>
      </xdr:nvSpPr>
      <xdr:spPr bwMode="auto">
        <a:xfrm>
          <a:off x="1866900" y="6587490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967</xdr:row>
      <xdr:rowOff>0</xdr:rowOff>
    </xdr:from>
    <xdr:to>
      <xdr:col>4</xdr:col>
      <xdr:colOff>323850</xdr:colOff>
      <xdr:row>967</xdr:row>
      <xdr:rowOff>0</xdr:rowOff>
    </xdr:to>
    <xdr:sp macro="" textlink="">
      <xdr:nvSpPr>
        <xdr:cNvPr id="263" name="Line 2601"/>
        <xdr:cNvSpPr>
          <a:spLocks noChangeShapeType="1"/>
        </xdr:cNvSpPr>
      </xdr:nvSpPr>
      <xdr:spPr bwMode="auto">
        <a:xfrm>
          <a:off x="1866900" y="65951100"/>
          <a:ext cx="933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304800</xdr:colOff>
      <xdr:row>966</xdr:row>
      <xdr:rowOff>85725</xdr:rowOff>
    </xdr:from>
    <xdr:to>
      <xdr:col>4</xdr:col>
      <xdr:colOff>304800</xdr:colOff>
      <xdr:row>967</xdr:row>
      <xdr:rowOff>0</xdr:rowOff>
    </xdr:to>
    <xdr:sp macro="" textlink="">
      <xdr:nvSpPr>
        <xdr:cNvPr id="264" name="Line 2602"/>
        <xdr:cNvSpPr>
          <a:spLocks noChangeShapeType="1"/>
        </xdr:cNvSpPr>
      </xdr:nvSpPr>
      <xdr:spPr bwMode="auto">
        <a:xfrm flipV="1">
          <a:off x="2781300" y="6587490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171450</xdr:colOff>
      <xdr:row>968</xdr:row>
      <xdr:rowOff>152400</xdr:rowOff>
    </xdr:from>
    <xdr:to>
      <xdr:col>1</xdr:col>
      <xdr:colOff>495300</xdr:colOff>
      <xdr:row>968</xdr:row>
      <xdr:rowOff>152400</xdr:rowOff>
    </xdr:to>
    <xdr:sp macro="" textlink="">
      <xdr:nvSpPr>
        <xdr:cNvPr id="265" name="Line 2603"/>
        <xdr:cNvSpPr>
          <a:spLocks noChangeShapeType="1"/>
        </xdr:cNvSpPr>
      </xdr:nvSpPr>
      <xdr:spPr bwMode="auto">
        <a:xfrm>
          <a:off x="819150" y="661035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228600</xdr:colOff>
      <xdr:row>966</xdr:row>
      <xdr:rowOff>104775</xdr:rowOff>
    </xdr:from>
    <xdr:to>
      <xdr:col>6</xdr:col>
      <xdr:colOff>571500</xdr:colOff>
      <xdr:row>966</xdr:row>
      <xdr:rowOff>104775</xdr:rowOff>
    </xdr:to>
    <xdr:sp macro="" textlink="">
      <xdr:nvSpPr>
        <xdr:cNvPr id="266" name="Line 2604"/>
        <xdr:cNvSpPr>
          <a:spLocks noChangeShapeType="1"/>
        </xdr:cNvSpPr>
      </xdr:nvSpPr>
      <xdr:spPr bwMode="auto">
        <a:xfrm>
          <a:off x="3962400" y="6589395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314325</xdr:colOff>
      <xdr:row>966</xdr:row>
      <xdr:rowOff>19050</xdr:rowOff>
    </xdr:from>
    <xdr:to>
      <xdr:col>6</xdr:col>
      <xdr:colOff>400050</xdr:colOff>
      <xdr:row>966</xdr:row>
      <xdr:rowOff>104775</xdr:rowOff>
    </xdr:to>
    <xdr:sp macro="" textlink="">
      <xdr:nvSpPr>
        <xdr:cNvPr id="267" name="Line 2605"/>
        <xdr:cNvSpPr>
          <a:spLocks noChangeShapeType="1"/>
        </xdr:cNvSpPr>
      </xdr:nvSpPr>
      <xdr:spPr bwMode="auto">
        <a:xfrm>
          <a:off x="4048125" y="65808225"/>
          <a:ext cx="857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400050</xdr:colOff>
      <xdr:row>966</xdr:row>
      <xdr:rowOff>19050</xdr:rowOff>
    </xdr:from>
    <xdr:to>
      <xdr:col>6</xdr:col>
      <xdr:colOff>447675</xdr:colOff>
      <xdr:row>966</xdr:row>
      <xdr:rowOff>104775</xdr:rowOff>
    </xdr:to>
    <xdr:sp macro="" textlink="">
      <xdr:nvSpPr>
        <xdr:cNvPr id="268" name="Line 2606"/>
        <xdr:cNvSpPr>
          <a:spLocks noChangeShapeType="1"/>
        </xdr:cNvSpPr>
      </xdr:nvSpPr>
      <xdr:spPr bwMode="auto">
        <a:xfrm flipV="1">
          <a:off x="4133850" y="65808225"/>
          <a:ext cx="476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276225</xdr:colOff>
      <xdr:row>966</xdr:row>
      <xdr:rowOff>28575</xdr:rowOff>
    </xdr:from>
    <xdr:to>
      <xdr:col>6</xdr:col>
      <xdr:colOff>485775</xdr:colOff>
      <xdr:row>966</xdr:row>
      <xdr:rowOff>28575</xdr:rowOff>
    </xdr:to>
    <xdr:sp macro="" textlink="">
      <xdr:nvSpPr>
        <xdr:cNvPr id="269" name="Line 2607"/>
        <xdr:cNvSpPr>
          <a:spLocks noChangeShapeType="1"/>
        </xdr:cNvSpPr>
      </xdr:nvSpPr>
      <xdr:spPr bwMode="auto">
        <a:xfrm>
          <a:off x="4010025" y="6581775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371475</xdr:colOff>
      <xdr:row>966</xdr:row>
      <xdr:rowOff>133350</xdr:rowOff>
    </xdr:from>
    <xdr:to>
      <xdr:col>6</xdr:col>
      <xdr:colOff>476250</xdr:colOff>
      <xdr:row>966</xdr:row>
      <xdr:rowOff>133350</xdr:rowOff>
    </xdr:to>
    <xdr:sp macro="" textlink="">
      <xdr:nvSpPr>
        <xdr:cNvPr id="270" name="Line 2608"/>
        <xdr:cNvSpPr>
          <a:spLocks noChangeShapeType="1"/>
        </xdr:cNvSpPr>
      </xdr:nvSpPr>
      <xdr:spPr bwMode="auto">
        <a:xfrm>
          <a:off x="4105275" y="659225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390525</xdr:colOff>
      <xdr:row>967</xdr:row>
      <xdr:rowOff>0</xdr:rowOff>
    </xdr:from>
    <xdr:to>
      <xdr:col>6</xdr:col>
      <xdr:colOff>438150</xdr:colOff>
      <xdr:row>967</xdr:row>
      <xdr:rowOff>0</xdr:rowOff>
    </xdr:to>
    <xdr:sp macro="" textlink="">
      <xdr:nvSpPr>
        <xdr:cNvPr id="271" name="Line 2609"/>
        <xdr:cNvSpPr>
          <a:spLocks noChangeShapeType="1"/>
        </xdr:cNvSpPr>
      </xdr:nvSpPr>
      <xdr:spPr bwMode="auto">
        <a:xfrm>
          <a:off x="4124325" y="65951100"/>
          <a:ext cx="47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209550</xdr:colOff>
      <xdr:row>968</xdr:row>
      <xdr:rowOff>66675</xdr:rowOff>
    </xdr:from>
    <xdr:to>
      <xdr:col>1</xdr:col>
      <xdr:colOff>295275</xdr:colOff>
      <xdr:row>968</xdr:row>
      <xdr:rowOff>152400</xdr:rowOff>
    </xdr:to>
    <xdr:sp macro="" textlink="">
      <xdr:nvSpPr>
        <xdr:cNvPr id="272" name="Line 2610"/>
        <xdr:cNvSpPr>
          <a:spLocks noChangeShapeType="1"/>
        </xdr:cNvSpPr>
      </xdr:nvSpPr>
      <xdr:spPr bwMode="auto">
        <a:xfrm>
          <a:off x="857250" y="66017775"/>
          <a:ext cx="857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968</xdr:row>
      <xdr:rowOff>66675</xdr:rowOff>
    </xdr:from>
    <xdr:to>
      <xdr:col>1</xdr:col>
      <xdr:colOff>352425</xdr:colOff>
      <xdr:row>968</xdr:row>
      <xdr:rowOff>152400</xdr:rowOff>
    </xdr:to>
    <xdr:sp macro="" textlink="">
      <xdr:nvSpPr>
        <xdr:cNvPr id="273" name="Line 2611"/>
        <xdr:cNvSpPr>
          <a:spLocks noChangeShapeType="1"/>
        </xdr:cNvSpPr>
      </xdr:nvSpPr>
      <xdr:spPr bwMode="auto">
        <a:xfrm flipV="1">
          <a:off x="942975" y="66017775"/>
          <a:ext cx="5715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171450</xdr:colOff>
      <xdr:row>968</xdr:row>
      <xdr:rowOff>66675</xdr:rowOff>
    </xdr:from>
    <xdr:to>
      <xdr:col>1</xdr:col>
      <xdr:colOff>381000</xdr:colOff>
      <xdr:row>968</xdr:row>
      <xdr:rowOff>66675</xdr:rowOff>
    </xdr:to>
    <xdr:sp macro="" textlink="">
      <xdr:nvSpPr>
        <xdr:cNvPr id="274" name="Line 2612"/>
        <xdr:cNvSpPr>
          <a:spLocks noChangeShapeType="1"/>
        </xdr:cNvSpPr>
      </xdr:nvSpPr>
      <xdr:spPr bwMode="auto">
        <a:xfrm>
          <a:off x="819150" y="6601777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228600</xdr:colOff>
      <xdr:row>969</xdr:row>
      <xdr:rowOff>19050</xdr:rowOff>
    </xdr:from>
    <xdr:to>
      <xdr:col>1</xdr:col>
      <xdr:colOff>342900</xdr:colOff>
      <xdr:row>969</xdr:row>
      <xdr:rowOff>19050</xdr:rowOff>
    </xdr:to>
    <xdr:sp macro="" textlink="">
      <xdr:nvSpPr>
        <xdr:cNvPr id="275" name="Line 2613"/>
        <xdr:cNvSpPr>
          <a:spLocks noChangeShapeType="1"/>
        </xdr:cNvSpPr>
      </xdr:nvSpPr>
      <xdr:spPr bwMode="auto">
        <a:xfrm>
          <a:off x="876300" y="661320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257175</xdr:colOff>
      <xdr:row>969</xdr:row>
      <xdr:rowOff>38100</xdr:rowOff>
    </xdr:from>
    <xdr:to>
      <xdr:col>1</xdr:col>
      <xdr:colOff>295275</xdr:colOff>
      <xdr:row>969</xdr:row>
      <xdr:rowOff>38100</xdr:rowOff>
    </xdr:to>
    <xdr:sp macro="" textlink="">
      <xdr:nvSpPr>
        <xdr:cNvPr id="276" name="Line 2614"/>
        <xdr:cNvSpPr>
          <a:spLocks noChangeShapeType="1"/>
        </xdr:cNvSpPr>
      </xdr:nvSpPr>
      <xdr:spPr bwMode="auto">
        <a:xfrm>
          <a:off x="904875" y="66151125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361950</xdr:colOff>
      <xdr:row>968</xdr:row>
      <xdr:rowOff>0</xdr:rowOff>
    </xdr:from>
    <xdr:to>
      <xdr:col>4</xdr:col>
      <xdr:colOff>285750</xdr:colOff>
      <xdr:row>968</xdr:row>
      <xdr:rowOff>0</xdr:rowOff>
    </xdr:to>
    <xdr:sp macro="" textlink="">
      <xdr:nvSpPr>
        <xdr:cNvPr id="277" name="Line 2617"/>
        <xdr:cNvSpPr>
          <a:spLocks noChangeShapeType="1"/>
        </xdr:cNvSpPr>
      </xdr:nvSpPr>
      <xdr:spPr bwMode="auto">
        <a:xfrm flipH="1">
          <a:off x="2228850" y="6611302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0</xdr:colOff>
      <xdr:row>973</xdr:row>
      <xdr:rowOff>0</xdr:rowOff>
    </xdr:from>
    <xdr:to>
      <xdr:col>1</xdr:col>
      <xdr:colOff>0</xdr:colOff>
      <xdr:row>973</xdr:row>
      <xdr:rowOff>152400</xdr:rowOff>
    </xdr:to>
    <xdr:sp macro="" textlink="">
      <xdr:nvSpPr>
        <xdr:cNvPr id="278" name="Line 2618"/>
        <xdr:cNvSpPr>
          <a:spLocks noChangeShapeType="1"/>
        </xdr:cNvSpPr>
      </xdr:nvSpPr>
      <xdr:spPr bwMode="auto">
        <a:xfrm>
          <a:off x="647700" y="669226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973</xdr:row>
      <xdr:rowOff>76200</xdr:rowOff>
    </xdr:from>
    <xdr:to>
      <xdr:col>3</xdr:col>
      <xdr:colOff>238125</xdr:colOff>
      <xdr:row>973</xdr:row>
      <xdr:rowOff>76200</xdr:rowOff>
    </xdr:to>
    <xdr:sp macro="" textlink="">
      <xdr:nvSpPr>
        <xdr:cNvPr id="279" name="Line 2619"/>
        <xdr:cNvSpPr>
          <a:spLocks noChangeShapeType="1"/>
        </xdr:cNvSpPr>
      </xdr:nvSpPr>
      <xdr:spPr bwMode="auto">
        <a:xfrm flipH="1">
          <a:off x="657225" y="66998850"/>
          <a:ext cx="1447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7</xdr:col>
      <xdr:colOff>228600</xdr:colOff>
      <xdr:row>973</xdr:row>
      <xdr:rowOff>9525</xdr:rowOff>
    </xdr:from>
    <xdr:to>
      <xdr:col>7</xdr:col>
      <xdr:colOff>228600</xdr:colOff>
      <xdr:row>974</xdr:row>
      <xdr:rowOff>0</xdr:rowOff>
    </xdr:to>
    <xdr:sp macro="" textlink="">
      <xdr:nvSpPr>
        <xdr:cNvPr id="280" name="Line 2620"/>
        <xdr:cNvSpPr>
          <a:spLocks noChangeShapeType="1"/>
        </xdr:cNvSpPr>
      </xdr:nvSpPr>
      <xdr:spPr bwMode="auto">
        <a:xfrm>
          <a:off x="4572000" y="669321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228600</xdr:colOff>
      <xdr:row>973</xdr:row>
      <xdr:rowOff>85725</xdr:rowOff>
    </xdr:from>
    <xdr:to>
      <xdr:col>7</xdr:col>
      <xdr:colOff>228600</xdr:colOff>
      <xdr:row>973</xdr:row>
      <xdr:rowOff>85725</xdr:rowOff>
    </xdr:to>
    <xdr:sp macro="" textlink="">
      <xdr:nvSpPr>
        <xdr:cNvPr id="281" name="Line 2621"/>
        <xdr:cNvSpPr>
          <a:spLocks noChangeShapeType="1"/>
        </xdr:cNvSpPr>
      </xdr:nvSpPr>
      <xdr:spPr bwMode="auto">
        <a:xfrm>
          <a:off x="3305175" y="67008375"/>
          <a:ext cx="1266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0</xdr:colOff>
      <xdr:row>970</xdr:row>
      <xdr:rowOff>9525</xdr:rowOff>
    </xdr:from>
    <xdr:to>
      <xdr:col>2</xdr:col>
      <xdr:colOff>219075</xdr:colOff>
      <xdr:row>970</xdr:row>
      <xdr:rowOff>9525</xdr:rowOff>
    </xdr:to>
    <xdr:sp macro="" textlink="">
      <xdr:nvSpPr>
        <xdr:cNvPr id="282" name="Line 2623"/>
        <xdr:cNvSpPr>
          <a:spLocks noChangeShapeType="1"/>
        </xdr:cNvSpPr>
      </xdr:nvSpPr>
      <xdr:spPr bwMode="auto">
        <a:xfrm>
          <a:off x="647700" y="66446400"/>
          <a:ext cx="828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209550</xdr:colOff>
      <xdr:row>969</xdr:row>
      <xdr:rowOff>9525</xdr:rowOff>
    </xdr:from>
    <xdr:to>
      <xdr:col>3</xdr:col>
      <xdr:colOff>0</xdr:colOff>
      <xdr:row>970</xdr:row>
      <xdr:rowOff>9525</xdr:rowOff>
    </xdr:to>
    <xdr:sp macro="" textlink="">
      <xdr:nvSpPr>
        <xdr:cNvPr id="283" name="Line 2624"/>
        <xdr:cNvSpPr>
          <a:spLocks noChangeShapeType="1"/>
        </xdr:cNvSpPr>
      </xdr:nvSpPr>
      <xdr:spPr bwMode="auto">
        <a:xfrm flipV="1">
          <a:off x="1466850" y="66284475"/>
          <a:ext cx="40005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969</xdr:row>
      <xdr:rowOff>9525</xdr:rowOff>
    </xdr:from>
    <xdr:to>
      <xdr:col>4</xdr:col>
      <xdr:colOff>333375</xdr:colOff>
      <xdr:row>969</xdr:row>
      <xdr:rowOff>9525</xdr:rowOff>
    </xdr:to>
    <xdr:sp macro="" textlink="">
      <xdr:nvSpPr>
        <xdr:cNvPr id="284" name="Line 2625"/>
        <xdr:cNvSpPr>
          <a:spLocks noChangeShapeType="1"/>
        </xdr:cNvSpPr>
      </xdr:nvSpPr>
      <xdr:spPr bwMode="auto">
        <a:xfrm>
          <a:off x="1866900" y="66284475"/>
          <a:ext cx="942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969</xdr:row>
      <xdr:rowOff>9525</xdr:rowOff>
    </xdr:from>
    <xdr:to>
      <xdr:col>5</xdr:col>
      <xdr:colOff>438150</xdr:colOff>
      <xdr:row>969</xdr:row>
      <xdr:rowOff>152400</xdr:rowOff>
    </xdr:to>
    <xdr:sp macro="" textlink="">
      <xdr:nvSpPr>
        <xdr:cNvPr id="285" name="Line 2626"/>
        <xdr:cNvSpPr>
          <a:spLocks noChangeShapeType="1"/>
        </xdr:cNvSpPr>
      </xdr:nvSpPr>
      <xdr:spPr bwMode="auto">
        <a:xfrm>
          <a:off x="2800350" y="66284475"/>
          <a:ext cx="7143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457200</xdr:colOff>
      <xdr:row>969</xdr:row>
      <xdr:rowOff>152400</xdr:rowOff>
    </xdr:from>
    <xdr:to>
      <xdr:col>7</xdr:col>
      <xdr:colOff>238125</xdr:colOff>
      <xdr:row>969</xdr:row>
      <xdr:rowOff>152400</xdr:rowOff>
    </xdr:to>
    <xdr:sp macro="" textlink="">
      <xdr:nvSpPr>
        <xdr:cNvPr id="286" name="Line 2627"/>
        <xdr:cNvSpPr>
          <a:spLocks noChangeShapeType="1"/>
        </xdr:cNvSpPr>
      </xdr:nvSpPr>
      <xdr:spPr bwMode="auto">
        <a:xfrm>
          <a:off x="3533775" y="66427350"/>
          <a:ext cx="1047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966</xdr:row>
      <xdr:rowOff>85725</xdr:rowOff>
    </xdr:from>
    <xdr:to>
      <xdr:col>3</xdr:col>
      <xdr:colOff>0</xdr:colOff>
      <xdr:row>967</xdr:row>
      <xdr:rowOff>0</xdr:rowOff>
    </xdr:to>
    <xdr:sp macro="" textlink="">
      <xdr:nvSpPr>
        <xdr:cNvPr id="287" name="Line 2629"/>
        <xdr:cNvSpPr>
          <a:spLocks noChangeShapeType="1"/>
        </xdr:cNvSpPr>
      </xdr:nvSpPr>
      <xdr:spPr bwMode="auto">
        <a:xfrm>
          <a:off x="1866900" y="6587490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967</xdr:row>
      <xdr:rowOff>0</xdr:rowOff>
    </xdr:from>
    <xdr:to>
      <xdr:col>4</xdr:col>
      <xdr:colOff>323850</xdr:colOff>
      <xdr:row>967</xdr:row>
      <xdr:rowOff>0</xdr:rowOff>
    </xdr:to>
    <xdr:sp macro="" textlink="">
      <xdr:nvSpPr>
        <xdr:cNvPr id="288" name="Line 2630"/>
        <xdr:cNvSpPr>
          <a:spLocks noChangeShapeType="1"/>
        </xdr:cNvSpPr>
      </xdr:nvSpPr>
      <xdr:spPr bwMode="auto">
        <a:xfrm>
          <a:off x="1866900" y="65951100"/>
          <a:ext cx="933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304800</xdr:colOff>
      <xdr:row>966</xdr:row>
      <xdr:rowOff>85725</xdr:rowOff>
    </xdr:from>
    <xdr:to>
      <xdr:col>4</xdr:col>
      <xdr:colOff>304800</xdr:colOff>
      <xdr:row>967</xdr:row>
      <xdr:rowOff>0</xdr:rowOff>
    </xdr:to>
    <xdr:sp macro="" textlink="">
      <xdr:nvSpPr>
        <xdr:cNvPr id="289" name="Line 2631"/>
        <xdr:cNvSpPr>
          <a:spLocks noChangeShapeType="1"/>
        </xdr:cNvSpPr>
      </xdr:nvSpPr>
      <xdr:spPr bwMode="auto">
        <a:xfrm flipV="1">
          <a:off x="2781300" y="6587490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171450</xdr:colOff>
      <xdr:row>968</xdr:row>
      <xdr:rowOff>152400</xdr:rowOff>
    </xdr:from>
    <xdr:to>
      <xdr:col>1</xdr:col>
      <xdr:colOff>495300</xdr:colOff>
      <xdr:row>968</xdr:row>
      <xdr:rowOff>152400</xdr:rowOff>
    </xdr:to>
    <xdr:sp macro="" textlink="">
      <xdr:nvSpPr>
        <xdr:cNvPr id="290" name="Line 2632"/>
        <xdr:cNvSpPr>
          <a:spLocks noChangeShapeType="1"/>
        </xdr:cNvSpPr>
      </xdr:nvSpPr>
      <xdr:spPr bwMode="auto">
        <a:xfrm>
          <a:off x="819150" y="661035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228600</xdr:colOff>
      <xdr:row>966</xdr:row>
      <xdr:rowOff>104775</xdr:rowOff>
    </xdr:from>
    <xdr:to>
      <xdr:col>6</xdr:col>
      <xdr:colOff>571500</xdr:colOff>
      <xdr:row>966</xdr:row>
      <xdr:rowOff>104775</xdr:rowOff>
    </xdr:to>
    <xdr:sp macro="" textlink="">
      <xdr:nvSpPr>
        <xdr:cNvPr id="291" name="Line 2633"/>
        <xdr:cNvSpPr>
          <a:spLocks noChangeShapeType="1"/>
        </xdr:cNvSpPr>
      </xdr:nvSpPr>
      <xdr:spPr bwMode="auto">
        <a:xfrm>
          <a:off x="3962400" y="6589395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314325</xdr:colOff>
      <xdr:row>966</xdr:row>
      <xdr:rowOff>19050</xdr:rowOff>
    </xdr:from>
    <xdr:to>
      <xdr:col>6</xdr:col>
      <xdr:colOff>400050</xdr:colOff>
      <xdr:row>966</xdr:row>
      <xdr:rowOff>104775</xdr:rowOff>
    </xdr:to>
    <xdr:sp macro="" textlink="">
      <xdr:nvSpPr>
        <xdr:cNvPr id="292" name="Line 2634"/>
        <xdr:cNvSpPr>
          <a:spLocks noChangeShapeType="1"/>
        </xdr:cNvSpPr>
      </xdr:nvSpPr>
      <xdr:spPr bwMode="auto">
        <a:xfrm>
          <a:off x="4048125" y="65808225"/>
          <a:ext cx="857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371475</xdr:colOff>
      <xdr:row>966</xdr:row>
      <xdr:rowOff>133350</xdr:rowOff>
    </xdr:from>
    <xdr:to>
      <xdr:col>6</xdr:col>
      <xdr:colOff>476250</xdr:colOff>
      <xdr:row>966</xdr:row>
      <xdr:rowOff>133350</xdr:rowOff>
    </xdr:to>
    <xdr:sp macro="" textlink="">
      <xdr:nvSpPr>
        <xdr:cNvPr id="295" name="Line 2637"/>
        <xdr:cNvSpPr>
          <a:spLocks noChangeShapeType="1"/>
        </xdr:cNvSpPr>
      </xdr:nvSpPr>
      <xdr:spPr bwMode="auto">
        <a:xfrm>
          <a:off x="4105275" y="659225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390525</xdr:colOff>
      <xdr:row>967</xdr:row>
      <xdr:rowOff>0</xdr:rowOff>
    </xdr:from>
    <xdr:to>
      <xdr:col>6</xdr:col>
      <xdr:colOff>438150</xdr:colOff>
      <xdr:row>967</xdr:row>
      <xdr:rowOff>0</xdr:rowOff>
    </xdr:to>
    <xdr:sp macro="" textlink="">
      <xdr:nvSpPr>
        <xdr:cNvPr id="296" name="Line 2638"/>
        <xdr:cNvSpPr>
          <a:spLocks noChangeShapeType="1"/>
        </xdr:cNvSpPr>
      </xdr:nvSpPr>
      <xdr:spPr bwMode="auto">
        <a:xfrm>
          <a:off x="4124325" y="65951100"/>
          <a:ext cx="47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209550</xdr:colOff>
      <xdr:row>968</xdr:row>
      <xdr:rowOff>66675</xdr:rowOff>
    </xdr:from>
    <xdr:to>
      <xdr:col>1</xdr:col>
      <xdr:colOff>295275</xdr:colOff>
      <xdr:row>968</xdr:row>
      <xdr:rowOff>152400</xdr:rowOff>
    </xdr:to>
    <xdr:sp macro="" textlink="">
      <xdr:nvSpPr>
        <xdr:cNvPr id="297" name="Line 2639"/>
        <xdr:cNvSpPr>
          <a:spLocks noChangeShapeType="1"/>
        </xdr:cNvSpPr>
      </xdr:nvSpPr>
      <xdr:spPr bwMode="auto">
        <a:xfrm>
          <a:off x="857250" y="66017775"/>
          <a:ext cx="857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968</xdr:row>
      <xdr:rowOff>66675</xdr:rowOff>
    </xdr:from>
    <xdr:to>
      <xdr:col>1</xdr:col>
      <xdr:colOff>352425</xdr:colOff>
      <xdr:row>968</xdr:row>
      <xdr:rowOff>152400</xdr:rowOff>
    </xdr:to>
    <xdr:sp macro="" textlink="">
      <xdr:nvSpPr>
        <xdr:cNvPr id="298" name="Line 2640"/>
        <xdr:cNvSpPr>
          <a:spLocks noChangeShapeType="1"/>
        </xdr:cNvSpPr>
      </xdr:nvSpPr>
      <xdr:spPr bwMode="auto">
        <a:xfrm flipV="1">
          <a:off x="942975" y="66017775"/>
          <a:ext cx="5715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171450</xdr:colOff>
      <xdr:row>968</xdr:row>
      <xdr:rowOff>66675</xdr:rowOff>
    </xdr:from>
    <xdr:to>
      <xdr:col>1</xdr:col>
      <xdr:colOff>381000</xdr:colOff>
      <xdr:row>968</xdr:row>
      <xdr:rowOff>66675</xdr:rowOff>
    </xdr:to>
    <xdr:sp macro="" textlink="">
      <xdr:nvSpPr>
        <xdr:cNvPr id="299" name="Line 2641"/>
        <xdr:cNvSpPr>
          <a:spLocks noChangeShapeType="1"/>
        </xdr:cNvSpPr>
      </xdr:nvSpPr>
      <xdr:spPr bwMode="auto">
        <a:xfrm>
          <a:off x="819150" y="6601777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228600</xdr:colOff>
      <xdr:row>969</xdr:row>
      <xdr:rowOff>19050</xdr:rowOff>
    </xdr:from>
    <xdr:to>
      <xdr:col>1</xdr:col>
      <xdr:colOff>342900</xdr:colOff>
      <xdr:row>969</xdr:row>
      <xdr:rowOff>19050</xdr:rowOff>
    </xdr:to>
    <xdr:sp macro="" textlink="">
      <xdr:nvSpPr>
        <xdr:cNvPr id="300" name="Line 2642"/>
        <xdr:cNvSpPr>
          <a:spLocks noChangeShapeType="1"/>
        </xdr:cNvSpPr>
      </xdr:nvSpPr>
      <xdr:spPr bwMode="auto">
        <a:xfrm>
          <a:off x="876300" y="661320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257175</xdr:colOff>
      <xdr:row>969</xdr:row>
      <xdr:rowOff>38100</xdr:rowOff>
    </xdr:from>
    <xdr:to>
      <xdr:col>1</xdr:col>
      <xdr:colOff>295275</xdr:colOff>
      <xdr:row>969</xdr:row>
      <xdr:rowOff>38100</xdr:rowOff>
    </xdr:to>
    <xdr:sp macro="" textlink="">
      <xdr:nvSpPr>
        <xdr:cNvPr id="301" name="Line 2643"/>
        <xdr:cNvSpPr>
          <a:spLocks noChangeShapeType="1"/>
        </xdr:cNvSpPr>
      </xdr:nvSpPr>
      <xdr:spPr bwMode="auto">
        <a:xfrm>
          <a:off x="904875" y="66151125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361950</xdr:colOff>
      <xdr:row>968</xdr:row>
      <xdr:rowOff>0</xdr:rowOff>
    </xdr:from>
    <xdr:to>
      <xdr:col>4</xdr:col>
      <xdr:colOff>285750</xdr:colOff>
      <xdr:row>968</xdr:row>
      <xdr:rowOff>0</xdr:rowOff>
    </xdr:to>
    <xdr:sp macro="" textlink="">
      <xdr:nvSpPr>
        <xdr:cNvPr id="302" name="Line 2644"/>
        <xdr:cNvSpPr>
          <a:spLocks noChangeShapeType="1"/>
        </xdr:cNvSpPr>
      </xdr:nvSpPr>
      <xdr:spPr bwMode="auto">
        <a:xfrm flipH="1">
          <a:off x="2228850" y="6611302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9525</xdr:colOff>
      <xdr:row>973</xdr:row>
      <xdr:rowOff>76200</xdr:rowOff>
    </xdr:from>
    <xdr:to>
      <xdr:col>3</xdr:col>
      <xdr:colOff>238125</xdr:colOff>
      <xdr:row>973</xdr:row>
      <xdr:rowOff>76200</xdr:rowOff>
    </xdr:to>
    <xdr:sp macro="" textlink="">
      <xdr:nvSpPr>
        <xdr:cNvPr id="303" name="Line 2645"/>
        <xdr:cNvSpPr>
          <a:spLocks noChangeShapeType="1"/>
        </xdr:cNvSpPr>
      </xdr:nvSpPr>
      <xdr:spPr bwMode="auto">
        <a:xfrm flipH="1">
          <a:off x="657225" y="66998850"/>
          <a:ext cx="1447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7</xdr:col>
      <xdr:colOff>228600</xdr:colOff>
      <xdr:row>973</xdr:row>
      <xdr:rowOff>9525</xdr:rowOff>
    </xdr:from>
    <xdr:to>
      <xdr:col>7</xdr:col>
      <xdr:colOff>228600</xdr:colOff>
      <xdr:row>974</xdr:row>
      <xdr:rowOff>0</xdr:rowOff>
    </xdr:to>
    <xdr:sp macro="" textlink="">
      <xdr:nvSpPr>
        <xdr:cNvPr id="304" name="Line 2646"/>
        <xdr:cNvSpPr>
          <a:spLocks noChangeShapeType="1"/>
        </xdr:cNvSpPr>
      </xdr:nvSpPr>
      <xdr:spPr bwMode="auto">
        <a:xfrm>
          <a:off x="4572000" y="669321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228600</xdr:colOff>
      <xdr:row>973</xdr:row>
      <xdr:rowOff>85725</xdr:rowOff>
    </xdr:from>
    <xdr:to>
      <xdr:col>7</xdr:col>
      <xdr:colOff>228600</xdr:colOff>
      <xdr:row>973</xdr:row>
      <xdr:rowOff>85725</xdr:rowOff>
    </xdr:to>
    <xdr:sp macro="" textlink="">
      <xdr:nvSpPr>
        <xdr:cNvPr id="305" name="Line 2647"/>
        <xdr:cNvSpPr>
          <a:spLocks noChangeShapeType="1"/>
        </xdr:cNvSpPr>
      </xdr:nvSpPr>
      <xdr:spPr bwMode="auto">
        <a:xfrm>
          <a:off x="3305175" y="67008375"/>
          <a:ext cx="1266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oneCellAnchor>
    <xdr:from>
      <xdr:col>0</xdr:col>
      <xdr:colOff>552450</xdr:colOff>
      <xdr:row>970</xdr:row>
      <xdr:rowOff>28575</xdr:rowOff>
    </xdr:from>
    <xdr:ext cx="19050" cy="342900"/>
    <xdr:sp macro="" textlink="">
      <xdr:nvSpPr>
        <xdr:cNvPr id="306" name="Text Box 2649"/>
        <xdr:cNvSpPr txBox="1">
          <a:spLocks noChangeArrowheads="1"/>
        </xdr:cNvSpPr>
      </xdr:nvSpPr>
      <xdr:spPr bwMode="auto">
        <a:xfrm>
          <a:off x="552450" y="66465450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7</xdr:col>
      <xdr:colOff>0</xdr:colOff>
      <xdr:row>969</xdr:row>
      <xdr:rowOff>152398</xdr:rowOff>
    </xdr:from>
    <xdr:to>
      <xdr:col>7</xdr:col>
      <xdr:colOff>2</xdr:colOff>
      <xdr:row>974</xdr:row>
      <xdr:rowOff>152403</xdr:rowOff>
    </xdr:to>
    <xdr:cxnSp macro="">
      <xdr:nvCxnSpPr>
        <xdr:cNvPr id="307" name="Straight Connector 306"/>
        <xdr:cNvCxnSpPr/>
      </xdr:nvCxnSpPr>
      <xdr:spPr bwMode="auto">
        <a:xfrm rot="5400000">
          <a:off x="3938586" y="117124162"/>
          <a:ext cx="809630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218282</xdr:colOff>
      <xdr:row>970</xdr:row>
      <xdr:rowOff>794</xdr:rowOff>
    </xdr:from>
    <xdr:to>
      <xdr:col>1</xdr:col>
      <xdr:colOff>219870</xdr:colOff>
      <xdr:row>974</xdr:row>
      <xdr:rowOff>143669</xdr:rowOff>
    </xdr:to>
    <xdr:cxnSp macro="">
      <xdr:nvCxnSpPr>
        <xdr:cNvPr id="308" name="Straight Connector 307"/>
        <xdr:cNvCxnSpPr/>
      </xdr:nvCxnSpPr>
      <xdr:spPr bwMode="auto">
        <a:xfrm rot="5400000">
          <a:off x="471488" y="66832163"/>
          <a:ext cx="7905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227807</xdr:colOff>
      <xdr:row>966</xdr:row>
      <xdr:rowOff>105568</xdr:rowOff>
    </xdr:from>
    <xdr:to>
      <xdr:col>6</xdr:col>
      <xdr:colOff>229395</xdr:colOff>
      <xdr:row>969</xdr:row>
      <xdr:rowOff>10318</xdr:rowOff>
    </xdr:to>
    <xdr:cxnSp macro="">
      <xdr:nvCxnSpPr>
        <xdr:cNvPr id="309" name="Straight Arrow Connector 308"/>
        <xdr:cNvCxnSpPr>
          <a:stCxn id="291" idx="0"/>
        </xdr:cNvCxnSpPr>
      </xdr:nvCxnSpPr>
      <xdr:spPr bwMode="auto">
        <a:xfrm rot="5400000">
          <a:off x="3690938" y="100188712"/>
          <a:ext cx="3905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0</xdr:colOff>
      <xdr:row>923</xdr:row>
      <xdr:rowOff>0</xdr:rowOff>
    </xdr:from>
    <xdr:to>
      <xdr:col>1</xdr:col>
      <xdr:colOff>0</xdr:colOff>
      <xdr:row>924</xdr:row>
      <xdr:rowOff>0</xdr:rowOff>
    </xdr:to>
    <xdr:sp macro="" textlink="">
      <xdr:nvSpPr>
        <xdr:cNvPr id="310" name="Line 2375"/>
        <xdr:cNvSpPr>
          <a:spLocks noChangeShapeType="1"/>
        </xdr:cNvSpPr>
      </xdr:nvSpPr>
      <xdr:spPr bwMode="auto">
        <a:xfrm>
          <a:off x="647700" y="822483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923</xdr:row>
      <xdr:rowOff>0</xdr:rowOff>
    </xdr:from>
    <xdr:to>
      <xdr:col>2</xdr:col>
      <xdr:colOff>9525</xdr:colOff>
      <xdr:row>923</xdr:row>
      <xdr:rowOff>0</xdr:rowOff>
    </xdr:to>
    <xdr:sp macro="" textlink="">
      <xdr:nvSpPr>
        <xdr:cNvPr id="311" name="Line 2376"/>
        <xdr:cNvSpPr>
          <a:spLocks noChangeShapeType="1"/>
        </xdr:cNvSpPr>
      </xdr:nvSpPr>
      <xdr:spPr bwMode="auto">
        <a:xfrm>
          <a:off x="647700" y="82248375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922</xdr:row>
      <xdr:rowOff>0</xdr:rowOff>
    </xdr:from>
    <xdr:to>
      <xdr:col>2</xdr:col>
      <xdr:colOff>295275</xdr:colOff>
      <xdr:row>923</xdr:row>
      <xdr:rowOff>0</xdr:rowOff>
    </xdr:to>
    <xdr:sp macro="" textlink="">
      <xdr:nvSpPr>
        <xdr:cNvPr id="312" name="Line 2377"/>
        <xdr:cNvSpPr>
          <a:spLocks noChangeShapeType="1"/>
        </xdr:cNvSpPr>
      </xdr:nvSpPr>
      <xdr:spPr bwMode="auto">
        <a:xfrm flipV="1">
          <a:off x="1257300" y="82086450"/>
          <a:ext cx="29527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276225</xdr:colOff>
      <xdr:row>922</xdr:row>
      <xdr:rowOff>0</xdr:rowOff>
    </xdr:from>
    <xdr:to>
      <xdr:col>4</xdr:col>
      <xdr:colOff>228600</xdr:colOff>
      <xdr:row>922</xdr:row>
      <xdr:rowOff>0</xdr:rowOff>
    </xdr:to>
    <xdr:sp macro="" textlink="">
      <xdr:nvSpPr>
        <xdr:cNvPr id="313" name="Line 2378"/>
        <xdr:cNvSpPr>
          <a:spLocks noChangeShapeType="1"/>
        </xdr:cNvSpPr>
      </xdr:nvSpPr>
      <xdr:spPr bwMode="auto">
        <a:xfrm>
          <a:off x="1533525" y="82086450"/>
          <a:ext cx="1171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922</xdr:row>
      <xdr:rowOff>0</xdr:rowOff>
    </xdr:from>
    <xdr:to>
      <xdr:col>5</xdr:col>
      <xdr:colOff>333375</xdr:colOff>
      <xdr:row>923</xdr:row>
      <xdr:rowOff>0</xdr:rowOff>
    </xdr:to>
    <xdr:sp macro="" textlink="">
      <xdr:nvSpPr>
        <xdr:cNvPr id="314" name="Line 2379"/>
        <xdr:cNvSpPr>
          <a:spLocks noChangeShapeType="1"/>
        </xdr:cNvSpPr>
      </xdr:nvSpPr>
      <xdr:spPr bwMode="auto">
        <a:xfrm>
          <a:off x="2695575" y="82086450"/>
          <a:ext cx="71437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333375</xdr:colOff>
      <xdr:row>923</xdr:row>
      <xdr:rowOff>0</xdr:rowOff>
    </xdr:from>
    <xdr:to>
      <xdr:col>7</xdr:col>
      <xdr:colOff>9525</xdr:colOff>
      <xdr:row>923</xdr:row>
      <xdr:rowOff>0</xdr:rowOff>
    </xdr:to>
    <xdr:sp macro="" textlink="">
      <xdr:nvSpPr>
        <xdr:cNvPr id="315" name="Line 2380"/>
        <xdr:cNvSpPr>
          <a:spLocks noChangeShapeType="1"/>
        </xdr:cNvSpPr>
      </xdr:nvSpPr>
      <xdr:spPr bwMode="auto">
        <a:xfrm>
          <a:off x="3409950" y="82248375"/>
          <a:ext cx="942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923</xdr:row>
      <xdr:rowOff>0</xdr:rowOff>
    </xdr:from>
    <xdr:to>
      <xdr:col>7</xdr:col>
      <xdr:colOff>0</xdr:colOff>
      <xdr:row>924</xdr:row>
      <xdr:rowOff>95250</xdr:rowOff>
    </xdr:to>
    <xdr:sp macro="" textlink="">
      <xdr:nvSpPr>
        <xdr:cNvPr id="316" name="Line 2381"/>
        <xdr:cNvSpPr>
          <a:spLocks noChangeShapeType="1"/>
        </xdr:cNvSpPr>
      </xdr:nvSpPr>
      <xdr:spPr bwMode="auto">
        <a:xfrm>
          <a:off x="4343400" y="82248375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276225</xdr:colOff>
      <xdr:row>919</xdr:row>
      <xdr:rowOff>152400</xdr:rowOff>
    </xdr:from>
    <xdr:to>
      <xdr:col>4</xdr:col>
      <xdr:colOff>190500</xdr:colOff>
      <xdr:row>919</xdr:row>
      <xdr:rowOff>152400</xdr:rowOff>
    </xdr:to>
    <xdr:sp macro="" textlink="">
      <xdr:nvSpPr>
        <xdr:cNvPr id="317" name="Line 2382"/>
        <xdr:cNvSpPr>
          <a:spLocks noChangeShapeType="1"/>
        </xdr:cNvSpPr>
      </xdr:nvSpPr>
      <xdr:spPr bwMode="auto">
        <a:xfrm>
          <a:off x="1533525" y="81753075"/>
          <a:ext cx="1133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276225</xdr:colOff>
      <xdr:row>919</xdr:row>
      <xdr:rowOff>76200</xdr:rowOff>
    </xdr:from>
    <xdr:to>
      <xdr:col>2</xdr:col>
      <xdr:colOff>276225</xdr:colOff>
      <xdr:row>919</xdr:row>
      <xdr:rowOff>152400</xdr:rowOff>
    </xdr:to>
    <xdr:sp macro="" textlink="">
      <xdr:nvSpPr>
        <xdr:cNvPr id="318" name="Line 2383"/>
        <xdr:cNvSpPr>
          <a:spLocks noChangeShapeType="1"/>
        </xdr:cNvSpPr>
      </xdr:nvSpPr>
      <xdr:spPr bwMode="auto">
        <a:xfrm flipV="1">
          <a:off x="1533525" y="8167687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180975</xdr:colOff>
      <xdr:row>919</xdr:row>
      <xdr:rowOff>66675</xdr:rowOff>
    </xdr:from>
    <xdr:to>
      <xdr:col>4</xdr:col>
      <xdr:colOff>180975</xdr:colOff>
      <xdr:row>919</xdr:row>
      <xdr:rowOff>152400</xdr:rowOff>
    </xdr:to>
    <xdr:sp macro="" textlink="">
      <xdr:nvSpPr>
        <xdr:cNvPr id="319" name="Line 2384"/>
        <xdr:cNvSpPr>
          <a:spLocks noChangeShapeType="1"/>
        </xdr:cNvSpPr>
      </xdr:nvSpPr>
      <xdr:spPr bwMode="auto">
        <a:xfrm flipV="1">
          <a:off x="2657475" y="816673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57150</xdr:colOff>
      <xdr:row>920</xdr:row>
      <xdr:rowOff>152400</xdr:rowOff>
    </xdr:from>
    <xdr:to>
      <xdr:col>3</xdr:col>
      <xdr:colOff>466725</xdr:colOff>
      <xdr:row>920</xdr:row>
      <xdr:rowOff>152400</xdr:rowOff>
    </xdr:to>
    <xdr:sp macro="" textlink="">
      <xdr:nvSpPr>
        <xdr:cNvPr id="320" name="Line 2385"/>
        <xdr:cNvSpPr>
          <a:spLocks noChangeShapeType="1"/>
        </xdr:cNvSpPr>
      </xdr:nvSpPr>
      <xdr:spPr bwMode="auto">
        <a:xfrm>
          <a:off x="1924050" y="81915000"/>
          <a:ext cx="40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285750</xdr:colOff>
      <xdr:row>925</xdr:row>
      <xdr:rowOff>19050</xdr:rowOff>
    </xdr:from>
    <xdr:to>
      <xdr:col>2</xdr:col>
      <xdr:colOff>285750</xdr:colOff>
      <xdr:row>925</xdr:row>
      <xdr:rowOff>133350</xdr:rowOff>
    </xdr:to>
    <xdr:sp macro="" textlink="">
      <xdr:nvSpPr>
        <xdr:cNvPr id="321" name="Line 2390"/>
        <xdr:cNvSpPr>
          <a:spLocks noChangeShapeType="1"/>
        </xdr:cNvSpPr>
      </xdr:nvSpPr>
      <xdr:spPr bwMode="auto">
        <a:xfrm>
          <a:off x="1543050" y="825912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925</xdr:row>
      <xdr:rowOff>19050</xdr:rowOff>
    </xdr:from>
    <xdr:to>
      <xdr:col>4</xdr:col>
      <xdr:colOff>257175</xdr:colOff>
      <xdr:row>925</xdr:row>
      <xdr:rowOff>133350</xdr:rowOff>
    </xdr:to>
    <xdr:sp macro="" textlink="">
      <xdr:nvSpPr>
        <xdr:cNvPr id="322" name="Line 2391"/>
        <xdr:cNvSpPr>
          <a:spLocks noChangeShapeType="1"/>
        </xdr:cNvSpPr>
      </xdr:nvSpPr>
      <xdr:spPr bwMode="auto">
        <a:xfrm>
          <a:off x="2733675" y="825912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925</xdr:row>
      <xdr:rowOff>9525</xdr:rowOff>
    </xdr:from>
    <xdr:to>
      <xdr:col>2</xdr:col>
      <xdr:colOff>0</xdr:colOff>
      <xdr:row>925</xdr:row>
      <xdr:rowOff>142875</xdr:rowOff>
    </xdr:to>
    <xdr:sp macro="" textlink="">
      <xdr:nvSpPr>
        <xdr:cNvPr id="323" name="Line 2392"/>
        <xdr:cNvSpPr>
          <a:spLocks noChangeShapeType="1"/>
        </xdr:cNvSpPr>
      </xdr:nvSpPr>
      <xdr:spPr bwMode="auto">
        <a:xfrm>
          <a:off x="1257300" y="82581750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925</xdr:row>
      <xdr:rowOff>19050</xdr:rowOff>
    </xdr:from>
    <xdr:to>
      <xdr:col>1</xdr:col>
      <xdr:colOff>0</xdr:colOff>
      <xdr:row>925</xdr:row>
      <xdr:rowOff>152400</xdr:rowOff>
    </xdr:to>
    <xdr:sp macro="" textlink="">
      <xdr:nvSpPr>
        <xdr:cNvPr id="324" name="Line 2393"/>
        <xdr:cNvSpPr>
          <a:spLocks noChangeShapeType="1"/>
        </xdr:cNvSpPr>
      </xdr:nvSpPr>
      <xdr:spPr bwMode="auto">
        <a:xfrm>
          <a:off x="647700" y="8259127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323850</xdr:colOff>
      <xdr:row>925</xdr:row>
      <xdr:rowOff>19050</xdr:rowOff>
    </xdr:from>
    <xdr:to>
      <xdr:col>5</xdr:col>
      <xdr:colOff>323850</xdr:colOff>
      <xdr:row>925</xdr:row>
      <xdr:rowOff>133350</xdr:rowOff>
    </xdr:to>
    <xdr:sp macro="" textlink="">
      <xdr:nvSpPr>
        <xdr:cNvPr id="325" name="Line 2394"/>
        <xdr:cNvSpPr>
          <a:spLocks noChangeShapeType="1"/>
        </xdr:cNvSpPr>
      </xdr:nvSpPr>
      <xdr:spPr bwMode="auto">
        <a:xfrm>
          <a:off x="3400425" y="825912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925</xdr:row>
      <xdr:rowOff>19050</xdr:rowOff>
    </xdr:from>
    <xdr:to>
      <xdr:col>7</xdr:col>
      <xdr:colOff>0</xdr:colOff>
      <xdr:row>925</xdr:row>
      <xdr:rowOff>142875</xdr:rowOff>
    </xdr:to>
    <xdr:sp macro="" textlink="">
      <xdr:nvSpPr>
        <xdr:cNvPr id="326" name="Line 2395"/>
        <xdr:cNvSpPr>
          <a:spLocks noChangeShapeType="1"/>
        </xdr:cNvSpPr>
      </xdr:nvSpPr>
      <xdr:spPr bwMode="auto">
        <a:xfrm>
          <a:off x="4343400" y="825912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19050</xdr:colOff>
      <xdr:row>925</xdr:row>
      <xdr:rowOff>76200</xdr:rowOff>
    </xdr:from>
    <xdr:to>
      <xdr:col>5</xdr:col>
      <xdr:colOff>314325</xdr:colOff>
      <xdr:row>925</xdr:row>
      <xdr:rowOff>76200</xdr:rowOff>
    </xdr:to>
    <xdr:sp macro="" textlink="">
      <xdr:nvSpPr>
        <xdr:cNvPr id="327" name="Line 2396"/>
        <xdr:cNvSpPr>
          <a:spLocks noChangeShapeType="1"/>
        </xdr:cNvSpPr>
      </xdr:nvSpPr>
      <xdr:spPr bwMode="auto">
        <a:xfrm>
          <a:off x="3095625" y="8264842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333375</xdr:colOff>
      <xdr:row>925</xdr:row>
      <xdr:rowOff>76200</xdr:rowOff>
    </xdr:from>
    <xdr:to>
      <xdr:col>5</xdr:col>
      <xdr:colOff>600075</xdr:colOff>
      <xdr:row>925</xdr:row>
      <xdr:rowOff>76200</xdr:rowOff>
    </xdr:to>
    <xdr:sp macro="" textlink="">
      <xdr:nvSpPr>
        <xdr:cNvPr id="328" name="Line 2397"/>
        <xdr:cNvSpPr>
          <a:spLocks noChangeShapeType="1"/>
        </xdr:cNvSpPr>
      </xdr:nvSpPr>
      <xdr:spPr bwMode="auto">
        <a:xfrm flipH="1">
          <a:off x="3409950" y="82648425"/>
          <a:ext cx="266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0</xdr:col>
      <xdr:colOff>590550</xdr:colOff>
      <xdr:row>926</xdr:row>
      <xdr:rowOff>19050</xdr:rowOff>
    </xdr:from>
    <xdr:to>
      <xdr:col>0</xdr:col>
      <xdr:colOff>590550</xdr:colOff>
      <xdr:row>926</xdr:row>
      <xdr:rowOff>19050</xdr:rowOff>
    </xdr:to>
    <xdr:sp macro="" textlink="">
      <xdr:nvSpPr>
        <xdr:cNvPr id="337" name="Line 2408"/>
        <xdr:cNvSpPr>
          <a:spLocks noChangeShapeType="1"/>
        </xdr:cNvSpPr>
      </xdr:nvSpPr>
      <xdr:spPr bwMode="auto">
        <a:xfrm>
          <a:off x="590550" y="82753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926</xdr:row>
      <xdr:rowOff>19050</xdr:rowOff>
    </xdr:from>
    <xdr:to>
      <xdr:col>1</xdr:col>
      <xdr:colOff>0</xdr:colOff>
      <xdr:row>926</xdr:row>
      <xdr:rowOff>123825</xdr:rowOff>
    </xdr:to>
    <xdr:sp macro="" textlink="">
      <xdr:nvSpPr>
        <xdr:cNvPr id="338" name="Line 2409"/>
        <xdr:cNvSpPr>
          <a:spLocks noChangeShapeType="1"/>
        </xdr:cNvSpPr>
      </xdr:nvSpPr>
      <xdr:spPr bwMode="auto">
        <a:xfrm>
          <a:off x="647700" y="827532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926</xdr:row>
      <xdr:rowOff>19050</xdr:rowOff>
    </xdr:from>
    <xdr:to>
      <xdr:col>7</xdr:col>
      <xdr:colOff>0</xdr:colOff>
      <xdr:row>926</xdr:row>
      <xdr:rowOff>123825</xdr:rowOff>
    </xdr:to>
    <xdr:sp macro="" textlink="">
      <xdr:nvSpPr>
        <xdr:cNvPr id="339" name="Line 2410"/>
        <xdr:cNvSpPr>
          <a:spLocks noChangeShapeType="1"/>
        </xdr:cNvSpPr>
      </xdr:nvSpPr>
      <xdr:spPr bwMode="auto">
        <a:xfrm>
          <a:off x="4343400" y="827532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926</xdr:row>
      <xdr:rowOff>76200</xdr:rowOff>
    </xdr:from>
    <xdr:to>
      <xdr:col>3</xdr:col>
      <xdr:colOff>95250</xdr:colOff>
      <xdr:row>926</xdr:row>
      <xdr:rowOff>76200</xdr:rowOff>
    </xdr:to>
    <xdr:sp macro="" textlink="">
      <xdr:nvSpPr>
        <xdr:cNvPr id="340" name="Line 2411"/>
        <xdr:cNvSpPr>
          <a:spLocks noChangeShapeType="1"/>
        </xdr:cNvSpPr>
      </xdr:nvSpPr>
      <xdr:spPr bwMode="auto">
        <a:xfrm flipH="1">
          <a:off x="657225" y="82810350"/>
          <a:ext cx="1304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6</xdr:col>
      <xdr:colOff>381000</xdr:colOff>
      <xdr:row>925</xdr:row>
      <xdr:rowOff>76200</xdr:rowOff>
    </xdr:from>
    <xdr:to>
      <xdr:col>6</xdr:col>
      <xdr:colOff>600075</xdr:colOff>
      <xdr:row>925</xdr:row>
      <xdr:rowOff>76200</xdr:rowOff>
    </xdr:to>
    <xdr:sp macro="" textlink="">
      <xdr:nvSpPr>
        <xdr:cNvPr id="341" name="Line 2685"/>
        <xdr:cNvSpPr>
          <a:spLocks noChangeShapeType="1"/>
        </xdr:cNvSpPr>
      </xdr:nvSpPr>
      <xdr:spPr bwMode="auto">
        <a:xfrm>
          <a:off x="4114800" y="8264842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561975</xdr:colOff>
      <xdr:row>925</xdr:row>
      <xdr:rowOff>85725</xdr:rowOff>
    </xdr:from>
    <xdr:to>
      <xdr:col>4</xdr:col>
      <xdr:colOff>247650</xdr:colOff>
      <xdr:row>925</xdr:row>
      <xdr:rowOff>85725</xdr:rowOff>
    </xdr:to>
    <xdr:sp macro="" textlink="">
      <xdr:nvSpPr>
        <xdr:cNvPr id="342" name="Line 2699"/>
        <xdr:cNvSpPr>
          <a:spLocks noChangeShapeType="1"/>
        </xdr:cNvSpPr>
      </xdr:nvSpPr>
      <xdr:spPr bwMode="auto">
        <a:xfrm>
          <a:off x="2428875" y="82657950"/>
          <a:ext cx="295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295275</xdr:colOff>
      <xdr:row>925</xdr:row>
      <xdr:rowOff>85725</xdr:rowOff>
    </xdr:from>
    <xdr:to>
      <xdr:col>3</xdr:col>
      <xdr:colOff>76200</xdr:colOff>
      <xdr:row>925</xdr:row>
      <xdr:rowOff>85725</xdr:rowOff>
    </xdr:to>
    <xdr:sp macro="" textlink="">
      <xdr:nvSpPr>
        <xdr:cNvPr id="343" name="Line 2700"/>
        <xdr:cNvSpPr>
          <a:spLocks noChangeShapeType="1"/>
        </xdr:cNvSpPr>
      </xdr:nvSpPr>
      <xdr:spPr bwMode="auto">
        <a:xfrm flipH="1">
          <a:off x="1552575" y="82657950"/>
          <a:ext cx="390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0</xdr:colOff>
      <xdr:row>925</xdr:row>
      <xdr:rowOff>76200</xdr:rowOff>
    </xdr:from>
    <xdr:to>
      <xdr:col>1</xdr:col>
      <xdr:colOff>95250</xdr:colOff>
      <xdr:row>925</xdr:row>
      <xdr:rowOff>76200</xdr:rowOff>
    </xdr:to>
    <xdr:sp macro="" textlink="">
      <xdr:nvSpPr>
        <xdr:cNvPr id="344" name="Line 2701"/>
        <xdr:cNvSpPr>
          <a:spLocks noChangeShapeType="1"/>
        </xdr:cNvSpPr>
      </xdr:nvSpPr>
      <xdr:spPr bwMode="auto">
        <a:xfrm flipH="1">
          <a:off x="647700" y="82648425"/>
          <a:ext cx="9525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257175</xdr:colOff>
      <xdr:row>925</xdr:row>
      <xdr:rowOff>76200</xdr:rowOff>
    </xdr:from>
    <xdr:to>
      <xdr:col>4</xdr:col>
      <xdr:colOff>381000</xdr:colOff>
      <xdr:row>925</xdr:row>
      <xdr:rowOff>76200</xdr:rowOff>
    </xdr:to>
    <xdr:sp macro="" textlink="">
      <xdr:nvSpPr>
        <xdr:cNvPr id="345" name="Line 2702"/>
        <xdr:cNvSpPr>
          <a:spLocks noChangeShapeType="1"/>
        </xdr:cNvSpPr>
      </xdr:nvSpPr>
      <xdr:spPr bwMode="auto">
        <a:xfrm flipH="1">
          <a:off x="2733675" y="82648425"/>
          <a:ext cx="1238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476250</xdr:colOff>
      <xdr:row>925</xdr:row>
      <xdr:rowOff>76200</xdr:rowOff>
    </xdr:from>
    <xdr:to>
      <xdr:col>1</xdr:col>
      <xdr:colOff>600075</xdr:colOff>
      <xdr:row>925</xdr:row>
      <xdr:rowOff>76200</xdr:rowOff>
    </xdr:to>
    <xdr:sp macro="" textlink="">
      <xdr:nvSpPr>
        <xdr:cNvPr id="346" name="Line 2703"/>
        <xdr:cNvSpPr>
          <a:spLocks noChangeShapeType="1"/>
        </xdr:cNvSpPr>
      </xdr:nvSpPr>
      <xdr:spPr bwMode="auto">
        <a:xfrm>
          <a:off x="1123950" y="82648425"/>
          <a:ext cx="1238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590550</xdr:colOff>
      <xdr:row>926</xdr:row>
      <xdr:rowOff>66675</xdr:rowOff>
    </xdr:from>
    <xdr:to>
      <xdr:col>7</xdr:col>
      <xdr:colOff>0</xdr:colOff>
      <xdr:row>926</xdr:row>
      <xdr:rowOff>66675</xdr:rowOff>
    </xdr:to>
    <xdr:sp macro="" textlink="">
      <xdr:nvSpPr>
        <xdr:cNvPr id="347" name="Line 2706"/>
        <xdr:cNvSpPr>
          <a:spLocks noChangeShapeType="1"/>
        </xdr:cNvSpPr>
      </xdr:nvSpPr>
      <xdr:spPr bwMode="auto">
        <a:xfrm>
          <a:off x="2457450" y="82800825"/>
          <a:ext cx="1885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0</xdr:colOff>
      <xdr:row>929</xdr:row>
      <xdr:rowOff>85725</xdr:rowOff>
    </xdr:from>
    <xdr:to>
      <xdr:col>1</xdr:col>
      <xdr:colOff>0</xdr:colOff>
      <xdr:row>931</xdr:row>
      <xdr:rowOff>0</xdr:rowOff>
    </xdr:to>
    <xdr:sp macro="" textlink="">
      <xdr:nvSpPr>
        <xdr:cNvPr id="349" name="Line 2667"/>
        <xdr:cNvSpPr>
          <a:spLocks noChangeShapeType="1"/>
        </xdr:cNvSpPr>
      </xdr:nvSpPr>
      <xdr:spPr bwMode="auto">
        <a:xfrm>
          <a:off x="647700" y="83629500"/>
          <a:ext cx="0" cy="2381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930</xdr:row>
      <xdr:rowOff>142875</xdr:rowOff>
    </xdr:from>
    <xdr:to>
      <xdr:col>1</xdr:col>
      <xdr:colOff>0</xdr:colOff>
      <xdr:row>933</xdr:row>
      <xdr:rowOff>133350</xdr:rowOff>
    </xdr:to>
    <xdr:sp macro="" textlink="">
      <xdr:nvSpPr>
        <xdr:cNvPr id="352" name="Line 2670"/>
        <xdr:cNvSpPr>
          <a:spLocks noChangeShapeType="1"/>
        </xdr:cNvSpPr>
      </xdr:nvSpPr>
      <xdr:spPr bwMode="auto">
        <a:xfrm>
          <a:off x="647700" y="83848575"/>
          <a:ext cx="0" cy="47625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19051</xdr:colOff>
      <xdr:row>931</xdr:row>
      <xdr:rowOff>85724</xdr:rowOff>
    </xdr:from>
    <xdr:to>
      <xdr:col>7</xdr:col>
      <xdr:colOff>1</xdr:colOff>
      <xdr:row>933</xdr:row>
      <xdr:rowOff>152399</xdr:rowOff>
    </xdr:to>
    <xdr:sp macro="" textlink="">
      <xdr:nvSpPr>
        <xdr:cNvPr id="353" name="Line 2671"/>
        <xdr:cNvSpPr>
          <a:spLocks noChangeShapeType="1"/>
        </xdr:cNvSpPr>
      </xdr:nvSpPr>
      <xdr:spPr bwMode="auto">
        <a:xfrm flipV="1">
          <a:off x="628651" y="111251999"/>
          <a:ext cx="3714750" cy="39052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676275</xdr:colOff>
      <xdr:row>929</xdr:row>
      <xdr:rowOff>95250</xdr:rowOff>
    </xdr:from>
    <xdr:to>
      <xdr:col>6</xdr:col>
      <xdr:colOff>676275</xdr:colOff>
      <xdr:row>931</xdr:row>
      <xdr:rowOff>85725</xdr:rowOff>
    </xdr:to>
    <xdr:sp macro="" textlink="">
      <xdr:nvSpPr>
        <xdr:cNvPr id="354" name="Line 2672"/>
        <xdr:cNvSpPr>
          <a:spLocks noChangeShapeType="1"/>
        </xdr:cNvSpPr>
      </xdr:nvSpPr>
      <xdr:spPr bwMode="auto">
        <a:xfrm>
          <a:off x="4333875" y="110937675"/>
          <a:ext cx="0" cy="3143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4</xdr:col>
      <xdr:colOff>400050</xdr:colOff>
      <xdr:row>929</xdr:row>
      <xdr:rowOff>85725</xdr:rowOff>
    </xdr:from>
    <xdr:to>
      <xdr:col>4</xdr:col>
      <xdr:colOff>400050</xdr:colOff>
      <xdr:row>932</xdr:row>
      <xdr:rowOff>47625</xdr:rowOff>
    </xdr:to>
    <xdr:sp macro="" textlink="">
      <xdr:nvSpPr>
        <xdr:cNvPr id="356" name="Line 2674"/>
        <xdr:cNvSpPr>
          <a:spLocks noChangeShapeType="1"/>
        </xdr:cNvSpPr>
      </xdr:nvSpPr>
      <xdr:spPr bwMode="auto">
        <a:xfrm>
          <a:off x="2876550" y="83629500"/>
          <a:ext cx="0" cy="44767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5</xdr:col>
      <xdr:colOff>466725</xdr:colOff>
      <xdr:row>929</xdr:row>
      <xdr:rowOff>85725</xdr:rowOff>
    </xdr:from>
    <xdr:to>
      <xdr:col>5</xdr:col>
      <xdr:colOff>466725</xdr:colOff>
      <xdr:row>931</xdr:row>
      <xdr:rowOff>142875</xdr:rowOff>
    </xdr:to>
    <xdr:sp macro="" textlink="">
      <xdr:nvSpPr>
        <xdr:cNvPr id="357" name="Line 2675"/>
        <xdr:cNvSpPr>
          <a:spLocks noChangeShapeType="1"/>
        </xdr:cNvSpPr>
      </xdr:nvSpPr>
      <xdr:spPr bwMode="auto">
        <a:xfrm>
          <a:off x="3543300" y="83629500"/>
          <a:ext cx="0" cy="38100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2</xdr:col>
      <xdr:colOff>66675</xdr:colOff>
      <xdr:row>933</xdr:row>
      <xdr:rowOff>114299</xdr:rowOff>
    </xdr:from>
    <xdr:to>
      <xdr:col>2</xdr:col>
      <xdr:colOff>533399</xdr:colOff>
      <xdr:row>934</xdr:row>
      <xdr:rowOff>85724</xdr:rowOff>
    </xdr:to>
    <xdr:sp macro="" textlink="">
      <xdr:nvSpPr>
        <xdr:cNvPr id="359" name="Line 2677"/>
        <xdr:cNvSpPr>
          <a:spLocks noChangeShapeType="1"/>
        </xdr:cNvSpPr>
      </xdr:nvSpPr>
      <xdr:spPr bwMode="auto">
        <a:xfrm flipH="1" flipV="1">
          <a:off x="1285875" y="113223674"/>
          <a:ext cx="466724" cy="13335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295275</xdr:colOff>
      <xdr:row>929</xdr:row>
      <xdr:rowOff>95250</xdr:rowOff>
    </xdr:from>
    <xdr:to>
      <xdr:col>8</xdr:col>
      <xdr:colOff>152400</xdr:colOff>
      <xdr:row>929</xdr:row>
      <xdr:rowOff>95250</xdr:rowOff>
    </xdr:to>
    <xdr:sp macro="" textlink="">
      <xdr:nvSpPr>
        <xdr:cNvPr id="362" name="Line 3243"/>
        <xdr:cNvSpPr>
          <a:spLocks noChangeShapeType="1"/>
        </xdr:cNvSpPr>
      </xdr:nvSpPr>
      <xdr:spPr bwMode="auto">
        <a:xfrm flipV="1">
          <a:off x="4562475" y="10046970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485775</xdr:colOff>
      <xdr:row>931</xdr:row>
      <xdr:rowOff>47625</xdr:rowOff>
    </xdr:from>
    <xdr:to>
      <xdr:col>8</xdr:col>
      <xdr:colOff>104775</xdr:colOff>
      <xdr:row>931</xdr:row>
      <xdr:rowOff>47625</xdr:rowOff>
    </xdr:to>
    <xdr:sp macro="" textlink="">
      <xdr:nvSpPr>
        <xdr:cNvPr id="363" name="Line 3244"/>
        <xdr:cNvSpPr>
          <a:spLocks noChangeShapeType="1"/>
        </xdr:cNvSpPr>
      </xdr:nvSpPr>
      <xdr:spPr bwMode="auto">
        <a:xfrm>
          <a:off x="4752975" y="1007459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190500</xdr:colOff>
      <xdr:row>930</xdr:row>
      <xdr:rowOff>152400</xdr:rowOff>
    </xdr:from>
    <xdr:to>
      <xdr:col>4</xdr:col>
      <xdr:colOff>400050</xdr:colOff>
      <xdr:row>930</xdr:row>
      <xdr:rowOff>152400</xdr:rowOff>
    </xdr:to>
    <xdr:sp macro="" textlink="">
      <xdr:nvSpPr>
        <xdr:cNvPr id="372" name="Line 3253"/>
        <xdr:cNvSpPr>
          <a:spLocks noChangeShapeType="1"/>
        </xdr:cNvSpPr>
      </xdr:nvSpPr>
      <xdr:spPr bwMode="auto">
        <a:xfrm>
          <a:off x="2628900" y="11277600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190500</xdr:colOff>
      <xdr:row>930</xdr:row>
      <xdr:rowOff>152400</xdr:rowOff>
    </xdr:from>
    <xdr:to>
      <xdr:col>4</xdr:col>
      <xdr:colOff>190500</xdr:colOff>
      <xdr:row>931</xdr:row>
      <xdr:rowOff>19050</xdr:rowOff>
    </xdr:to>
    <xdr:sp macro="" textlink="">
      <xdr:nvSpPr>
        <xdr:cNvPr id="373" name="Line 3254"/>
        <xdr:cNvSpPr>
          <a:spLocks noChangeShapeType="1"/>
        </xdr:cNvSpPr>
      </xdr:nvSpPr>
      <xdr:spPr bwMode="auto">
        <a:xfrm>
          <a:off x="2667000" y="83696175"/>
          <a:ext cx="0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28575</xdr:colOff>
      <xdr:row>929</xdr:row>
      <xdr:rowOff>95250</xdr:rowOff>
    </xdr:from>
    <xdr:to>
      <xdr:col>0</xdr:col>
      <xdr:colOff>457200</xdr:colOff>
      <xdr:row>929</xdr:row>
      <xdr:rowOff>95250</xdr:rowOff>
    </xdr:to>
    <xdr:sp macro="" textlink="">
      <xdr:nvSpPr>
        <xdr:cNvPr id="374" name="Line 3255"/>
        <xdr:cNvSpPr>
          <a:spLocks noChangeShapeType="1"/>
        </xdr:cNvSpPr>
      </xdr:nvSpPr>
      <xdr:spPr bwMode="auto">
        <a:xfrm flipH="1">
          <a:off x="28575" y="100469700"/>
          <a:ext cx="42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28575</xdr:colOff>
      <xdr:row>934</xdr:row>
      <xdr:rowOff>0</xdr:rowOff>
    </xdr:from>
    <xdr:to>
      <xdr:col>0</xdr:col>
      <xdr:colOff>581025</xdr:colOff>
      <xdr:row>934</xdr:row>
      <xdr:rowOff>0</xdr:rowOff>
    </xdr:to>
    <xdr:sp macro="" textlink="">
      <xdr:nvSpPr>
        <xdr:cNvPr id="375" name="Line 3256"/>
        <xdr:cNvSpPr>
          <a:spLocks noChangeShapeType="1"/>
        </xdr:cNvSpPr>
      </xdr:nvSpPr>
      <xdr:spPr bwMode="auto">
        <a:xfrm flipH="1">
          <a:off x="28575" y="101184075"/>
          <a:ext cx="552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590550</xdr:colOff>
      <xdr:row>929</xdr:row>
      <xdr:rowOff>114300</xdr:rowOff>
    </xdr:from>
    <xdr:to>
      <xdr:col>7</xdr:col>
      <xdr:colOff>590550</xdr:colOff>
      <xdr:row>931</xdr:row>
      <xdr:rowOff>28575</xdr:rowOff>
    </xdr:to>
    <xdr:sp macro="" textlink="">
      <xdr:nvSpPr>
        <xdr:cNvPr id="377" name="Line 3258"/>
        <xdr:cNvSpPr>
          <a:spLocks noChangeShapeType="1"/>
        </xdr:cNvSpPr>
      </xdr:nvSpPr>
      <xdr:spPr bwMode="auto">
        <a:xfrm>
          <a:off x="4857750" y="10048875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123825</xdr:colOff>
      <xdr:row>929</xdr:row>
      <xdr:rowOff>85725</xdr:rowOff>
    </xdr:from>
    <xdr:to>
      <xdr:col>0</xdr:col>
      <xdr:colOff>123825</xdr:colOff>
      <xdr:row>933</xdr:row>
      <xdr:rowOff>142875</xdr:rowOff>
    </xdr:to>
    <xdr:sp macro="" textlink="">
      <xdr:nvSpPr>
        <xdr:cNvPr id="378" name="Line 3259"/>
        <xdr:cNvSpPr>
          <a:spLocks noChangeShapeType="1"/>
        </xdr:cNvSpPr>
      </xdr:nvSpPr>
      <xdr:spPr bwMode="auto">
        <a:xfrm>
          <a:off x="123825" y="83629500"/>
          <a:ext cx="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 editAs="oneCell">
    <xdr:from>
      <xdr:col>5</xdr:col>
      <xdr:colOff>409575</xdr:colOff>
      <xdr:row>400</xdr:row>
      <xdr:rowOff>142875</xdr:rowOff>
    </xdr:from>
    <xdr:to>
      <xdr:col>5</xdr:col>
      <xdr:colOff>485775</xdr:colOff>
      <xdr:row>402</xdr:row>
      <xdr:rowOff>19050</xdr:rowOff>
    </xdr:to>
    <xdr:sp macro="" textlink="">
      <xdr:nvSpPr>
        <xdr:cNvPr id="402" name="Text Box 30"/>
        <xdr:cNvSpPr txBox="1">
          <a:spLocks noChangeArrowheads="1"/>
        </xdr:cNvSpPr>
      </xdr:nvSpPr>
      <xdr:spPr bwMode="auto">
        <a:xfrm>
          <a:off x="2847975" y="76676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7</xdr:col>
      <xdr:colOff>552450</xdr:colOff>
      <xdr:row>399</xdr:row>
      <xdr:rowOff>123825</xdr:rowOff>
    </xdr:from>
    <xdr:ext cx="19050" cy="342900"/>
    <xdr:sp macro="" textlink="">
      <xdr:nvSpPr>
        <xdr:cNvPr id="415" name="Text Box 47"/>
        <xdr:cNvSpPr txBox="1">
          <a:spLocks noChangeArrowheads="1"/>
        </xdr:cNvSpPr>
      </xdr:nvSpPr>
      <xdr:spPr bwMode="auto">
        <a:xfrm>
          <a:off x="4819650" y="700087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5</xdr:col>
      <xdr:colOff>314324</xdr:colOff>
      <xdr:row>401</xdr:row>
      <xdr:rowOff>0</xdr:rowOff>
    </xdr:from>
    <xdr:ext cx="161924" cy="170560"/>
    <xdr:sp macro="" textlink="">
      <xdr:nvSpPr>
        <xdr:cNvPr id="419" name="Text Box 69"/>
        <xdr:cNvSpPr txBox="1">
          <a:spLocks noChangeArrowheads="1"/>
        </xdr:cNvSpPr>
      </xdr:nvSpPr>
      <xdr:spPr bwMode="auto">
        <a:xfrm flipH="1">
          <a:off x="2752724" y="7686675"/>
          <a:ext cx="16192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314325</xdr:colOff>
      <xdr:row>401</xdr:row>
      <xdr:rowOff>76200</xdr:rowOff>
    </xdr:from>
    <xdr:ext cx="19050" cy="342900"/>
    <xdr:sp macro="" textlink="">
      <xdr:nvSpPr>
        <xdr:cNvPr id="422" name="Text Box 2371"/>
        <xdr:cNvSpPr txBox="1">
          <a:spLocks noChangeArrowheads="1"/>
        </xdr:cNvSpPr>
      </xdr:nvSpPr>
      <xdr:spPr bwMode="auto">
        <a:xfrm>
          <a:off x="1533525" y="7277100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7</xdr:col>
      <xdr:colOff>295274</xdr:colOff>
      <xdr:row>399</xdr:row>
      <xdr:rowOff>152400</xdr:rowOff>
    </xdr:from>
    <xdr:ext cx="161924" cy="170560"/>
    <xdr:sp macro="" textlink="">
      <xdr:nvSpPr>
        <xdr:cNvPr id="437" name="Text Box 69"/>
        <xdr:cNvSpPr txBox="1">
          <a:spLocks noChangeArrowheads="1"/>
        </xdr:cNvSpPr>
      </xdr:nvSpPr>
      <xdr:spPr bwMode="auto">
        <a:xfrm flipH="1">
          <a:off x="4562474" y="7029450"/>
          <a:ext cx="16192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</xdr:col>
      <xdr:colOff>370681</xdr:colOff>
      <xdr:row>396</xdr:row>
      <xdr:rowOff>10319</xdr:rowOff>
    </xdr:from>
    <xdr:to>
      <xdr:col>3</xdr:col>
      <xdr:colOff>372269</xdr:colOff>
      <xdr:row>399</xdr:row>
      <xdr:rowOff>57944</xdr:rowOff>
    </xdr:to>
    <xdr:cxnSp macro="">
      <xdr:nvCxnSpPr>
        <xdr:cNvPr id="440" name="Straight Arrow Connector 439"/>
        <xdr:cNvCxnSpPr/>
      </xdr:nvCxnSpPr>
      <xdr:spPr bwMode="auto">
        <a:xfrm rot="5400000">
          <a:off x="1323975" y="6829425"/>
          <a:ext cx="533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5</xdr:col>
      <xdr:colOff>314324</xdr:colOff>
      <xdr:row>401</xdr:row>
      <xdr:rowOff>0</xdr:rowOff>
    </xdr:from>
    <xdr:ext cx="161924" cy="170560"/>
    <xdr:sp macro="" textlink="">
      <xdr:nvSpPr>
        <xdr:cNvPr id="453" name="Text Box 69"/>
        <xdr:cNvSpPr txBox="1">
          <a:spLocks noChangeArrowheads="1"/>
        </xdr:cNvSpPr>
      </xdr:nvSpPr>
      <xdr:spPr bwMode="auto">
        <a:xfrm flipH="1">
          <a:off x="2752724" y="7686675"/>
          <a:ext cx="16192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 editAs="oneCell">
    <xdr:from>
      <xdr:col>6</xdr:col>
      <xdr:colOff>361950</xdr:colOff>
      <xdr:row>406</xdr:row>
      <xdr:rowOff>123825</xdr:rowOff>
    </xdr:from>
    <xdr:to>
      <xdr:col>6</xdr:col>
      <xdr:colOff>438150</xdr:colOff>
      <xdr:row>407</xdr:row>
      <xdr:rowOff>161636</xdr:rowOff>
    </xdr:to>
    <xdr:sp macro="" textlink="">
      <xdr:nvSpPr>
        <xdr:cNvPr id="455" name="Text Box 74"/>
        <xdr:cNvSpPr txBox="1">
          <a:spLocks noChangeArrowheads="1"/>
        </xdr:cNvSpPr>
      </xdr:nvSpPr>
      <xdr:spPr bwMode="auto">
        <a:xfrm>
          <a:off x="4019550" y="94297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423</xdr:row>
      <xdr:rowOff>190500</xdr:rowOff>
    </xdr:from>
    <xdr:to>
      <xdr:col>2</xdr:col>
      <xdr:colOff>114300</xdr:colOff>
      <xdr:row>423</xdr:row>
      <xdr:rowOff>192088</xdr:rowOff>
    </xdr:to>
    <xdr:cxnSp macro="">
      <xdr:nvCxnSpPr>
        <xdr:cNvPr id="470" name="Straight Connector 469"/>
        <xdr:cNvCxnSpPr/>
      </xdr:nvCxnSpPr>
      <xdr:spPr bwMode="auto">
        <a:xfrm>
          <a:off x="1000125" y="13973175"/>
          <a:ext cx="333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</xdr:colOff>
      <xdr:row>162</xdr:row>
      <xdr:rowOff>0</xdr:rowOff>
    </xdr:from>
    <xdr:to>
      <xdr:col>3</xdr:col>
      <xdr:colOff>695325</xdr:colOff>
      <xdr:row>162</xdr:row>
      <xdr:rowOff>9525</xdr:rowOff>
    </xdr:to>
    <xdr:sp macro="" textlink="">
      <xdr:nvSpPr>
        <xdr:cNvPr id="471" name="Line 1"/>
        <xdr:cNvSpPr>
          <a:spLocks noChangeShapeType="1"/>
        </xdr:cNvSpPr>
      </xdr:nvSpPr>
      <xdr:spPr bwMode="auto">
        <a:xfrm flipV="1">
          <a:off x="619125" y="15906750"/>
          <a:ext cx="19050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162</xdr:row>
      <xdr:rowOff>0</xdr:rowOff>
    </xdr:from>
    <xdr:to>
      <xdr:col>5</xdr:col>
      <xdr:colOff>0</xdr:colOff>
      <xdr:row>163</xdr:row>
      <xdr:rowOff>0</xdr:rowOff>
    </xdr:to>
    <xdr:sp macro="" textlink="">
      <xdr:nvSpPr>
        <xdr:cNvPr id="472" name="Line 2"/>
        <xdr:cNvSpPr>
          <a:spLocks noChangeShapeType="1"/>
        </xdr:cNvSpPr>
      </xdr:nvSpPr>
      <xdr:spPr bwMode="auto">
        <a:xfrm>
          <a:off x="2533650" y="15906750"/>
          <a:ext cx="6096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163</xdr:row>
      <xdr:rowOff>0</xdr:rowOff>
    </xdr:from>
    <xdr:to>
      <xdr:col>7</xdr:col>
      <xdr:colOff>0</xdr:colOff>
      <xdr:row>163</xdr:row>
      <xdr:rowOff>0</xdr:rowOff>
    </xdr:to>
    <xdr:sp macro="" textlink="">
      <xdr:nvSpPr>
        <xdr:cNvPr id="473" name="Line 3"/>
        <xdr:cNvSpPr>
          <a:spLocks noChangeShapeType="1"/>
        </xdr:cNvSpPr>
      </xdr:nvSpPr>
      <xdr:spPr bwMode="auto">
        <a:xfrm>
          <a:off x="3143250" y="16068675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163</xdr:row>
      <xdr:rowOff>0</xdr:rowOff>
    </xdr:from>
    <xdr:to>
      <xdr:col>7</xdr:col>
      <xdr:colOff>0</xdr:colOff>
      <xdr:row>164</xdr:row>
      <xdr:rowOff>0</xdr:rowOff>
    </xdr:to>
    <xdr:sp macro="" textlink="">
      <xdr:nvSpPr>
        <xdr:cNvPr id="474" name="Line 4"/>
        <xdr:cNvSpPr>
          <a:spLocks noChangeShapeType="1"/>
        </xdr:cNvSpPr>
      </xdr:nvSpPr>
      <xdr:spPr bwMode="auto">
        <a:xfrm>
          <a:off x="4362450" y="1606867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157</xdr:row>
      <xdr:rowOff>0</xdr:rowOff>
    </xdr:from>
    <xdr:to>
      <xdr:col>4</xdr:col>
      <xdr:colOff>0</xdr:colOff>
      <xdr:row>157</xdr:row>
      <xdr:rowOff>152400</xdr:rowOff>
    </xdr:to>
    <xdr:sp macro="" textlink="">
      <xdr:nvSpPr>
        <xdr:cNvPr id="475" name="Line 5"/>
        <xdr:cNvSpPr>
          <a:spLocks noChangeShapeType="1"/>
        </xdr:cNvSpPr>
      </xdr:nvSpPr>
      <xdr:spPr bwMode="auto">
        <a:xfrm>
          <a:off x="2533650" y="150590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157</xdr:row>
      <xdr:rowOff>152400</xdr:rowOff>
    </xdr:from>
    <xdr:to>
      <xdr:col>4</xdr:col>
      <xdr:colOff>0</xdr:colOff>
      <xdr:row>157</xdr:row>
      <xdr:rowOff>152400</xdr:rowOff>
    </xdr:to>
    <xdr:sp macro="" textlink="">
      <xdr:nvSpPr>
        <xdr:cNvPr id="476" name="Line 6"/>
        <xdr:cNvSpPr>
          <a:spLocks noChangeShapeType="1"/>
        </xdr:cNvSpPr>
      </xdr:nvSpPr>
      <xdr:spPr bwMode="auto">
        <a:xfrm flipH="1">
          <a:off x="1485900" y="15211425"/>
          <a:ext cx="1047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156</xdr:row>
      <xdr:rowOff>152400</xdr:rowOff>
    </xdr:from>
    <xdr:to>
      <xdr:col>2</xdr:col>
      <xdr:colOff>266700</xdr:colOff>
      <xdr:row>157</xdr:row>
      <xdr:rowOff>152400</xdr:rowOff>
    </xdr:to>
    <xdr:sp macro="" textlink="">
      <xdr:nvSpPr>
        <xdr:cNvPr id="477" name="Line 7"/>
        <xdr:cNvSpPr>
          <a:spLocks noChangeShapeType="1"/>
        </xdr:cNvSpPr>
      </xdr:nvSpPr>
      <xdr:spPr bwMode="auto">
        <a:xfrm flipV="1">
          <a:off x="1485900" y="150495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159</xdr:row>
      <xdr:rowOff>152400</xdr:rowOff>
    </xdr:from>
    <xdr:to>
      <xdr:col>3</xdr:col>
      <xdr:colOff>0</xdr:colOff>
      <xdr:row>162</xdr:row>
      <xdr:rowOff>0</xdr:rowOff>
    </xdr:to>
    <xdr:sp macro="" textlink="">
      <xdr:nvSpPr>
        <xdr:cNvPr id="478" name="Line 8"/>
        <xdr:cNvSpPr>
          <a:spLocks noChangeShapeType="1"/>
        </xdr:cNvSpPr>
      </xdr:nvSpPr>
      <xdr:spPr bwMode="auto">
        <a:xfrm>
          <a:off x="1828800" y="15535275"/>
          <a:ext cx="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0</xdr:colOff>
      <xdr:row>158</xdr:row>
      <xdr:rowOff>0</xdr:rowOff>
    </xdr:from>
    <xdr:to>
      <xdr:col>3</xdr:col>
      <xdr:colOff>0</xdr:colOff>
      <xdr:row>160</xdr:row>
      <xdr:rowOff>0</xdr:rowOff>
    </xdr:to>
    <xdr:sp macro="" textlink="">
      <xdr:nvSpPr>
        <xdr:cNvPr id="479" name="Line 9"/>
        <xdr:cNvSpPr>
          <a:spLocks noChangeShapeType="1"/>
        </xdr:cNvSpPr>
      </xdr:nvSpPr>
      <xdr:spPr bwMode="auto">
        <a:xfrm flipV="1">
          <a:off x="1828800" y="15220950"/>
          <a:ext cx="0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0</xdr:col>
      <xdr:colOff>485775</xdr:colOff>
      <xdr:row>158</xdr:row>
      <xdr:rowOff>57150</xdr:rowOff>
    </xdr:from>
    <xdr:to>
      <xdr:col>6</xdr:col>
      <xdr:colOff>323850</xdr:colOff>
      <xdr:row>162</xdr:row>
      <xdr:rowOff>19050</xdr:rowOff>
    </xdr:to>
    <xdr:sp macro="" textlink="">
      <xdr:nvSpPr>
        <xdr:cNvPr id="480" name="Freeform 11"/>
        <xdr:cNvSpPr>
          <a:spLocks/>
        </xdr:cNvSpPr>
      </xdr:nvSpPr>
      <xdr:spPr bwMode="auto">
        <a:xfrm>
          <a:off x="485775" y="16125825"/>
          <a:ext cx="3495675" cy="647700"/>
        </a:xfrm>
        <a:custGeom>
          <a:avLst/>
          <a:gdLst>
            <a:gd name="T0" fmla="*/ 0 w 367"/>
            <a:gd name="T1" fmla="*/ 2147483647 h 85"/>
            <a:gd name="T2" fmla="*/ 2147483647 w 367"/>
            <a:gd name="T3" fmla="*/ 2147483647 h 85"/>
            <a:gd name="T4" fmla="*/ 2147483647 w 367"/>
            <a:gd name="T5" fmla="*/ 2147483647 h 85"/>
            <a:gd name="T6" fmla="*/ 2147483647 w 367"/>
            <a:gd name="T7" fmla="*/ 2147483647 h 85"/>
            <a:gd name="T8" fmla="*/ 2147483647 w 367"/>
            <a:gd name="T9" fmla="*/ 2147483647 h 85"/>
            <a:gd name="T10" fmla="*/ 2147483647 w 367"/>
            <a:gd name="T11" fmla="*/ 2147483647 h 85"/>
            <a:gd name="T12" fmla="*/ 2147483647 w 367"/>
            <a:gd name="T13" fmla="*/ 2147483647 h 85"/>
            <a:gd name="T14" fmla="*/ 2147483647 w 367"/>
            <a:gd name="T15" fmla="*/ 2147483647 h 85"/>
            <a:gd name="T16" fmla="*/ 2147483647 w 367"/>
            <a:gd name="T17" fmla="*/ 2147483647 h 85"/>
            <a:gd name="T18" fmla="*/ 2147483647 w 367"/>
            <a:gd name="T19" fmla="*/ 2147483647 h 85"/>
            <a:gd name="T20" fmla="*/ 2147483647 w 367"/>
            <a:gd name="T21" fmla="*/ 2147483647 h 85"/>
            <a:gd name="T22" fmla="*/ 2147483647 w 367"/>
            <a:gd name="T23" fmla="*/ 2147483647 h 85"/>
            <a:gd name="T24" fmla="*/ 2147483647 w 367"/>
            <a:gd name="T25" fmla="*/ 2147483647 h 85"/>
            <a:gd name="T26" fmla="*/ 2147483647 w 367"/>
            <a:gd name="T27" fmla="*/ 2147483647 h 85"/>
            <a:gd name="T28" fmla="*/ 2147483647 w 367"/>
            <a:gd name="T29" fmla="*/ 2147483647 h 85"/>
            <a:gd name="T30" fmla="*/ 2147483647 w 367"/>
            <a:gd name="T31" fmla="*/ 2147483647 h 85"/>
            <a:gd name="T32" fmla="*/ 2147483647 w 367"/>
            <a:gd name="T33" fmla="*/ 2147483647 h 85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367"/>
            <a:gd name="T52" fmla="*/ 0 h 85"/>
            <a:gd name="T53" fmla="*/ 367 w 367"/>
            <a:gd name="T54" fmla="*/ 85 h 85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367" h="85">
              <a:moveTo>
                <a:pt x="0" y="2"/>
              </a:moveTo>
              <a:cubicBezTo>
                <a:pt x="18" y="2"/>
                <a:pt x="36" y="0"/>
                <a:pt x="54" y="3"/>
              </a:cubicBezTo>
              <a:cubicBezTo>
                <a:pt x="55" y="3"/>
                <a:pt x="57" y="13"/>
                <a:pt x="58" y="15"/>
              </a:cubicBezTo>
              <a:cubicBezTo>
                <a:pt x="61" y="24"/>
                <a:pt x="65" y="32"/>
                <a:pt x="73" y="37"/>
              </a:cubicBezTo>
              <a:cubicBezTo>
                <a:pt x="83" y="44"/>
                <a:pt x="91" y="43"/>
                <a:pt x="104" y="45"/>
              </a:cubicBezTo>
              <a:cubicBezTo>
                <a:pt x="109" y="46"/>
                <a:pt x="120" y="47"/>
                <a:pt x="120" y="47"/>
              </a:cubicBezTo>
              <a:cubicBezTo>
                <a:pt x="132" y="51"/>
                <a:pt x="144" y="51"/>
                <a:pt x="156" y="52"/>
              </a:cubicBezTo>
              <a:cubicBezTo>
                <a:pt x="173" y="56"/>
                <a:pt x="201" y="55"/>
                <a:pt x="215" y="55"/>
              </a:cubicBezTo>
              <a:cubicBezTo>
                <a:pt x="219" y="56"/>
                <a:pt x="223" y="57"/>
                <a:pt x="227" y="58"/>
              </a:cubicBezTo>
              <a:cubicBezTo>
                <a:pt x="230" y="59"/>
                <a:pt x="235" y="60"/>
                <a:pt x="235" y="60"/>
              </a:cubicBezTo>
              <a:cubicBezTo>
                <a:pt x="241" y="64"/>
                <a:pt x="250" y="63"/>
                <a:pt x="257" y="64"/>
              </a:cubicBezTo>
              <a:cubicBezTo>
                <a:pt x="265" y="67"/>
                <a:pt x="271" y="69"/>
                <a:pt x="278" y="74"/>
              </a:cubicBezTo>
              <a:cubicBezTo>
                <a:pt x="281" y="76"/>
                <a:pt x="287" y="79"/>
                <a:pt x="287" y="79"/>
              </a:cubicBezTo>
              <a:cubicBezTo>
                <a:pt x="291" y="85"/>
                <a:pt x="297" y="80"/>
                <a:pt x="301" y="76"/>
              </a:cubicBezTo>
              <a:cubicBezTo>
                <a:pt x="303" y="69"/>
                <a:pt x="307" y="59"/>
                <a:pt x="313" y="55"/>
              </a:cubicBezTo>
              <a:cubicBezTo>
                <a:pt x="315" y="50"/>
                <a:pt x="319" y="44"/>
                <a:pt x="324" y="41"/>
              </a:cubicBezTo>
              <a:cubicBezTo>
                <a:pt x="334" y="26"/>
                <a:pt x="353" y="28"/>
                <a:pt x="367" y="21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217</xdr:row>
      <xdr:rowOff>0</xdr:rowOff>
    </xdr:from>
    <xdr:to>
      <xdr:col>24</xdr:col>
      <xdr:colOff>600075</xdr:colOff>
      <xdr:row>217</xdr:row>
      <xdr:rowOff>0</xdr:rowOff>
    </xdr:to>
    <xdr:sp macro="" textlink="">
      <xdr:nvSpPr>
        <xdr:cNvPr id="488" name="Line 22"/>
        <xdr:cNvSpPr>
          <a:spLocks noChangeShapeType="1"/>
        </xdr:cNvSpPr>
      </xdr:nvSpPr>
      <xdr:spPr bwMode="auto">
        <a:xfrm>
          <a:off x="609600" y="9639300"/>
          <a:ext cx="1819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0</xdr:colOff>
      <xdr:row>217</xdr:row>
      <xdr:rowOff>0</xdr:rowOff>
    </xdr:from>
    <xdr:to>
      <xdr:col>26</xdr:col>
      <xdr:colOff>0</xdr:colOff>
      <xdr:row>218</xdr:row>
      <xdr:rowOff>0</xdr:rowOff>
    </xdr:to>
    <xdr:sp macro="" textlink="">
      <xdr:nvSpPr>
        <xdr:cNvPr id="489" name="Line 23"/>
        <xdr:cNvSpPr>
          <a:spLocks noChangeShapeType="1"/>
        </xdr:cNvSpPr>
      </xdr:nvSpPr>
      <xdr:spPr bwMode="auto">
        <a:xfrm>
          <a:off x="2533650" y="9639300"/>
          <a:ext cx="6096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0</xdr:colOff>
      <xdr:row>218</xdr:row>
      <xdr:rowOff>0</xdr:rowOff>
    </xdr:from>
    <xdr:to>
      <xdr:col>28</xdr:col>
      <xdr:colOff>0</xdr:colOff>
      <xdr:row>218</xdr:row>
      <xdr:rowOff>0</xdr:rowOff>
    </xdr:to>
    <xdr:sp macro="" textlink="">
      <xdr:nvSpPr>
        <xdr:cNvPr id="490" name="Line 24"/>
        <xdr:cNvSpPr>
          <a:spLocks noChangeShapeType="1"/>
        </xdr:cNvSpPr>
      </xdr:nvSpPr>
      <xdr:spPr bwMode="auto">
        <a:xfrm>
          <a:off x="3143250" y="9801225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0</xdr:colOff>
      <xdr:row>218</xdr:row>
      <xdr:rowOff>0</xdr:rowOff>
    </xdr:from>
    <xdr:to>
      <xdr:col>28</xdr:col>
      <xdr:colOff>0</xdr:colOff>
      <xdr:row>219</xdr:row>
      <xdr:rowOff>0</xdr:rowOff>
    </xdr:to>
    <xdr:sp macro="" textlink="">
      <xdr:nvSpPr>
        <xdr:cNvPr id="491" name="Line 25"/>
        <xdr:cNvSpPr>
          <a:spLocks noChangeShapeType="1"/>
        </xdr:cNvSpPr>
      </xdr:nvSpPr>
      <xdr:spPr bwMode="auto">
        <a:xfrm>
          <a:off x="4362450" y="980122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0</xdr:colOff>
      <xdr:row>212</xdr:row>
      <xdr:rowOff>0</xdr:rowOff>
    </xdr:from>
    <xdr:to>
      <xdr:col>25</xdr:col>
      <xdr:colOff>0</xdr:colOff>
      <xdr:row>212</xdr:row>
      <xdr:rowOff>152400</xdr:rowOff>
    </xdr:to>
    <xdr:sp macro="" textlink="">
      <xdr:nvSpPr>
        <xdr:cNvPr id="492" name="Line 26"/>
        <xdr:cNvSpPr>
          <a:spLocks noChangeShapeType="1"/>
        </xdr:cNvSpPr>
      </xdr:nvSpPr>
      <xdr:spPr bwMode="auto">
        <a:xfrm>
          <a:off x="2533650" y="88296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266700</xdr:colOff>
      <xdr:row>212</xdr:row>
      <xdr:rowOff>152400</xdr:rowOff>
    </xdr:from>
    <xdr:to>
      <xdr:col>25</xdr:col>
      <xdr:colOff>0</xdr:colOff>
      <xdr:row>212</xdr:row>
      <xdr:rowOff>152400</xdr:rowOff>
    </xdr:to>
    <xdr:sp macro="" textlink="">
      <xdr:nvSpPr>
        <xdr:cNvPr id="493" name="Line 27"/>
        <xdr:cNvSpPr>
          <a:spLocks noChangeShapeType="1"/>
        </xdr:cNvSpPr>
      </xdr:nvSpPr>
      <xdr:spPr bwMode="auto">
        <a:xfrm flipH="1">
          <a:off x="1485900" y="8982075"/>
          <a:ext cx="1047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266700</xdr:colOff>
      <xdr:row>211</xdr:row>
      <xdr:rowOff>152400</xdr:rowOff>
    </xdr:from>
    <xdr:to>
      <xdr:col>23</xdr:col>
      <xdr:colOff>266700</xdr:colOff>
      <xdr:row>212</xdr:row>
      <xdr:rowOff>152400</xdr:rowOff>
    </xdr:to>
    <xdr:sp macro="" textlink="">
      <xdr:nvSpPr>
        <xdr:cNvPr id="494" name="Line 28"/>
        <xdr:cNvSpPr>
          <a:spLocks noChangeShapeType="1"/>
        </xdr:cNvSpPr>
      </xdr:nvSpPr>
      <xdr:spPr bwMode="auto">
        <a:xfrm flipV="1">
          <a:off x="1485900" y="88201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0</xdr:colOff>
      <xdr:row>214</xdr:row>
      <xdr:rowOff>152400</xdr:rowOff>
    </xdr:from>
    <xdr:to>
      <xdr:col>24</xdr:col>
      <xdr:colOff>0</xdr:colOff>
      <xdr:row>217</xdr:row>
      <xdr:rowOff>0</xdr:rowOff>
    </xdr:to>
    <xdr:sp macro="" textlink="">
      <xdr:nvSpPr>
        <xdr:cNvPr id="495" name="Line 29"/>
        <xdr:cNvSpPr>
          <a:spLocks noChangeShapeType="1"/>
        </xdr:cNvSpPr>
      </xdr:nvSpPr>
      <xdr:spPr bwMode="auto">
        <a:xfrm>
          <a:off x="1828800" y="9305925"/>
          <a:ext cx="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24</xdr:col>
      <xdr:colOff>0</xdr:colOff>
      <xdr:row>213</xdr:row>
      <xdr:rowOff>0</xdr:rowOff>
    </xdr:from>
    <xdr:to>
      <xdr:col>24</xdr:col>
      <xdr:colOff>0</xdr:colOff>
      <xdr:row>215</xdr:row>
      <xdr:rowOff>0</xdr:rowOff>
    </xdr:to>
    <xdr:sp macro="" textlink="">
      <xdr:nvSpPr>
        <xdr:cNvPr id="496" name="Line 30"/>
        <xdr:cNvSpPr>
          <a:spLocks noChangeShapeType="1"/>
        </xdr:cNvSpPr>
      </xdr:nvSpPr>
      <xdr:spPr bwMode="auto">
        <a:xfrm flipV="1">
          <a:off x="1828800" y="8991600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21</xdr:col>
      <xdr:colOff>476250</xdr:colOff>
      <xdr:row>212</xdr:row>
      <xdr:rowOff>19050</xdr:rowOff>
    </xdr:from>
    <xdr:to>
      <xdr:col>27</xdr:col>
      <xdr:colOff>314325</xdr:colOff>
      <xdr:row>217</xdr:row>
      <xdr:rowOff>19050</xdr:rowOff>
    </xdr:to>
    <xdr:sp macro="" textlink="">
      <xdr:nvSpPr>
        <xdr:cNvPr id="497" name="Freeform 32"/>
        <xdr:cNvSpPr>
          <a:spLocks/>
        </xdr:cNvSpPr>
      </xdr:nvSpPr>
      <xdr:spPr bwMode="auto">
        <a:xfrm>
          <a:off x="476250" y="8848725"/>
          <a:ext cx="3590925" cy="809625"/>
        </a:xfrm>
        <a:custGeom>
          <a:avLst/>
          <a:gdLst>
            <a:gd name="T0" fmla="*/ 0 w 367"/>
            <a:gd name="T1" fmla="*/ 2147483647 h 85"/>
            <a:gd name="T2" fmla="*/ 2147483647 w 367"/>
            <a:gd name="T3" fmla="*/ 2147483647 h 85"/>
            <a:gd name="T4" fmla="*/ 2147483647 w 367"/>
            <a:gd name="T5" fmla="*/ 2147483647 h 85"/>
            <a:gd name="T6" fmla="*/ 2147483647 w 367"/>
            <a:gd name="T7" fmla="*/ 2147483647 h 85"/>
            <a:gd name="T8" fmla="*/ 2147483647 w 367"/>
            <a:gd name="T9" fmla="*/ 2147483647 h 85"/>
            <a:gd name="T10" fmla="*/ 2147483647 w 367"/>
            <a:gd name="T11" fmla="*/ 2147483647 h 85"/>
            <a:gd name="T12" fmla="*/ 2147483647 w 367"/>
            <a:gd name="T13" fmla="*/ 2147483647 h 85"/>
            <a:gd name="T14" fmla="*/ 2147483647 w 367"/>
            <a:gd name="T15" fmla="*/ 2147483647 h 85"/>
            <a:gd name="T16" fmla="*/ 2147483647 w 367"/>
            <a:gd name="T17" fmla="*/ 2147483647 h 85"/>
            <a:gd name="T18" fmla="*/ 2147483647 w 367"/>
            <a:gd name="T19" fmla="*/ 2147483647 h 85"/>
            <a:gd name="T20" fmla="*/ 2147483647 w 367"/>
            <a:gd name="T21" fmla="*/ 2147483647 h 85"/>
            <a:gd name="T22" fmla="*/ 2147483647 w 367"/>
            <a:gd name="T23" fmla="*/ 2147483647 h 85"/>
            <a:gd name="T24" fmla="*/ 2147483647 w 367"/>
            <a:gd name="T25" fmla="*/ 2147483647 h 85"/>
            <a:gd name="T26" fmla="*/ 2147483647 w 367"/>
            <a:gd name="T27" fmla="*/ 2147483647 h 85"/>
            <a:gd name="T28" fmla="*/ 2147483647 w 367"/>
            <a:gd name="T29" fmla="*/ 2147483647 h 85"/>
            <a:gd name="T30" fmla="*/ 2147483647 w 367"/>
            <a:gd name="T31" fmla="*/ 2147483647 h 85"/>
            <a:gd name="T32" fmla="*/ 2147483647 w 367"/>
            <a:gd name="T33" fmla="*/ 2147483647 h 85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367"/>
            <a:gd name="T52" fmla="*/ 0 h 85"/>
            <a:gd name="T53" fmla="*/ 367 w 367"/>
            <a:gd name="T54" fmla="*/ 85 h 85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367" h="85">
              <a:moveTo>
                <a:pt x="0" y="2"/>
              </a:moveTo>
              <a:cubicBezTo>
                <a:pt x="18" y="2"/>
                <a:pt x="36" y="0"/>
                <a:pt x="54" y="3"/>
              </a:cubicBezTo>
              <a:cubicBezTo>
                <a:pt x="55" y="3"/>
                <a:pt x="57" y="13"/>
                <a:pt x="58" y="15"/>
              </a:cubicBezTo>
              <a:cubicBezTo>
                <a:pt x="61" y="24"/>
                <a:pt x="65" y="32"/>
                <a:pt x="73" y="37"/>
              </a:cubicBezTo>
              <a:cubicBezTo>
                <a:pt x="83" y="44"/>
                <a:pt x="91" y="43"/>
                <a:pt x="104" y="45"/>
              </a:cubicBezTo>
              <a:cubicBezTo>
                <a:pt x="109" y="46"/>
                <a:pt x="120" y="47"/>
                <a:pt x="120" y="47"/>
              </a:cubicBezTo>
              <a:cubicBezTo>
                <a:pt x="132" y="51"/>
                <a:pt x="144" y="51"/>
                <a:pt x="156" y="52"/>
              </a:cubicBezTo>
              <a:cubicBezTo>
                <a:pt x="173" y="56"/>
                <a:pt x="201" y="55"/>
                <a:pt x="215" y="55"/>
              </a:cubicBezTo>
              <a:cubicBezTo>
                <a:pt x="219" y="56"/>
                <a:pt x="223" y="57"/>
                <a:pt x="227" y="58"/>
              </a:cubicBezTo>
              <a:cubicBezTo>
                <a:pt x="230" y="59"/>
                <a:pt x="235" y="60"/>
                <a:pt x="235" y="60"/>
              </a:cubicBezTo>
              <a:cubicBezTo>
                <a:pt x="241" y="64"/>
                <a:pt x="250" y="63"/>
                <a:pt x="257" y="64"/>
              </a:cubicBezTo>
              <a:cubicBezTo>
                <a:pt x="265" y="67"/>
                <a:pt x="271" y="69"/>
                <a:pt x="278" y="74"/>
              </a:cubicBezTo>
              <a:cubicBezTo>
                <a:pt x="281" y="76"/>
                <a:pt x="287" y="79"/>
                <a:pt x="287" y="79"/>
              </a:cubicBezTo>
              <a:cubicBezTo>
                <a:pt x="291" y="85"/>
                <a:pt x="297" y="80"/>
                <a:pt x="301" y="76"/>
              </a:cubicBezTo>
              <a:cubicBezTo>
                <a:pt x="303" y="69"/>
                <a:pt x="307" y="59"/>
                <a:pt x="313" y="55"/>
              </a:cubicBezTo>
              <a:cubicBezTo>
                <a:pt x="315" y="50"/>
                <a:pt x="319" y="44"/>
                <a:pt x="324" y="41"/>
              </a:cubicBezTo>
              <a:cubicBezTo>
                <a:pt x="334" y="26"/>
                <a:pt x="353" y="28"/>
                <a:pt x="367" y="21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247650</xdr:colOff>
      <xdr:row>214</xdr:row>
      <xdr:rowOff>95250</xdr:rowOff>
    </xdr:from>
    <xdr:to>
      <xdr:col>22</xdr:col>
      <xdr:colOff>247650</xdr:colOff>
      <xdr:row>217</xdr:row>
      <xdr:rowOff>0</xdr:rowOff>
    </xdr:to>
    <xdr:sp macro="" textlink="">
      <xdr:nvSpPr>
        <xdr:cNvPr id="498" name="Line 33"/>
        <xdr:cNvSpPr>
          <a:spLocks noChangeShapeType="1"/>
        </xdr:cNvSpPr>
      </xdr:nvSpPr>
      <xdr:spPr bwMode="auto">
        <a:xfrm>
          <a:off x="857250" y="924877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22</xdr:col>
      <xdr:colOff>247650</xdr:colOff>
      <xdr:row>212</xdr:row>
      <xdr:rowOff>28575</xdr:rowOff>
    </xdr:from>
    <xdr:to>
      <xdr:col>22</xdr:col>
      <xdr:colOff>247650</xdr:colOff>
      <xdr:row>214</xdr:row>
      <xdr:rowOff>114300</xdr:rowOff>
    </xdr:to>
    <xdr:sp macro="" textlink="">
      <xdr:nvSpPr>
        <xdr:cNvPr id="499" name="Line 34"/>
        <xdr:cNvSpPr>
          <a:spLocks noChangeShapeType="1"/>
        </xdr:cNvSpPr>
      </xdr:nvSpPr>
      <xdr:spPr bwMode="auto">
        <a:xfrm flipV="1">
          <a:off x="857250" y="8858250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21</xdr:col>
      <xdr:colOff>571500</xdr:colOff>
      <xdr:row>211</xdr:row>
      <xdr:rowOff>76200</xdr:rowOff>
    </xdr:from>
    <xdr:to>
      <xdr:col>22</xdr:col>
      <xdr:colOff>104775</xdr:colOff>
      <xdr:row>211</xdr:row>
      <xdr:rowOff>76200</xdr:rowOff>
    </xdr:to>
    <xdr:sp macro="" textlink="">
      <xdr:nvSpPr>
        <xdr:cNvPr id="500" name="Line 36"/>
        <xdr:cNvSpPr>
          <a:spLocks noChangeShapeType="1"/>
        </xdr:cNvSpPr>
      </xdr:nvSpPr>
      <xdr:spPr bwMode="auto">
        <a:xfrm>
          <a:off x="571500" y="87439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581025</xdr:colOff>
      <xdr:row>211</xdr:row>
      <xdr:rowOff>76200</xdr:rowOff>
    </xdr:from>
    <xdr:to>
      <xdr:col>22</xdr:col>
      <xdr:colOff>47625</xdr:colOff>
      <xdr:row>212</xdr:row>
      <xdr:rowOff>28575</xdr:rowOff>
    </xdr:to>
    <xdr:sp macro="" textlink="">
      <xdr:nvSpPr>
        <xdr:cNvPr id="501" name="Line 37"/>
        <xdr:cNvSpPr>
          <a:spLocks noChangeShapeType="1"/>
        </xdr:cNvSpPr>
      </xdr:nvSpPr>
      <xdr:spPr bwMode="auto">
        <a:xfrm>
          <a:off x="581025" y="8743950"/>
          <a:ext cx="7620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57150</xdr:colOff>
      <xdr:row>211</xdr:row>
      <xdr:rowOff>76200</xdr:rowOff>
    </xdr:from>
    <xdr:to>
      <xdr:col>22</xdr:col>
      <xdr:colOff>104775</xdr:colOff>
      <xdr:row>212</xdr:row>
      <xdr:rowOff>19050</xdr:rowOff>
    </xdr:to>
    <xdr:sp macro="" textlink="">
      <xdr:nvSpPr>
        <xdr:cNvPr id="502" name="Line 38"/>
        <xdr:cNvSpPr>
          <a:spLocks noChangeShapeType="1"/>
        </xdr:cNvSpPr>
      </xdr:nvSpPr>
      <xdr:spPr bwMode="auto">
        <a:xfrm flipV="1">
          <a:off x="666750" y="8743950"/>
          <a:ext cx="47625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212</xdr:row>
      <xdr:rowOff>57150</xdr:rowOff>
    </xdr:from>
    <xdr:to>
      <xdr:col>22</xdr:col>
      <xdr:colOff>104775</xdr:colOff>
      <xdr:row>212</xdr:row>
      <xdr:rowOff>57150</xdr:rowOff>
    </xdr:to>
    <xdr:sp macro="" textlink="">
      <xdr:nvSpPr>
        <xdr:cNvPr id="503" name="Line 39"/>
        <xdr:cNvSpPr>
          <a:spLocks noChangeShapeType="1"/>
        </xdr:cNvSpPr>
      </xdr:nvSpPr>
      <xdr:spPr bwMode="auto">
        <a:xfrm>
          <a:off x="609600" y="88868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47625</xdr:colOff>
      <xdr:row>212</xdr:row>
      <xdr:rowOff>76200</xdr:rowOff>
    </xdr:from>
    <xdr:to>
      <xdr:col>22</xdr:col>
      <xdr:colOff>76200</xdr:colOff>
      <xdr:row>212</xdr:row>
      <xdr:rowOff>76200</xdr:rowOff>
    </xdr:to>
    <xdr:sp macro="" textlink="">
      <xdr:nvSpPr>
        <xdr:cNvPr id="504" name="Line 40"/>
        <xdr:cNvSpPr>
          <a:spLocks noChangeShapeType="1"/>
        </xdr:cNvSpPr>
      </xdr:nvSpPr>
      <xdr:spPr bwMode="auto">
        <a:xfrm>
          <a:off x="657225" y="8905875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0</xdr:colOff>
      <xdr:row>218</xdr:row>
      <xdr:rowOff>0</xdr:rowOff>
    </xdr:from>
    <xdr:to>
      <xdr:col>34</xdr:col>
      <xdr:colOff>600075</xdr:colOff>
      <xdr:row>218</xdr:row>
      <xdr:rowOff>0</xdr:rowOff>
    </xdr:to>
    <xdr:sp macro="" textlink="">
      <xdr:nvSpPr>
        <xdr:cNvPr id="509" name="Line 72"/>
        <xdr:cNvSpPr>
          <a:spLocks noChangeShapeType="1"/>
        </xdr:cNvSpPr>
      </xdr:nvSpPr>
      <xdr:spPr bwMode="auto">
        <a:xfrm>
          <a:off x="609600" y="6324600"/>
          <a:ext cx="1819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218</xdr:row>
      <xdr:rowOff>0</xdr:rowOff>
    </xdr:from>
    <xdr:to>
      <xdr:col>36</xdr:col>
      <xdr:colOff>0</xdr:colOff>
      <xdr:row>219</xdr:row>
      <xdr:rowOff>0</xdr:rowOff>
    </xdr:to>
    <xdr:sp macro="" textlink="">
      <xdr:nvSpPr>
        <xdr:cNvPr id="510" name="Line 73"/>
        <xdr:cNvSpPr>
          <a:spLocks noChangeShapeType="1"/>
        </xdr:cNvSpPr>
      </xdr:nvSpPr>
      <xdr:spPr bwMode="auto">
        <a:xfrm>
          <a:off x="2533650" y="6324600"/>
          <a:ext cx="6096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0</xdr:colOff>
      <xdr:row>219</xdr:row>
      <xdr:rowOff>0</xdr:rowOff>
    </xdr:from>
    <xdr:to>
      <xdr:col>38</xdr:col>
      <xdr:colOff>0</xdr:colOff>
      <xdr:row>219</xdr:row>
      <xdr:rowOff>0</xdr:rowOff>
    </xdr:to>
    <xdr:sp macro="" textlink="">
      <xdr:nvSpPr>
        <xdr:cNvPr id="511" name="Line 74"/>
        <xdr:cNvSpPr>
          <a:spLocks noChangeShapeType="1"/>
        </xdr:cNvSpPr>
      </xdr:nvSpPr>
      <xdr:spPr bwMode="auto">
        <a:xfrm>
          <a:off x="3143250" y="6486525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213</xdr:row>
      <xdr:rowOff>0</xdr:rowOff>
    </xdr:from>
    <xdr:to>
      <xdr:col>35</xdr:col>
      <xdr:colOff>0</xdr:colOff>
      <xdr:row>213</xdr:row>
      <xdr:rowOff>152400</xdr:rowOff>
    </xdr:to>
    <xdr:sp macro="" textlink="">
      <xdr:nvSpPr>
        <xdr:cNvPr id="513" name="Line 76"/>
        <xdr:cNvSpPr>
          <a:spLocks noChangeShapeType="1"/>
        </xdr:cNvSpPr>
      </xdr:nvSpPr>
      <xdr:spPr bwMode="auto">
        <a:xfrm>
          <a:off x="2533650" y="55149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266700</xdr:colOff>
      <xdr:row>212</xdr:row>
      <xdr:rowOff>152400</xdr:rowOff>
    </xdr:from>
    <xdr:to>
      <xdr:col>33</xdr:col>
      <xdr:colOff>266700</xdr:colOff>
      <xdr:row>213</xdr:row>
      <xdr:rowOff>152400</xdr:rowOff>
    </xdr:to>
    <xdr:sp macro="" textlink="">
      <xdr:nvSpPr>
        <xdr:cNvPr id="514" name="Line 77"/>
        <xdr:cNvSpPr>
          <a:spLocks noChangeShapeType="1"/>
        </xdr:cNvSpPr>
      </xdr:nvSpPr>
      <xdr:spPr bwMode="auto">
        <a:xfrm flipV="1">
          <a:off x="1485900" y="55054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215</xdr:row>
      <xdr:rowOff>152400</xdr:rowOff>
    </xdr:from>
    <xdr:to>
      <xdr:col>34</xdr:col>
      <xdr:colOff>0</xdr:colOff>
      <xdr:row>218</xdr:row>
      <xdr:rowOff>0</xdr:rowOff>
    </xdr:to>
    <xdr:sp macro="" textlink="">
      <xdr:nvSpPr>
        <xdr:cNvPr id="515" name="Line 78"/>
        <xdr:cNvSpPr>
          <a:spLocks noChangeShapeType="1"/>
        </xdr:cNvSpPr>
      </xdr:nvSpPr>
      <xdr:spPr bwMode="auto">
        <a:xfrm>
          <a:off x="1828800" y="5991225"/>
          <a:ext cx="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32</xdr:col>
      <xdr:colOff>247650</xdr:colOff>
      <xdr:row>215</xdr:row>
      <xdr:rowOff>95250</xdr:rowOff>
    </xdr:from>
    <xdr:to>
      <xdr:col>32</xdr:col>
      <xdr:colOff>247650</xdr:colOff>
      <xdr:row>218</xdr:row>
      <xdr:rowOff>0</xdr:rowOff>
    </xdr:to>
    <xdr:sp macro="" textlink="">
      <xdr:nvSpPr>
        <xdr:cNvPr id="516" name="Line 79"/>
        <xdr:cNvSpPr>
          <a:spLocks noChangeShapeType="1"/>
        </xdr:cNvSpPr>
      </xdr:nvSpPr>
      <xdr:spPr bwMode="auto">
        <a:xfrm>
          <a:off x="857250" y="593407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32</xdr:col>
      <xdr:colOff>247650</xdr:colOff>
      <xdr:row>213</xdr:row>
      <xdr:rowOff>28575</xdr:rowOff>
    </xdr:from>
    <xdr:to>
      <xdr:col>32</xdr:col>
      <xdr:colOff>247650</xdr:colOff>
      <xdr:row>215</xdr:row>
      <xdr:rowOff>114300</xdr:rowOff>
    </xdr:to>
    <xdr:sp macro="" textlink="">
      <xdr:nvSpPr>
        <xdr:cNvPr id="517" name="Line 80"/>
        <xdr:cNvSpPr>
          <a:spLocks noChangeShapeType="1"/>
        </xdr:cNvSpPr>
      </xdr:nvSpPr>
      <xdr:spPr bwMode="auto">
        <a:xfrm flipV="1">
          <a:off x="857250" y="5543550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32</xdr:col>
      <xdr:colOff>0</xdr:colOff>
      <xdr:row>213</xdr:row>
      <xdr:rowOff>57150</xdr:rowOff>
    </xdr:from>
    <xdr:to>
      <xdr:col>32</xdr:col>
      <xdr:colOff>104775</xdr:colOff>
      <xdr:row>213</xdr:row>
      <xdr:rowOff>57150</xdr:rowOff>
    </xdr:to>
    <xdr:sp macro="" textlink="">
      <xdr:nvSpPr>
        <xdr:cNvPr id="521" name="Line 85"/>
        <xdr:cNvSpPr>
          <a:spLocks noChangeShapeType="1"/>
        </xdr:cNvSpPr>
      </xdr:nvSpPr>
      <xdr:spPr bwMode="auto">
        <a:xfrm>
          <a:off x="609600" y="55721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47625</xdr:colOff>
      <xdr:row>213</xdr:row>
      <xdr:rowOff>76200</xdr:rowOff>
    </xdr:from>
    <xdr:to>
      <xdr:col>32</xdr:col>
      <xdr:colOff>76200</xdr:colOff>
      <xdr:row>213</xdr:row>
      <xdr:rowOff>76200</xdr:rowOff>
    </xdr:to>
    <xdr:sp macro="" textlink="">
      <xdr:nvSpPr>
        <xdr:cNvPr id="522" name="Line 86"/>
        <xdr:cNvSpPr>
          <a:spLocks noChangeShapeType="1"/>
        </xdr:cNvSpPr>
      </xdr:nvSpPr>
      <xdr:spPr bwMode="auto">
        <a:xfrm>
          <a:off x="657225" y="5591175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0</xdr:colOff>
      <xdr:row>218</xdr:row>
      <xdr:rowOff>0</xdr:rowOff>
    </xdr:from>
    <xdr:to>
      <xdr:col>34</xdr:col>
      <xdr:colOff>600075</xdr:colOff>
      <xdr:row>218</xdr:row>
      <xdr:rowOff>0</xdr:rowOff>
    </xdr:to>
    <xdr:sp macro="" textlink="">
      <xdr:nvSpPr>
        <xdr:cNvPr id="523" name="Line 87"/>
        <xdr:cNvSpPr>
          <a:spLocks noChangeShapeType="1"/>
        </xdr:cNvSpPr>
      </xdr:nvSpPr>
      <xdr:spPr bwMode="auto">
        <a:xfrm>
          <a:off x="609600" y="6324600"/>
          <a:ext cx="1819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218</xdr:row>
      <xdr:rowOff>0</xdr:rowOff>
    </xdr:from>
    <xdr:to>
      <xdr:col>36</xdr:col>
      <xdr:colOff>0</xdr:colOff>
      <xdr:row>219</xdr:row>
      <xdr:rowOff>0</xdr:rowOff>
    </xdr:to>
    <xdr:sp macro="" textlink="">
      <xdr:nvSpPr>
        <xdr:cNvPr id="524" name="Line 88"/>
        <xdr:cNvSpPr>
          <a:spLocks noChangeShapeType="1"/>
        </xdr:cNvSpPr>
      </xdr:nvSpPr>
      <xdr:spPr bwMode="auto">
        <a:xfrm>
          <a:off x="2533650" y="6324600"/>
          <a:ext cx="6096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0</xdr:colOff>
      <xdr:row>219</xdr:row>
      <xdr:rowOff>0</xdr:rowOff>
    </xdr:from>
    <xdr:to>
      <xdr:col>38</xdr:col>
      <xdr:colOff>0</xdr:colOff>
      <xdr:row>219</xdr:row>
      <xdr:rowOff>0</xdr:rowOff>
    </xdr:to>
    <xdr:sp macro="" textlink="">
      <xdr:nvSpPr>
        <xdr:cNvPr id="525" name="Line 89"/>
        <xdr:cNvSpPr>
          <a:spLocks noChangeShapeType="1"/>
        </xdr:cNvSpPr>
      </xdr:nvSpPr>
      <xdr:spPr bwMode="auto">
        <a:xfrm>
          <a:off x="3143250" y="6486525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213</xdr:row>
      <xdr:rowOff>0</xdr:rowOff>
    </xdr:from>
    <xdr:to>
      <xdr:col>35</xdr:col>
      <xdr:colOff>0</xdr:colOff>
      <xdr:row>213</xdr:row>
      <xdr:rowOff>152400</xdr:rowOff>
    </xdr:to>
    <xdr:sp macro="" textlink="">
      <xdr:nvSpPr>
        <xdr:cNvPr id="527" name="Line 91"/>
        <xdr:cNvSpPr>
          <a:spLocks noChangeShapeType="1"/>
        </xdr:cNvSpPr>
      </xdr:nvSpPr>
      <xdr:spPr bwMode="auto">
        <a:xfrm>
          <a:off x="2533650" y="55149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266700</xdr:colOff>
      <xdr:row>212</xdr:row>
      <xdr:rowOff>152400</xdr:rowOff>
    </xdr:from>
    <xdr:to>
      <xdr:col>33</xdr:col>
      <xdr:colOff>266700</xdr:colOff>
      <xdr:row>213</xdr:row>
      <xdr:rowOff>152400</xdr:rowOff>
    </xdr:to>
    <xdr:sp macro="" textlink="">
      <xdr:nvSpPr>
        <xdr:cNvPr id="528" name="Line 92"/>
        <xdr:cNvSpPr>
          <a:spLocks noChangeShapeType="1"/>
        </xdr:cNvSpPr>
      </xdr:nvSpPr>
      <xdr:spPr bwMode="auto">
        <a:xfrm flipV="1">
          <a:off x="1485900" y="55054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215</xdr:row>
      <xdr:rowOff>152400</xdr:rowOff>
    </xdr:from>
    <xdr:to>
      <xdr:col>34</xdr:col>
      <xdr:colOff>0</xdr:colOff>
      <xdr:row>218</xdr:row>
      <xdr:rowOff>0</xdr:rowOff>
    </xdr:to>
    <xdr:sp macro="" textlink="">
      <xdr:nvSpPr>
        <xdr:cNvPr id="529" name="Line 93"/>
        <xdr:cNvSpPr>
          <a:spLocks noChangeShapeType="1"/>
        </xdr:cNvSpPr>
      </xdr:nvSpPr>
      <xdr:spPr bwMode="auto">
        <a:xfrm>
          <a:off x="1828800" y="5991225"/>
          <a:ext cx="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32</xdr:col>
      <xdr:colOff>247650</xdr:colOff>
      <xdr:row>215</xdr:row>
      <xdr:rowOff>95250</xdr:rowOff>
    </xdr:from>
    <xdr:to>
      <xdr:col>32</xdr:col>
      <xdr:colOff>247650</xdr:colOff>
      <xdr:row>218</xdr:row>
      <xdr:rowOff>0</xdr:rowOff>
    </xdr:to>
    <xdr:sp macro="" textlink="">
      <xdr:nvSpPr>
        <xdr:cNvPr id="530" name="Line 94"/>
        <xdr:cNvSpPr>
          <a:spLocks noChangeShapeType="1"/>
        </xdr:cNvSpPr>
      </xdr:nvSpPr>
      <xdr:spPr bwMode="auto">
        <a:xfrm>
          <a:off x="857250" y="593407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32</xdr:col>
      <xdr:colOff>247650</xdr:colOff>
      <xdr:row>213</xdr:row>
      <xdr:rowOff>28575</xdr:rowOff>
    </xdr:from>
    <xdr:to>
      <xdr:col>32</xdr:col>
      <xdr:colOff>247650</xdr:colOff>
      <xdr:row>215</xdr:row>
      <xdr:rowOff>114300</xdr:rowOff>
    </xdr:to>
    <xdr:sp macro="" textlink="">
      <xdr:nvSpPr>
        <xdr:cNvPr id="531" name="Line 95"/>
        <xdr:cNvSpPr>
          <a:spLocks noChangeShapeType="1"/>
        </xdr:cNvSpPr>
      </xdr:nvSpPr>
      <xdr:spPr bwMode="auto">
        <a:xfrm flipV="1">
          <a:off x="857250" y="5543550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32</xdr:col>
      <xdr:colOff>0</xdr:colOff>
      <xdr:row>213</xdr:row>
      <xdr:rowOff>57150</xdr:rowOff>
    </xdr:from>
    <xdr:to>
      <xdr:col>32</xdr:col>
      <xdr:colOff>104775</xdr:colOff>
      <xdr:row>213</xdr:row>
      <xdr:rowOff>57150</xdr:rowOff>
    </xdr:to>
    <xdr:sp macro="" textlink="">
      <xdr:nvSpPr>
        <xdr:cNvPr id="535" name="Line 100"/>
        <xdr:cNvSpPr>
          <a:spLocks noChangeShapeType="1"/>
        </xdr:cNvSpPr>
      </xdr:nvSpPr>
      <xdr:spPr bwMode="auto">
        <a:xfrm>
          <a:off x="609600" y="55721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47625</xdr:colOff>
      <xdr:row>213</xdr:row>
      <xdr:rowOff>76200</xdr:rowOff>
    </xdr:from>
    <xdr:to>
      <xdr:col>32</xdr:col>
      <xdr:colOff>76200</xdr:colOff>
      <xdr:row>213</xdr:row>
      <xdr:rowOff>76200</xdr:rowOff>
    </xdr:to>
    <xdr:sp macro="" textlink="">
      <xdr:nvSpPr>
        <xdr:cNvPr id="536" name="Line 101"/>
        <xdr:cNvSpPr>
          <a:spLocks noChangeShapeType="1"/>
        </xdr:cNvSpPr>
      </xdr:nvSpPr>
      <xdr:spPr bwMode="auto">
        <a:xfrm>
          <a:off x="657225" y="5591175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276225</xdr:colOff>
      <xdr:row>214</xdr:row>
      <xdr:rowOff>152400</xdr:rowOff>
    </xdr:from>
    <xdr:to>
      <xdr:col>35</xdr:col>
      <xdr:colOff>0</xdr:colOff>
      <xdr:row>214</xdr:row>
      <xdr:rowOff>152400</xdr:rowOff>
    </xdr:to>
    <xdr:sp macro="" textlink="">
      <xdr:nvSpPr>
        <xdr:cNvPr id="537" name="Line 102"/>
        <xdr:cNvSpPr>
          <a:spLocks noChangeShapeType="1"/>
        </xdr:cNvSpPr>
      </xdr:nvSpPr>
      <xdr:spPr bwMode="auto">
        <a:xfrm>
          <a:off x="1495425" y="5829300"/>
          <a:ext cx="1038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213</xdr:row>
      <xdr:rowOff>95250</xdr:rowOff>
    </xdr:from>
    <xdr:to>
      <xdr:col>35</xdr:col>
      <xdr:colOff>0</xdr:colOff>
      <xdr:row>214</xdr:row>
      <xdr:rowOff>152400</xdr:rowOff>
    </xdr:to>
    <xdr:sp macro="" textlink="">
      <xdr:nvSpPr>
        <xdr:cNvPr id="538" name="Line 103"/>
        <xdr:cNvSpPr>
          <a:spLocks noChangeShapeType="1"/>
        </xdr:cNvSpPr>
      </xdr:nvSpPr>
      <xdr:spPr bwMode="auto">
        <a:xfrm>
          <a:off x="2533650" y="5610225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266700</xdr:colOff>
      <xdr:row>213</xdr:row>
      <xdr:rowOff>133350</xdr:rowOff>
    </xdr:from>
    <xdr:to>
      <xdr:col>33</xdr:col>
      <xdr:colOff>266700</xdr:colOff>
      <xdr:row>215</xdr:row>
      <xdr:rowOff>0</xdr:rowOff>
    </xdr:to>
    <xdr:sp macro="" textlink="">
      <xdr:nvSpPr>
        <xdr:cNvPr id="539" name="Line 104"/>
        <xdr:cNvSpPr>
          <a:spLocks noChangeShapeType="1"/>
        </xdr:cNvSpPr>
      </xdr:nvSpPr>
      <xdr:spPr bwMode="auto">
        <a:xfrm>
          <a:off x="1485900" y="564832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571500</xdr:colOff>
      <xdr:row>213</xdr:row>
      <xdr:rowOff>28575</xdr:rowOff>
    </xdr:from>
    <xdr:to>
      <xdr:col>32</xdr:col>
      <xdr:colOff>438150</xdr:colOff>
      <xdr:row>213</xdr:row>
      <xdr:rowOff>28575</xdr:rowOff>
    </xdr:to>
    <xdr:sp macro="" textlink="">
      <xdr:nvSpPr>
        <xdr:cNvPr id="540" name="Line 105"/>
        <xdr:cNvSpPr>
          <a:spLocks noChangeShapeType="1"/>
        </xdr:cNvSpPr>
      </xdr:nvSpPr>
      <xdr:spPr bwMode="auto">
        <a:xfrm>
          <a:off x="571500" y="5543550"/>
          <a:ext cx="476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171450</xdr:colOff>
      <xdr:row>214</xdr:row>
      <xdr:rowOff>0</xdr:rowOff>
    </xdr:from>
    <xdr:to>
      <xdr:col>35</xdr:col>
      <xdr:colOff>533400</xdr:colOff>
      <xdr:row>214</xdr:row>
      <xdr:rowOff>0</xdr:rowOff>
    </xdr:to>
    <xdr:sp macro="" textlink="">
      <xdr:nvSpPr>
        <xdr:cNvPr id="541" name="Line 106"/>
        <xdr:cNvSpPr>
          <a:spLocks noChangeShapeType="1"/>
        </xdr:cNvSpPr>
      </xdr:nvSpPr>
      <xdr:spPr bwMode="auto">
        <a:xfrm>
          <a:off x="2609850" y="9601200"/>
          <a:ext cx="36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571500</xdr:colOff>
      <xdr:row>218</xdr:row>
      <xdr:rowOff>0</xdr:rowOff>
    </xdr:from>
    <xdr:to>
      <xdr:col>35</xdr:col>
      <xdr:colOff>9525</xdr:colOff>
      <xdr:row>218</xdr:row>
      <xdr:rowOff>0</xdr:rowOff>
    </xdr:to>
    <xdr:sp macro="" textlink="">
      <xdr:nvSpPr>
        <xdr:cNvPr id="543" name="Line 108"/>
        <xdr:cNvSpPr>
          <a:spLocks noChangeShapeType="1"/>
        </xdr:cNvSpPr>
      </xdr:nvSpPr>
      <xdr:spPr bwMode="auto">
        <a:xfrm>
          <a:off x="2400300" y="63246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209550</xdr:colOff>
      <xdr:row>214</xdr:row>
      <xdr:rowOff>19050</xdr:rowOff>
    </xdr:from>
    <xdr:to>
      <xdr:col>35</xdr:col>
      <xdr:colOff>285750</xdr:colOff>
      <xdr:row>214</xdr:row>
      <xdr:rowOff>19050</xdr:rowOff>
    </xdr:to>
    <xdr:sp macro="" textlink="">
      <xdr:nvSpPr>
        <xdr:cNvPr id="546" name="Line 111"/>
        <xdr:cNvSpPr>
          <a:spLocks noChangeShapeType="1"/>
        </xdr:cNvSpPr>
      </xdr:nvSpPr>
      <xdr:spPr bwMode="auto">
        <a:xfrm>
          <a:off x="2647950" y="9620250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209550</xdr:colOff>
      <xdr:row>214</xdr:row>
      <xdr:rowOff>38100</xdr:rowOff>
    </xdr:from>
    <xdr:to>
      <xdr:col>35</xdr:col>
      <xdr:colOff>247650</xdr:colOff>
      <xdr:row>214</xdr:row>
      <xdr:rowOff>38100</xdr:rowOff>
    </xdr:to>
    <xdr:sp macro="" textlink="">
      <xdr:nvSpPr>
        <xdr:cNvPr id="547" name="Line 112"/>
        <xdr:cNvSpPr>
          <a:spLocks noChangeShapeType="1"/>
        </xdr:cNvSpPr>
      </xdr:nvSpPr>
      <xdr:spPr bwMode="auto">
        <a:xfrm>
          <a:off x="2647950" y="9639300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28575</xdr:colOff>
      <xdr:row>212</xdr:row>
      <xdr:rowOff>123825</xdr:rowOff>
    </xdr:from>
    <xdr:to>
      <xdr:col>36</xdr:col>
      <xdr:colOff>171450</xdr:colOff>
      <xdr:row>212</xdr:row>
      <xdr:rowOff>123825</xdr:rowOff>
    </xdr:to>
    <xdr:sp macro="" textlink="">
      <xdr:nvSpPr>
        <xdr:cNvPr id="548" name="Line 113"/>
        <xdr:cNvSpPr>
          <a:spLocks noChangeShapeType="1"/>
        </xdr:cNvSpPr>
      </xdr:nvSpPr>
      <xdr:spPr bwMode="auto">
        <a:xfrm>
          <a:off x="3076575" y="94011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214</xdr:row>
      <xdr:rowOff>152400</xdr:rowOff>
    </xdr:from>
    <xdr:to>
      <xdr:col>34</xdr:col>
      <xdr:colOff>0</xdr:colOff>
      <xdr:row>216</xdr:row>
      <xdr:rowOff>19050</xdr:rowOff>
    </xdr:to>
    <xdr:sp macro="" textlink="">
      <xdr:nvSpPr>
        <xdr:cNvPr id="549" name="Line 114"/>
        <xdr:cNvSpPr>
          <a:spLocks noChangeShapeType="1"/>
        </xdr:cNvSpPr>
      </xdr:nvSpPr>
      <xdr:spPr bwMode="auto">
        <a:xfrm flipV="1">
          <a:off x="1828800" y="582930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oneCellAnchor>
    <xdr:from>
      <xdr:col>37</xdr:col>
      <xdr:colOff>314325</xdr:colOff>
      <xdr:row>212</xdr:row>
      <xdr:rowOff>142875</xdr:rowOff>
    </xdr:from>
    <xdr:ext cx="160941" cy="346948"/>
    <xdr:sp macro="" textlink="">
      <xdr:nvSpPr>
        <xdr:cNvPr id="552" name="Text Box 123"/>
        <xdr:cNvSpPr txBox="1">
          <a:spLocks noChangeArrowheads="1"/>
        </xdr:cNvSpPr>
      </xdr:nvSpPr>
      <xdr:spPr bwMode="auto">
        <a:xfrm>
          <a:off x="4067175" y="5495925"/>
          <a:ext cx="160941" cy="3469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m.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35</xdr:col>
      <xdr:colOff>152400</xdr:colOff>
      <xdr:row>213</xdr:row>
      <xdr:rowOff>57150</xdr:rowOff>
    </xdr:from>
    <xdr:to>
      <xdr:col>35</xdr:col>
      <xdr:colOff>238125</xdr:colOff>
      <xdr:row>213</xdr:row>
      <xdr:rowOff>133350</xdr:rowOff>
    </xdr:to>
    <xdr:sp macro="" textlink="">
      <xdr:nvSpPr>
        <xdr:cNvPr id="555" name="Flowchart: Merge 554"/>
        <xdr:cNvSpPr/>
      </xdr:nvSpPr>
      <xdr:spPr bwMode="auto">
        <a:xfrm>
          <a:off x="2590800" y="9496425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36</xdr:col>
      <xdr:colOff>104776</xdr:colOff>
      <xdr:row>212</xdr:row>
      <xdr:rowOff>123822</xdr:rowOff>
    </xdr:from>
    <xdr:to>
      <xdr:col>36</xdr:col>
      <xdr:colOff>104778</xdr:colOff>
      <xdr:row>213</xdr:row>
      <xdr:rowOff>142874</xdr:rowOff>
    </xdr:to>
    <xdr:cxnSp macro="">
      <xdr:nvCxnSpPr>
        <xdr:cNvPr id="557" name="Straight Arrow Connector 556"/>
        <xdr:cNvCxnSpPr/>
      </xdr:nvCxnSpPr>
      <xdr:spPr bwMode="auto">
        <a:xfrm rot="5400000">
          <a:off x="3062288" y="9491660"/>
          <a:ext cx="180977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stealth" w="sm" len="sm"/>
          <a:tailEnd type="triangle" w="sm" len="sm"/>
        </a:ln>
        <a:effectLst/>
      </xdr:spPr>
    </xdr:cxnSp>
    <xdr:clientData/>
  </xdr:twoCellAnchor>
  <xdr:twoCellAnchor>
    <xdr:from>
      <xdr:col>36</xdr:col>
      <xdr:colOff>57150</xdr:colOff>
      <xdr:row>213</xdr:row>
      <xdr:rowOff>152400</xdr:rowOff>
    </xdr:from>
    <xdr:to>
      <xdr:col>36</xdr:col>
      <xdr:colOff>238125</xdr:colOff>
      <xdr:row>213</xdr:row>
      <xdr:rowOff>153988</xdr:rowOff>
    </xdr:to>
    <xdr:cxnSp macro="">
      <xdr:nvCxnSpPr>
        <xdr:cNvPr id="563" name="Straight Connector 562"/>
        <xdr:cNvCxnSpPr/>
      </xdr:nvCxnSpPr>
      <xdr:spPr bwMode="auto">
        <a:xfrm>
          <a:off x="3105150" y="9591675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34</xdr:col>
      <xdr:colOff>200025</xdr:colOff>
      <xdr:row>216</xdr:row>
      <xdr:rowOff>95250</xdr:rowOff>
    </xdr:from>
    <xdr:to>
      <xdr:col>35</xdr:col>
      <xdr:colOff>247650</xdr:colOff>
      <xdr:row>216</xdr:row>
      <xdr:rowOff>96838</xdr:rowOff>
    </xdr:to>
    <xdr:cxnSp macro="">
      <xdr:nvCxnSpPr>
        <xdr:cNvPr id="565" name="Straight Arrow Connector 564"/>
        <xdr:cNvCxnSpPr/>
      </xdr:nvCxnSpPr>
      <xdr:spPr bwMode="auto">
        <a:xfrm>
          <a:off x="2028825" y="10020300"/>
          <a:ext cx="657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25</xdr:col>
      <xdr:colOff>190500</xdr:colOff>
      <xdr:row>213</xdr:row>
      <xdr:rowOff>66675</xdr:rowOff>
    </xdr:from>
    <xdr:to>
      <xdr:col>26</xdr:col>
      <xdr:colOff>247650</xdr:colOff>
      <xdr:row>213</xdr:row>
      <xdr:rowOff>68263</xdr:rowOff>
    </xdr:to>
    <xdr:cxnSp macro="">
      <xdr:nvCxnSpPr>
        <xdr:cNvPr id="567" name="Straight Arrow Connector 566"/>
        <xdr:cNvCxnSpPr/>
      </xdr:nvCxnSpPr>
      <xdr:spPr bwMode="auto">
        <a:xfrm>
          <a:off x="2628900" y="12982575"/>
          <a:ext cx="666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27</xdr:col>
      <xdr:colOff>333375</xdr:colOff>
      <xdr:row>213</xdr:row>
      <xdr:rowOff>38100</xdr:rowOff>
    </xdr:from>
    <xdr:to>
      <xdr:col>28</xdr:col>
      <xdr:colOff>504825</xdr:colOff>
      <xdr:row>213</xdr:row>
      <xdr:rowOff>57150</xdr:rowOff>
    </xdr:to>
    <xdr:cxnSp macro="">
      <xdr:nvCxnSpPr>
        <xdr:cNvPr id="569" name="Straight Connector 568"/>
        <xdr:cNvCxnSpPr/>
      </xdr:nvCxnSpPr>
      <xdr:spPr bwMode="auto">
        <a:xfrm flipV="1">
          <a:off x="3990975" y="12954000"/>
          <a:ext cx="78105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27</xdr:col>
      <xdr:colOff>438150</xdr:colOff>
      <xdr:row>212</xdr:row>
      <xdr:rowOff>123825</xdr:rowOff>
    </xdr:from>
    <xdr:to>
      <xdr:col>27</xdr:col>
      <xdr:colOff>504825</xdr:colOff>
      <xdr:row>213</xdr:row>
      <xdr:rowOff>47625</xdr:rowOff>
    </xdr:to>
    <xdr:sp macro="" textlink="">
      <xdr:nvSpPr>
        <xdr:cNvPr id="570" name="Flowchart: Merge 569"/>
        <xdr:cNvSpPr/>
      </xdr:nvSpPr>
      <xdr:spPr bwMode="auto">
        <a:xfrm>
          <a:off x="4095750" y="1287780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323850</xdr:colOff>
      <xdr:row>159</xdr:row>
      <xdr:rowOff>66675</xdr:rowOff>
    </xdr:from>
    <xdr:to>
      <xdr:col>7</xdr:col>
      <xdr:colOff>485775</xdr:colOff>
      <xdr:row>159</xdr:row>
      <xdr:rowOff>76200</xdr:rowOff>
    </xdr:to>
    <xdr:cxnSp macro="">
      <xdr:nvCxnSpPr>
        <xdr:cNvPr id="572" name="Straight Connector 571"/>
        <xdr:cNvCxnSpPr/>
      </xdr:nvCxnSpPr>
      <xdr:spPr bwMode="auto">
        <a:xfrm>
          <a:off x="3981450" y="16297275"/>
          <a:ext cx="7715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485775</xdr:colOff>
      <xdr:row>158</xdr:row>
      <xdr:rowOff>133350</xdr:rowOff>
    </xdr:from>
    <xdr:to>
      <xdr:col>6</xdr:col>
      <xdr:colOff>571500</xdr:colOff>
      <xdr:row>159</xdr:row>
      <xdr:rowOff>47625</xdr:rowOff>
    </xdr:to>
    <xdr:sp macro="" textlink="">
      <xdr:nvSpPr>
        <xdr:cNvPr id="573" name="Flowchart: Merge 572"/>
        <xdr:cNvSpPr/>
      </xdr:nvSpPr>
      <xdr:spPr bwMode="auto">
        <a:xfrm>
          <a:off x="4143375" y="16202025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571500</xdr:colOff>
      <xdr:row>157</xdr:row>
      <xdr:rowOff>142875</xdr:rowOff>
    </xdr:from>
    <xdr:to>
      <xdr:col>1</xdr:col>
      <xdr:colOff>57150</xdr:colOff>
      <xdr:row>158</xdr:row>
      <xdr:rowOff>76200</xdr:rowOff>
    </xdr:to>
    <xdr:sp macro="" textlink="">
      <xdr:nvSpPr>
        <xdr:cNvPr id="574" name="Flowchart: Merge 573"/>
        <xdr:cNvSpPr/>
      </xdr:nvSpPr>
      <xdr:spPr bwMode="auto">
        <a:xfrm>
          <a:off x="571500" y="16411575"/>
          <a:ext cx="95250" cy="9525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</xdr:col>
      <xdr:colOff>218282</xdr:colOff>
      <xdr:row>158</xdr:row>
      <xdr:rowOff>86519</xdr:rowOff>
    </xdr:from>
    <xdr:to>
      <xdr:col>1</xdr:col>
      <xdr:colOff>219870</xdr:colOff>
      <xdr:row>162</xdr:row>
      <xdr:rowOff>19844</xdr:rowOff>
    </xdr:to>
    <xdr:cxnSp macro="">
      <xdr:nvCxnSpPr>
        <xdr:cNvPr id="576" name="Straight Arrow Connector 575"/>
        <xdr:cNvCxnSpPr/>
      </xdr:nvCxnSpPr>
      <xdr:spPr bwMode="auto">
        <a:xfrm rot="5400000">
          <a:off x="519113" y="16463963"/>
          <a:ext cx="619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608807</xdr:colOff>
      <xdr:row>160</xdr:row>
      <xdr:rowOff>124618</xdr:rowOff>
    </xdr:from>
    <xdr:to>
      <xdr:col>4</xdr:col>
      <xdr:colOff>795</xdr:colOff>
      <xdr:row>162</xdr:row>
      <xdr:rowOff>793</xdr:rowOff>
    </xdr:to>
    <xdr:cxnSp macro="">
      <xdr:nvCxnSpPr>
        <xdr:cNvPr id="578" name="Straight Arrow Connector 577"/>
        <xdr:cNvCxnSpPr>
          <a:endCxn id="471" idx="1"/>
        </xdr:cNvCxnSpPr>
      </xdr:nvCxnSpPr>
      <xdr:spPr bwMode="auto">
        <a:xfrm rot="5400000">
          <a:off x="2338388" y="16654462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3</xdr:col>
      <xdr:colOff>561975</xdr:colOff>
      <xdr:row>159</xdr:row>
      <xdr:rowOff>85725</xdr:rowOff>
    </xdr:from>
    <xdr:to>
      <xdr:col>5</xdr:col>
      <xdr:colOff>152400</xdr:colOff>
      <xdr:row>159</xdr:row>
      <xdr:rowOff>87313</xdr:rowOff>
    </xdr:to>
    <xdr:cxnSp macro="">
      <xdr:nvCxnSpPr>
        <xdr:cNvPr id="580" name="Straight Arrow Connector 579"/>
        <xdr:cNvCxnSpPr/>
      </xdr:nvCxnSpPr>
      <xdr:spPr bwMode="auto">
        <a:xfrm>
          <a:off x="2390775" y="16316325"/>
          <a:ext cx="8096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504825</xdr:colOff>
      <xdr:row>338</xdr:row>
      <xdr:rowOff>0</xdr:rowOff>
    </xdr:from>
    <xdr:to>
      <xdr:col>7</xdr:col>
      <xdr:colOff>104775</xdr:colOff>
      <xdr:row>338</xdr:row>
      <xdr:rowOff>2</xdr:rowOff>
    </xdr:to>
    <xdr:cxnSp macro="">
      <xdr:nvCxnSpPr>
        <xdr:cNvPr id="545" name="Straight Arrow Connector 544"/>
        <xdr:cNvCxnSpPr/>
      </xdr:nvCxnSpPr>
      <xdr:spPr bwMode="auto">
        <a:xfrm>
          <a:off x="3552825" y="38919150"/>
          <a:ext cx="2095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8734</xdr:colOff>
      <xdr:row>338</xdr:row>
      <xdr:rowOff>797</xdr:rowOff>
    </xdr:from>
    <xdr:to>
      <xdr:col>7</xdr:col>
      <xdr:colOff>10322</xdr:colOff>
      <xdr:row>339</xdr:row>
      <xdr:rowOff>153197</xdr:rowOff>
    </xdr:to>
    <xdr:cxnSp macro="">
      <xdr:nvCxnSpPr>
        <xdr:cNvPr id="554" name="Straight Arrow Connector 553"/>
        <xdr:cNvCxnSpPr/>
      </xdr:nvCxnSpPr>
      <xdr:spPr bwMode="auto">
        <a:xfrm rot="16200000" flipH="1">
          <a:off x="3509965" y="39076316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313532</xdr:colOff>
      <xdr:row>337</xdr:row>
      <xdr:rowOff>190502</xdr:rowOff>
    </xdr:from>
    <xdr:to>
      <xdr:col>1</xdr:col>
      <xdr:colOff>314326</xdr:colOff>
      <xdr:row>340</xdr:row>
      <xdr:rowOff>794</xdr:rowOff>
    </xdr:to>
    <xdr:cxnSp macro="">
      <xdr:nvCxnSpPr>
        <xdr:cNvPr id="558" name="Straight Arrow Connector 557"/>
        <xdr:cNvCxnSpPr/>
      </xdr:nvCxnSpPr>
      <xdr:spPr bwMode="auto">
        <a:xfrm rot="5400000">
          <a:off x="756445" y="44781789"/>
          <a:ext cx="334167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2</xdr:col>
      <xdr:colOff>266701</xdr:colOff>
      <xdr:row>502</xdr:row>
      <xdr:rowOff>142875</xdr:rowOff>
    </xdr:from>
    <xdr:to>
      <xdr:col>3</xdr:col>
      <xdr:colOff>85728</xdr:colOff>
      <xdr:row>503</xdr:row>
      <xdr:rowOff>95250</xdr:rowOff>
    </xdr:to>
    <xdr:cxnSp macro="">
      <xdr:nvCxnSpPr>
        <xdr:cNvPr id="550" name="Straight Connector 549"/>
        <xdr:cNvCxnSpPr/>
      </xdr:nvCxnSpPr>
      <xdr:spPr bwMode="auto">
        <a:xfrm rot="10800000">
          <a:off x="1485901" y="43815000"/>
          <a:ext cx="428627" cy="11430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266701</xdr:colOff>
      <xdr:row>503</xdr:row>
      <xdr:rowOff>38100</xdr:rowOff>
    </xdr:from>
    <xdr:to>
      <xdr:col>2</xdr:col>
      <xdr:colOff>438151</xdr:colOff>
      <xdr:row>504</xdr:row>
      <xdr:rowOff>76202</xdr:rowOff>
    </xdr:to>
    <xdr:cxnSp macro="">
      <xdr:nvCxnSpPr>
        <xdr:cNvPr id="556" name="Straight Arrow Connector 555"/>
        <xdr:cNvCxnSpPr/>
      </xdr:nvCxnSpPr>
      <xdr:spPr bwMode="auto">
        <a:xfrm rot="5400000" flipH="1" flipV="1">
          <a:off x="862012" y="41752839"/>
          <a:ext cx="200027" cy="1714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504031</xdr:colOff>
      <xdr:row>506</xdr:row>
      <xdr:rowOff>794</xdr:rowOff>
    </xdr:from>
    <xdr:to>
      <xdr:col>2</xdr:col>
      <xdr:colOff>505619</xdr:colOff>
      <xdr:row>508</xdr:row>
      <xdr:rowOff>794</xdr:rowOff>
    </xdr:to>
    <xdr:cxnSp macro="">
      <xdr:nvCxnSpPr>
        <xdr:cNvPr id="561" name="Straight Connector 560"/>
        <xdr:cNvCxnSpPr/>
      </xdr:nvCxnSpPr>
      <xdr:spPr bwMode="auto">
        <a:xfrm rot="5400000">
          <a:off x="952500" y="43024425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504825</xdr:colOff>
      <xdr:row>507</xdr:row>
      <xdr:rowOff>19050</xdr:rowOff>
    </xdr:from>
    <xdr:to>
      <xdr:col>3</xdr:col>
      <xdr:colOff>542925</xdr:colOff>
      <xdr:row>507</xdr:row>
      <xdr:rowOff>20638</xdr:rowOff>
    </xdr:to>
    <xdr:cxnSp macro="">
      <xdr:nvCxnSpPr>
        <xdr:cNvPr id="564" name="Straight Arrow Connector 563"/>
        <xdr:cNvCxnSpPr/>
      </xdr:nvCxnSpPr>
      <xdr:spPr bwMode="auto">
        <a:xfrm>
          <a:off x="1114425" y="42367200"/>
          <a:ext cx="647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608807</xdr:colOff>
      <xdr:row>506</xdr:row>
      <xdr:rowOff>48418</xdr:rowOff>
    </xdr:from>
    <xdr:to>
      <xdr:col>4</xdr:col>
      <xdr:colOff>795</xdr:colOff>
      <xdr:row>507</xdr:row>
      <xdr:rowOff>48418</xdr:rowOff>
    </xdr:to>
    <xdr:cxnSp macro="">
      <xdr:nvCxnSpPr>
        <xdr:cNvPr id="579" name="Straight Connector 578"/>
        <xdr:cNvCxnSpPr>
          <a:endCxn id="114" idx="0"/>
        </xdr:cNvCxnSpPr>
      </xdr:nvCxnSpPr>
      <xdr:spPr bwMode="auto">
        <a:xfrm rot="5400000">
          <a:off x="1747838" y="42991087"/>
          <a:ext cx="1619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</xdr:colOff>
      <xdr:row>506</xdr:row>
      <xdr:rowOff>48418</xdr:rowOff>
    </xdr:from>
    <xdr:to>
      <xdr:col>6</xdr:col>
      <xdr:colOff>797</xdr:colOff>
      <xdr:row>508</xdr:row>
      <xdr:rowOff>133349</xdr:rowOff>
    </xdr:to>
    <xdr:cxnSp macro="">
      <xdr:nvCxnSpPr>
        <xdr:cNvPr id="582" name="Straight Connector 581"/>
        <xdr:cNvCxnSpPr/>
      </xdr:nvCxnSpPr>
      <xdr:spPr bwMode="auto">
        <a:xfrm rot="5400000">
          <a:off x="2844008" y="43114911"/>
          <a:ext cx="408781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438150</xdr:colOff>
      <xdr:row>501</xdr:row>
      <xdr:rowOff>9525</xdr:rowOff>
    </xdr:from>
    <xdr:to>
      <xdr:col>6</xdr:col>
      <xdr:colOff>95250</xdr:colOff>
      <xdr:row>503</xdr:row>
      <xdr:rowOff>66677</xdr:rowOff>
    </xdr:to>
    <xdr:cxnSp macro="">
      <xdr:nvCxnSpPr>
        <xdr:cNvPr id="584" name="Straight Arrow Connector 583"/>
        <xdr:cNvCxnSpPr/>
      </xdr:nvCxnSpPr>
      <xdr:spPr bwMode="auto">
        <a:xfrm rot="5400000" flipH="1" flipV="1">
          <a:off x="2819399" y="42119551"/>
          <a:ext cx="381002" cy="266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342106</xdr:colOff>
      <xdr:row>506</xdr:row>
      <xdr:rowOff>19844</xdr:rowOff>
    </xdr:from>
    <xdr:to>
      <xdr:col>6</xdr:col>
      <xdr:colOff>343694</xdr:colOff>
      <xdr:row>507</xdr:row>
      <xdr:rowOff>86519</xdr:rowOff>
    </xdr:to>
    <xdr:cxnSp macro="">
      <xdr:nvCxnSpPr>
        <xdr:cNvPr id="586" name="Straight Connector 585"/>
        <xdr:cNvCxnSpPr/>
      </xdr:nvCxnSpPr>
      <xdr:spPr bwMode="auto">
        <a:xfrm rot="5400000">
          <a:off x="3276600" y="42995850"/>
          <a:ext cx="228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494507</xdr:colOff>
      <xdr:row>507</xdr:row>
      <xdr:rowOff>794</xdr:rowOff>
    </xdr:from>
    <xdr:to>
      <xdr:col>7</xdr:col>
      <xdr:colOff>496095</xdr:colOff>
      <xdr:row>508</xdr:row>
      <xdr:rowOff>96044</xdr:rowOff>
    </xdr:to>
    <xdr:cxnSp macro="">
      <xdr:nvCxnSpPr>
        <xdr:cNvPr id="588" name="Straight Connector 587"/>
        <xdr:cNvCxnSpPr/>
      </xdr:nvCxnSpPr>
      <xdr:spPr bwMode="auto">
        <a:xfrm rot="5400000">
          <a:off x="4024313" y="43153013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257969</xdr:colOff>
      <xdr:row>503</xdr:row>
      <xdr:rowOff>67470</xdr:rowOff>
    </xdr:from>
    <xdr:to>
      <xdr:col>5</xdr:col>
      <xdr:colOff>561975</xdr:colOff>
      <xdr:row>503</xdr:row>
      <xdr:rowOff>76201</xdr:rowOff>
    </xdr:to>
    <xdr:cxnSp macro="">
      <xdr:nvCxnSpPr>
        <xdr:cNvPr id="592" name="Straight Connector 591"/>
        <xdr:cNvCxnSpPr/>
      </xdr:nvCxnSpPr>
      <xdr:spPr bwMode="auto">
        <a:xfrm rot="10800000">
          <a:off x="2696369" y="42444195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506</xdr:row>
      <xdr:rowOff>114300</xdr:rowOff>
    </xdr:from>
    <xdr:to>
      <xdr:col>6</xdr:col>
      <xdr:colOff>352425</xdr:colOff>
      <xdr:row>506</xdr:row>
      <xdr:rowOff>123825</xdr:rowOff>
    </xdr:to>
    <xdr:cxnSp macro="">
      <xdr:nvCxnSpPr>
        <xdr:cNvPr id="596" name="Straight Arrow Connector 595"/>
        <xdr:cNvCxnSpPr/>
      </xdr:nvCxnSpPr>
      <xdr:spPr bwMode="auto">
        <a:xfrm>
          <a:off x="3648075" y="42976800"/>
          <a:ext cx="3619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25</xdr:col>
      <xdr:colOff>0</xdr:colOff>
      <xdr:row>215</xdr:row>
      <xdr:rowOff>76201</xdr:rowOff>
    </xdr:from>
    <xdr:to>
      <xdr:col>25</xdr:col>
      <xdr:colOff>9525</xdr:colOff>
      <xdr:row>217</xdr:row>
      <xdr:rowOff>1</xdr:rowOff>
    </xdr:to>
    <xdr:cxnSp macro="">
      <xdr:nvCxnSpPr>
        <xdr:cNvPr id="560" name="Straight Arrow Connector 559"/>
        <xdr:cNvCxnSpPr/>
      </xdr:nvCxnSpPr>
      <xdr:spPr bwMode="auto">
        <a:xfrm rot="5400000">
          <a:off x="2319338" y="13435013"/>
          <a:ext cx="2476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3</xdr:col>
      <xdr:colOff>304801</xdr:colOff>
      <xdr:row>468</xdr:row>
      <xdr:rowOff>161924</xdr:rowOff>
    </xdr:from>
    <xdr:to>
      <xdr:col>3</xdr:col>
      <xdr:colOff>419101</xdr:colOff>
      <xdr:row>469</xdr:row>
      <xdr:rowOff>9524</xdr:rowOff>
    </xdr:to>
    <xdr:cxnSp macro="">
      <xdr:nvCxnSpPr>
        <xdr:cNvPr id="566" name="Straight Connector 565"/>
        <xdr:cNvCxnSpPr>
          <a:stCxn id="134" idx="0"/>
          <a:endCxn id="135" idx="0"/>
        </xdr:cNvCxnSpPr>
      </xdr:nvCxnSpPr>
      <xdr:spPr bwMode="auto">
        <a:xfrm rot="16200000" flipH="1">
          <a:off x="4014788" y="44581762"/>
          <a:ext cx="9525" cy="1143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466726</xdr:colOff>
      <xdr:row>469</xdr:row>
      <xdr:rowOff>57149</xdr:rowOff>
    </xdr:from>
    <xdr:to>
      <xdr:col>4</xdr:col>
      <xdr:colOff>561976</xdr:colOff>
      <xdr:row>469</xdr:row>
      <xdr:rowOff>66674</xdr:rowOff>
    </xdr:to>
    <xdr:cxnSp macro="">
      <xdr:nvCxnSpPr>
        <xdr:cNvPr id="571" name="Straight Connector 570"/>
        <xdr:cNvCxnSpPr>
          <a:stCxn id="136" idx="0"/>
          <a:endCxn id="137" idx="0"/>
        </xdr:cNvCxnSpPr>
      </xdr:nvCxnSpPr>
      <xdr:spPr bwMode="auto">
        <a:xfrm rot="16200000" flipH="1">
          <a:off x="4776788" y="63117412"/>
          <a:ext cx="9525" cy="952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400051</xdr:colOff>
      <xdr:row>467</xdr:row>
      <xdr:rowOff>114300</xdr:rowOff>
    </xdr:from>
    <xdr:to>
      <xdr:col>3</xdr:col>
      <xdr:colOff>600076</xdr:colOff>
      <xdr:row>468</xdr:row>
      <xdr:rowOff>161924</xdr:rowOff>
    </xdr:to>
    <xdr:cxnSp macro="">
      <xdr:nvCxnSpPr>
        <xdr:cNvPr id="575" name="Straight Arrow Connector 574"/>
        <xdr:cNvCxnSpPr/>
      </xdr:nvCxnSpPr>
      <xdr:spPr bwMode="auto">
        <a:xfrm rot="5400000">
          <a:off x="4052889" y="44429362"/>
          <a:ext cx="209549" cy="2000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504032</xdr:colOff>
      <xdr:row>467</xdr:row>
      <xdr:rowOff>85728</xdr:rowOff>
    </xdr:from>
    <xdr:to>
      <xdr:col>2</xdr:col>
      <xdr:colOff>0</xdr:colOff>
      <xdr:row>469</xdr:row>
      <xdr:rowOff>796</xdr:rowOff>
    </xdr:to>
    <xdr:cxnSp macro="">
      <xdr:nvCxnSpPr>
        <xdr:cNvPr id="583" name="Straight Arrow Connector 582"/>
        <xdr:cNvCxnSpPr/>
      </xdr:nvCxnSpPr>
      <xdr:spPr bwMode="auto">
        <a:xfrm rot="5400000">
          <a:off x="2875757" y="51292128"/>
          <a:ext cx="238918" cy="10556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142877</xdr:colOff>
      <xdr:row>467</xdr:row>
      <xdr:rowOff>95253</xdr:rowOff>
    </xdr:from>
    <xdr:to>
      <xdr:col>5</xdr:col>
      <xdr:colOff>600076</xdr:colOff>
      <xdr:row>469</xdr:row>
      <xdr:rowOff>95251</xdr:rowOff>
    </xdr:to>
    <xdr:cxnSp macro="">
      <xdr:nvCxnSpPr>
        <xdr:cNvPr id="587" name="Straight Arrow Connector 586"/>
        <xdr:cNvCxnSpPr/>
      </xdr:nvCxnSpPr>
      <xdr:spPr bwMode="auto">
        <a:xfrm rot="10800000" flipV="1">
          <a:off x="3190877" y="76638153"/>
          <a:ext cx="457199" cy="32384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22</xdr:col>
      <xdr:colOff>600074</xdr:colOff>
      <xdr:row>212</xdr:row>
      <xdr:rowOff>66675</xdr:rowOff>
    </xdr:from>
    <xdr:to>
      <xdr:col>22</xdr:col>
      <xdr:colOff>609599</xdr:colOff>
      <xdr:row>215</xdr:row>
      <xdr:rowOff>0</xdr:rowOff>
    </xdr:to>
    <xdr:cxnSp macro="">
      <xdr:nvCxnSpPr>
        <xdr:cNvPr id="562" name="Straight Arrow Connector 561"/>
        <xdr:cNvCxnSpPr/>
      </xdr:nvCxnSpPr>
      <xdr:spPr bwMode="auto">
        <a:xfrm rot="16200000" flipH="1">
          <a:off x="1004887" y="13187362"/>
          <a:ext cx="4191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22</xdr:col>
      <xdr:colOff>466725</xdr:colOff>
      <xdr:row>215</xdr:row>
      <xdr:rowOff>0</xdr:rowOff>
    </xdr:from>
    <xdr:to>
      <xdr:col>23</xdr:col>
      <xdr:colOff>171450</xdr:colOff>
      <xdr:row>215</xdr:row>
      <xdr:rowOff>1588</xdr:rowOff>
    </xdr:to>
    <xdr:cxnSp macro="">
      <xdr:nvCxnSpPr>
        <xdr:cNvPr id="577" name="Straight Connector 576"/>
        <xdr:cNvCxnSpPr/>
      </xdr:nvCxnSpPr>
      <xdr:spPr bwMode="auto">
        <a:xfrm>
          <a:off x="1076325" y="13401675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22</xdr:col>
      <xdr:colOff>514350</xdr:colOff>
      <xdr:row>212</xdr:row>
      <xdr:rowOff>76200</xdr:rowOff>
    </xdr:from>
    <xdr:to>
      <xdr:col>23</xdr:col>
      <xdr:colOff>142875</xdr:colOff>
      <xdr:row>212</xdr:row>
      <xdr:rowOff>77788</xdr:rowOff>
    </xdr:to>
    <xdr:cxnSp macro="">
      <xdr:nvCxnSpPr>
        <xdr:cNvPr id="585" name="Straight Connector 584"/>
        <xdr:cNvCxnSpPr/>
      </xdr:nvCxnSpPr>
      <xdr:spPr bwMode="auto">
        <a:xfrm>
          <a:off x="1123950" y="12992100"/>
          <a:ext cx="2381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505</xdr:row>
      <xdr:rowOff>152400</xdr:rowOff>
    </xdr:from>
    <xdr:to>
      <xdr:col>7</xdr:col>
      <xdr:colOff>504825</xdr:colOff>
      <xdr:row>506</xdr:row>
      <xdr:rowOff>1</xdr:rowOff>
    </xdr:to>
    <xdr:cxnSp macro="">
      <xdr:nvCxnSpPr>
        <xdr:cNvPr id="568" name="Straight Connector 567"/>
        <xdr:cNvCxnSpPr/>
      </xdr:nvCxnSpPr>
      <xdr:spPr bwMode="auto">
        <a:xfrm flipV="1">
          <a:off x="3038475" y="42852975"/>
          <a:ext cx="112395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599282</xdr:colOff>
      <xdr:row>503</xdr:row>
      <xdr:rowOff>67468</xdr:rowOff>
    </xdr:from>
    <xdr:to>
      <xdr:col>5</xdr:col>
      <xdr:colOff>600870</xdr:colOff>
      <xdr:row>506</xdr:row>
      <xdr:rowOff>10318</xdr:rowOff>
    </xdr:to>
    <xdr:cxnSp macro="">
      <xdr:nvCxnSpPr>
        <xdr:cNvPr id="589" name="Straight Connector 588"/>
        <xdr:cNvCxnSpPr/>
      </xdr:nvCxnSpPr>
      <xdr:spPr bwMode="auto">
        <a:xfrm rot="5400000">
          <a:off x="2824163" y="42657712"/>
          <a:ext cx="428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503</xdr:row>
      <xdr:rowOff>85725</xdr:rowOff>
    </xdr:from>
    <xdr:to>
      <xdr:col>6</xdr:col>
      <xdr:colOff>371475</xdr:colOff>
      <xdr:row>503</xdr:row>
      <xdr:rowOff>95250</xdr:rowOff>
    </xdr:to>
    <xdr:cxnSp macro="">
      <xdr:nvCxnSpPr>
        <xdr:cNvPr id="593" name="Straight Connector 592"/>
        <xdr:cNvCxnSpPr/>
      </xdr:nvCxnSpPr>
      <xdr:spPr bwMode="auto">
        <a:xfrm>
          <a:off x="3038475" y="42462450"/>
          <a:ext cx="3810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371475</xdr:colOff>
      <xdr:row>503</xdr:row>
      <xdr:rowOff>95250</xdr:rowOff>
    </xdr:from>
    <xdr:to>
      <xdr:col>7</xdr:col>
      <xdr:colOff>495300</xdr:colOff>
      <xdr:row>505</xdr:row>
      <xdr:rowOff>142875</xdr:rowOff>
    </xdr:to>
    <xdr:cxnSp macro="">
      <xdr:nvCxnSpPr>
        <xdr:cNvPr id="597" name="Straight Connector 596"/>
        <xdr:cNvCxnSpPr/>
      </xdr:nvCxnSpPr>
      <xdr:spPr bwMode="auto">
        <a:xfrm>
          <a:off x="3419475" y="42471975"/>
          <a:ext cx="733425" cy="3714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501</xdr:row>
      <xdr:rowOff>19051</xdr:rowOff>
    </xdr:from>
    <xdr:to>
      <xdr:col>6</xdr:col>
      <xdr:colOff>285750</xdr:colOff>
      <xdr:row>503</xdr:row>
      <xdr:rowOff>66676</xdr:rowOff>
    </xdr:to>
    <xdr:cxnSp macro="">
      <xdr:nvCxnSpPr>
        <xdr:cNvPr id="601" name="Straight Connector 600"/>
        <xdr:cNvCxnSpPr/>
      </xdr:nvCxnSpPr>
      <xdr:spPr bwMode="auto">
        <a:xfrm rot="5400000" flipH="1" flipV="1">
          <a:off x="3000375" y="42110026"/>
          <a:ext cx="37147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361947</xdr:colOff>
      <xdr:row>501</xdr:row>
      <xdr:rowOff>9526</xdr:rowOff>
    </xdr:from>
    <xdr:to>
      <xdr:col>7</xdr:col>
      <xdr:colOff>38102</xdr:colOff>
      <xdr:row>503</xdr:row>
      <xdr:rowOff>104778</xdr:rowOff>
    </xdr:to>
    <xdr:cxnSp macro="">
      <xdr:nvCxnSpPr>
        <xdr:cNvPr id="603" name="Straight Connector 602"/>
        <xdr:cNvCxnSpPr/>
      </xdr:nvCxnSpPr>
      <xdr:spPr bwMode="auto">
        <a:xfrm rot="5400000" flipH="1" flipV="1">
          <a:off x="3343274" y="42129074"/>
          <a:ext cx="419102" cy="2857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</xdr:colOff>
      <xdr:row>501</xdr:row>
      <xdr:rowOff>28575</xdr:rowOff>
    </xdr:from>
    <xdr:to>
      <xdr:col>8</xdr:col>
      <xdr:colOff>161925</xdr:colOff>
      <xdr:row>503</xdr:row>
      <xdr:rowOff>28575</xdr:rowOff>
    </xdr:to>
    <xdr:cxnSp macro="">
      <xdr:nvCxnSpPr>
        <xdr:cNvPr id="605" name="Straight Connector 604"/>
        <xdr:cNvCxnSpPr/>
      </xdr:nvCxnSpPr>
      <xdr:spPr bwMode="auto">
        <a:xfrm>
          <a:off x="3686175" y="42081450"/>
          <a:ext cx="742950" cy="3238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285750</xdr:colOff>
      <xdr:row>501</xdr:row>
      <xdr:rowOff>19050</xdr:rowOff>
    </xdr:from>
    <xdr:to>
      <xdr:col>7</xdr:col>
      <xdr:colOff>0</xdr:colOff>
      <xdr:row>501</xdr:row>
      <xdr:rowOff>19051</xdr:rowOff>
    </xdr:to>
    <xdr:cxnSp macro="">
      <xdr:nvCxnSpPr>
        <xdr:cNvPr id="606" name="Straight Connector 605"/>
        <xdr:cNvCxnSpPr/>
      </xdr:nvCxnSpPr>
      <xdr:spPr bwMode="auto">
        <a:xfrm flipV="1">
          <a:off x="3333750" y="42071925"/>
          <a:ext cx="32385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504824</xdr:colOff>
      <xdr:row>503</xdr:row>
      <xdr:rowOff>38101</xdr:rowOff>
    </xdr:from>
    <xdr:to>
      <xdr:col>8</xdr:col>
      <xdr:colOff>152399</xdr:colOff>
      <xdr:row>505</xdr:row>
      <xdr:rowOff>152401</xdr:rowOff>
    </xdr:to>
    <xdr:cxnSp macro="">
      <xdr:nvCxnSpPr>
        <xdr:cNvPr id="609" name="Straight Connector 608"/>
        <xdr:cNvCxnSpPr/>
      </xdr:nvCxnSpPr>
      <xdr:spPr bwMode="auto">
        <a:xfrm rot="5400000" flipH="1" flipV="1">
          <a:off x="4071937" y="42505313"/>
          <a:ext cx="438150" cy="2571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505619</xdr:colOff>
      <xdr:row>501</xdr:row>
      <xdr:rowOff>795</xdr:rowOff>
    </xdr:from>
    <xdr:to>
      <xdr:col>6</xdr:col>
      <xdr:colOff>200025</xdr:colOff>
      <xdr:row>501</xdr:row>
      <xdr:rowOff>9526</xdr:rowOff>
    </xdr:to>
    <xdr:cxnSp macro="">
      <xdr:nvCxnSpPr>
        <xdr:cNvPr id="627" name="Straight Connector 626"/>
        <xdr:cNvCxnSpPr/>
      </xdr:nvCxnSpPr>
      <xdr:spPr bwMode="auto">
        <a:xfrm rot="10800000">
          <a:off x="2944019" y="42053670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248444</xdr:colOff>
      <xdr:row>505</xdr:row>
      <xdr:rowOff>143670</xdr:rowOff>
    </xdr:from>
    <xdr:to>
      <xdr:col>5</xdr:col>
      <xdr:colOff>552450</xdr:colOff>
      <xdr:row>505</xdr:row>
      <xdr:rowOff>152401</xdr:rowOff>
    </xdr:to>
    <xdr:cxnSp macro="">
      <xdr:nvCxnSpPr>
        <xdr:cNvPr id="628" name="Straight Connector 627"/>
        <xdr:cNvCxnSpPr/>
      </xdr:nvCxnSpPr>
      <xdr:spPr bwMode="auto">
        <a:xfrm rot="10800000">
          <a:off x="2686844" y="42844245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438154</xdr:colOff>
      <xdr:row>503</xdr:row>
      <xdr:rowOff>66675</xdr:rowOff>
    </xdr:from>
    <xdr:to>
      <xdr:col>5</xdr:col>
      <xdr:colOff>447680</xdr:colOff>
      <xdr:row>506</xdr:row>
      <xdr:rowOff>1</xdr:rowOff>
    </xdr:to>
    <xdr:cxnSp macro="">
      <xdr:nvCxnSpPr>
        <xdr:cNvPr id="631" name="Straight Arrow Connector 630"/>
        <xdr:cNvCxnSpPr/>
      </xdr:nvCxnSpPr>
      <xdr:spPr bwMode="auto">
        <a:xfrm rot="5400000" flipH="1" flipV="1">
          <a:off x="2671766" y="42648188"/>
          <a:ext cx="419101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600075</xdr:colOff>
      <xdr:row>507</xdr:row>
      <xdr:rowOff>152400</xdr:rowOff>
    </xdr:from>
    <xdr:to>
      <xdr:col>7</xdr:col>
      <xdr:colOff>495300</xdr:colOff>
      <xdr:row>508</xdr:row>
      <xdr:rowOff>0</xdr:rowOff>
    </xdr:to>
    <xdr:cxnSp macro="">
      <xdr:nvCxnSpPr>
        <xdr:cNvPr id="640" name="Straight Arrow Connector 639"/>
        <xdr:cNvCxnSpPr/>
      </xdr:nvCxnSpPr>
      <xdr:spPr bwMode="auto">
        <a:xfrm flipV="1">
          <a:off x="3038475" y="43176825"/>
          <a:ext cx="1114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med"/>
          <a:tailEnd type="triangle" w="sm" len="med"/>
        </a:ln>
        <a:effectLst/>
      </xdr:spPr>
    </xdr:cxnSp>
    <xdr:clientData/>
  </xdr:twoCellAnchor>
  <xdr:twoCellAnchor>
    <xdr:from>
      <xdr:col>7</xdr:col>
      <xdr:colOff>1</xdr:colOff>
      <xdr:row>496</xdr:row>
      <xdr:rowOff>48418</xdr:rowOff>
    </xdr:from>
    <xdr:to>
      <xdr:col>7</xdr:col>
      <xdr:colOff>797</xdr:colOff>
      <xdr:row>498</xdr:row>
      <xdr:rowOff>133349</xdr:rowOff>
    </xdr:to>
    <xdr:cxnSp macro="">
      <xdr:nvCxnSpPr>
        <xdr:cNvPr id="645" name="Straight Connector 644"/>
        <xdr:cNvCxnSpPr/>
      </xdr:nvCxnSpPr>
      <xdr:spPr bwMode="auto">
        <a:xfrm rot="5400000">
          <a:off x="2844008" y="43114911"/>
          <a:ext cx="408781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438150</xdr:colOff>
      <xdr:row>491</xdr:row>
      <xdr:rowOff>9525</xdr:rowOff>
    </xdr:from>
    <xdr:to>
      <xdr:col>7</xdr:col>
      <xdr:colOff>95250</xdr:colOff>
      <xdr:row>493</xdr:row>
      <xdr:rowOff>66677</xdr:rowOff>
    </xdr:to>
    <xdr:cxnSp macro="">
      <xdr:nvCxnSpPr>
        <xdr:cNvPr id="646" name="Straight Arrow Connector 645"/>
        <xdr:cNvCxnSpPr/>
      </xdr:nvCxnSpPr>
      <xdr:spPr bwMode="auto">
        <a:xfrm rot="5400000" flipH="1" flipV="1">
          <a:off x="2819399" y="42119551"/>
          <a:ext cx="381002" cy="266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342106</xdr:colOff>
      <xdr:row>496</xdr:row>
      <xdr:rowOff>19844</xdr:rowOff>
    </xdr:from>
    <xdr:to>
      <xdr:col>7</xdr:col>
      <xdr:colOff>343694</xdr:colOff>
      <xdr:row>497</xdr:row>
      <xdr:rowOff>86519</xdr:rowOff>
    </xdr:to>
    <xdr:cxnSp macro="">
      <xdr:nvCxnSpPr>
        <xdr:cNvPr id="647" name="Straight Connector 646"/>
        <xdr:cNvCxnSpPr/>
      </xdr:nvCxnSpPr>
      <xdr:spPr bwMode="auto">
        <a:xfrm rot="5400000">
          <a:off x="3276600" y="42995850"/>
          <a:ext cx="228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494507</xdr:colOff>
      <xdr:row>497</xdr:row>
      <xdr:rowOff>794</xdr:rowOff>
    </xdr:from>
    <xdr:to>
      <xdr:col>8</xdr:col>
      <xdr:colOff>496095</xdr:colOff>
      <xdr:row>498</xdr:row>
      <xdr:rowOff>96044</xdr:rowOff>
    </xdr:to>
    <xdr:cxnSp macro="">
      <xdr:nvCxnSpPr>
        <xdr:cNvPr id="648" name="Straight Connector 647"/>
        <xdr:cNvCxnSpPr/>
      </xdr:nvCxnSpPr>
      <xdr:spPr bwMode="auto">
        <a:xfrm rot="5400000">
          <a:off x="4024313" y="43153013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257969</xdr:colOff>
      <xdr:row>493</xdr:row>
      <xdr:rowOff>67470</xdr:rowOff>
    </xdr:from>
    <xdr:to>
      <xdr:col>6</xdr:col>
      <xdr:colOff>561975</xdr:colOff>
      <xdr:row>493</xdr:row>
      <xdr:rowOff>76201</xdr:rowOff>
    </xdr:to>
    <xdr:cxnSp macro="">
      <xdr:nvCxnSpPr>
        <xdr:cNvPr id="649" name="Straight Connector 648"/>
        <xdr:cNvCxnSpPr/>
      </xdr:nvCxnSpPr>
      <xdr:spPr bwMode="auto">
        <a:xfrm rot="10800000">
          <a:off x="2696369" y="42444195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496</xdr:row>
      <xdr:rowOff>114300</xdr:rowOff>
    </xdr:from>
    <xdr:to>
      <xdr:col>7</xdr:col>
      <xdr:colOff>342900</xdr:colOff>
      <xdr:row>496</xdr:row>
      <xdr:rowOff>115888</xdr:rowOff>
    </xdr:to>
    <xdr:cxnSp macro="">
      <xdr:nvCxnSpPr>
        <xdr:cNvPr id="650" name="Straight Arrow Connector 649"/>
        <xdr:cNvCxnSpPr/>
      </xdr:nvCxnSpPr>
      <xdr:spPr bwMode="auto">
        <a:xfrm>
          <a:off x="1838325" y="44596050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6</xdr:col>
      <xdr:colOff>600075</xdr:colOff>
      <xdr:row>495</xdr:row>
      <xdr:rowOff>152400</xdr:rowOff>
    </xdr:from>
    <xdr:to>
      <xdr:col>8</xdr:col>
      <xdr:colOff>504825</xdr:colOff>
      <xdr:row>496</xdr:row>
      <xdr:rowOff>1</xdr:rowOff>
    </xdr:to>
    <xdr:cxnSp macro="">
      <xdr:nvCxnSpPr>
        <xdr:cNvPr id="651" name="Straight Connector 650"/>
        <xdr:cNvCxnSpPr/>
      </xdr:nvCxnSpPr>
      <xdr:spPr bwMode="auto">
        <a:xfrm flipV="1">
          <a:off x="3038475" y="42852975"/>
          <a:ext cx="112395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599282</xdr:colOff>
      <xdr:row>493</xdr:row>
      <xdr:rowOff>67468</xdr:rowOff>
    </xdr:from>
    <xdr:to>
      <xdr:col>6</xdr:col>
      <xdr:colOff>600870</xdr:colOff>
      <xdr:row>496</xdr:row>
      <xdr:rowOff>10318</xdr:rowOff>
    </xdr:to>
    <xdr:cxnSp macro="">
      <xdr:nvCxnSpPr>
        <xdr:cNvPr id="652" name="Straight Connector 651"/>
        <xdr:cNvCxnSpPr/>
      </xdr:nvCxnSpPr>
      <xdr:spPr bwMode="auto">
        <a:xfrm rot="5400000">
          <a:off x="2824163" y="42657712"/>
          <a:ext cx="428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600075</xdr:colOff>
      <xdr:row>493</xdr:row>
      <xdr:rowOff>85725</xdr:rowOff>
    </xdr:from>
    <xdr:to>
      <xdr:col>7</xdr:col>
      <xdr:colOff>371475</xdr:colOff>
      <xdr:row>493</xdr:row>
      <xdr:rowOff>95250</xdr:rowOff>
    </xdr:to>
    <xdr:cxnSp macro="">
      <xdr:nvCxnSpPr>
        <xdr:cNvPr id="653" name="Straight Connector 652"/>
        <xdr:cNvCxnSpPr/>
      </xdr:nvCxnSpPr>
      <xdr:spPr bwMode="auto">
        <a:xfrm>
          <a:off x="3038475" y="42462450"/>
          <a:ext cx="3810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371475</xdr:colOff>
      <xdr:row>493</xdr:row>
      <xdr:rowOff>95250</xdr:rowOff>
    </xdr:from>
    <xdr:to>
      <xdr:col>8</xdr:col>
      <xdr:colOff>495300</xdr:colOff>
      <xdr:row>495</xdr:row>
      <xdr:rowOff>142875</xdr:rowOff>
    </xdr:to>
    <xdr:cxnSp macro="">
      <xdr:nvCxnSpPr>
        <xdr:cNvPr id="654" name="Straight Connector 653"/>
        <xdr:cNvCxnSpPr/>
      </xdr:nvCxnSpPr>
      <xdr:spPr bwMode="auto">
        <a:xfrm>
          <a:off x="3419475" y="42471975"/>
          <a:ext cx="733425" cy="3714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600075</xdr:colOff>
      <xdr:row>491</xdr:row>
      <xdr:rowOff>19051</xdr:rowOff>
    </xdr:from>
    <xdr:to>
      <xdr:col>7</xdr:col>
      <xdr:colOff>285750</xdr:colOff>
      <xdr:row>493</xdr:row>
      <xdr:rowOff>66676</xdr:rowOff>
    </xdr:to>
    <xdr:cxnSp macro="">
      <xdr:nvCxnSpPr>
        <xdr:cNvPr id="655" name="Straight Connector 654"/>
        <xdr:cNvCxnSpPr/>
      </xdr:nvCxnSpPr>
      <xdr:spPr bwMode="auto">
        <a:xfrm rot="5400000" flipH="1" flipV="1">
          <a:off x="3000375" y="42110026"/>
          <a:ext cx="37147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361947</xdr:colOff>
      <xdr:row>491</xdr:row>
      <xdr:rowOff>9526</xdr:rowOff>
    </xdr:from>
    <xdr:to>
      <xdr:col>8</xdr:col>
      <xdr:colOff>38102</xdr:colOff>
      <xdr:row>493</xdr:row>
      <xdr:rowOff>104778</xdr:rowOff>
    </xdr:to>
    <xdr:cxnSp macro="">
      <xdr:nvCxnSpPr>
        <xdr:cNvPr id="656" name="Straight Connector 655"/>
        <xdr:cNvCxnSpPr/>
      </xdr:nvCxnSpPr>
      <xdr:spPr bwMode="auto">
        <a:xfrm rot="5400000" flipH="1" flipV="1">
          <a:off x="3343274" y="42129074"/>
          <a:ext cx="419102" cy="2857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28575</xdr:colOff>
      <xdr:row>491</xdr:row>
      <xdr:rowOff>28575</xdr:rowOff>
    </xdr:from>
    <xdr:to>
      <xdr:col>9</xdr:col>
      <xdr:colOff>200025</xdr:colOff>
      <xdr:row>492</xdr:row>
      <xdr:rowOff>104775</xdr:rowOff>
    </xdr:to>
    <xdr:cxnSp macro="">
      <xdr:nvCxnSpPr>
        <xdr:cNvPr id="657" name="Straight Connector 656"/>
        <xdr:cNvCxnSpPr/>
      </xdr:nvCxnSpPr>
      <xdr:spPr bwMode="auto">
        <a:xfrm>
          <a:off x="4905375" y="73237725"/>
          <a:ext cx="781050" cy="400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491</xdr:row>
      <xdr:rowOff>19050</xdr:rowOff>
    </xdr:from>
    <xdr:to>
      <xdr:col>8</xdr:col>
      <xdr:colOff>19050</xdr:colOff>
      <xdr:row>491</xdr:row>
      <xdr:rowOff>19052</xdr:rowOff>
    </xdr:to>
    <xdr:cxnSp macro="">
      <xdr:nvCxnSpPr>
        <xdr:cNvPr id="658" name="Straight Connector 657"/>
        <xdr:cNvCxnSpPr/>
      </xdr:nvCxnSpPr>
      <xdr:spPr bwMode="auto">
        <a:xfrm flipV="1">
          <a:off x="4552950" y="73228200"/>
          <a:ext cx="342900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504822</xdr:colOff>
      <xdr:row>492</xdr:row>
      <xdr:rowOff>123826</xdr:rowOff>
    </xdr:from>
    <xdr:to>
      <xdr:col>9</xdr:col>
      <xdr:colOff>180977</xdr:colOff>
      <xdr:row>495</xdr:row>
      <xdr:rowOff>152403</xdr:rowOff>
    </xdr:to>
    <xdr:cxnSp macro="">
      <xdr:nvCxnSpPr>
        <xdr:cNvPr id="659" name="Straight Connector 658"/>
        <xdr:cNvCxnSpPr/>
      </xdr:nvCxnSpPr>
      <xdr:spPr bwMode="auto">
        <a:xfrm rot="5400000" flipH="1" flipV="1">
          <a:off x="5267324" y="73771124"/>
          <a:ext cx="514352" cy="2857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505619</xdr:colOff>
      <xdr:row>491</xdr:row>
      <xdr:rowOff>795</xdr:rowOff>
    </xdr:from>
    <xdr:to>
      <xdr:col>7</xdr:col>
      <xdr:colOff>200025</xdr:colOff>
      <xdr:row>491</xdr:row>
      <xdr:rowOff>9526</xdr:rowOff>
    </xdr:to>
    <xdr:cxnSp macro="">
      <xdr:nvCxnSpPr>
        <xdr:cNvPr id="660" name="Straight Connector 659"/>
        <xdr:cNvCxnSpPr/>
      </xdr:nvCxnSpPr>
      <xdr:spPr bwMode="auto">
        <a:xfrm rot="10800000">
          <a:off x="2944019" y="42053670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248444</xdr:colOff>
      <xdr:row>495</xdr:row>
      <xdr:rowOff>143670</xdr:rowOff>
    </xdr:from>
    <xdr:to>
      <xdr:col>6</xdr:col>
      <xdr:colOff>552450</xdr:colOff>
      <xdr:row>495</xdr:row>
      <xdr:rowOff>152401</xdr:rowOff>
    </xdr:to>
    <xdr:cxnSp macro="">
      <xdr:nvCxnSpPr>
        <xdr:cNvPr id="661" name="Straight Connector 660"/>
        <xdr:cNvCxnSpPr/>
      </xdr:nvCxnSpPr>
      <xdr:spPr bwMode="auto">
        <a:xfrm rot="10800000">
          <a:off x="2686844" y="42844245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438154</xdr:colOff>
      <xdr:row>493</xdr:row>
      <xdr:rowOff>66675</xdr:rowOff>
    </xdr:from>
    <xdr:to>
      <xdr:col>6</xdr:col>
      <xdr:colOff>447680</xdr:colOff>
      <xdr:row>496</xdr:row>
      <xdr:rowOff>1</xdr:rowOff>
    </xdr:to>
    <xdr:cxnSp macro="">
      <xdr:nvCxnSpPr>
        <xdr:cNvPr id="662" name="Straight Arrow Connector 661"/>
        <xdr:cNvCxnSpPr/>
      </xdr:nvCxnSpPr>
      <xdr:spPr bwMode="auto">
        <a:xfrm rot="5400000" flipH="1" flipV="1">
          <a:off x="2671766" y="42648188"/>
          <a:ext cx="419101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600075</xdr:colOff>
      <xdr:row>497</xdr:row>
      <xdr:rowOff>152400</xdr:rowOff>
    </xdr:from>
    <xdr:to>
      <xdr:col>8</xdr:col>
      <xdr:colOff>495300</xdr:colOff>
      <xdr:row>498</xdr:row>
      <xdr:rowOff>0</xdr:rowOff>
    </xdr:to>
    <xdr:cxnSp macro="">
      <xdr:nvCxnSpPr>
        <xdr:cNvPr id="663" name="Straight Arrow Connector 662"/>
        <xdr:cNvCxnSpPr/>
      </xdr:nvCxnSpPr>
      <xdr:spPr bwMode="auto">
        <a:xfrm flipV="1">
          <a:off x="3038475" y="43176825"/>
          <a:ext cx="1114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med"/>
          <a:tailEnd type="triangle" w="sm" len="med"/>
        </a:ln>
        <a:effectLst/>
      </xdr:spPr>
    </xdr:cxnSp>
    <xdr:clientData/>
  </xdr:twoCellAnchor>
  <xdr:twoCellAnchor>
    <xdr:from>
      <xdr:col>1</xdr:col>
      <xdr:colOff>171450</xdr:colOff>
      <xdr:row>955</xdr:row>
      <xdr:rowOff>85725</xdr:rowOff>
    </xdr:from>
    <xdr:to>
      <xdr:col>2</xdr:col>
      <xdr:colOff>142875</xdr:colOff>
      <xdr:row>957</xdr:row>
      <xdr:rowOff>9525</xdr:rowOff>
    </xdr:to>
    <xdr:sp macro="" textlink="">
      <xdr:nvSpPr>
        <xdr:cNvPr id="581" name="Line 15"/>
        <xdr:cNvSpPr>
          <a:spLocks noChangeShapeType="1"/>
        </xdr:cNvSpPr>
      </xdr:nvSpPr>
      <xdr:spPr bwMode="auto">
        <a:xfrm>
          <a:off x="1390650" y="45691425"/>
          <a:ext cx="676275" cy="24765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133350</xdr:colOff>
      <xdr:row>956</xdr:row>
      <xdr:rowOff>114513</xdr:rowOff>
    </xdr:from>
    <xdr:to>
      <xdr:col>6</xdr:col>
      <xdr:colOff>97921</xdr:colOff>
      <xdr:row>956</xdr:row>
      <xdr:rowOff>160232</xdr:rowOff>
    </xdr:to>
    <xdr:sp macro="" textlink="">
      <xdr:nvSpPr>
        <xdr:cNvPr id="590" name="Line 17"/>
        <xdr:cNvSpPr>
          <a:spLocks noChangeShapeType="1"/>
        </xdr:cNvSpPr>
      </xdr:nvSpPr>
      <xdr:spPr bwMode="auto">
        <a:xfrm flipV="1">
          <a:off x="1352906" y="117966359"/>
          <a:ext cx="2403683" cy="4571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171449</xdr:colOff>
      <xdr:row>953</xdr:row>
      <xdr:rowOff>133349</xdr:rowOff>
    </xdr:from>
    <xdr:to>
      <xdr:col>2</xdr:col>
      <xdr:colOff>142874</xdr:colOff>
      <xdr:row>955</xdr:row>
      <xdr:rowOff>66674</xdr:rowOff>
    </xdr:to>
    <xdr:sp macro="" textlink="">
      <xdr:nvSpPr>
        <xdr:cNvPr id="594" name="Line 20"/>
        <xdr:cNvSpPr>
          <a:spLocks noChangeShapeType="1"/>
        </xdr:cNvSpPr>
      </xdr:nvSpPr>
      <xdr:spPr bwMode="auto">
        <a:xfrm flipH="1" flipV="1">
          <a:off x="781049" y="115995449"/>
          <a:ext cx="581025" cy="285750"/>
        </a:xfrm>
        <a:prstGeom prst="line">
          <a:avLst/>
        </a:prstGeom>
        <a:noFill/>
        <a:ln w="1270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680948</xdr:colOff>
      <xdr:row>955</xdr:row>
      <xdr:rowOff>76200</xdr:rowOff>
    </xdr:from>
    <xdr:to>
      <xdr:col>6</xdr:col>
      <xdr:colOff>680948</xdr:colOff>
      <xdr:row>958</xdr:row>
      <xdr:rowOff>9525</xdr:rowOff>
    </xdr:to>
    <xdr:sp macro="" textlink="">
      <xdr:nvSpPr>
        <xdr:cNvPr id="595" name="Line 21"/>
        <xdr:cNvSpPr>
          <a:spLocks noChangeShapeType="1"/>
        </xdr:cNvSpPr>
      </xdr:nvSpPr>
      <xdr:spPr bwMode="auto">
        <a:xfrm flipH="1">
          <a:off x="4347174" y="118608535"/>
          <a:ext cx="0" cy="445518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95961</xdr:colOff>
      <xdr:row>956</xdr:row>
      <xdr:rowOff>120840</xdr:rowOff>
    </xdr:from>
    <xdr:to>
      <xdr:col>6</xdr:col>
      <xdr:colOff>409575</xdr:colOff>
      <xdr:row>958</xdr:row>
      <xdr:rowOff>9525</xdr:rowOff>
    </xdr:to>
    <xdr:sp macro="" textlink="">
      <xdr:nvSpPr>
        <xdr:cNvPr id="598" name="Line 22"/>
        <xdr:cNvSpPr>
          <a:spLocks noChangeShapeType="1"/>
        </xdr:cNvSpPr>
      </xdr:nvSpPr>
      <xdr:spPr bwMode="auto">
        <a:xfrm>
          <a:off x="3763797" y="119808862"/>
          <a:ext cx="313614" cy="215663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590550</xdr:colOff>
      <xdr:row>955</xdr:row>
      <xdr:rowOff>85725</xdr:rowOff>
    </xdr:from>
    <xdr:to>
      <xdr:col>1</xdr:col>
      <xdr:colOff>95250</xdr:colOff>
      <xdr:row>955</xdr:row>
      <xdr:rowOff>85725</xdr:rowOff>
    </xdr:to>
    <xdr:sp macro="" textlink="">
      <xdr:nvSpPr>
        <xdr:cNvPr id="602" name="Line 61"/>
        <xdr:cNvSpPr>
          <a:spLocks noChangeShapeType="1"/>
        </xdr:cNvSpPr>
      </xdr:nvSpPr>
      <xdr:spPr bwMode="auto">
        <a:xfrm flipV="1">
          <a:off x="590550" y="1075753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133350</xdr:colOff>
      <xdr:row>954</xdr:row>
      <xdr:rowOff>47625</xdr:rowOff>
    </xdr:from>
    <xdr:to>
      <xdr:col>2</xdr:col>
      <xdr:colOff>133350</xdr:colOff>
      <xdr:row>955</xdr:row>
      <xdr:rowOff>76200</xdr:rowOff>
    </xdr:to>
    <xdr:sp macro="" textlink="">
      <xdr:nvSpPr>
        <xdr:cNvPr id="604" name="Line 64"/>
        <xdr:cNvSpPr>
          <a:spLocks noChangeShapeType="1"/>
        </xdr:cNvSpPr>
      </xdr:nvSpPr>
      <xdr:spPr bwMode="auto">
        <a:xfrm flipH="1">
          <a:off x="2057400" y="4549140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0</xdr:colOff>
      <xdr:row>1071</xdr:row>
      <xdr:rowOff>0</xdr:rowOff>
    </xdr:from>
    <xdr:to>
      <xdr:col>6</xdr:col>
      <xdr:colOff>0</xdr:colOff>
      <xdr:row>1071</xdr:row>
      <xdr:rowOff>1588</xdr:rowOff>
    </xdr:to>
    <xdr:cxnSp macro="">
      <xdr:nvCxnSpPr>
        <xdr:cNvPr id="614" name="Straight Connector 613"/>
        <xdr:cNvCxnSpPr/>
      </xdr:nvCxnSpPr>
      <xdr:spPr bwMode="auto">
        <a:xfrm>
          <a:off x="609600" y="106032300"/>
          <a:ext cx="30480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1068</xdr:row>
      <xdr:rowOff>142875</xdr:rowOff>
    </xdr:from>
    <xdr:to>
      <xdr:col>7</xdr:col>
      <xdr:colOff>171450</xdr:colOff>
      <xdr:row>1071</xdr:row>
      <xdr:rowOff>1</xdr:rowOff>
    </xdr:to>
    <xdr:cxnSp macro="">
      <xdr:nvCxnSpPr>
        <xdr:cNvPr id="616" name="Straight Connector 615"/>
        <xdr:cNvCxnSpPr/>
      </xdr:nvCxnSpPr>
      <xdr:spPr bwMode="auto">
        <a:xfrm flipV="1">
          <a:off x="3657600" y="105689400"/>
          <a:ext cx="781050" cy="34290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1070</xdr:row>
      <xdr:rowOff>133350</xdr:rowOff>
    </xdr:from>
    <xdr:to>
      <xdr:col>7</xdr:col>
      <xdr:colOff>200025</xdr:colOff>
      <xdr:row>1072</xdr:row>
      <xdr:rowOff>152400</xdr:rowOff>
    </xdr:to>
    <xdr:cxnSp macro="">
      <xdr:nvCxnSpPr>
        <xdr:cNvPr id="619" name="Straight Connector 618"/>
        <xdr:cNvCxnSpPr/>
      </xdr:nvCxnSpPr>
      <xdr:spPr bwMode="auto">
        <a:xfrm rot="10800000" flipV="1">
          <a:off x="3648075" y="106003725"/>
          <a:ext cx="819150" cy="3429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600076</xdr:colOff>
      <xdr:row>1071</xdr:row>
      <xdr:rowOff>10317</xdr:rowOff>
    </xdr:from>
    <xdr:to>
      <xdr:col>1</xdr:col>
      <xdr:colOff>796</xdr:colOff>
      <xdr:row>1074</xdr:row>
      <xdr:rowOff>9527</xdr:rowOff>
    </xdr:to>
    <xdr:cxnSp macro="">
      <xdr:nvCxnSpPr>
        <xdr:cNvPr id="621" name="Straight Connector 620"/>
        <xdr:cNvCxnSpPr/>
      </xdr:nvCxnSpPr>
      <xdr:spPr bwMode="auto">
        <a:xfrm rot="5400000">
          <a:off x="362743" y="106279950"/>
          <a:ext cx="484985" cy="1032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1074</xdr:row>
      <xdr:rowOff>9525</xdr:rowOff>
    </xdr:from>
    <xdr:to>
      <xdr:col>1</xdr:col>
      <xdr:colOff>333375</xdr:colOff>
      <xdr:row>1074</xdr:row>
      <xdr:rowOff>11113</xdr:rowOff>
    </xdr:to>
    <xdr:cxnSp macro="">
      <xdr:nvCxnSpPr>
        <xdr:cNvPr id="623" name="Straight Connector 622"/>
        <xdr:cNvCxnSpPr/>
      </xdr:nvCxnSpPr>
      <xdr:spPr bwMode="auto">
        <a:xfrm>
          <a:off x="609600" y="106527600"/>
          <a:ext cx="333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333376</xdr:colOff>
      <xdr:row>1072</xdr:row>
      <xdr:rowOff>0</xdr:rowOff>
    </xdr:from>
    <xdr:to>
      <xdr:col>1</xdr:col>
      <xdr:colOff>600078</xdr:colOff>
      <xdr:row>1074</xdr:row>
      <xdr:rowOff>9526</xdr:rowOff>
    </xdr:to>
    <xdr:cxnSp macro="">
      <xdr:nvCxnSpPr>
        <xdr:cNvPr id="626" name="Straight Connector 625"/>
        <xdr:cNvCxnSpPr/>
      </xdr:nvCxnSpPr>
      <xdr:spPr bwMode="auto">
        <a:xfrm rot="5400000" flipH="1" flipV="1">
          <a:off x="909639" y="124925137"/>
          <a:ext cx="333376" cy="26670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</xdr:colOff>
      <xdr:row>1071</xdr:row>
      <xdr:rowOff>152400</xdr:rowOff>
    </xdr:from>
    <xdr:to>
      <xdr:col>6</xdr:col>
      <xdr:colOff>0</xdr:colOff>
      <xdr:row>1072</xdr:row>
      <xdr:rowOff>152400</xdr:rowOff>
    </xdr:to>
    <xdr:cxnSp macro="">
      <xdr:nvCxnSpPr>
        <xdr:cNvPr id="632" name="Straight Connector 631"/>
        <xdr:cNvCxnSpPr/>
      </xdr:nvCxnSpPr>
      <xdr:spPr bwMode="auto">
        <a:xfrm>
          <a:off x="1228725" y="106184700"/>
          <a:ext cx="2428875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180181</xdr:colOff>
      <xdr:row>1068</xdr:row>
      <xdr:rowOff>134144</xdr:rowOff>
    </xdr:from>
    <xdr:to>
      <xdr:col>7</xdr:col>
      <xdr:colOff>181769</xdr:colOff>
      <xdr:row>1070</xdr:row>
      <xdr:rowOff>134144</xdr:rowOff>
    </xdr:to>
    <xdr:cxnSp macro="">
      <xdr:nvCxnSpPr>
        <xdr:cNvPr id="637" name="Straight Connector 636"/>
        <xdr:cNvCxnSpPr/>
      </xdr:nvCxnSpPr>
      <xdr:spPr bwMode="auto">
        <a:xfrm rot="5400000">
          <a:off x="4362450" y="133130925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323850</xdr:colOff>
      <xdr:row>1069</xdr:row>
      <xdr:rowOff>0</xdr:rowOff>
    </xdr:from>
    <xdr:to>
      <xdr:col>7</xdr:col>
      <xdr:colOff>581025</xdr:colOff>
      <xdr:row>1069</xdr:row>
      <xdr:rowOff>1588</xdr:rowOff>
    </xdr:to>
    <xdr:cxnSp macro="">
      <xdr:nvCxnSpPr>
        <xdr:cNvPr id="639" name="Straight Connector 638"/>
        <xdr:cNvCxnSpPr/>
      </xdr:nvCxnSpPr>
      <xdr:spPr bwMode="auto">
        <a:xfrm>
          <a:off x="4591050" y="10570845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333375</xdr:colOff>
      <xdr:row>1071</xdr:row>
      <xdr:rowOff>0</xdr:rowOff>
    </xdr:from>
    <xdr:to>
      <xdr:col>7</xdr:col>
      <xdr:colOff>590550</xdr:colOff>
      <xdr:row>1071</xdr:row>
      <xdr:rowOff>1588</xdr:rowOff>
    </xdr:to>
    <xdr:cxnSp macro="">
      <xdr:nvCxnSpPr>
        <xdr:cNvPr id="641" name="Straight Connector 640"/>
        <xdr:cNvCxnSpPr/>
      </xdr:nvCxnSpPr>
      <xdr:spPr bwMode="auto">
        <a:xfrm>
          <a:off x="4600575" y="10603230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446882</xdr:colOff>
      <xdr:row>1069</xdr:row>
      <xdr:rowOff>10318</xdr:rowOff>
    </xdr:from>
    <xdr:to>
      <xdr:col>7</xdr:col>
      <xdr:colOff>448470</xdr:colOff>
      <xdr:row>1071</xdr:row>
      <xdr:rowOff>793</xdr:rowOff>
    </xdr:to>
    <xdr:cxnSp macro="">
      <xdr:nvCxnSpPr>
        <xdr:cNvPr id="643" name="Straight Arrow Connector 642"/>
        <xdr:cNvCxnSpPr/>
      </xdr:nvCxnSpPr>
      <xdr:spPr bwMode="auto">
        <a:xfrm rot="5400000">
          <a:off x="4557713" y="105875137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1</xdr:colOff>
      <xdr:row>1067</xdr:row>
      <xdr:rowOff>152399</xdr:rowOff>
    </xdr:from>
    <xdr:to>
      <xdr:col>6</xdr:col>
      <xdr:colOff>8735</xdr:colOff>
      <xdr:row>1071</xdr:row>
      <xdr:rowOff>792</xdr:rowOff>
    </xdr:to>
    <xdr:cxnSp macro="">
      <xdr:nvCxnSpPr>
        <xdr:cNvPr id="664" name="Straight Arrow Connector 663"/>
        <xdr:cNvCxnSpPr/>
      </xdr:nvCxnSpPr>
      <xdr:spPr bwMode="auto">
        <a:xfrm rot="16200000" flipH="1">
          <a:off x="3413921" y="122220829"/>
          <a:ext cx="496093" cy="873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608807</xdr:colOff>
      <xdr:row>1073</xdr:row>
      <xdr:rowOff>19843</xdr:rowOff>
    </xdr:from>
    <xdr:to>
      <xdr:col>6</xdr:col>
      <xdr:colOff>795</xdr:colOff>
      <xdr:row>1074</xdr:row>
      <xdr:rowOff>96043</xdr:rowOff>
    </xdr:to>
    <xdr:cxnSp macro="">
      <xdr:nvCxnSpPr>
        <xdr:cNvPr id="666" name="Straight Arrow Connector 665"/>
        <xdr:cNvCxnSpPr/>
      </xdr:nvCxnSpPr>
      <xdr:spPr bwMode="auto">
        <a:xfrm rot="5400000">
          <a:off x="3538538" y="106494262"/>
          <a:ext cx="238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1074</xdr:row>
      <xdr:rowOff>85725</xdr:rowOff>
    </xdr:from>
    <xdr:to>
      <xdr:col>6</xdr:col>
      <xdr:colOff>219075</xdr:colOff>
      <xdr:row>1074</xdr:row>
      <xdr:rowOff>87313</xdr:rowOff>
    </xdr:to>
    <xdr:cxnSp macro="">
      <xdr:nvCxnSpPr>
        <xdr:cNvPr id="668" name="Straight Connector 667"/>
        <xdr:cNvCxnSpPr/>
      </xdr:nvCxnSpPr>
      <xdr:spPr bwMode="auto">
        <a:xfrm>
          <a:off x="3657600" y="106603800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494506</xdr:colOff>
      <xdr:row>1069</xdr:row>
      <xdr:rowOff>86519</xdr:rowOff>
    </xdr:from>
    <xdr:to>
      <xdr:col>1</xdr:col>
      <xdr:colOff>496094</xdr:colOff>
      <xdr:row>1071</xdr:row>
      <xdr:rowOff>10319</xdr:rowOff>
    </xdr:to>
    <xdr:cxnSp macro="">
      <xdr:nvCxnSpPr>
        <xdr:cNvPr id="670" name="Straight Arrow Connector 669"/>
        <xdr:cNvCxnSpPr/>
      </xdr:nvCxnSpPr>
      <xdr:spPr bwMode="auto">
        <a:xfrm rot="5400000">
          <a:off x="981075" y="124615575"/>
          <a:ext cx="2476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457200</xdr:colOff>
      <xdr:row>1071</xdr:row>
      <xdr:rowOff>143671</xdr:rowOff>
    </xdr:from>
    <xdr:to>
      <xdr:col>1</xdr:col>
      <xdr:colOff>477044</xdr:colOff>
      <xdr:row>1074</xdr:row>
      <xdr:rowOff>95250</xdr:rowOff>
    </xdr:to>
    <xdr:cxnSp macro="">
      <xdr:nvCxnSpPr>
        <xdr:cNvPr id="672" name="Straight Arrow Connector 671"/>
        <xdr:cNvCxnSpPr/>
      </xdr:nvCxnSpPr>
      <xdr:spPr bwMode="auto">
        <a:xfrm rot="5400000" flipH="1" flipV="1">
          <a:off x="858045" y="125082301"/>
          <a:ext cx="437354" cy="1984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581025</xdr:colOff>
      <xdr:row>1071</xdr:row>
      <xdr:rowOff>47625</xdr:rowOff>
    </xdr:from>
    <xdr:to>
      <xdr:col>0</xdr:col>
      <xdr:colOff>190500</xdr:colOff>
      <xdr:row>1071</xdr:row>
      <xdr:rowOff>49213</xdr:rowOff>
    </xdr:to>
    <xdr:cxnSp macro="">
      <xdr:nvCxnSpPr>
        <xdr:cNvPr id="674" name="Straight Connector 673"/>
        <xdr:cNvCxnSpPr/>
      </xdr:nvCxnSpPr>
      <xdr:spPr bwMode="auto">
        <a:xfrm>
          <a:off x="1190625" y="122843925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410368</xdr:colOff>
      <xdr:row>958</xdr:row>
      <xdr:rowOff>8732</xdr:rowOff>
    </xdr:from>
    <xdr:to>
      <xdr:col>6</xdr:col>
      <xdr:colOff>681741</xdr:colOff>
      <xdr:row>958</xdr:row>
      <xdr:rowOff>10320</xdr:rowOff>
    </xdr:to>
    <xdr:cxnSp macro="">
      <xdr:nvCxnSpPr>
        <xdr:cNvPr id="676" name="Straight Connector 675"/>
        <xdr:cNvCxnSpPr>
          <a:stCxn id="598" idx="1"/>
          <a:endCxn id="595" idx="1"/>
        </xdr:cNvCxnSpPr>
      </xdr:nvCxnSpPr>
      <xdr:spPr bwMode="auto">
        <a:xfrm rot="5400000" flipH="1" flipV="1">
          <a:off x="4211487" y="118918367"/>
          <a:ext cx="1588" cy="27137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161925</xdr:colOff>
      <xdr:row>953</xdr:row>
      <xdr:rowOff>133351</xdr:rowOff>
    </xdr:from>
    <xdr:to>
      <xdr:col>1</xdr:col>
      <xdr:colOff>171450</xdr:colOff>
      <xdr:row>955</xdr:row>
      <xdr:rowOff>76201</xdr:rowOff>
    </xdr:to>
    <xdr:cxnSp macro="">
      <xdr:nvCxnSpPr>
        <xdr:cNvPr id="678" name="Straight Connector 677"/>
        <xdr:cNvCxnSpPr/>
      </xdr:nvCxnSpPr>
      <xdr:spPr bwMode="auto">
        <a:xfrm rot="5400000">
          <a:off x="642938" y="107427713"/>
          <a:ext cx="2667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561975</xdr:colOff>
      <xdr:row>953</xdr:row>
      <xdr:rowOff>114300</xdr:rowOff>
    </xdr:from>
    <xdr:to>
      <xdr:col>1</xdr:col>
      <xdr:colOff>133350</xdr:colOff>
      <xdr:row>953</xdr:row>
      <xdr:rowOff>115888</xdr:rowOff>
    </xdr:to>
    <xdr:cxnSp macro="">
      <xdr:nvCxnSpPr>
        <xdr:cNvPr id="680" name="Straight Connector 679"/>
        <xdr:cNvCxnSpPr/>
      </xdr:nvCxnSpPr>
      <xdr:spPr bwMode="auto">
        <a:xfrm>
          <a:off x="561975" y="107280075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57150</xdr:colOff>
      <xdr:row>953</xdr:row>
      <xdr:rowOff>133350</xdr:rowOff>
    </xdr:from>
    <xdr:to>
      <xdr:col>1</xdr:col>
      <xdr:colOff>57152</xdr:colOff>
      <xdr:row>955</xdr:row>
      <xdr:rowOff>66675</xdr:rowOff>
    </xdr:to>
    <xdr:cxnSp macro="">
      <xdr:nvCxnSpPr>
        <xdr:cNvPr id="682" name="Straight Arrow Connector 681"/>
        <xdr:cNvCxnSpPr/>
      </xdr:nvCxnSpPr>
      <xdr:spPr bwMode="auto">
        <a:xfrm rot="16200000" flipH="1">
          <a:off x="538163" y="107427712"/>
          <a:ext cx="25717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sm"/>
          <a:tailEnd type="triangle" w="med" len="sm"/>
        </a:ln>
        <a:effectLst/>
      </xdr:spPr>
    </xdr:cxnSp>
    <xdr:clientData/>
  </xdr:twoCellAnchor>
  <xdr:twoCellAnchor>
    <xdr:from>
      <xdr:col>2</xdr:col>
      <xdr:colOff>132557</xdr:colOff>
      <xdr:row>956</xdr:row>
      <xdr:rowOff>160233</xdr:rowOff>
    </xdr:from>
    <xdr:to>
      <xdr:col>2</xdr:col>
      <xdr:colOff>133350</xdr:colOff>
      <xdr:row>958</xdr:row>
      <xdr:rowOff>76999</xdr:rowOff>
    </xdr:to>
    <xdr:cxnSp macro="">
      <xdr:nvCxnSpPr>
        <xdr:cNvPr id="687" name="Straight Arrow Connector 686"/>
        <xdr:cNvCxnSpPr>
          <a:endCxn id="590" idx="0"/>
        </xdr:cNvCxnSpPr>
      </xdr:nvCxnSpPr>
      <xdr:spPr bwMode="auto">
        <a:xfrm rot="5400000" flipH="1" flipV="1">
          <a:off x="1233893" y="118130299"/>
          <a:ext cx="237233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133350</xdr:colOff>
      <xdr:row>958</xdr:row>
      <xdr:rowOff>66675</xdr:rowOff>
    </xdr:from>
    <xdr:to>
      <xdr:col>2</xdr:col>
      <xdr:colOff>247650</xdr:colOff>
      <xdr:row>958</xdr:row>
      <xdr:rowOff>68263</xdr:rowOff>
    </xdr:to>
    <xdr:cxnSp macro="">
      <xdr:nvCxnSpPr>
        <xdr:cNvPr id="690" name="Straight Connector 689"/>
        <xdr:cNvCxnSpPr/>
      </xdr:nvCxnSpPr>
      <xdr:spPr bwMode="auto">
        <a:xfrm>
          <a:off x="1352550" y="106156125"/>
          <a:ext cx="114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208755</xdr:colOff>
      <xdr:row>954</xdr:row>
      <xdr:rowOff>9526</xdr:rowOff>
    </xdr:from>
    <xdr:to>
      <xdr:col>6</xdr:col>
      <xdr:colOff>219074</xdr:colOff>
      <xdr:row>955</xdr:row>
      <xdr:rowOff>76995</xdr:rowOff>
    </xdr:to>
    <xdr:cxnSp macro="">
      <xdr:nvCxnSpPr>
        <xdr:cNvPr id="692" name="Straight Arrow Connector 691"/>
        <xdr:cNvCxnSpPr/>
      </xdr:nvCxnSpPr>
      <xdr:spPr bwMode="auto">
        <a:xfrm rot="5400000" flipH="1" flipV="1">
          <a:off x="3756818" y="105503663"/>
          <a:ext cx="229394" cy="1031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6</xdr:col>
      <xdr:colOff>209550</xdr:colOff>
      <xdr:row>954</xdr:row>
      <xdr:rowOff>9525</xdr:rowOff>
    </xdr:from>
    <xdr:to>
      <xdr:col>6</xdr:col>
      <xdr:colOff>600075</xdr:colOff>
      <xdr:row>954</xdr:row>
      <xdr:rowOff>9527</xdr:rowOff>
    </xdr:to>
    <xdr:cxnSp macro="">
      <xdr:nvCxnSpPr>
        <xdr:cNvPr id="694" name="Straight Connector 693"/>
        <xdr:cNvCxnSpPr/>
      </xdr:nvCxnSpPr>
      <xdr:spPr bwMode="auto">
        <a:xfrm flipV="1">
          <a:off x="3867150" y="105394125"/>
          <a:ext cx="390525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57151</xdr:colOff>
      <xdr:row>958</xdr:row>
      <xdr:rowOff>76200</xdr:rowOff>
    </xdr:from>
    <xdr:to>
      <xdr:col>5</xdr:col>
      <xdr:colOff>257176</xdr:colOff>
      <xdr:row>958</xdr:row>
      <xdr:rowOff>77788</xdr:rowOff>
    </xdr:to>
    <xdr:cxnSp macro="">
      <xdr:nvCxnSpPr>
        <xdr:cNvPr id="696" name="Straight Connector 695"/>
        <xdr:cNvCxnSpPr/>
      </xdr:nvCxnSpPr>
      <xdr:spPr bwMode="auto">
        <a:xfrm rot="10800000">
          <a:off x="2495551" y="108051600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46833</xdr:colOff>
      <xdr:row>956</xdr:row>
      <xdr:rowOff>134144</xdr:rowOff>
    </xdr:from>
    <xdr:to>
      <xdr:col>5</xdr:col>
      <xdr:colOff>48421</xdr:colOff>
      <xdr:row>958</xdr:row>
      <xdr:rowOff>86519</xdr:rowOff>
    </xdr:to>
    <xdr:cxnSp macro="">
      <xdr:nvCxnSpPr>
        <xdr:cNvPr id="698" name="Straight Arrow Connector 697"/>
        <xdr:cNvCxnSpPr/>
      </xdr:nvCxnSpPr>
      <xdr:spPr bwMode="auto">
        <a:xfrm rot="5400000" flipH="1" flipV="1">
          <a:off x="2957514" y="105979913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65881</xdr:colOff>
      <xdr:row>954</xdr:row>
      <xdr:rowOff>19844</xdr:rowOff>
    </xdr:from>
    <xdr:to>
      <xdr:col>5</xdr:col>
      <xdr:colOff>67469</xdr:colOff>
      <xdr:row>955</xdr:row>
      <xdr:rowOff>86519</xdr:rowOff>
    </xdr:to>
    <xdr:cxnSp macro="">
      <xdr:nvCxnSpPr>
        <xdr:cNvPr id="700" name="Straight Arrow Connector 699"/>
        <xdr:cNvCxnSpPr/>
      </xdr:nvCxnSpPr>
      <xdr:spPr bwMode="auto">
        <a:xfrm rot="5400000" flipH="1" flipV="1">
          <a:off x="3000375" y="105517950"/>
          <a:ext cx="228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3</xdr:col>
      <xdr:colOff>352428</xdr:colOff>
      <xdr:row>1068</xdr:row>
      <xdr:rowOff>38100</xdr:rowOff>
    </xdr:from>
    <xdr:to>
      <xdr:col>3</xdr:col>
      <xdr:colOff>361157</xdr:colOff>
      <xdr:row>1071</xdr:row>
      <xdr:rowOff>795</xdr:rowOff>
    </xdr:to>
    <xdr:cxnSp macro="">
      <xdr:nvCxnSpPr>
        <xdr:cNvPr id="701" name="Straight Arrow Connector 700"/>
        <xdr:cNvCxnSpPr/>
      </xdr:nvCxnSpPr>
      <xdr:spPr bwMode="auto">
        <a:xfrm rot="16200000" flipV="1">
          <a:off x="1961358" y="122244645"/>
          <a:ext cx="448470" cy="872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3</xdr:col>
      <xdr:colOff>361160</xdr:colOff>
      <xdr:row>1072</xdr:row>
      <xdr:rowOff>67469</xdr:rowOff>
    </xdr:from>
    <xdr:to>
      <xdr:col>3</xdr:col>
      <xdr:colOff>362748</xdr:colOff>
      <xdr:row>1074</xdr:row>
      <xdr:rowOff>19844</xdr:rowOff>
    </xdr:to>
    <xdr:cxnSp macro="">
      <xdr:nvCxnSpPr>
        <xdr:cNvPr id="702" name="Straight Arrow Connector 701"/>
        <xdr:cNvCxnSpPr/>
      </xdr:nvCxnSpPr>
      <xdr:spPr bwMode="auto">
        <a:xfrm rot="5400000" flipH="1" flipV="1">
          <a:off x="2052641" y="122839163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210922</xdr:colOff>
      <xdr:row>956</xdr:row>
      <xdr:rowOff>71380</xdr:rowOff>
    </xdr:from>
    <xdr:to>
      <xdr:col>6</xdr:col>
      <xdr:colOff>218762</xdr:colOff>
      <xdr:row>958</xdr:row>
      <xdr:rowOff>150302</xdr:rowOff>
    </xdr:to>
    <xdr:cxnSp macro="">
      <xdr:nvCxnSpPr>
        <xdr:cNvPr id="712" name="Straight Arrow Connector 711"/>
        <xdr:cNvCxnSpPr/>
      </xdr:nvCxnSpPr>
      <xdr:spPr bwMode="auto">
        <a:xfrm rot="16200000" flipV="1">
          <a:off x="3679728" y="119958432"/>
          <a:ext cx="405900" cy="784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342108</xdr:colOff>
      <xdr:row>60</xdr:row>
      <xdr:rowOff>9527</xdr:rowOff>
    </xdr:from>
    <xdr:to>
      <xdr:col>8</xdr:col>
      <xdr:colOff>352426</xdr:colOff>
      <xdr:row>69</xdr:row>
      <xdr:rowOff>153193</xdr:rowOff>
    </xdr:to>
    <xdr:cxnSp macro="">
      <xdr:nvCxnSpPr>
        <xdr:cNvPr id="717" name="Straight Connector 716"/>
        <xdr:cNvCxnSpPr/>
      </xdr:nvCxnSpPr>
      <xdr:spPr bwMode="auto">
        <a:xfrm rot="5400000">
          <a:off x="4507769" y="9897734"/>
          <a:ext cx="1599374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70</xdr:row>
      <xdr:rowOff>0</xdr:rowOff>
    </xdr:from>
    <xdr:to>
      <xdr:col>8</xdr:col>
      <xdr:colOff>342900</xdr:colOff>
      <xdr:row>70</xdr:row>
      <xdr:rowOff>1588</xdr:rowOff>
    </xdr:to>
    <xdr:cxnSp macro="">
      <xdr:nvCxnSpPr>
        <xdr:cNvPr id="719" name="Straight Connector 718"/>
        <xdr:cNvCxnSpPr/>
      </xdr:nvCxnSpPr>
      <xdr:spPr bwMode="auto">
        <a:xfrm>
          <a:off x="4949226" y="10711132"/>
          <a:ext cx="353863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333376</xdr:colOff>
      <xdr:row>71</xdr:row>
      <xdr:rowOff>48418</xdr:rowOff>
    </xdr:from>
    <xdr:to>
      <xdr:col>8</xdr:col>
      <xdr:colOff>334171</xdr:colOff>
      <xdr:row>73</xdr:row>
      <xdr:rowOff>57153</xdr:rowOff>
    </xdr:to>
    <xdr:cxnSp macro="">
      <xdr:nvCxnSpPr>
        <xdr:cNvPr id="734" name="Straight Connector 733"/>
        <xdr:cNvCxnSpPr/>
      </xdr:nvCxnSpPr>
      <xdr:spPr bwMode="auto">
        <a:xfrm rot="5400000">
          <a:off x="5120481" y="10348913"/>
          <a:ext cx="332585" cy="79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0</xdr:colOff>
      <xdr:row>72</xdr:row>
      <xdr:rowOff>0</xdr:rowOff>
    </xdr:from>
    <xdr:to>
      <xdr:col>8</xdr:col>
      <xdr:colOff>333375</xdr:colOff>
      <xdr:row>72</xdr:row>
      <xdr:rowOff>1588</xdr:rowOff>
    </xdr:to>
    <xdr:cxnSp macro="">
      <xdr:nvCxnSpPr>
        <xdr:cNvPr id="736" name="Straight Arrow Connector 735"/>
        <xdr:cNvCxnSpPr/>
      </xdr:nvCxnSpPr>
      <xdr:spPr bwMode="auto">
        <a:xfrm>
          <a:off x="4953000" y="10296525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8</xdr:col>
      <xdr:colOff>495300</xdr:colOff>
      <xdr:row>62</xdr:row>
      <xdr:rowOff>152400</xdr:rowOff>
    </xdr:from>
    <xdr:to>
      <xdr:col>9</xdr:col>
      <xdr:colOff>114300</xdr:colOff>
      <xdr:row>62</xdr:row>
      <xdr:rowOff>153988</xdr:rowOff>
    </xdr:to>
    <xdr:cxnSp macro="">
      <xdr:nvCxnSpPr>
        <xdr:cNvPr id="617" name="Straight Connector 616"/>
        <xdr:cNvCxnSpPr/>
      </xdr:nvCxnSpPr>
      <xdr:spPr bwMode="auto">
        <a:xfrm>
          <a:off x="5372100" y="8201025"/>
          <a:ext cx="228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447675</xdr:colOff>
      <xdr:row>67</xdr:row>
      <xdr:rowOff>9525</xdr:rowOff>
    </xdr:from>
    <xdr:to>
      <xdr:col>9</xdr:col>
      <xdr:colOff>114300</xdr:colOff>
      <xdr:row>67</xdr:row>
      <xdr:rowOff>11113</xdr:rowOff>
    </xdr:to>
    <xdr:cxnSp macro="">
      <xdr:nvCxnSpPr>
        <xdr:cNvPr id="620" name="Straight Connector 619"/>
        <xdr:cNvCxnSpPr/>
      </xdr:nvCxnSpPr>
      <xdr:spPr bwMode="auto">
        <a:xfrm>
          <a:off x="5324475" y="8867775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7</xdr:col>
      <xdr:colOff>28575</xdr:colOff>
      <xdr:row>843</xdr:row>
      <xdr:rowOff>0</xdr:rowOff>
    </xdr:from>
    <xdr:ext cx="271613" cy="170560"/>
    <xdr:sp macro="" textlink="">
      <xdr:nvSpPr>
        <xdr:cNvPr id="618" name="Text Box 3287"/>
        <xdr:cNvSpPr txBox="1">
          <a:spLocks noChangeArrowheads="1"/>
        </xdr:cNvSpPr>
      </xdr:nvSpPr>
      <xdr:spPr bwMode="auto">
        <a:xfrm>
          <a:off x="4295775" y="96450150"/>
          <a:ext cx="271613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= 1 /</a:t>
          </a:r>
        </a:p>
      </xdr:txBody>
    </xdr:sp>
    <xdr:clientData/>
  </xdr:oneCellAnchor>
  <xdr:twoCellAnchor>
    <xdr:from>
      <xdr:col>32</xdr:col>
      <xdr:colOff>504825</xdr:colOff>
      <xdr:row>217</xdr:row>
      <xdr:rowOff>57150</xdr:rowOff>
    </xdr:from>
    <xdr:to>
      <xdr:col>32</xdr:col>
      <xdr:colOff>590550</xdr:colOff>
      <xdr:row>217</xdr:row>
      <xdr:rowOff>133350</xdr:rowOff>
    </xdr:to>
    <xdr:sp macro="" textlink="">
      <xdr:nvSpPr>
        <xdr:cNvPr id="622" name="Flowchart: Merge 621"/>
        <xdr:cNvSpPr/>
      </xdr:nvSpPr>
      <xdr:spPr bwMode="auto">
        <a:xfrm>
          <a:off x="1114425" y="12372975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32</xdr:col>
      <xdr:colOff>28575</xdr:colOff>
      <xdr:row>212</xdr:row>
      <xdr:rowOff>76200</xdr:rowOff>
    </xdr:from>
    <xdr:to>
      <xdr:col>32</xdr:col>
      <xdr:colOff>114300</xdr:colOff>
      <xdr:row>212</xdr:row>
      <xdr:rowOff>152400</xdr:rowOff>
    </xdr:to>
    <xdr:sp macro="" textlink="">
      <xdr:nvSpPr>
        <xdr:cNvPr id="625" name="Flowchart: Merge 624"/>
        <xdr:cNvSpPr/>
      </xdr:nvSpPr>
      <xdr:spPr bwMode="auto">
        <a:xfrm>
          <a:off x="638175" y="11582400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34</xdr:col>
      <xdr:colOff>76200</xdr:colOff>
      <xdr:row>214</xdr:row>
      <xdr:rowOff>57150</xdr:rowOff>
    </xdr:from>
    <xdr:to>
      <xdr:col>34</xdr:col>
      <xdr:colOff>161925</xdr:colOff>
      <xdr:row>214</xdr:row>
      <xdr:rowOff>133350</xdr:rowOff>
    </xdr:to>
    <xdr:sp macro="" textlink="">
      <xdr:nvSpPr>
        <xdr:cNvPr id="615" name="Flowchart: Merge 614"/>
        <xdr:cNvSpPr/>
      </xdr:nvSpPr>
      <xdr:spPr bwMode="auto">
        <a:xfrm>
          <a:off x="1905000" y="11887200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24</xdr:col>
      <xdr:colOff>9525</xdr:colOff>
      <xdr:row>212</xdr:row>
      <xdr:rowOff>38100</xdr:rowOff>
    </xdr:from>
    <xdr:to>
      <xdr:col>24</xdr:col>
      <xdr:colOff>76200</xdr:colOff>
      <xdr:row>212</xdr:row>
      <xdr:rowOff>123825</xdr:rowOff>
    </xdr:to>
    <xdr:sp macro="" textlink="">
      <xdr:nvSpPr>
        <xdr:cNvPr id="629" name="Flowchart: Merge 628"/>
        <xdr:cNvSpPr/>
      </xdr:nvSpPr>
      <xdr:spPr bwMode="auto">
        <a:xfrm>
          <a:off x="1838325" y="17611725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47625</xdr:colOff>
      <xdr:row>157</xdr:row>
      <xdr:rowOff>47625</xdr:rowOff>
    </xdr:from>
    <xdr:to>
      <xdr:col>3</xdr:col>
      <xdr:colOff>114300</xdr:colOff>
      <xdr:row>157</xdr:row>
      <xdr:rowOff>133350</xdr:rowOff>
    </xdr:to>
    <xdr:sp macro="" textlink="">
      <xdr:nvSpPr>
        <xdr:cNvPr id="630" name="Flowchart: Merge 629"/>
        <xdr:cNvSpPr/>
      </xdr:nvSpPr>
      <xdr:spPr bwMode="auto">
        <a:xfrm>
          <a:off x="1876425" y="2386965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95250</xdr:colOff>
      <xdr:row>197</xdr:row>
      <xdr:rowOff>9524</xdr:rowOff>
    </xdr:from>
    <xdr:to>
      <xdr:col>4</xdr:col>
      <xdr:colOff>219076</xdr:colOff>
      <xdr:row>198</xdr:row>
      <xdr:rowOff>9524</xdr:rowOff>
    </xdr:to>
    <xdr:sp macro="" textlink="">
      <xdr:nvSpPr>
        <xdr:cNvPr id="633" name="Line 1"/>
        <xdr:cNvSpPr>
          <a:spLocks noChangeShapeType="1"/>
        </xdr:cNvSpPr>
      </xdr:nvSpPr>
      <xdr:spPr bwMode="auto">
        <a:xfrm flipV="1">
          <a:off x="1924050" y="27984449"/>
          <a:ext cx="733426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504825</xdr:colOff>
      <xdr:row>197</xdr:row>
      <xdr:rowOff>0</xdr:rowOff>
    </xdr:from>
    <xdr:to>
      <xdr:col>6</xdr:col>
      <xdr:colOff>504825</xdr:colOff>
      <xdr:row>198</xdr:row>
      <xdr:rowOff>0</xdr:rowOff>
    </xdr:to>
    <xdr:sp macro="" textlink="">
      <xdr:nvSpPr>
        <xdr:cNvPr id="634" name="Line 2"/>
        <xdr:cNvSpPr>
          <a:spLocks noChangeShapeType="1"/>
        </xdr:cNvSpPr>
      </xdr:nvSpPr>
      <xdr:spPr bwMode="auto">
        <a:xfrm>
          <a:off x="3552825" y="27974925"/>
          <a:ext cx="6096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504825</xdr:colOff>
      <xdr:row>198</xdr:row>
      <xdr:rowOff>0</xdr:rowOff>
    </xdr:from>
    <xdr:to>
      <xdr:col>8</xdr:col>
      <xdr:colOff>504825</xdr:colOff>
      <xdr:row>198</xdr:row>
      <xdr:rowOff>0</xdr:rowOff>
    </xdr:to>
    <xdr:sp macro="" textlink="">
      <xdr:nvSpPr>
        <xdr:cNvPr id="635" name="Line 3"/>
        <xdr:cNvSpPr>
          <a:spLocks noChangeShapeType="1"/>
        </xdr:cNvSpPr>
      </xdr:nvSpPr>
      <xdr:spPr bwMode="auto">
        <a:xfrm>
          <a:off x="4162425" y="28136850"/>
          <a:ext cx="1295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504825</xdr:colOff>
      <xdr:row>198</xdr:row>
      <xdr:rowOff>0</xdr:rowOff>
    </xdr:from>
    <xdr:to>
      <xdr:col>8</xdr:col>
      <xdr:colOff>504825</xdr:colOff>
      <xdr:row>199</xdr:row>
      <xdr:rowOff>47625</xdr:rowOff>
    </xdr:to>
    <xdr:sp macro="" textlink="">
      <xdr:nvSpPr>
        <xdr:cNvPr id="636" name="Line 4"/>
        <xdr:cNvSpPr>
          <a:spLocks noChangeShapeType="1"/>
        </xdr:cNvSpPr>
      </xdr:nvSpPr>
      <xdr:spPr bwMode="auto">
        <a:xfrm>
          <a:off x="5457825" y="2813685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504825</xdr:colOff>
      <xdr:row>192</xdr:row>
      <xdr:rowOff>0</xdr:rowOff>
    </xdr:from>
    <xdr:to>
      <xdr:col>5</xdr:col>
      <xdr:colOff>504825</xdr:colOff>
      <xdr:row>192</xdr:row>
      <xdr:rowOff>152400</xdr:rowOff>
    </xdr:to>
    <xdr:sp macro="" textlink="">
      <xdr:nvSpPr>
        <xdr:cNvPr id="638" name="Line 5"/>
        <xdr:cNvSpPr>
          <a:spLocks noChangeShapeType="1"/>
        </xdr:cNvSpPr>
      </xdr:nvSpPr>
      <xdr:spPr bwMode="auto">
        <a:xfrm>
          <a:off x="3552825" y="271272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192</xdr:row>
      <xdr:rowOff>152400</xdr:rowOff>
    </xdr:from>
    <xdr:to>
      <xdr:col>5</xdr:col>
      <xdr:colOff>504825</xdr:colOff>
      <xdr:row>192</xdr:row>
      <xdr:rowOff>152400</xdr:rowOff>
    </xdr:to>
    <xdr:sp macro="" textlink="">
      <xdr:nvSpPr>
        <xdr:cNvPr id="642" name="Line 6"/>
        <xdr:cNvSpPr>
          <a:spLocks noChangeShapeType="1"/>
        </xdr:cNvSpPr>
      </xdr:nvSpPr>
      <xdr:spPr bwMode="auto">
        <a:xfrm flipH="1">
          <a:off x="2600325" y="27279600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161925</xdr:colOff>
      <xdr:row>191</xdr:row>
      <xdr:rowOff>152400</xdr:rowOff>
    </xdr:from>
    <xdr:to>
      <xdr:col>4</xdr:col>
      <xdr:colOff>161925</xdr:colOff>
      <xdr:row>192</xdr:row>
      <xdr:rowOff>152400</xdr:rowOff>
    </xdr:to>
    <xdr:sp macro="" textlink="">
      <xdr:nvSpPr>
        <xdr:cNvPr id="644" name="Line 7"/>
        <xdr:cNvSpPr>
          <a:spLocks noChangeShapeType="1"/>
        </xdr:cNvSpPr>
      </xdr:nvSpPr>
      <xdr:spPr bwMode="auto">
        <a:xfrm flipV="1">
          <a:off x="2600325" y="271176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485773</xdr:colOff>
      <xdr:row>192</xdr:row>
      <xdr:rowOff>152400</xdr:rowOff>
    </xdr:from>
    <xdr:to>
      <xdr:col>7</xdr:col>
      <xdr:colOff>428625</xdr:colOff>
      <xdr:row>196</xdr:row>
      <xdr:rowOff>95250</xdr:rowOff>
    </xdr:to>
    <xdr:sp macro="" textlink="">
      <xdr:nvSpPr>
        <xdr:cNvPr id="669" name="Freeform 11"/>
        <xdr:cNvSpPr>
          <a:spLocks/>
        </xdr:cNvSpPr>
      </xdr:nvSpPr>
      <xdr:spPr bwMode="auto">
        <a:xfrm flipH="1">
          <a:off x="1095373" y="27317700"/>
          <a:ext cx="3676652" cy="590550"/>
        </a:xfrm>
        <a:custGeom>
          <a:avLst/>
          <a:gdLst>
            <a:gd name="T0" fmla="*/ 0 w 367"/>
            <a:gd name="T1" fmla="*/ 2147483647 h 85"/>
            <a:gd name="T2" fmla="*/ 2147483647 w 367"/>
            <a:gd name="T3" fmla="*/ 2147483647 h 85"/>
            <a:gd name="T4" fmla="*/ 2147483647 w 367"/>
            <a:gd name="T5" fmla="*/ 2147483647 h 85"/>
            <a:gd name="T6" fmla="*/ 2147483647 w 367"/>
            <a:gd name="T7" fmla="*/ 2147483647 h 85"/>
            <a:gd name="T8" fmla="*/ 2147483647 w 367"/>
            <a:gd name="T9" fmla="*/ 2147483647 h 85"/>
            <a:gd name="T10" fmla="*/ 2147483647 w 367"/>
            <a:gd name="T11" fmla="*/ 2147483647 h 85"/>
            <a:gd name="T12" fmla="*/ 2147483647 w 367"/>
            <a:gd name="T13" fmla="*/ 2147483647 h 85"/>
            <a:gd name="T14" fmla="*/ 2147483647 w 367"/>
            <a:gd name="T15" fmla="*/ 2147483647 h 85"/>
            <a:gd name="T16" fmla="*/ 2147483647 w 367"/>
            <a:gd name="T17" fmla="*/ 2147483647 h 85"/>
            <a:gd name="T18" fmla="*/ 2147483647 w 367"/>
            <a:gd name="T19" fmla="*/ 2147483647 h 85"/>
            <a:gd name="T20" fmla="*/ 2147483647 w 367"/>
            <a:gd name="T21" fmla="*/ 2147483647 h 85"/>
            <a:gd name="T22" fmla="*/ 2147483647 w 367"/>
            <a:gd name="T23" fmla="*/ 2147483647 h 85"/>
            <a:gd name="T24" fmla="*/ 2147483647 w 367"/>
            <a:gd name="T25" fmla="*/ 2147483647 h 85"/>
            <a:gd name="T26" fmla="*/ 2147483647 w 367"/>
            <a:gd name="T27" fmla="*/ 2147483647 h 85"/>
            <a:gd name="T28" fmla="*/ 2147483647 w 367"/>
            <a:gd name="T29" fmla="*/ 2147483647 h 85"/>
            <a:gd name="T30" fmla="*/ 2147483647 w 367"/>
            <a:gd name="T31" fmla="*/ 2147483647 h 85"/>
            <a:gd name="T32" fmla="*/ 2147483647 w 367"/>
            <a:gd name="T33" fmla="*/ 2147483647 h 85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367"/>
            <a:gd name="T52" fmla="*/ 0 h 85"/>
            <a:gd name="T53" fmla="*/ 367 w 367"/>
            <a:gd name="T54" fmla="*/ 85 h 85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367" h="85">
              <a:moveTo>
                <a:pt x="0" y="2"/>
              </a:moveTo>
              <a:cubicBezTo>
                <a:pt x="18" y="2"/>
                <a:pt x="36" y="0"/>
                <a:pt x="54" y="3"/>
              </a:cubicBezTo>
              <a:cubicBezTo>
                <a:pt x="55" y="3"/>
                <a:pt x="57" y="13"/>
                <a:pt x="58" y="15"/>
              </a:cubicBezTo>
              <a:cubicBezTo>
                <a:pt x="61" y="24"/>
                <a:pt x="65" y="32"/>
                <a:pt x="73" y="37"/>
              </a:cubicBezTo>
              <a:cubicBezTo>
                <a:pt x="83" y="44"/>
                <a:pt x="91" y="43"/>
                <a:pt x="104" y="45"/>
              </a:cubicBezTo>
              <a:cubicBezTo>
                <a:pt x="109" y="46"/>
                <a:pt x="120" y="47"/>
                <a:pt x="120" y="47"/>
              </a:cubicBezTo>
              <a:cubicBezTo>
                <a:pt x="132" y="51"/>
                <a:pt x="144" y="51"/>
                <a:pt x="156" y="52"/>
              </a:cubicBezTo>
              <a:cubicBezTo>
                <a:pt x="173" y="56"/>
                <a:pt x="201" y="55"/>
                <a:pt x="215" y="55"/>
              </a:cubicBezTo>
              <a:cubicBezTo>
                <a:pt x="219" y="56"/>
                <a:pt x="223" y="57"/>
                <a:pt x="227" y="58"/>
              </a:cubicBezTo>
              <a:cubicBezTo>
                <a:pt x="230" y="59"/>
                <a:pt x="235" y="60"/>
                <a:pt x="235" y="60"/>
              </a:cubicBezTo>
              <a:cubicBezTo>
                <a:pt x="241" y="64"/>
                <a:pt x="250" y="63"/>
                <a:pt x="257" y="64"/>
              </a:cubicBezTo>
              <a:cubicBezTo>
                <a:pt x="265" y="67"/>
                <a:pt x="271" y="69"/>
                <a:pt x="278" y="74"/>
              </a:cubicBezTo>
              <a:cubicBezTo>
                <a:pt x="281" y="76"/>
                <a:pt x="287" y="79"/>
                <a:pt x="287" y="79"/>
              </a:cubicBezTo>
              <a:cubicBezTo>
                <a:pt x="291" y="85"/>
                <a:pt x="297" y="80"/>
                <a:pt x="301" y="76"/>
              </a:cubicBezTo>
              <a:cubicBezTo>
                <a:pt x="303" y="69"/>
                <a:pt x="307" y="59"/>
                <a:pt x="313" y="55"/>
              </a:cubicBezTo>
              <a:cubicBezTo>
                <a:pt x="315" y="50"/>
                <a:pt x="319" y="44"/>
                <a:pt x="324" y="41"/>
              </a:cubicBezTo>
              <a:cubicBezTo>
                <a:pt x="334" y="26"/>
                <a:pt x="353" y="28"/>
                <a:pt x="367" y="21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285750</xdr:colOff>
      <xdr:row>193</xdr:row>
      <xdr:rowOff>142875</xdr:rowOff>
    </xdr:from>
    <xdr:to>
      <xdr:col>1</xdr:col>
      <xdr:colOff>495300</xdr:colOff>
      <xdr:row>193</xdr:row>
      <xdr:rowOff>144463</xdr:rowOff>
    </xdr:to>
    <xdr:cxnSp macro="">
      <xdr:nvCxnSpPr>
        <xdr:cNvPr id="671" name="Straight Connector 670"/>
        <xdr:cNvCxnSpPr/>
      </xdr:nvCxnSpPr>
      <xdr:spPr bwMode="auto">
        <a:xfrm>
          <a:off x="285750" y="27470100"/>
          <a:ext cx="8191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</xdr:colOff>
      <xdr:row>192</xdr:row>
      <xdr:rowOff>57150</xdr:rowOff>
    </xdr:from>
    <xdr:to>
      <xdr:col>7</xdr:col>
      <xdr:colOff>114300</xdr:colOff>
      <xdr:row>192</xdr:row>
      <xdr:rowOff>133350</xdr:rowOff>
    </xdr:to>
    <xdr:sp macro="" textlink="">
      <xdr:nvSpPr>
        <xdr:cNvPr id="673" name="Flowchart: Merge 672"/>
        <xdr:cNvSpPr/>
      </xdr:nvSpPr>
      <xdr:spPr bwMode="auto">
        <a:xfrm>
          <a:off x="4371975" y="27222450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685007</xdr:colOff>
      <xdr:row>193</xdr:row>
      <xdr:rowOff>796</xdr:rowOff>
    </xdr:from>
    <xdr:to>
      <xdr:col>7</xdr:col>
      <xdr:colOff>795</xdr:colOff>
      <xdr:row>196</xdr:row>
      <xdr:rowOff>134146</xdr:rowOff>
    </xdr:to>
    <xdr:cxnSp macro="">
      <xdr:nvCxnSpPr>
        <xdr:cNvPr id="677" name="Straight Arrow Connector 676"/>
        <xdr:cNvCxnSpPr/>
      </xdr:nvCxnSpPr>
      <xdr:spPr bwMode="auto">
        <a:xfrm rot="5400000">
          <a:off x="4033838" y="27636790"/>
          <a:ext cx="619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47625</xdr:colOff>
      <xdr:row>196</xdr:row>
      <xdr:rowOff>28575</xdr:rowOff>
    </xdr:from>
    <xdr:to>
      <xdr:col>2</xdr:col>
      <xdr:colOff>66675</xdr:colOff>
      <xdr:row>196</xdr:row>
      <xdr:rowOff>28577</xdr:rowOff>
    </xdr:to>
    <xdr:cxnSp macro="">
      <xdr:nvCxnSpPr>
        <xdr:cNvPr id="681" name="Straight Arrow Connector 680"/>
        <xdr:cNvCxnSpPr/>
      </xdr:nvCxnSpPr>
      <xdr:spPr bwMode="auto">
        <a:xfrm rot="10800000" flipV="1">
          <a:off x="657225" y="27841575"/>
          <a:ext cx="6286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28575</xdr:colOff>
      <xdr:row>193</xdr:row>
      <xdr:rowOff>28575</xdr:rowOff>
    </xdr:from>
    <xdr:to>
      <xdr:col>1</xdr:col>
      <xdr:colOff>95250</xdr:colOff>
      <xdr:row>193</xdr:row>
      <xdr:rowOff>114300</xdr:rowOff>
    </xdr:to>
    <xdr:sp macro="" textlink="">
      <xdr:nvSpPr>
        <xdr:cNvPr id="683" name="Flowchart: Merge 682"/>
        <xdr:cNvSpPr/>
      </xdr:nvSpPr>
      <xdr:spPr bwMode="auto">
        <a:xfrm>
          <a:off x="638175" y="2735580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</xdr:col>
      <xdr:colOff>23813</xdr:colOff>
      <xdr:row>335</xdr:row>
      <xdr:rowOff>1</xdr:rowOff>
    </xdr:from>
    <xdr:to>
      <xdr:col>2</xdr:col>
      <xdr:colOff>4763</xdr:colOff>
      <xdr:row>335</xdr:row>
      <xdr:rowOff>9524</xdr:rowOff>
    </xdr:to>
    <xdr:cxnSp macro="">
      <xdr:nvCxnSpPr>
        <xdr:cNvPr id="685" name="Straight Connector 684"/>
        <xdr:cNvCxnSpPr/>
      </xdr:nvCxnSpPr>
      <xdr:spPr bwMode="auto">
        <a:xfrm rot="10800000">
          <a:off x="633413" y="43900726"/>
          <a:ext cx="590550" cy="952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133350</xdr:colOff>
      <xdr:row>334</xdr:row>
      <xdr:rowOff>66675</xdr:rowOff>
    </xdr:from>
    <xdr:to>
      <xdr:col>1</xdr:col>
      <xdr:colOff>219075</xdr:colOff>
      <xdr:row>334</xdr:row>
      <xdr:rowOff>142875</xdr:rowOff>
    </xdr:to>
    <xdr:sp macro="" textlink="">
      <xdr:nvSpPr>
        <xdr:cNvPr id="686" name="Flowchart: Merge 685"/>
        <xdr:cNvSpPr/>
      </xdr:nvSpPr>
      <xdr:spPr bwMode="auto">
        <a:xfrm>
          <a:off x="133350" y="34156650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285750</xdr:colOff>
      <xdr:row>335</xdr:row>
      <xdr:rowOff>9525</xdr:rowOff>
    </xdr:from>
    <xdr:to>
      <xdr:col>7</xdr:col>
      <xdr:colOff>371475</xdr:colOff>
      <xdr:row>335</xdr:row>
      <xdr:rowOff>82550</xdr:rowOff>
    </xdr:to>
    <xdr:sp macro="" textlink="">
      <xdr:nvSpPr>
        <xdr:cNvPr id="688" name="Flowchart: Merge 687"/>
        <xdr:cNvSpPr/>
      </xdr:nvSpPr>
      <xdr:spPr bwMode="auto">
        <a:xfrm>
          <a:off x="4552950" y="44072175"/>
          <a:ext cx="85725" cy="730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349</xdr:row>
      <xdr:rowOff>190500</xdr:rowOff>
    </xdr:from>
    <xdr:to>
      <xdr:col>3</xdr:col>
      <xdr:colOff>428625</xdr:colOff>
      <xdr:row>349</xdr:row>
      <xdr:rowOff>192088</xdr:rowOff>
    </xdr:to>
    <xdr:cxnSp macro="">
      <xdr:nvCxnSpPr>
        <xdr:cNvPr id="689" name="Straight Connector 688"/>
        <xdr:cNvCxnSpPr/>
      </xdr:nvCxnSpPr>
      <xdr:spPr bwMode="auto">
        <a:xfrm>
          <a:off x="1962150" y="40405050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304800</xdr:colOff>
      <xdr:row>335</xdr:row>
      <xdr:rowOff>28579</xdr:rowOff>
    </xdr:from>
    <xdr:to>
      <xdr:col>1</xdr:col>
      <xdr:colOff>304803</xdr:colOff>
      <xdr:row>338</xdr:row>
      <xdr:rowOff>19054</xdr:rowOff>
    </xdr:to>
    <xdr:cxnSp macro="">
      <xdr:nvCxnSpPr>
        <xdr:cNvPr id="693" name="Straight Arrow Connector 692"/>
        <xdr:cNvCxnSpPr/>
      </xdr:nvCxnSpPr>
      <xdr:spPr bwMode="auto">
        <a:xfrm rot="5400000">
          <a:off x="66677" y="38700077"/>
          <a:ext cx="476250" cy="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133350</xdr:colOff>
      <xdr:row>351</xdr:row>
      <xdr:rowOff>190500</xdr:rowOff>
    </xdr:from>
    <xdr:to>
      <xdr:col>3</xdr:col>
      <xdr:colOff>428625</xdr:colOff>
      <xdr:row>351</xdr:row>
      <xdr:rowOff>192088</xdr:rowOff>
    </xdr:to>
    <xdr:cxnSp macro="">
      <xdr:nvCxnSpPr>
        <xdr:cNvPr id="695" name="Straight Connector 694"/>
        <xdr:cNvCxnSpPr/>
      </xdr:nvCxnSpPr>
      <xdr:spPr bwMode="auto">
        <a:xfrm>
          <a:off x="1962150" y="40405050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581025</xdr:colOff>
      <xdr:row>341</xdr:row>
      <xdr:rowOff>9525</xdr:rowOff>
    </xdr:from>
    <xdr:to>
      <xdr:col>5</xdr:col>
      <xdr:colOff>457200</xdr:colOff>
      <xdr:row>341</xdr:row>
      <xdr:rowOff>11113</xdr:rowOff>
    </xdr:to>
    <xdr:cxnSp macro="">
      <xdr:nvCxnSpPr>
        <xdr:cNvPr id="697" name="Straight Arrow Connector 696"/>
        <xdr:cNvCxnSpPr/>
      </xdr:nvCxnSpPr>
      <xdr:spPr bwMode="auto">
        <a:xfrm>
          <a:off x="2409825" y="3941445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446881</xdr:colOff>
      <xdr:row>338</xdr:row>
      <xdr:rowOff>29369</xdr:rowOff>
    </xdr:from>
    <xdr:to>
      <xdr:col>5</xdr:col>
      <xdr:colOff>448469</xdr:colOff>
      <xdr:row>339</xdr:row>
      <xdr:rowOff>153194</xdr:rowOff>
    </xdr:to>
    <xdr:cxnSp macro="">
      <xdr:nvCxnSpPr>
        <xdr:cNvPr id="704" name="Straight Connector 703"/>
        <xdr:cNvCxnSpPr>
          <a:endCxn id="6" idx="1"/>
        </xdr:cNvCxnSpPr>
      </xdr:nvCxnSpPr>
      <xdr:spPr bwMode="auto">
        <a:xfrm rot="5400000">
          <a:off x="2743200" y="39090600"/>
          <a:ext cx="2857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485775</xdr:colOff>
      <xdr:row>337</xdr:row>
      <xdr:rowOff>123825</xdr:rowOff>
    </xdr:from>
    <xdr:to>
      <xdr:col>3</xdr:col>
      <xdr:colOff>571500</xdr:colOff>
      <xdr:row>338</xdr:row>
      <xdr:rowOff>38100</xdr:rowOff>
    </xdr:to>
    <xdr:sp macro="" textlink="">
      <xdr:nvSpPr>
        <xdr:cNvPr id="705" name="Flowchart: Merge 704"/>
        <xdr:cNvSpPr/>
      </xdr:nvSpPr>
      <xdr:spPr bwMode="auto">
        <a:xfrm>
          <a:off x="1704975" y="38881050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796</xdr:colOff>
      <xdr:row>335</xdr:row>
      <xdr:rowOff>96044</xdr:rowOff>
    </xdr:from>
    <xdr:to>
      <xdr:col>7</xdr:col>
      <xdr:colOff>9526</xdr:colOff>
      <xdr:row>338</xdr:row>
      <xdr:rowOff>2</xdr:rowOff>
    </xdr:to>
    <xdr:cxnSp macro="">
      <xdr:nvCxnSpPr>
        <xdr:cNvPr id="708" name="Straight Arrow Connector 707"/>
        <xdr:cNvCxnSpPr/>
      </xdr:nvCxnSpPr>
      <xdr:spPr bwMode="auto">
        <a:xfrm rot="16200000" flipH="1">
          <a:off x="4115594" y="47873446"/>
          <a:ext cx="465933" cy="873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600075</xdr:colOff>
      <xdr:row>401</xdr:row>
      <xdr:rowOff>9525</xdr:rowOff>
    </xdr:from>
    <xdr:to>
      <xdr:col>0</xdr:col>
      <xdr:colOff>600075</xdr:colOff>
      <xdr:row>402</xdr:row>
      <xdr:rowOff>9525</xdr:rowOff>
    </xdr:to>
    <xdr:sp macro="" textlink="">
      <xdr:nvSpPr>
        <xdr:cNvPr id="710" name="Line 5"/>
        <xdr:cNvSpPr>
          <a:spLocks noChangeShapeType="1"/>
        </xdr:cNvSpPr>
      </xdr:nvSpPr>
      <xdr:spPr bwMode="auto">
        <a:xfrm flipV="1">
          <a:off x="600075" y="533590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485775</xdr:colOff>
      <xdr:row>399</xdr:row>
      <xdr:rowOff>38099</xdr:rowOff>
    </xdr:from>
    <xdr:to>
      <xdr:col>3</xdr:col>
      <xdr:colOff>266700</xdr:colOff>
      <xdr:row>400</xdr:row>
      <xdr:rowOff>161924</xdr:rowOff>
    </xdr:to>
    <xdr:sp macro="" textlink="">
      <xdr:nvSpPr>
        <xdr:cNvPr id="713" name="Line 7"/>
        <xdr:cNvSpPr>
          <a:spLocks noChangeShapeType="1"/>
        </xdr:cNvSpPr>
      </xdr:nvSpPr>
      <xdr:spPr bwMode="auto">
        <a:xfrm flipV="1">
          <a:off x="1095375" y="38957249"/>
          <a:ext cx="390525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257175</xdr:colOff>
      <xdr:row>399</xdr:row>
      <xdr:rowOff>47625</xdr:rowOff>
    </xdr:from>
    <xdr:to>
      <xdr:col>4</xdr:col>
      <xdr:colOff>600075</xdr:colOff>
      <xdr:row>399</xdr:row>
      <xdr:rowOff>47625</xdr:rowOff>
    </xdr:to>
    <xdr:sp macro="" textlink="">
      <xdr:nvSpPr>
        <xdr:cNvPr id="714" name="Line 8"/>
        <xdr:cNvSpPr>
          <a:spLocks noChangeShapeType="1"/>
        </xdr:cNvSpPr>
      </xdr:nvSpPr>
      <xdr:spPr bwMode="auto">
        <a:xfrm>
          <a:off x="1476375" y="38966775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600074</xdr:colOff>
      <xdr:row>399</xdr:row>
      <xdr:rowOff>47625</xdr:rowOff>
    </xdr:from>
    <xdr:to>
      <xdr:col>5</xdr:col>
      <xdr:colOff>447675</xdr:colOff>
      <xdr:row>400</xdr:row>
      <xdr:rowOff>152400</xdr:rowOff>
    </xdr:to>
    <xdr:sp macro="" textlink="">
      <xdr:nvSpPr>
        <xdr:cNvPr id="715" name="Line 9"/>
        <xdr:cNvSpPr>
          <a:spLocks noChangeShapeType="1"/>
        </xdr:cNvSpPr>
      </xdr:nvSpPr>
      <xdr:spPr bwMode="auto">
        <a:xfrm>
          <a:off x="2428874" y="38966775"/>
          <a:ext cx="457201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438150</xdr:colOff>
      <xdr:row>400</xdr:row>
      <xdr:rowOff>152400</xdr:rowOff>
    </xdr:from>
    <xdr:to>
      <xdr:col>8</xdr:col>
      <xdr:colOff>219075</xdr:colOff>
      <xdr:row>400</xdr:row>
      <xdr:rowOff>152400</xdr:rowOff>
    </xdr:to>
    <xdr:sp macro="" textlink="">
      <xdr:nvSpPr>
        <xdr:cNvPr id="716" name="Line 10"/>
        <xdr:cNvSpPr>
          <a:spLocks noChangeShapeType="1"/>
        </xdr:cNvSpPr>
      </xdr:nvSpPr>
      <xdr:spPr bwMode="auto">
        <a:xfrm>
          <a:off x="2876550" y="39233475"/>
          <a:ext cx="1609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219075</xdr:colOff>
      <xdr:row>400</xdr:row>
      <xdr:rowOff>152400</xdr:rowOff>
    </xdr:from>
    <xdr:to>
      <xdr:col>8</xdr:col>
      <xdr:colOff>219075</xdr:colOff>
      <xdr:row>402</xdr:row>
      <xdr:rowOff>85725</xdr:rowOff>
    </xdr:to>
    <xdr:sp macro="" textlink="">
      <xdr:nvSpPr>
        <xdr:cNvPr id="718" name="Line 11"/>
        <xdr:cNvSpPr>
          <a:spLocks noChangeShapeType="1"/>
        </xdr:cNvSpPr>
      </xdr:nvSpPr>
      <xdr:spPr bwMode="auto">
        <a:xfrm>
          <a:off x="5095875" y="5349240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257175</xdr:colOff>
      <xdr:row>394</xdr:row>
      <xdr:rowOff>123825</xdr:rowOff>
    </xdr:from>
    <xdr:to>
      <xdr:col>3</xdr:col>
      <xdr:colOff>257175</xdr:colOff>
      <xdr:row>396</xdr:row>
      <xdr:rowOff>0</xdr:rowOff>
    </xdr:to>
    <xdr:sp macro="" textlink="">
      <xdr:nvSpPr>
        <xdr:cNvPr id="720" name="Line 12"/>
        <xdr:cNvSpPr>
          <a:spLocks noChangeShapeType="1"/>
        </xdr:cNvSpPr>
      </xdr:nvSpPr>
      <xdr:spPr bwMode="auto">
        <a:xfrm flipV="1">
          <a:off x="1476375" y="3823335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257175</xdr:colOff>
      <xdr:row>396</xdr:row>
      <xdr:rowOff>0</xdr:rowOff>
    </xdr:from>
    <xdr:to>
      <xdr:col>5</xdr:col>
      <xdr:colOff>0</xdr:colOff>
      <xdr:row>396</xdr:row>
      <xdr:rowOff>0</xdr:rowOff>
    </xdr:to>
    <xdr:sp macro="" textlink="">
      <xdr:nvSpPr>
        <xdr:cNvPr id="722" name="Line 13"/>
        <xdr:cNvSpPr>
          <a:spLocks noChangeShapeType="1"/>
        </xdr:cNvSpPr>
      </xdr:nvSpPr>
      <xdr:spPr bwMode="auto">
        <a:xfrm>
          <a:off x="1476375" y="38433375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394</xdr:row>
      <xdr:rowOff>133350</xdr:rowOff>
    </xdr:from>
    <xdr:to>
      <xdr:col>5</xdr:col>
      <xdr:colOff>0</xdr:colOff>
      <xdr:row>396</xdr:row>
      <xdr:rowOff>0</xdr:rowOff>
    </xdr:to>
    <xdr:sp macro="" textlink="">
      <xdr:nvSpPr>
        <xdr:cNvPr id="724" name="Line 14"/>
        <xdr:cNvSpPr>
          <a:spLocks noChangeShapeType="1"/>
        </xdr:cNvSpPr>
      </xdr:nvSpPr>
      <xdr:spPr bwMode="auto">
        <a:xfrm flipV="1">
          <a:off x="2438400" y="382428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396</xdr:row>
      <xdr:rowOff>9525</xdr:rowOff>
    </xdr:from>
    <xdr:to>
      <xdr:col>7</xdr:col>
      <xdr:colOff>457200</xdr:colOff>
      <xdr:row>399</xdr:row>
      <xdr:rowOff>47625</xdr:rowOff>
    </xdr:to>
    <xdr:sp macro="" textlink="">
      <xdr:nvSpPr>
        <xdr:cNvPr id="726" name="Freeform 15"/>
        <xdr:cNvSpPr>
          <a:spLocks/>
        </xdr:cNvSpPr>
      </xdr:nvSpPr>
      <xdr:spPr bwMode="auto">
        <a:xfrm>
          <a:off x="600075" y="38442900"/>
          <a:ext cx="3514725" cy="523875"/>
        </a:xfrm>
        <a:custGeom>
          <a:avLst/>
          <a:gdLst>
            <a:gd name="T0" fmla="*/ 0 w 369"/>
            <a:gd name="T1" fmla="*/ 0 h 55"/>
            <a:gd name="T2" fmla="*/ 2147483647 w 369"/>
            <a:gd name="T3" fmla="*/ 2147483647 h 55"/>
            <a:gd name="T4" fmla="*/ 2147483647 w 369"/>
            <a:gd name="T5" fmla="*/ 2147483647 h 55"/>
            <a:gd name="T6" fmla="*/ 2147483647 w 369"/>
            <a:gd name="T7" fmla="*/ 2147483647 h 55"/>
            <a:gd name="T8" fmla="*/ 2147483647 w 369"/>
            <a:gd name="T9" fmla="*/ 2147483647 h 55"/>
            <a:gd name="T10" fmla="*/ 2147483647 w 369"/>
            <a:gd name="T11" fmla="*/ 2147483647 h 55"/>
            <a:gd name="T12" fmla="*/ 2147483647 w 369"/>
            <a:gd name="T13" fmla="*/ 2147483647 h 55"/>
            <a:gd name="T14" fmla="*/ 2147483647 w 369"/>
            <a:gd name="T15" fmla="*/ 2147483647 h 55"/>
            <a:gd name="T16" fmla="*/ 2147483647 w 369"/>
            <a:gd name="T17" fmla="*/ 2147483647 h 55"/>
            <a:gd name="T18" fmla="*/ 2147483647 w 369"/>
            <a:gd name="T19" fmla="*/ 2147483647 h 55"/>
            <a:gd name="T20" fmla="*/ 2147483647 w 369"/>
            <a:gd name="T21" fmla="*/ 2147483647 h 55"/>
            <a:gd name="T22" fmla="*/ 2147483647 w 369"/>
            <a:gd name="T23" fmla="*/ 2147483647 h 55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69"/>
            <a:gd name="T37" fmla="*/ 0 h 55"/>
            <a:gd name="T38" fmla="*/ 369 w 369"/>
            <a:gd name="T39" fmla="*/ 55 h 55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69" h="55">
              <a:moveTo>
                <a:pt x="0" y="0"/>
              </a:moveTo>
              <a:cubicBezTo>
                <a:pt x="52" y="2"/>
                <a:pt x="102" y="21"/>
                <a:pt x="153" y="27"/>
              </a:cubicBezTo>
              <a:cubicBezTo>
                <a:pt x="161" y="30"/>
                <a:pt x="170" y="33"/>
                <a:pt x="178" y="34"/>
              </a:cubicBezTo>
              <a:cubicBezTo>
                <a:pt x="191" y="38"/>
                <a:pt x="204" y="42"/>
                <a:pt x="217" y="46"/>
              </a:cubicBezTo>
              <a:cubicBezTo>
                <a:pt x="222" y="48"/>
                <a:pt x="226" y="48"/>
                <a:pt x="231" y="50"/>
              </a:cubicBezTo>
              <a:cubicBezTo>
                <a:pt x="232" y="50"/>
                <a:pt x="234" y="51"/>
                <a:pt x="234" y="51"/>
              </a:cubicBezTo>
              <a:cubicBezTo>
                <a:pt x="238" y="55"/>
                <a:pt x="241" y="54"/>
                <a:pt x="246" y="51"/>
              </a:cubicBezTo>
              <a:cubicBezTo>
                <a:pt x="248" y="46"/>
                <a:pt x="247" y="43"/>
                <a:pt x="252" y="41"/>
              </a:cubicBezTo>
              <a:cubicBezTo>
                <a:pt x="253" y="37"/>
                <a:pt x="255" y="29"/>
                <a:pt x="259" y="28"/>
              </a:cubicBezTo>
              <a:cubicBezTo>
                <a:pt x="260" y="24"/>
                <a:pt x="264" y="21"/>
                <a:pt x="268" y="18"/>
              </a:cubicBezTo>
              <a:cubicBezTo>
                <a:pt x="272" y="6"/>
                <a:pt x="278" y="10"/>
                <a:pt x="296" y="9"/>
              </a:cubicBezTo>
              <a:cubicBezTo>
                <a:pt x="319" y="8"/>
                <a:pt x="345" y="8"/>
                <a:pt x="369" y="8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571500</xdr:colOff>
      <xdr:row>398</xdr:row>
      <xdr:rowOff>47625</xdr:rowOff>
    </xdr:from>
    <xdr:ext cx="171450" cy="342900"/>
    <xdr:sp macro="" textlink="">
      <xdr:nvSpPr>
        <xdr:cNvPr id="728" name="Text Box 16"/>
        <xdr:cNvSpPr txBox="1">
          <a:spLocks noChangeArrowheads="1"/>
        </xdr:cNvSpPr>
      </xdr:nvSpPr>
      <xdr:spPr bwMode="auto">
        <a:xfrm>
          <a:off x="2400300" y="38804850"/>
          <a:ext cx="1714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 y</a:t>
          </a:r>
          <a:r>
            <a:rPr lang="en-GB" sz="7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5</xdr:col>
      <xdr:colOff>0</xdr:colOff>
      <xdr:row>398</xdr:row>
      <xdr:rowOff>57150</xdr:rowOff>
    </xdr:from>
    <xdr:to>
      <xdr:col>5</xdr:col>
      <xdr:colOff>0</xdr:colOff>
      <xdr:row>399</xdr:row>
      <xdr:rowOff>47625</xdr:rowOff>
    </xdr:to>
    <xdr:sp macro="" textlink="">
      <xdr:nvSpPr>
        <xdr:cNvPr id="729" name="Line 17"/>
        <xdr:cNvSpPr>
          <a:spLocks noChangeShapeType="1"/>
        </xdr:cNvSpPr>
      </xdr:nvSpPr>
      <xdr:spPr bwMode="auto">
        <a:xfrm>
          <a:off x="2438400" y="388143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5</xdr:col>
      <xdr:colOff>476250</xdr:colOff>
      <xdr:row>399</xdr:row>
      <xdr:rowOff>28575</xdr:rowOff>
    </xdr:from>
    <xdr:to>
      <xdr:col>5</xdr:col>
      <xdr:colOff>552450</xdr:colOff>
      <xdr:row>400</xdr:row>
      <xdr:rowOff>66675</xdr:rowOff>
    </xdr:to>
    <xdr:sp macro="" textlink="">
      <xdr:nvSpPr>
        <xdr:cNvPr id="730" name="Text Box 18"/>
        <xdr:cNvSpPr txBox="1">
          <a:spLocks noChangeArrowheads="1"/>
        </xdr:cNvSpPr>
      </xdr:nvSpPr>
      <xdr:spPr bwMode="auto">
        <a:xfrm>
          <a:off x="2914650" y="389477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5</xdr:col>
      <xdr:colOff>476250</xdr:colOff>
      <xdr:row>399</xdr:row>
      <xdr:rowOff>28575</xdr:rowOff>
    </xdr:from>
    <xdr:ext cx="114300" cy="342900"/>
    <xdr:sp macro="" textlink="">
      <xdr:nvSpPr>
        <xdr:cNvPr id="731" name="Text Box 19"/>
        <xdr:cNvSpPr txBox="1">
          <a:spLocks noChangeArrowheads="1"/>
        </xdr:cNvSpPr>
      </xdr:nvSpPr>
      <xdr:spPr bwMode="auto">
        <a:xfrm>
          <a:off x="2914650" y="38947725"/>
          <a:ext cx="1143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y</a:t>
          </a:r>
          <a:r>
            <a:rPr lang="en-GB" sz="7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5</xdr:col>
      <xdr:colOff>457200</xdr:colOff>
      <xdr:row>396</xdr:row>
      <xdr:rowOff>85725</xdr:rowOff>
    </xdr:from>
    <xdr:to>
      <xdr:col>5</xdr:col>
      <xdr:colOff>457200</xdr:colOff>
      <xdr:row>397</xdr:row>
      <xdr:rowOff>152400</xdr:rowOff>
    </xdr:to>
    <xdr:sp macro="" textlink="">
      <xdr:nvSpPr>
        <xdr:cNvPr id="732" name="Line 28"/>
        <xdr:cNvSpPr>
          <a:spLocks noChangeShapeType="1"/>
        </xdr:cNvSpPr>
      </xdr:nvSpPr>
      <xdr:spPr bwMode="auto">
        <a:xfrm>
          <a:off x="2895600" y="38519100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457200</xdr:colOff>
      <xdr:row>401</xdr:row>
      <xdr:rowOff>133350</xdr:rowOff>
    </xdr:from>
    <xdr:to>
      <xdr:col>5</xdr:col>
      <xdr:colOff>457200</xdr:colOff>
      <xdr:row>402</xdr:row>
      <xdr:rowOff>152400</xdr:rowOff>
    </xdr:to>
    <xdr:sp macro="" textlink="">
      <xdr:nvSpPr>
        <xdr:cNvPr id="733" name="Line 29"/>
        <xdr:cNvSpPr>
          <a:spLocks noChangeShapeType="1"/>
        </xdr:cNvSpPr>
      </xdr:nvSpPr>
      <xdr:spPr bwMode="auto">
        <a:xfrm>
          <a:off x="2895600" y="3937635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</xdr:col>
      <xdr:colOff>409575</xdr:colOff>
      <xdr:row>395</xdr:row>
      <xdr:rowOff>47625</xdr:rowOff>
    </xdr:from>
    <xdr:ext cx="19050" cy="342900"/>
    <xdr:sp macro="" textlink="">
      <xdr:nvSpPr>
        <xdr:cNvPr id="735" name="Text Box 31"/>
        <xdr:cNvSpPr txBox="1">
          <a:spLocks noChangeArrowheads="1"/>
        </xdr:cNvSpPr>
      </xdr:nvSpPr>
      <xdr:spPr bwMode="auto">
        <a:xfrm>
          <a:off x="2847975" y="3831907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7</xdr:col>
      <xdr:colOff>228600</xdr:colOff>
      <xdr:row>396</xdr:row>
      <xdr:rowOff>114300</xdr:rowOff>
    </xdr:from>
    <xdr:to>
      <xdr:col>7</xdr:col>
      <xdr:colOff>381000</xdr:colOff>
      <xdr:row>396</xdr:row>
      <xdr:rowOff>114300</xdr:rowOff>
    </xdr:to>
    <xdr:sp macro="" textlink="">
      <xdr:nvSpPr>
        <xdr:cNvPr id="737" name="Line 32"/>
        <xdr:cNvSpPr>
          <a:spLocks noChangeShapeType="1"/>
        </xdr:cNvSpPr>
      </xdr:nvSpPr>
      <xdr:spPr bwMode="auto">
        <a:xfrm>
          <a:off x="3886200" y="3854767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295275</xdr:colOff>
      <xdr:row>396</xdr:row>
      <xdr:rowOff>133350</xdr:rowOff>
    </xdr:from>
    <xdr:to>
      <xdr:col>7</xdr:col>
      <xdr:colOff>323850</xdr:colOff>
      <xdr:row>396</xdr:row>
      <xdr:rowOff>133350</xdr:rowOff>
    </xdr:to>
    <xdr:sp macro="" textlink="">
      <xdr:nvSpPr>
        <xdr:cNvPr id="738" name="Line 33"/>
        <xdr:cNvSpPr>
          <a:spLocks noChangeShapeType="1"/>
        </xdr:cNvSpPr>
      </xdr:nvSpPr>
      <xdr:spPr bwMode="auto">
        <a:xfrm>
          <a:off x="3952875" y="38566725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381000</xdr:colOff>
      <xdr:row>396</xdr:row>
      <xdr:rowOff>57150</xdr:rowOff>
    </xdr:from>
    <xdr:to>
      <xdr:col>1</xdr:col>
      <xdr:colOff>590550</xdr:colOff>
      <xdr:row>396</xdr:row>
      <xdr:rowOff>57150</xdr:rowOff>
    </xdr:to>
    <xdr:sp macro="" textlink="">
      <xdr:nvSpPr>
        <xdr:cNvPr id="739" name="Line 34"/>
        <xdr:cNvSpPr>
          <a:spLocks noChangeShapeType="1"/>
        </xdr:cNvSpPr>
      </xdr:nvSpPr>
      <xdr:spPr bwMode="auto">
        <a:xfrm>
          <a:off x="381000" y="4727257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361950</xdr:colOff>
      <xdr:row>396</xdr:row>
      <xdr:rowOff>38100</xdr:rowOff>
    </xdr:from>
    <xdr:to>
      <xdr:col>1</xdr:col>
      <xdr:colOff>581025</xdr:colOff>
      <xdr:row>396</xdr:row>
      <xdr:rowOff>38100</xdr:rowOff>
    </xdr:to>
    <xdr:sp macro="" textlink="">
      <xdr:nvSpPr>
        <xdr:cNvPr id="740" name="Line 35"/>
        <xdr:cNvSpPr>
          <a:spLocks noChangeShapeType="1"/>
        </xdr:cNvSpPr>
      </xdr:nvSpPr>
      <xdr:spPr bwMode="auto">
        <a:xfrm>
          <a:off x="361950" y="4725352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419100</xdr:colOff>
      <xdr:row>396</xdr:row>
      <xdr:rowOff>95250</xdr:rowOff>
    </xdr:from>
    <xdr:to>
      <xdr:col>1</xdr:col>
      <xdr:colOff>495300</xdr:colOff>
      <xdr:row>396</xdr:row>
      <xdr:rowOff>95250</xdr:rowOff>
    </xdr:to>
    <xdr:sp macro="" textlink="">
      <xdr:nvSpPr>
        <xdr:cNvPr id="741" name="Line 36"/>
        <xdr:cNvSpPr>
          <a:spLocks noChangeShapeType="1"/>
        </xdr:cNvSpPr>
      </xdr:nvSpPr>
      <xdr:spPr bwMode="auto">
        <a:xfrm>
          <a:off x="419100" y="47310675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552450</xdr:colOff>
      <xdr:row>401</xdr:row>
      <xdr:rowOff>123825</xdr:rowOff>
    </xdr:from>
    <xdr:to>
      <xdr:col>5</xdr:col>
      <xdr:colOff>19050</xdr:colOff>
      <xdr:row>403</xdr:row>
      <xdr:rowOff>0</xdr:rowOff>
    </xdr:to>
    <xdr:sp macro="" textlink="">
      <xdr:nvSpPr>
        <xdr:cNvPr id="742" name="Text Box 42"/>
        <xdr:cNvSpPr txBox="1">
          <a:spLocks noChangeArrowheads="1"/>
        </xdr:cNvSpPr>
      </xdr:nvSpPr>
      <xdr:spPr bwMode="auto">
        <a:xfrm>
          <a:off x="2381250" y="393668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4</xdr:col>
      <xdr:colOff>552450</xdr:colOff>
      <xdr:row>396</xdr:row>
      <xdr:rowOff>28575</xdr:rowOff>
    </xdr:from>
    <xdr:ext cx="19050" cy="342900"/>
    <xdr:sp macro="" textlink="">
      <xdr:nvSpPr>
        <xdr:cNvPr id="743" name="Text Box 43"/>
        <xdr:cNvSpPr txBox="1">
          <a:spLocks noChangeArrowheads="1"/>
        </xdr:cNvSpPr>
      </xdr:nvSpPr>
      <xdr:spPr bwMode="auto">
        <a:xfrm>
          <a:off x="2381250" y="38461950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4</xdr:col>
      <xdr:colOff>600075</xdr:colOff>
      <xdr:row>401</xdr:row>
      <xdr:rowOff>104775</xdr:rowOff>
    </xdr:from>
    <xdr:to>
      <xdr:col>4</xdr:col>
      <xdr:colOff>600075</xdr:colOff>
      <xdr:row>402</xdr:row>
      <xdr:rowOff>85725</xdr:rowOff>
    </xdr:to>
    <xdr:sp macro="" textlink="">
      <xdr:nvSpPr>
        <xdr:cNvPr id="744" name="Line 66"/>
        <xdr:cNvSpPr>
          <a:spLocks noChangeShapeType="1"/>
        </xdr:cNvSpPr>
      </xdr:nvSpPr>
      <xdr:spPr bwMode="auto">
        <a:xfrm>
          <a:off x="2428875" y="393477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504825</xdr:colOff>
      <xdr:row>401</xdr:row>
      <xdr:rowOff>66675</xdr:rowOff>
    </xdr:from>
    <xdr:to>
      <xdr:col>2</xdr:col>
      <xdr:colOff>504825</xdr:colOff>
      <xdr:row>402</xdr:row>
      <xdr:rowOff>0</xdr:rowOff>
    </xdr:to>
    <xdr:sp macro="" textlink="">
      <xdr:nvSpPr>
        <xdr:cNvPr id="746" name="Line 2369"/>
        <xdr:cNvSpPr>
          <a:spLocks noChangeShapeType="1"/>
        </xdr:cNvSpPr>
      </xdr:nvSpPr>
      <xdr:spPr bwMode="auto">
        <a:xfrm>
          <a:off x="1114425" y="393096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266700</xdr:colOff>
      <xdr:row>401</xdr:row>
      <xdr:rowOff>66675</xdr:rowOff>
    </xdr:from>
    <xdr:to>
      <xdr:col>3</xdr:col>
      <xdr:colOff>266700</xdr:colOff>
      <xdr:row>401</xdr:row>
      <xdr:rowOff>152400</xdr:rowOff>
    </xdr:to>
    <xdr:sp macro="" textlink="">
      <xdr:nvSpPr>
        <xdr:cNvPr id="747" name="Line 2370"/>
        <xdr:cNvSpPr>
          <a:spLocks noChangeShapeType="1"/>
        </xdr:cNvSpPr>
      </xdr:nvSpPr>
      <xdr:spPr bwMode="auto">
        <a:xfrm>
          <a:off x="1485900" y="393096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</xdr:col>
      <xdr:colOff>314325</xdr:colOff>
      <xdr:row>401</xdr:row>
      <xdr:rowOff>76200</xdr:rowOff>
    </xdr:from>
    <xdr:ext cx="19050" cy="342900"/>
    <xdr:sp macro="" textlink="">
      <xdr:nvSpPr>
        <xdr:cNvPr id="748" name="Text Box 2371"/>
        <xdr:cNvSpPr txBox="1">
          <a:spLocks noChangeArrowheads="1"/>
        </xdr:cNvSpPr>
      </xdr:nvSpPr>
      <xdr:spPr bwMode="auto">
        <a:xfrm>
          <a:off x="1533525" y="39319200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3</xdr:col>
      <xdr:colOff>314325</xdr:colOff>
      <xdr:row>402</xdr:row>
      <xdr:rowOff>0</xdr:rowOff>
    </xdr:from>
    <xdr:ext cx="19050" cy="342900"/>
    <xdr:sp macro="" textlink="">
      <xdr:nvSpPr>
        <xdr:cNvPr id="749" name="Text Box 2372"/>
        <xdr:cNvSpPr txBox="1">
          <a:spLocks noChangeArrowheads="1"/>
        </xdr:cNvSpPr>
      </xdr:nvSpPr>
      <xdr:spPr bwMode="auto">
        <a:xfrm>
          <a:off x="1533525" y="3940492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3</xdr:col>
      <xdr:colOff>314325</xdr:colOff>
      <xdr:row>402</xdr:row>
      <xdr:rowOff>0</xdr:rowOff>
    </xdr:from>
    <xdr:ext cx="19050" cy="342900"/>
    <xdr:sp macro="" textlink="">
      <xdr:nvSpPr>
        <xdr:cNvPr id="750" name="Text Box 2373"/>
        <xdr:cNvSpPr txBox="1">
          <a:spLocks noChangeArrowheads="1"/>
        </xdr:cNvSpPr>
      </xdr:nvSpPr>
      <xdr:spPr bwMode="auto">
        <a:xfrm>
          <a:off x="1533525" y="3940492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 editAs="oneCell">
    <xdr:from>
      <xdr:col>5</xdr:col>
      <xdr:colOff>171450</xdr:colOff>
      <xdr:row>395</xdr:row>
      <xdr:rowOff>95250</xdr:rowOff>
    </xdr:from>
    <xdr:to>
      <xdr:col>5</xdr:col>
      <xdr:colOff>247650</xdr:colOff>
      <xdr:row>396</xdr:row>
      <xdr:rowOff>133350</xdr:rowOff>
    </xdr:to>
    <xdr:sp macro="" textlink="">
      <xdr:nvSpPr>
        <xdr:cNvPr id="753" name="Text Box 2716"/>
        <xdr:cNvSpPr txBox="1">
          <a:spLocks noChangeArrowheads="1"/>
        </xdr:cNvSpPr>
      </xdr:nvSpPr>
      <xdr:spPr bwMode="auto">
        <a:xfrm>
          <a:off x="2609850" y="383667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352425</xdr:colOff>
      <xdr:row>395</xdr:row>
      <xdr:rowOff>104775</xdr:rowOff>
    </xdr:from>
    <xdr:to>
      <xdr:col>5</xdr:col>
      <xdr:colOff>581025</xdr:colOff>
      <xdr:row>397</xdr:row>
      <xdr:rowOff>19050</xdr:rowOff>
    </xdr:to>
    <xdr:sp macro="" textlink="">
      <xdr:nvSpPr>
        <xdr:cNvPr id="754" name="Oval 3239"/>
        <xdr:cNvSpPr>
          <a:spLocks noChangeArrowheads="1"/>
        </xdr:cNvSpPr>
      </xdr:nvSpPr>
      <xdr:spPr bwMode="auto">
        <a:xfrm>
          <a:off x="2790825" y="38376225"/>
          <a:ext cx="228600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twoCellAnchor>
  <xdr:twoCellAnchor>
    <xdr:from>
      <xdr:col>5</xdr:col>
      <xdr:colOff>352425</xdr:colOff>
      <xdr:row>402</xdr:row>
      <xdr:rowOff>95250</xdr:rowOff>
    </xdr:from>
    <xdr:to>
      <xdr:col>5</xdr:col>
      <xdr:colOff>590550</xdr:colOff>
      <xdr:row>403</xdr:row>
      <xdr:rowOff>133350</xdr:rowOff>
    </xdr:to>
    <xdr:sp macro="" textlink="">
      <xdr:nvSpPr>
        <xdr:cNvPr id="755" name="Oval 3240"/>
        <xdr:cNvSpPr>
          <a:spLocks noChangeArrowheads="1"/>
        </xdr:cNvSpPr>
      </xdr:nvSpPr>
      <xdr:spPr bwMode="auto">
        <a:xfrm>
          <a:off x="2790825" y="39500175"/>
          <a:ext cx="238125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1</a:t>
          </a:r>
        </a:p>
      </xdr:txBody>
    </xdr:sp>
    <xdr:clientData/>
  </xdr:twoCellAnchor>
  <xdr:twoCellAnchor>
    <xdr:from>
      <xdr:col>4</xdr:col>
      <xdr:colOff>247650</xdr:colOff>
      <xdr:row>393</xdr:row>
      <xdr:rowOff>57150</xdr:rowOff>
    </xdr:from>
    <xdr:to>
      <xdr:col>4</xdr:col>
      <xdr:colOff>495300</xdr:colOff>
      <xdr:row>403</xdr:row>
      <xdr:rowOff>104775</xdr:rowOff>
    </xdr:to>
    <xdr:grpSp>
      <xdr:nvGrpSpPr>
        <xdr:cNvPr id="17" name="Group 16"/>
        <xdr:cNvGrpSpPr/>
      </xdr:nvGrpSpPr>
      <xdr:grpSpPr>
        <a:xfrm>
          <a:off x="2686050" y="67065525"/>
          <a:ext cx="247650" cy="1743075"/>
          <a:chOff x="1362075" y="65341500"/>
          <a:chExt cx="247650" cy="1743075"/>
        </a:xfrm>
      </xdr:grpSpPr>
      <xdr:sp macro="" textlink="">
        <xdr:nvSpPr>
          <xdr:cNvPr id="751" name="Line 2714"/>
          <xdr:cNvSpPr>
            <a:spLocks noChangeShapeType="1"/>
          </xdr:cNvSpPr>
        </xdr:nvSpPr>
        <xdr:spPr bwMode="auto">
          <a:xfrm>
            <a:off x="1457325" y="66684525"/>
            <a:ext cx="0" cy="1809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2" name="Line 2715"/>
          <xdr:cNvSpPr>
            <a:spLocks noChangeShapeType="1"/>
          </xdr:cNvSpPr>
        </xdr:nvSpPr>
        <xdr:spPr bwMode="auto">
          <a:xfrm flipV="1">
            <a:off x="1466850" y="65541525"/>
            <a:ext cx="0" cy="20955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6" name="Oval 3241"/>
          <xdr:cNvSpPr>
            <a:spLocks noChangeArrowheads="1"/>
          </xdr:cNvSpPr>
        </xdr:nvSpPr>
        <xdr:spPr bwMode="auto">
          <a:xfrm>
            <a:off x="1371600" y="65341500"/>
            <a:ext cx="238125" cy="23812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GB" sz="1000" b="1" i="0" strike="noStrike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xdr:txBody>
      </xdr:sp>
      <xdr:sp macro="" textlink="">
        <xdr:nvSpPr>
          <xdr:cNvPr id="757" name="Oval 3242"/>
          <xdr:cNvSpPr>
            <a:spLocks noChangeArrowheads="1"/>
          </xdr:cNvSpPr>
        </xdr:nvSpPr>
        <xdr:spPr bwMode="auto">
          <a:xfrm>
            <a:off x="1362075" y="66865500"/>
            <a:ext cx="228600" cy="219075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GB" sz="1000" b="1" i="0" strike="noStrike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xdr:txBody>
      </xdr:sp>
    </xdr:grpSp>
    <xdr:clientData/>
  </xdr:twoCellAnchor>
  <xdr:oneCellAnchor>
    <xdr:from>
      <xdr:col>3</xdr:col>
      <xdr:colOff>304800</xdr:colOff>
      <xdr:row>401</xdr:row>
      <xdr:rowOff>142875</xdr:rowOff>
    </xdr:from>
    <xdr:ext cx="125291" cy="170560"/>
    <xdr:sp macro="" textlink="">
      <xdr:nvSpPr>
        <xdr:cNvPr id="758" name="Text Box 3261"/>
        <xdr:cNvSpPr txBox="1">
          <a:spLocks noChangeArrowheads="1"/>
        </xdr:cNvSpPr>
      </xdr:nvSpPr>
      <xdr:spPr bwMode="auto">
        <a:xfrm>
          <a:off x="7753350" y="49139475"/>
          <a:ext cx="12529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333375</xdr:colOff>
      <xdr:row>401</xdr:row>
      <xdr:rowOff>114300</xdr:rowOff>
    </xdr:from>
    <xdr:to>
      <xdr:col>2</xdr:col>
      <xdr:colOff>504825</xdr:colOff>
      <xdr:row>401</xdr:row>
      <xdr:rowOff>114300</xdr:rowOff>
    </xdr:to>
    <xdr:sp macro="" textlink="">
      <xdr:nvSpPr>
        <xdr:cNvPr id="759" name="Line 3262"/>
        <xdr:cNvSpPr>
          <a:spLocks noChangeShapeType="1"/>
        </xdr:cNvSpPr>
      </xdr:nvSpPr>
      <xdr:spPr bwMode="auto">
        <a:xfrm>
          <a:off x="942975" y="393573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266700</xdr:colOff>
      <xdr:row>401</xdr:row>
      <xdr:rowOff>114300</xdr:rowOff>
    </xdr:from>
    <xdr:to>
      <xdr:col>3</xdr:col>
      <xdr:colOff>466725</xdr:colOff>
      <xdr:row>401</xdr:row>
      <xdr:rowOff>114300</xdr:rowOff>
    </xdr:to>
    <xdr:sp macro="" textlink="">
      <xdr:nvSpPr>
        <xdr:cNvPr id="760" name="Line 3263"/>
        <xdr:cNvSpPr>
          <a:spLocks noChangeShapeType="1"/>
        </xdr:cNvSpPr>
      </xdr:nvSpPr>
      <xdr:spPr bwMode="auto">
        <a:xfrm flipH="1">
          <a:off x="1485900" y="39357300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oneCellAnchor>
    <xdr:from>
      <xdr:col>7</xdr:col>
      <xdr:colOff>295274</xdr:colOff>
      <xdr:row>399</xdr:row>
      <xdr:rowOff>152400</xdr:rowOff>
    </xdr:from>
    <xdr:ext cx="161924" cy="170560"/>
    <xdr:sp macro="" textlink="">
      <xdr:nvSpPr>
        <xdr:cNvPr id="761" name="Text Box 69"/>
        <xdr:cNvSpPr txBox="1">
          <a:spLocks noChangeArrowheads="1"/>
        </xdr:cNvSpPr>
      </xdr:nvSpPr>
      <xdr:spPr bwMode="auto">
        <a:xfrm flipH="1">
          <a:off x="3952874" y="39071550"/>
          <a:ext cx="16192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1</xdr:col>
      <xdr:colOff>142875</xdr:colOff>
      <xdr:row>399</xdr:row>
      <xdr:rowOff>9525</xdr:rowOff>
    </xdr:from>
    <xdr:to>
      <xdr:col>1</xdr:col>
      <xdr:colOff>514350</xdr:colOff>
      <xdr:row>399</xdr:row>
      <xdr:rowOff>9525</xdr:rowOff>
    </xdr:to>
    <xdr:cxnSp macro="">
      <xdr:nvCxnSpPr>
        <xdr:cNvPr id="762" name="Straight Connector 3312"/>
        <xdr:cNvCxnSpPr>
          <a:cxnSpLocks noChangeShapeType="1"/>
        </xdr:cNvCxnSpPr>
      </xdr:nvCxnSpPr>
      <xdr:spPr bwMode="auto">
        <a:xfrm>
          <a:off x="142875" y="38928675"/>
          <a:ext cx="37147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3</xdr:col>
      <xdr:colOff>370681</xdr:colOff>
      <xdr:row>396</xdr:row>
      <xdr:rowOff>10319</xdr:rowOff>
    </xdr:from>
    <xdr:to>
      <xdr:col>3</xdr:col>
      <xdr:colOff>372269</xdr:colOff>
      <xdr:row>399</xdr:row>
      <xdr:rowOff>57944</xdr:rowOff>
    </xdr:to>
    <xdr:cxnSp macro="">
      <xdr:nvCxnSpPr>
        <xdr:cNvPr id="763" name="Straight Arrow Connector 762"/>
        <xdr:cNvCxnSpPr/>
      </xdr:nvCxnSpPr>
      <xdr:spPr bwMode="auto">
        <a:xfrm rot="5400000">
          <a:off x="1323975" y="38709600"/>
          <a:ext cx="533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504825</xdr:colOff>
      <xdr:row>399</xdr:row>
      <xdr:rowOff>0</xdr:rowOff>
    </xdr:from>
    <xdr:to>
      <xdr:col>7</xdr:col>
      <xdr:colOff>104775</xdr:colOff>
      <xdr:row>399</xdr:row>
      <xdr:rowOff>2</xdr:rowOff>
    </xdr:to>
    <xdr:cxnSp macro="">
      <xdr:nvCxnSpPr>
        <xdr:cNvPr id="764" name="Straight Arrow Connector 763"/>
        <xdr:cNvCxnSpPr/>
      </xdr:nvCxnSpPr>
      <xdr:spPr bwMode="auto">
        <a:xfrm>
          <a:off x="3552825" y="38919150"/>
          <a:ext cx="2095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8734</xdr:colOff>
      <xdr:row>399</xdr:row>
      <xdr:rowOff>797</xdr:rowOff>
    </xdr:from>
    <xdr:to>
      <xdr:col>7</xdr:col>
      <xdr:colOff>10322</xdr:colOff>
      <xdr:row>400</xdr:row>
      <xdr:rowOff>153197</xdr:rowOff>
    </xdr:to>
    <xdr:cxnSp macro="">
      <xdr:nvCxnSpPr>
        <xdr:cNvPr id="765" name="Straight Arrow Connector 764"/>
        <xdr:cNvCxnSpPr/>
      </xdr:nvCxnSpPr>
      <xdr:spPr bwMode="auto">
        <a:xfrm rot="16200000" flipH="1">
          <a:off x="3509965" y="39076316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313531</xdr:colOff>
      <xdr:row>398</xdr:row>
      <xdr:rowOff>153195</xdr:rowOff>
    </xdr:from>
    <xdr:to>
      <xdr:col>1</xdr:col>
      <xdr:colOff>315119</xdr:colOff>
      <xdr:row>401</xdr:row>
      <xdr:rowOff>795</xdr:rowOff>
    </xdr:to>
    <xdr:cxnSp macro="">
      <xdr:nvCxnSpPr>
        <xdr:cNvPr id="766" name="Straight Arrow Connector 765"/>
        <xdr:cNvCxnSpPr/>
      </xdr:nvCxnSpPr>
      <xdr:spPr bwMode="auto">
        <a:xfrm rot="5400000">
          <a:off x="147637" y="39076314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142875</xdr:colOff>
      <xdr:row>396</xdr:row>
      <xdr:rowOff>9524</xdr:rowOff>
    </xdr:from>
    <xdr:to>
      <xdr:col>1</xdr:col>
      <xdr:colOff>600075</xdr:colOff>
      <xdr:row>396</xdr:row>
      <xdr:rowOff>19049</xdr:rowOff>
    </xdr:to>
    <xdr:cxnSp macro="">
      <xdr:nvCxnSpPr>
        <xdr:cNvPr id="767" name="Straight Connector 766"/>
        <xdr:cNvCxnSpPr/>
      </xdr:nvCxnSpPr>
      <xdr:spPr bwMode="auto">
        <a:xfrm rot="10800000" flipV="1">
          <a:off x="142875" y="38442899"/>
          <a:ext cx="4572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133350</xdr:colOff>
      <xdr:row>395</xdr:row>
      <xdr:rowOff>66675</xdr:rowOff>
    </xdr:from>
    <xdr:to>
      <xdr:col>1</xdr:col>
      <xdr:colOff>219075</xdr:colOff>
      <xdr:row>395</xdr:row>
      <xdr:rowOff>142875</xdr:rowOff>
    </xdr:to>
    <xdr:sp macro="" textlink="">
      <xdr:nvSpPr>
        <xdr:cNvPr id="768" name="Flowchart: Merge 767"/>
        <xdr:cNvSpPr/>
      </xdr:nvSpPr>
      <xdr:spPr bwMode="auto">
        <a:xfrm>
          <a:off x="133350" y="38338125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428625</xdr:colOff>
      <xdr:row>396</xdr:row>
      <xdr:rowOff>19050</xdr:rowOff>
    </xdr:from>
    <xdr:to>
      <xdr:col>6</xdr:col>
      <xdr:colOff>514350</xdr:colOff>
      <xdr:row>396</xdr:row>
      <xdr:rowOff>95250</xdr:rowOff>
    </xdr:to>
    <xdr:sp macro="" textlink="">
      <xdr:nvSpPr>
        <xdr:cNvPr id="769" name="Flowchart: Merge 768"/>
        <xdr:cNvSpPr/>
      </xdr:nvSpPr>
      <xdr:spPr bwMode="auto">
        <a:xfrm>
          <a:off x="4086225" y="52635150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</xdr:col>
      <xdr:colOff>304800</xdr:colOff>
      <xdr:row>396</xdr:row>
      <xdr:rowOff>28579</xdr:rowOff>
    </xdr:from>
    <xdr:to>
      <xdr:col>1</xdr:col>
      <xdr:colOff>304803</xdr:colOff>
      <xdr:row>399</xdr:row>
      <xdr:rowOff>19054</xdr:rowOff>
    </xdr:to>
    <xdr:cxnSp macro="">
      <xdr:nvCxnSpPr>
        <xdr:cNvPr id="770" name="Straight Arrow Connector 769"/>
        <xdr:cNvCxnSpPr/>
      </xdr:nvCxnSpPr>
      <xdr:spPr bwMode="auto">
        <a:xfrm rot="5400000">
          <a:off x="66677" y="38700077"/>
          <a:ext cx="476250" cy="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581025</xdr:colOff>
      <xdr:row>402</xdr:row>
      <xdr:rowOff>9525</xdr:rowOff>
    </xdr:from>
    <xdr:to>
      <xdr:col>5</xdr:col>
      <xdr:colOff>457200</xdr:colOff>
      <xdr:row>402</xdr:row>
      <xdr:rowOff>11113</xdr:rowOff>
    </xdr:to>
    <xdr:cxnSp macro="">
      <xdr:nvCxnSpPr>
        <xdr:cNvPr id="771" name="Straight Arrow Connector 770"/>
        <xdr:cNvCxnSpPr/>
      </xdr:nvCxnSpPr>
      <xdr:spPr bwMode="auto">
        <a:xfrm>
          <a:off x="2409825" y="3941445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446881</xdr:colOff>
      <xdr:row>399</xdr:row>
      <xdr:rowOff>29369</xdr:rowOff>
    </xdr:from>
    <xdr:to>
      <xdr:col>5</xdr:col>
      <xdr:colOff>448469</xdr:colOff>
      <xdr:row>400</xdr:row>
      <xdr:rowOff>153194</xdr:rowOff>
    </xdr:to>
    <xdr:cxnSp macro="">
      <xdr:nvCxnSpPr>
        <xdr:cNvPr id="772" name="Straight Connector 771"/>
        <xdr:cNvCxnSpPr>
          <a:endCxn id="715" idx="1"/>
        </xdr:cNvCxnSpPr>
      </xdr:nvCxnSpPr>
      <xdr:spPr bwMode="auto">
        <a:xfrm rot="5400000">
          <a:off x="2743200" y="39090600"/>
          <a:ext cx="2857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485775</xdr:colOff>
      <xdr:row>398</xdr:row>
      <xdr:rowOff>123825</xdr:rowOff>
    </xdr:from>
    <xdr:to>
      <xdr:col>3</xdr:col>
      <xdr:colOff>571500</xdr:colOff>
      <xdr:row>399</xdr:row>
      <xdr:rowOff>38100</xdr:rowOff>
    </xdr:to>
    <xdr:sp macro="" textlink="">
      <xdr:nvSpPr>
        <xdr:cNvPr id="773" name="Flowchart: Merge 772"/>
        <xdr:cNvSpPr/>
      </xdr:nvSpPr>
      <xdr:spPr bwMode="auto">
        <a:xfrm>
          <a:off x="1704975" y="38881050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</xdr:colOff>
      <xdr:row>396</xdr:row>
      <xdr:rowOff>96043</xdr:rowOff>
    </xdr:from>
    <xdr:to>
      <xdr:col>7</xdr:col>
      <xdr:colOff>795</xdr:colOff>
      <xdr:row>398</xdr:row>
      <xdr:rowOff>200024</xdr:rowOff>
    </xdr:to>
    <xdr:cxnSp macro="">
      <xdr:nvCxnSpPr>
        <xdr:cNvPr id="774" name="Straight Arrow Connector 773"/>
        <xdr:cNvCxnSpPr/>
      </xdr:nvCxnSpPr>
      <xdr:spPr bwMode="auto">
        <a:xfrm rot="5400000">
          <a:off x="4110832" y="57783412"/>
          <a:ext cx="465931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352425</xdr:colOff>
      <xdr:row>58</xdr:row>
      <xdr:rowOff>9526</xdr:rowOff>
    </xdr:from>
    <xdr:to>
      <xdr:col>8</xdr:col>
      <xdr:colOff>333375</xdr:colOff>
      <xdr:row>58</xdr:row>
      <xdr:rowOff>19050</xdr:rowOff>
    </xdr:to>
    <xdr:cxnSp macro="">
      <xdr:nvCxnSpPr>
        <xdr:cNvPr id="785" name="Straight Arrow Connector 784"/>
        <xdr:cNvCxnSpPr/>
      </xdr:nvCxnSpPr>
      <xdr:spPr bwMode="auto">
        <a:xfrm flipV="1">
          <a:off x="3400425" y="8848726"/>
          <a:ext cx="18859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19050</xdr:colOff>
      <xdr:row>72</xdr:row>
      <xdr:rowOff>133350</xdr:rowOff>
    </xdr:from>
    <xdr:to>
      <xdr:col>8</xdr:col>
      <xdr:colOff>352425</xdr:colOff>
      <xdr:row>72</xdr:row>
      <xdr:rowOff>144463</xdr:rowOff>
    </xdr:to>
    <xdr:cxnSp macro="">
      <xdr:nvCxnSpPr>
        <xdr:cNvPr id="787" name="Straight Arrow Connector 786"/>
        <xdr:cNvCxnSpPr/>
      </xdr:nvCxnSpPr>
      <xdr:spPr bwMode="auto">
        <a:xfrm>
          <a:off x="3676650" y="10429875"/>
          <a:ext cx="1628775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123825</xdr:colOff>
      <xdr:row>471</xdr:row>
      <xdr:rowOff>0</xdr:rowOff>
    </xdr:from>
    <xdr:ext cx="276225" cy="170560"/>
    <xdr:sp macro="" textlink="">
      <xdr:nvSpPr>
        <xdr:cNvPr id="707" name="Text Box 24"/>
        <xdr:cNvSpPr txBox="1">
          <a:spLocks noChangeArrowheads="1"/>
        </xdr:cNvSpPr>
      </xdr:nvSpPr>
      <xdr:spPr bwMode="auto">
        <a:xfrm>
          <a:off x="3171825" y="62131575"/>
          <a:ext cx="27622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X=</a:t>
          </a:r>
        </a:p>
      </xdr:txBody>
    </xdr:sp>
    <xdr:clientData/>
  </xdr:oneCellAnchor>
  <xdr:twoCellAnchor>
    <xdr:from>
      <xdr:col>0</xdr:col>
      <xdr:colOff>352425</xdr:colOff>
      <xdr:row>79</xdr:row>
      <xdr:rowOff>19053</xdr:rowOff>
    </xdr:from>
    <xdr:to>
      <xdr:col>0</xdr:col>
      <xdr:colOff>352428</xdr:colOff>
      <xdr:row>82</xdr:row>
      <xdr:rowOff>28578</xdr:rowOff>
    </xdr:to>
    <xdr:cxnSp macro="">
      <xdr:nvCxnSpPr>
        <xdr:cNvPr id="776" name="Straight Connector 775"/>
        <xdr:cNvCxnSpPr/>
      </xdr:nvCxnSpPr>
      <xdr:spPr bwMode="auto">
        <a:xfrm rot="5400000">
          <a:off x="104777" y="12182476"/>
          <a:ext cx="495300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600075</xdr:colOff>
      <xdr:row>58</xdr:row>
      <xdr:rowOff>9525</xdr:rowOff>
    </xdr:from>
    <xdr:to>
      <xdr:col>4</xdr:col>
      <xdr:colOff>0</xdr:colOff>
      <xdr:row>58</xdr:row>
      <xdr:rowOff>9526</xdr:rowOff>
    </xdr:to>
    <xdr:cxnSp macro="">
      <xdr:nvCxnSpPr>
        <xdr:cNvPr id="784" name="Straight Arrow Connector 783"/>
        <xdr:cNvCxnSpPr/>
      </xdr:nvCxnSpPr>
      <xdr:spPr bwMode="auto">
        <a:xfrm>
          <a:off x="600075" y="8848725"/>
          <a:ext cx="18383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95253</xdr:colOff>
      <xdr:row>78</xdr:row>
      <xdr:rowOff>1</xdr:rowOff>
    </xdr:from>
    <xdr:to>
      <xdr:col>3</xdr:col>
      <xdr:colOff>95255</xdr:colOff>
      <xdr:row>80</xdr:row>
      <xdr:rowOff>123826</xdr:rowOff>
    </xdr:to>
    <xdr:cxnSp macro="">
      <xdr:nvCxnSpPr>
        <xdr:cNvPr id="788" name="Straight Connector 787"/>
        <xdr:cNvCxnSpPr/>
      </xdr:nvCxnSpPr>
      <xdr:spPr bwMode="auto">
        <a:xfrm rot="16200000" flipH="1">
          <a:off x="1700216" y="11977688"/>
          <a:ext cx="447675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0</xdr:colOff>
      <xdr:row>58</xdr:row>
      <xdr:rowOff>19050</xdr:rowOff>
    </xdr:from>
    <xdr:to>
      <xdr:col>5</xdr:col>
      <xdr:colOff>371475</xdr:colOff>
      <xdr:row>58</xdr:row>
      <xdr:rowOff>20638</xdr:rowOff>
    </xdr:to>
    <xdr:cxnSp macro="">
      <xdr:nvCxnSpPr>
        <xdr:cNvPr id="794" name="Straight Arrow Connector 793"/>
        <xdr:cNvCxnSpPr/>
      </xdr:nvCxnSpPr>
      <xdr:spPr bwMode="auto">
        <a:xfrm>
          <a:off x="2438400" y="8858250"/>
          <a:ext cx="981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9525</xdr:colOff>
      <xdr:row>57</xdr:row>
      <xdr:rowOff>76200</xdr:rowOff>
    </xdr:from>
    <xdr:to>
      <xdr:col>4</xdr:col>
      <xdr:colOff>9527</xdr:colOff>
      <xdr:row>58</xdr:row>
      <xdr:rowOff>76201</xdr:rowOff>
    </xdr:to>
    <xdr:cxnSp macro="">
      <xdr:nvCxnSpPr>
        <xdr:cNvPr id="723" name="Straight Connector 722"/>
        <xdr:cNvCxnSpPr/>
      </xdr:nvCxnSpPr>
      <xdr:spPr bwMode="auto">
        <a:xfrm rot="16200000" flipH="1">
          <a:off x="2366963" y="8510587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381000</xdr:colOff>
      <xdr:row>72</xdr:row>
      <xdr:rowOff>0</xdr:rowOff>
    </xdr:from>
    <xdr:to>
      <xdr:col>6</xdr:col>
      <xdr:colOff>0</xdr:colOff>
      <xdr:row>72</xdr:row>
      <xdr:rowOff>1588</xdr:rowOff>
    </xdr:to>
    <xdr:cxnSp macro="">
      <xdr:nvCxnSpPr>
        <xdr:cNvPr id="791" name="Straight Arrow Connector 790"/>
        <xdr:cNvCxnSpPr/>
      </xdr:nvCxnSpPr>
      <xdr:spPr bwMode="auto">
        <a:xfrm>
          <a:off x="3429000" y="10296525"/>
          <a:ext cx="228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371475</xdr:colOff>
      <xdr:row>72</xdr:row>
      <xdr:rowOff>0</xdr:rowOff>
    </xdr:from>
    <xdr:to>
      <xdr:col>4</xdr:col>
      <xdr:colOff>0</xdr:colOff>
      <xdr:row>72</xdr:row>
      <xdr:rowOff>1588</xdr:rowOff>
    </xdr:to>
    <xdr:cxnSp macro="">
      <xdr:nvCxnSpPr>
        <xdr:cNvPr id="795" name="Straight Arrow Connector 794"/>
        <xdr:cNvCxnSpPr/>
      </xdr:nvCxnSpPr>
      <xdr:spPr bwMode="auto">
        <a:xfrm>
          <a:off x="2200275" y="11106150"/>
          <a:ext cx="238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0</xdr:colOff>
      <xdr:row>72</xdr:row>
      <xdr:rowOff>9525</xdr:rowOff>
    </xdr:from>
    <xdr:to>
      <xdr:col>3</xdr:col>
      <xdr:colOff>371475</xdr:colOff>
      <xdr:row>72</xdr:row>
      <xdr:rowOff>11113</xdr:rowOff>
    </xdr:to>
    <xdr:cxnSp macro="">
      <xdr:nvCxnSpPr>
        <xdr:cNvPr id="797" name="Straight Arrow Connector 796"/>
        <xdr:cNvCxnSpPr/>
      </xdr:nvCxnSpPr>
      <xdr:spPr bwMode="auto">
        <a:xfrm>
          <a:off x="609600" y="11115675"/>
          <a:ext cx="15906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600076</xdr:colOff>
      <xdr:row>60</xdr:row>
      <xdr:rowOff>19050</xdr:rowOff>
    </xdr:from>
    <xdr:to>
      <xdr:col>8</xdr:col>
      <xdr:colOff>1</xdr:colOff>
      <xdr:row>63</xdr:row>
      <xdr:rowOff>19050</xdr:rowOff>
    </xdr:to>
    <xdr:cxnSp macro="">
      <xdr:nvCxnSpPr>
        <xdr:cNvPr id="789" name="Straight Connector 788"/>
        <xdr:cNvCxnSpPr/>
      </xdr:nvCxnSpPr>
      <xdr:spPr bwMode="auto">
        <a:xfrm rot="5400000">
          <a:off x="4712091" y="9349865"/>
          <a:ext cx="485236" cy="1096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457200</xdr:colOff>
      <xdr:row>70</xdr:row>
      <xdr:rowOff>9525</xdr:rowOff>
    </xdr:from>
    <xdr:to>
      <xdr:col>9</xdr:col>
      <xdr:colOff>123825</xdr:colOff>
      <xdr:row>70</xdr:row>
      <xdr:rowOff>11113</xdr:rowOff>
    </xdr:to>
    <xdr:cxnSp macro="">
      <xdr:nvCxnSpPr>
        <xdr:cNvPr id="800" name="Straight Connector 799"/>
        <xdr:cNvCxnSpPr/>
      </xdr:nvCxnSpPr>
      <xdr:spPr bwMode="auto">
        <a:xfrm>
          <a:off x="5334000" y="9353550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9</xdr:col>
      <xdr:colOff>352425</xdr:colOff>
      <xdr:row>67</xdr:row>
      <xdr:rowOff>142875</xdr:rowOff>
    </xdr:from>
    <xdr:ext cx="125291" cy="180036"/>
    <xdr:sp macro="" textlink="">
      <xdr:nvSpPr>
        <xdr:cNvPr id="801" name="Text Box 3267"/>
        <xdr:cNvSpPr txBox="1">
          <a:spLocks noChangeArrowheads="1"/>
        </xdr:cNvSpPr>
      </xdr:nvSpPr>
      <xdr:spPr bwMode="auto">
        <a:xfrm>
          <a:off x="5915025" y="10877550"/>
          <a:ext cx="125291" cy="180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600075</xdr:colOff>
      <xdr:row>67</xdr:row>
      <xdr:rowOff>2</xdr:rowOff>
    </xdr:from>
    <xdr:to>
      <xdr:col>8</xdr:col>
      <xdr:colOff>600076</xdr:colOff>
      <xdr:row>70</xdr:row>
      <xdr:rowOff>9529</xdr:rowOff>
    </xdr:to>
    <xdr:cxnSp macro="">
      <xdr:nvCxnSpPr>
        <xdr:cNvPr id="803" name="Straight Arrow Connector 802"/>
        <xdr:cNvCxnSpPr/>
      </xdr:nvCxnSpPr>
      <xdr:spPr bwMode="auto">
        <a:xfrm rot="5400000">
          <a:off x="5229225" y="9105902"/>
          <a:ext cx="495302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608807</xdr:colOff>
      <xdr:row>63</xdr:row>
      <xdr:rowOff>793</xdr:rowOff>
    </xdr:from>
    <xdr:to>
      <xdr:col>9</xdr:col>
      <xdr:colOff>795</xdr:colOff>
      <xdr:row>67</xdr:row>
      <xdr:rowOff>29368</xdr:rowOff>
    </xdr:to>
    <xdr:cxnSp macro="">
      <xdr:nvCxnSpPr>
        <xdr:cNvPr id="806" name="Straight Arrow Connector 805"/>
        <xdr:cNvCxnSpPr/>
      </xdr:nvCxnSpPr>
      <xdr:spPr bwMode="auto">
        <a:xfrm rot="5400000">
          <a:off x="5148263" y="8548687"/>
          <a:ext cx="676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600075</xdr:colOff>
      <xdr:row>853</xdr:row>
      <xdr:rowOff>9525</xdr:rowOff>
    </xdr:from>
    <xdr:to>
      <xdr:col>8</xdr:col>
      <xdr:colOff>600075</xdr:colOff>
      <xdr:row>853</xdr:row>
      <xdr:rowOff>11113</xdr:rowOff>
    </xdr:to>
    <xdr:cxnSp macro="">
      <xdr:nvCxnSpPr>
        <xdr:cNvPr id="783" name="Straight Connector 782"/>
        <xdr:cNvCxnSpPr/>
      </xdr:nvCxnSpPr>
      <xdr:spPr bwMode="auto">
        <a:xfrm>
          <a:off x="4867275" y="98440875"/>
          <a:ext cx="609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304800</xdr:colOff>
      <xdr:row>852</xdr:row>
      <xdr:rowOff>47625</xdr:rowOff>
    </xdr:from>
    <xdr:to>
      <xdr:col>8</xdr:col>
      <xdr:colOff>361950</xdr:colOff>
      <xdr:row>852</xdr:row>
      <xdr:rowOff>133350</xdr:rowOff>
    </xdr:to>
    <xdr:sp macro="" textlink="">
      <xdr:nvSpPr>
        <xdr:cNvPr id="790" name="Flowchart: Merge 789"/>
        <xdr:cNvSpPr/>
      </xdr:nvSpPr>
      <xdr:spPr bwMode="auto">
        <a:xfrm>
          <a:off x="5181600" y="98317050"/>
          <a:ext cx="57150" cy="85725"/>
        </a:xfrm>
        <a:prstGeom prst="flowChartMerge">
          <a:avLst/>
        </a:prstGeom>
        <a:ln w="31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104775</xdr:colOff>
      <xdr:row>968</xdr:row>
      <xdr:rowOff>142875</xdr:rowOff>
    </xdr:from>
    <xdr:to>
      <xdr:col>6</xdr:col>
      <xdr:colOff>419100</xdr:colOff>
      <xdr:row>968</xdr:row>
      <xdr:rowOff>152401</xdr:rowOff>
    </xdr:to>
    <xdr:cxnSp macro="">
      <xdr:nvCxnSpPr>
        <xdr:cNvPr id="798" name="Straight Connector 797"/>
        <xdr:cNvCxnSpPr/>
      </xdr:nvCxnSpPr>
      <xdr:spPr bwMode="auto">
        <a:xfrm flipV="1">
          <a:off x="3762375" y="100355400"/>
          <a:ext cx="314325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9525</xdr:colOff>
      <xdr:row>1045</xdr:row>
      <xdr:rowOff>9525</xdr:rowOff>
    </xdr:from>
    <xdr:to>
      <xdr:col>17</xdr:col>
      <xdr:colOff>0</xdr:colOff>
      <xdr:row>1045</xdr:row>
      <xdr:rowOff>9525</xdr:rowOff>
    </xdr:to>
    <xdr:sp macro="" textlink="">
      <xdr:nvSpPr>
        <xdr:cNvPr id="802" name="Line 2509"/>
        <xdr:cNvSpPr>
          <a:spLocks noChangeShapeType="1"/>
        </xdr:cNvSpPr>
      </xdr:nvSpPr>
      <xdr:spPr bwMode="auto">
        <a:xfrm>
          <a:off x="619125" y="98602800"/>
          <a:ext cx="3038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600076</xdr:colOff>
      <xdr:row>1046</xdr:row>
      <xdr:rowOff>152398</xdr:rowOff>
    </xdr:from>
    <xdr:to>
      <xdr:col>17</xdr:col>
      <xdr:colOff>9525</xdr:colOff>
      <xdr:row>1048</xdr:row>
      <xdr:rowOff>152399</xdr:rowOff>
    </xdr:to>
    <xdr:sp macro="" textlink="">
      <xdr:nvSpPr>
        <xdr:cNvPr id="807" name="Line 2512"/>
        <xdr:cNvSpPr>
          <a:spLocks noChangeShapeType="1"/>
        </xdr:cNvSpPr>
      </xdr:nvSpPr>
      <xdr:spPr bwMode="auto">
        <a:xfrm>
          <a:off x="600076" y="113233198"/>
          <a:ext cx="3067049" cy="32385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16</xdr:col>
      <xdr:colOff>428625</xdr:colOff>
      <xdr:row>1047</xdr:row>
      <xdr:rowOff>0</xdr:rowOff>
    </xdr:from>
    <xdr:ext cx="19050" cy="342900"/>
    <xdr:sp macro="" textlink="">
      <xdr:nvSpPr>
        <xdr:cNvPr id="808" name="Text Box 2708"/>
        <xdr:cNvSpPr txBox="1">
          <a:spLocks noChangeArrowheads="1"/>
        </xdr:cNvSpPr>
      </xdr:nvSpPr>
      <xdr:spPr bwMode="auto">
        <a:xfrm>
          <a:off x="3476625" y="9891712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18</xdr:col>
      <xdr:colOff>409575</xdr:colOff>
      <xdr:row>1046</xdr:row>
      <xdr:rowOff>142875</xdr:rowOff>
    </xdr:from>
    <xdr:ext cx="133350" cy="342900"/>
    <xdr:sp macro="" textlink="">
      <xdr:nvSpPr>
        <xdr:cNvPr id="809" name="Text Box 2709"/>
        <xdr:cNvSpPr txBox="1">
          <a:spLocks noChangeArrowheads="1"/>
        </xdr:cNvSpPr>
      </xdr:nvSpPr>
      <xdr:spPr bwMode="auto">
        <a:xfrm>
          <a:off x="4676775" y="98574225"/>
          <a:ext cx="1333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%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12</xdr:col>
      <xdr:colOff>0</xdr:colOff>
      <xdr:row>1045</xdr:row>
      <xdr:rowOff>1</xdr:rowOff>
    </xdr:from>
    <xdr:to>
      <xdr:col>12</xdr:col>
      <xdr:colOff>9525</xdr:colOff>
      <xdr:row>1047</xdr:row>
      <xdr:rowOff>19051</xdr:rowOff>
    </xdr:to>
    <xdr:cxnSp macro="">
      <xdr:nvCxnSpPr>
        <xdr:cNvPr id="811" name="Straight Connector 810"/>
        <xdr:cNvCxnSpPr/>
      </xdr:nvCxnSpPr>
      <xdr:spPr bwMode="auto">
        <a:xfrm rot="5400000">
          <a:off x="442913" y="113085563"/>
          <a:ext cx="3429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16</xdr:col>
      <xdr:colOff>608807</xdr:colOff>
      <xdr:row>1045</xdr:row>
      <xdr:rowOff>19844</xdr:rowOff>
    </xdr:from>
    <xdr:to>
      <xdr:col>17</xdr:col>
      <xdr:colOff>795</xdr:colOff>
      <xdr:row>1049</xdr:row>
      <xdr:rowOff>10319</xdr:rowOff>
    </xdr:to>
    <xdr:cxnSp macro="">
      <xdr:nvCxnSpPr>
        <xdr:cNvPr id="813" name="Straight Connector 812"/>
        <xdr:cNvCxnSpPr/>
      </xdr:nvCxnSpPr>
      <xdr:spPr bwMode="auto">
        <a:xfrm rot="5400000">
          <a:off x="3338513" y="113257013"/>
          <a:ext cx="638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1046</xdr:row>
      <xdr:rowOff>85725</xdr:rowOff>
    </xdr:from>
    <xdr:to>
      <xdr:col>7</xdr:col>
      <xdr:colOff>219075</xdr:colOff>
      <xdr:row>1046</xdr:row>
      <xdr:rowOff>85725</xdr:rowOff>
    </xdr:to>
    <xdr:sp macro="" textlink="">
      <xdr:nvSpPr>
        <xdr:cNvPr id="814" name="Line 2666"/>
        <xdr:cNvSpPr>
          <a:spLocks noChangeShapeType="1"/>
        </xdr:cNvSpPr>
      </xdr:nvSpPr>
      <xdr:spPr bwMode="auto">
        <a:xfrm>
          <a:off x="609600" y="119510175"/>
          <a:ext cx="387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1046</xdr:row>
      <xdr:rowOff>85725</xdr:rowOff>
    </xdr:from>
    <xdr:to>
      <xdr:col>1</xdr:col>
      <xdr:colOff>0</xdr:colOff>
      <xdr:row>1048</xdr:row>
      <xdr:rowOff>0</xdr:rowOff>
    </xdr:to>
    <xdr:sp macro="" textlink="">
      <xdr:nvSpPr>
        <xdr:cNvPr id="815" name="Line 2667"/>
        <xdr:cNvSpPr>
          <a:spLocks noChangeShapeType="1"/>
        </xdr:cNvSpPr>
      </xdr:nvSpPr>
      <xdr:spPr bwMode="auto">
        <a:xfrm>
          <a:off x="609600" y="119510175"/>
          <a:ext cx="0" cy="238125"/>
        </a:xfrm>
        <a:prstGeom prst="line">
          <a:avLst/>
        </a:prstGeom>
        <a:noFill/>
        <a:ln w="9525">
          <a:solidFill>
            <a:srgbClr val="0000FF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7</xdr:col>
      <xdr:colOff>0</xdr:colOff>
      <xdr:row>1046</xdr:row>
      <xdr:rowOff>85725</xdr:rowOff>
    </xdr:from>
    <xdr:to>
      <xdr:col>7</xdr:col>
      <xdr:colOff>0</xdr:colOff>
      <xdr:row>1050</xdr:row>
      <xdr:rowOff>0</xdr:rowOff>
    </xdr:to>
    <xdr:sp macro="" textlink="">
      <xdr:nvSpPr>
        <xdr:cNvPr id="816" name="Line 2668"/>
        <xdr:cNvSpPr>
          <a:spLocks noChangeShapeType="1"/>
        </xdr:cNvSpPr>
      </xdr:nvSpPr>
      <xdr:spPr bwMode="auto">
        <a:xfrm>
          <a:off x="4343400" y="129682875"/>
          <a:ext cx="0" cy="56197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1</xdr:col>
      <xdr:colOff>0</xdr:colOff>
      <xdr:row>1047</xdr:row>
      <xdr:rowOff>152400</xdr:rowOff>
    </xdr:from>
    <xdr:to>
      <xdr:col>7</xdr:col>
      <xdr:colOff>9525</xdr:colOff>
      <xdr:row>1049</xdr:row>
      <xdr:rowOff>152400</xdr:rowOff>
    </xdr:to>
    <xdr:sp macro="" textlink="">
      <xdr:nvSpPr>
        <xdr:cNvPr id="817" name="Line 2669"/>
        <xdr:cNvSpPr>
          <a:spLocks noChangeShapeType="1"/>
        </xdr:cNvSpPr>
      </xdr:nvSpPr>
      <xdr:spPr bwMode="auto">
        <a:xfrm>
          <a:off x="609600" y="129911475"/>
          <a:ext cx="3743325" cy="32385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</xdr:col>
      <xdr:colOff>9525</xdr:colOff>
      <xdr:row>1046</xdr:row>
      <xdr:rowOff>76200</xdr:rowOff>
    </xdr:from>
    <xdr:to>
      <xdr:col>2</xdr:col>
      <xdr:colOff>9525</xdr:colOff>
      <xdr:row>1048</xdr:row>
      <xdr:rowOff>66675</xdr:rowOff>
    </xdr:to>
    <xdr:sp macro="" textlink="">
      <xdr:nvSpPr>
        <xdr:cNvPr id="820" name="Line 2672"/>
        <xdr:cNvSpPr>
          <a:spLocks noChangeShapeType="1"/>
        </xdr:cNvSpPr>
      </xdr:nvSpPr>
      <xdr:spPr bwMode="auto">
        <a:xfrm>
          <a:off x="1228725" y="115909725"/>
          <a:ext cx="0" cy="3143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2</xdr:col>
      <xdr:colOff>342900</xdr:colOff>
      <xdr:row>1046</xdr:row>
      <xdr:rowOff>85725</xdr:rowOff>
    </xdr:from>
    <xdr:to>
      <xdr:col>2</xdr:col>
      <xdr:colOff>342900</xdr:colOff>
      <xdr:row>1048</xdr:row>
      <xdr:rowOff>85725</xdr:rowOff>
    </xdr:to>
    <xdr:sp macro="" textlink="">
      <xdr:nvSpPr>
        <xdr:cNvPr id="821" name="Line 2673"/>
        <xdr:cNvSpPr>
          <a:spLocks noChangeShapeType="1"/>
        </xdr:cNvSpPr>
      </xdr:nvSpPr>
      <xdr:spPr bwMode="auto">
        <a:xfrm>
          <a:off x="1562100" y="115919250"/>
          <a:ext cx="0" cy="32385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2</xdr:col>
      <xdr:colOff>342900</xdr:colOff>
      <xdr:row>1047</xdr:row>
      <xdr:rowOff>95250</xdr:rowOff>
    </xdr:from>
    <xdr:to>
      <xdr:col>2</xdr:col>
      <xdr:colOff>581025</xdr:colOff>
      <xdr:row>1047</xdr:row>
      <xdr:rowOff>95250</xdr:rowOff>
    </xdr:to>
    <xdr:sp macro="" textlink="">
      <xdr:nvSpPr>
        <xdr:cNvPr id="824" name="Line 2676"/>
        <xdr:cNvSpPr>
          <a:spLocks noChangeShapeType="1"/>
        </xdr:cNvSpPr>
      </xdr:nvSpPr>
      <xdr:spPr bwMode="auto">
        <a:xfrm>
          <a:off x="1562100" y="1160907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1</xdr:col>
      <xdr:colOff>390525</xdr:colOff>
      <xdr:row>1048</xdr:row>
      <xdr:rowOff>28575</xdr:rowOff>
    </xdr:from>
    <xdr:to>
      <xdr:col>1</xdr:col>
      <xdr:colOff>590550</xdr:colOff>
      <xdr:row>1051</xdr:row>
      <xdr:rowOff>76200</xdr:rowOff>
    </xdr:to>
    <xdr:sp macro="" textlink="">
      <xdr:nvSpPr>
        <xdr:cNvPr id="827" name="Line 2679"/>
        <xdr:cNvSpPr>
          <a:spLocks noChangeShapeType="1"/>
        </xdr:cNvSpPr>
      </xdr:nvSpPr>
      <xdr:spPr bwMode="auto">
        <a:xfrm flipH="1" flipV="1">
          <a:off x="1000125" y="119776875"/>
          <a:ext cx="200025" cy="53340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333375</xdr:colOff>
      <xdr:row>1046</xdr:row>
      <xdr:rowOff>76200</xdr:rowOff>
    </xdr:from>
    <xdr:to>
      <xdr:col>8</xdr:col>
      <xdr:colOff>190500</xdr:colOff>
      <xdr:row>1046</xdr:row>
      <xdr:rowOff>76200</xdr:rowOff>
    </xdr:to>
    <xdr:sp macro="" textlink="">
      <xdr:nvSpPr>
        <xdr:cNvPr id="828" name="Line 3243"/>
        <xdr:cNvSpPr>
          <a:spLocks noChangeShapeType="1"/>
        </xdr:cNvSpPr>
      </xdr:nvSpPr>
      <xdr:spPr bwMode="auto">
        <a:xfrm flipV="1">
          <a:off x="4600575" y="11950065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</xdr:colOff>
      <xdr:row>1038</xdr:row>
      <xdr:rowOff>0</xdr:rowOff>
    </xdr:from>
    <xdr:to>
      <xdr:col>0</xdr:col>
      <xdr:colOff>285750</xdr:colOff>
      <xdr:row>1038</xdr:row>
      <xdr:rowOff>0</xdr:rowOff>
    </xdr:to>
    <xdr:sp macro="" textlink="">
      <xdr:nvSpPr>
        <xdr:cNvPr id="829" name="Line 3244"/>
        <xdr:cNvSpPr>
          <a:spLocks noChangeShapeType="1"/>
        </xdr:cNvSpPr>
      </xdr:nvSpPr>
      <xdr:spPr bwMode="auto">
        <a:xfrm>
          <a:off x="57150" y="1193958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333375</xdr:colOff>
      <xdr:row>1050</xdr:row>
      <xdr:rowOff>9525</xdr:rowOff>
    </xdr:from>
    <xdr:to>
      <xdr:col>7</xdr:col>
      <xdr:colOff>581025</xdr:colOff>
      <xdr:row>1050</xdr:row>
      <xdr:rowOff>9525</xdr:rowOff>
    </xdr:to>
    <xdr:sp macro="" textlink="">
      <xdr:nvSpPr>
        <xdr:cNvPr id="832" name="Line 3247"/>
        <xdr:cNvSpPr>
          <a:spLocks noChangeShapeType="1"/>
        </xdr:cNvSpPr>
      </xdr:nvSpPr>
      <xdr:spPr bwMode="auto">
        <a:xfrm>
          <a:off x="4600575" y="116490750"/>
          <a:ext cx="247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428625</xdr:colOff>
      <xdr:row>1046</xdr:row>
      <xdr:rowOff>76200</xdr:rowOff>
    </xdr:from>
    <xdr:to>
      <xdr:col>7</xdr:col>
      <xdr:colOff>428625</xdr:colOff>
      <xdr:row>1050</xdr:row>
      <xdr:rowOff>9525</xdr:rowOff>
    </xdr:to>
    <xdr:sp macro="" textlink="">
      <xdr:nvSpPr>
        <xdr:cNvPr id="833" name="Line 3248"/>
        <xdr:cNvSpPr>
          <a:spLocks noChangeShapeType="1"/>
        </xdr:cNvSpPr>
      </xdr:nvSpPr>
      <xdr:spPr bwMode="auto">
        <a:xfrm>
          <a:off x="4695825" y="115909725"/>
          <a:ext cx="0" cy="581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19050</xdr:colOff>
      <xdr:row>1046</xdr:row>
      <xdr:rowOff>85725</xdr:rowOff>
    </xdr:from>
    <xdr:to>
      <xdr:col>0</xdr:col>
      <xdr:colOff>447675</xdr:colOff>
      <xdr:row>1046</xdr:row>
      <xdr:rowOff>85725</xdr:rowOff>
    </xdr:to>
    <xdr:sp macro="" textlink="">
      <xdr:nvSpPr>
        <xdr:cNvPr id="840" name="Line 3255"/>
        <xdr:cNvSpPr>
          <a:spLocks noChangeShapeType="1"/>
        </xdr:cNvSpPr>
      </xdr:nvSpPr>
      <xdr:spPr bwMode="auto">
        <a:xfrm flipH="1">
          <a:off x="19050" y="115919250"/>
          <a:ext cx="42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38100</xdr:colOff>
      <xdr:row>1048</xdr:row>
      <xdr:rowOff>0</xdr:rowOff>
    </xdr:from>
    <xdr:to>
      <xdr:col>0</xdr:col>
      <xdr:colOff>371475</xdr:colOff>
      <xdr:row>1048</xdr:row>
      <xdr:rowOff>0</xdr:rowOff>
    </xdr:to>
    <xdr:sp macro="" textlink="">
      <xdr:nvSpPr>
        <xdr:cNvPr id="842" name="Line 3257"/>
        <xdr:cNvSpPr>
          <a:spLocks noChangeShapeType="1"/>
        </xdr:cNvSpPr>
      </xdr:nvSpPr>
      <xdr:spPr bwMode="auto">
        <a:xfrm>
          <a:off x="38100" y="11615737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114300</xdr:colOff>
      <xdr:row>1046</xdr:row>
      <xdr:rowOff>85725</xdr:rowOff>
    </xdr:from>
    <xdr:to>
      <xdr:col>0</xdr:col>
      <xdr:colOff>114300</xdr:colOff>
      <xdr:row>1048</xdr:row>
      <xdr:rowOff>0</xdr:rowOff>
    </xdr:to>
    <xdr:sp macro="" textlink="">
      <xdr:nvSpPr>
        <xdr:cNvPr id="843" name="Line 3258"/>
        <xdr:cNvSpPr>
          <a:spLocks noChangeShapeType="1"/>
        </xdr:cNvSpPr>
      </xdr:nvSpPr>
      <xdr:spPr bwMode="auto">
        <a:xfrm>
          <a:off x="114300" y="11591925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</xdr:col>
      <xdr:colOff>0</xdr:colOff>
      <xdr:row>1039</xdr:row>
      <xdr:rowOff>0</xdr:rowOff>
    </xdr:from>
    <xdr:to>
      <xdr:col>1</xdr:col>
      <xdr:colOff>0</xdr:colOff>
      <xdr:row>1040</xdr:row>
      <xdr:rowOff>0</xdr:rowOff>
    </xdr:to>
    <xdr:sp macro="" textlink="">
      <xdr:nvSpPr>
        <xdr:cNvPr id="684" name="Line 2375"/>
        <xdr:cNvSpPr>
          <a:spLocks noChangeShapeType="1"/>
        </xdr:cNvSpPr>
      </xdr:nvSpPr>
      <xdr:spPr bwMode="auto">
        <a:xfrm>
          <a:off x="609600" y="1220152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1039</xdr:row>
      <xdr:rowOff>0</xdr:rowOff>
    </xdr:from>
    <xdr:to>
      <xdr:col>2</xdr:col>
      <xdr:colOff>9525</xdr:colOff>
      <xdr:row>1039</xdr:row>
      <xdr:rowOff>0</xdr:rowOff>
    </xdr:to>
    <xdr:sp macro="" textlink="">
      <xdr:nvSpPr>
        <xdr:cNvPr id="691" name="Line 2376"/>
        <xdr:cNvSpPr>
          <a:spLocks noChangeShapeType="1"/>
        </xdr:cNvSpPr>
      </xdr:nvSpPr>
      <xdr:spPr bwMode="auto">
        <a:xfrm>
          <a:off x="609600" y="12201525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1038</xdr:row>
      <xdr:rowOff>0</xdr:rowOff>
    </xdr:from>
    <xdr:to>
      <xdr:col>2</xdr:col>
      <xdr:colOff>295275</xdr:colOff>
      <xdr:row>1039</xdr:row>
      <xdr:rowOff>0</xdr:rowOff>
    </xdr:to>
    <xdr:sp macro="" textlink="">
      <xdr:nvSpPr>
        <xdr:cNvPr id="778" name="Line 2377"/>
        <xdr:cNvSpPr>
          <a:spLocks noChangeShapeType="1"/>
        </xdr:cNvSpPr>
      </xdr:nvSpPr>
      <xdr:spPr bwMode="auto">
        <a:xfrm flipV="1">
          <a:off x="1219200" y="121853325"/>
          <a:ext cx="29527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276225</xdr:colOff>
      <xdr:row>1038</xdr:row>
      <xdr:rowOff>0</xdr:rowOff>
    </xdr:from>
    <xdr:to>
      <xdr:col>4</xdr:col>
      <xdr:colOff>228600</xdr:colOff>
      <xdr:row>1038</xdr:row>
      <xdr:rowOff>0</xdr:rowOff>
    </xdr:to>
    <xdr:sp macro="" textlink="">
      <xdr:nvSpPr>
        <xdr:cNvPr id="792" name="Line 2378"/>
        <xdr:cNvSpPr>
          <a:spLocks noChangeShapeType="1"/>
        </xdr:cNvSpPr>
      </xdr:nvSpPr>
      <xdr:spPr bwMode="auto">
        <a:xfrm>
          <a:off x="1495425" y="121853325"/>
          <a:ext cx="1171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1038</xdr:row>
      <xdr:rowOff>0</xdr:rowOff>
    </xdr:from>
    <xdr:to>
      <xdr:col>5</xdr:col>
      <xdr:colOff>333375</xdr:colOff>
      <xdr:row>1039</xdr:row>
      <xdr:rowOff>0</xdr:rowOff>
    </xdr:to>
    <xdr:sp macro="" textlink="">
      <xdr:nvSpPr>
        <xdr:cNvPr id="796" name="Line 2379"/>
        <xdr:cNvSpPr>
          <a:spLocks noChangeShapeType="1"/>
        </xdr:cNvSpPr>
      </xdr:nvSpPr>
      <xdr:spPr bwMode="auto">
        <a:xfrm>
          <a:off x="2657475" y="121853325"/>
          <a:ext cx="7239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333375</xdr:colOff>
      <xdr:row>1039</xdr:row>
      <xdr:rowOff>0</xdr:rowOff>
    </xdr:from>
    <xdr:to>
      <xdr:col>7</xdr:col>
      <xdr:colOff>9525</xdr:colOff>
      <xdr:row>1039</xdr:row>
      <xdr:rowOff>0</xdr:rowOff>
    </xdr:to>
    <xdr:sp macro="" textlink="">
      <xdr:nvSpPr>
        <xdr:cNvPr id="799" name="Line 2380"/>
        <xdr:cNvSpPr>
          <a:spLocks noChangeShapeType="1"/>
        </xdr:cNvSpPr>
      </xdr:nvSpPr>
      <xdr:spPr bwMode="auto">
        <a:xfrm>
          <a:off x="3381375" y="122015250"/>
          <a:ext cx="895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1039</xdr:row>
      <xdr:rowOff>0</xdr:rowOff>
    </xdr:from>
    <xdr:to>
      <xdr:col>7</xdr:col>
      <xdr:colOff>0</xdr:colOff>
      <xdr:row>1040</xdr:row>
      <xdr:rowOff>95250</xdr:rowOff>
    </xdr:to>
    <xdr:sp macro="" textlink="">
      <xdr:nvSpPr>
        <xdr:cNvPr id="804" name="Line 2381"/>
        <xdr:cNvSpPr>
          <a:spLocks noChangeShapeType="1"/>
        </xdr:cNvSpPr>
      </xdr:nvSpPr>
      <xdr:spPr bwMode="auto">
        <a:xfrm>
          <a:off x="4267200" y="12201525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276225</xdr:colOff>
      <xdr:row>1035</xdr:row>
      <xdr:rowOff>152400</xdr:rowOff>
    </xdr:from>
    <xdr:to>
      <xdr:col>4</xdr:col>
      <xdr:colOff>190500</xdr:colOff>
      <xdr:row>1035</xdr:row>
      <xdr:rowOff>152400</xdr:rowOff>
    </xdr:to>
    <xdr:sp macro="" textlink="">
      <xdr:nvSpPr>
        <xdr:cNvPr id="805" name="Line 2382"/>
        <xdr:cNvSpPr>
          <a:spLocks noChangeShapeType="1"/>
        </xdr:cNvSpPr>
      </xdr:nvSpPr>
      <xdr:spPr bwMode="auto">
        <a:xfrm>
          <a:off x="1495425" y="121519950"/>
          <a:ext cx="1133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276225</xdr:colOff>
      <xdr:row>1035</xdr:row>
      <xdr:rowOff>76200</xdr:rowOff>
    </xdr:from>
    <xdr:to>
      <xdr:col>2</xdr:col>
      <xdr:colOff>276225</xdr:colOff>
      <xdr:row>1035</xdr:row>
      <xdr:rowOff>152400</xdr:rowOff>
    </xdr:to>
    <xdr:sp macro="" textlink="">
      <xdr:nvSpPr>
        <xdr:cNvPr id="810" name="Line 2383"/>
        <xdr:cNvSpPr>
          <a:spLocks noChangeShapeType="1"/>
        </xdr:cNvSpPr>
      </xdr:nvSpPr>
      <xdr:spPr bwMode="auto">
        <a:xfrm flipV="1">
          <a:off x="1495425" y="12144375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180975</xdr:colOff>
      <xdr:row>1035</xdr:row>
      <xdr:rowOff>66675</xdr:rowOff>
    </xdr:from>
    <xdr:to>
      <xdr:col>4</xdr:col>
      <xdr:colOff>180975</xdr:colOff>
      <xdr:row>1035</xdr:row>
      <xdr:rowOff>152400</xdr:rowOff>
    </xdr:to>
    <xdr:sp macro="" textlink="">
      <xdr:nvSpPr>
        <xdr:cNvPr id="812" name="Line 2384"/>
        <xdr:cNvSpPr>
          <a:spLocks noChangeShapeType="1"/>
        </xdr:cNvSpPr>
      </xdr:nvSpPr>
      <xdr:spPr bwMode="auto">
        <a:xfrm flipV="1">
          <a:off x="2619375" y="1214342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57150</xdr:colOff>
      <xdr:row>1036</xdr:row>
      <xdr:rowOff>152400</xdr:rowOff>
    </xdr:from>
    <xdr:to>
      <xdr:col>3</xdr:col>
      <xdr:colOff>466725</xdr:colOff>
      <xdr:row>1036</xdr:row>
      <xdr:rowOff>152400</xdr:rowOff>
    </xdr:to>
    <xdr:sp macro="" textlink="">
      <xdr:nvSpPr>
        <xdr:cNvPr id="818" name="Line 2385"/>
        <xdr:cNvSpPr>
          <a:spLocks noChangeShapeType="1"/>
        </xdr:cNvSpPr>
      </xdr:nvSpPr>
      <xdr:spPr bwMode="auto">
        <a:xfrm>
          <a:off x="1885950" y="121681875"/>
          <a:ext cx="40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2</xdr:col>
      <xdr:colOff>285750</xdr:colOff>
      <xdr:row>1041</xdr:row>
      <xdr:rowOff>19050</xdr:rowOff>
    </xdr:from>
    <xdr:to>
      <xdr:col>2</xdr:col>
      <xdr:colOff>285750</xdr:colOff>
      <xdr:row>1041</xdr:row>
      <xdr:rowOff>133350</xdr:rowOff>
    </xdr:to>
    <xdr:sp macro="" textlink="">
      <xdr:nvSpPr>
        <xdr:cNvPr id="819" name="Line 2390"/>
        <xdr:cNvSpPr>
          <a:spLocks noChangeShapeType="1"/>
        </xdr:cNvSpPr>
      </xdr:nvSpPr>
      <xdr:spPr bwMode="auto">
        <a:xfrm>
          <a:off x="1504950" y="1223581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1041</xdr:row>
      <xdr:rowOff>19050</xdr:rowOff>
    </xdr:from>
    <xdr:to>
      <xdr:col>4</xdr:col>
      <xdr:colOff>257175</xdr:colOff>
      <xdr:row>1041</xdr:row>
      <xdr:rowOff>133350</xdr:rowOff>
    </xdr:to>
    <xdr:sp macro="" textlink="">
      <xdr:nvSpPr>
        <xdr:cNvPr id="825" name="Line 2391"/>
        <xdr:cNvSpPr>
          <a:spLocks noChangeShapeType="1"/>
        </xdr:cNvSpPr>
      </xdr:nvSpPr>
      <xdr:spPr bwMode="auto">
        <a:xfrm>
          <a:off x="2695575" y="1223581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1041</xdr:row>
      <xdr:rowOff>9525</xdr:rowOff>
    </xdr:from>
    <xdr:to>
      <xdr:col>2</xdr:col>
      <xdr:colOff>0</xdr:colOff>
      <xdr:row>1041</xdr:row>
      <xdr:rowOff>142875</xdr:rowOff>
    </xdr:to>
    <xdr:sp macro="" textlink="">
      <xdr:nvSpPr>
        <xdr:cNvPr id="826" name="Line 2392"/>
        <xdr:cNvSpPr>
          <a:spLocks noChangeShapeType="1"/>
        </xdr:cNvSpPr>
      </xdr:nvSpPr>
      <xdr:spPr bwMode="auto">
        <a:xfrm>
          <a:off x="1219200" y="1223486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1041</xdr:row>
      <xdr:rowOff>19050</xdr:rowOff>
    </xdr:from>
    <xdr:to>
      <xdr:col>1</xdr:col>
      <xdr:colOff>0</xdr:colOff>
      <xdr:row>1041</xdr:row>
      <xdr:rowOff>152400</xdr:rowOff>
    </xdr:to>
    <xdr:sp macro="" textlink="">
      <xdr:nvSpPr>
        <xdr:cNvPr id="830" name="Line 2393"/>
        <xdr:cNvSpPr>
          <a:spLocks noChangeShapeType="1"/>
        </xdr:cNvSpPr>
      </xdr:nvSpPr>
      <xdr:spPr bwMode="auto">
        <a:xfrm>
          <a:off x="609600" y="122358150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323850</xdr:colOff>
      <xdr:row>1041</xdr:row>
      <xdr:rowOff>19050</xdr:rowOff>
    </xdr:from>
    <xdr:to>
      <xdr:col>5</xdr:col>
      <xdr:colOff>323850</xdr:colOff>
      <xdr:row>1041</xdr:row>
      <xdr:rowOff>133350</xdr:rowOff>
    </xdr:to>
    <xdr:sp macro="" textlink="">
      <xdr:nvSpPr>
        <xdr:cNvPr id="831" name="Line 2394"/>
        <xdr:cNvSpPr>
          <a:spLocks noChangeShapeType="1"/>
        </xdr:cNvSpPr>
      </xdr:nvSpPr>
      <xdr:spPr bwMode="auto">
        <a:xfrm>
          <a:off x="3371850" y="1223581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1041</xdr:row>
      <xdr:rowOff>19050</xdr:rowOff>
    </xdr:from>
    <xdr:to>
      <xdr:col>7</xdr:col>
      <xdr:colOff>0</xdr:colOff>
      <xdr:row>1041</xdr:row>
      <xdr:rowOff>142875</xdr:rowOff>
    </xdr:to>
    <xdr:sp macro="" textlink="">
      <xdr:nvSpPr>
        <xdr:cNvPr id="835" name="Line 2395"/>
        <xdr:cNvSpPr>
          <a:spLocks noChangeShapeType="1"/>
        </xdr:cNvSpPr>
      </xdr:nvSpPr>
      <xdr:spPr bwMode="auto">
        <a:xfrm>
          <a:off x="4267200" y="12235815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19050</xdr:colOff>
      <xdr:row>1041</xdr:row>
      <xdr:rowOff>76200</xdr:rowOff>
    </xdr:from>
    <xdr:to>
      <xdr:col>5</xdr:col>
      <xdr:colOff>314325</xdr:colOff>
      <xdr:row>1041</xdr:row>
      <xdr:rowOff>76200</xdr:rowOff>
    </xdr:to>
    <xdr:sp macro="" textlink="">
      <xdr:nvSpPr>
        <xdr:cNvPr id="839" name="Line 2396"/>
        <xdr:cNvSpPr>
          <a:spLocks noChangeShapeType="1"/>
        </xdr:cNvSpPr>
      </xdr:nvSpPr>
      <xdr:spPr bwMode="auto">
        <a:xfrm>
          <a:off x="3067050" y="12241530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333375</xdr:colOff>
      <xdr:row>1041</xdr:row>
      <xdr:rowOff>76200</xdr:rowOff>
    </xdr:from>
    <xdr:to>
      <xdr:col>5</xdr:col>
      <xdr:colOff>600075</xdr:colOff>
      <xdr:row>1041</xdr:row>
      <xdr:rowOff>76200</xdr:rowOff>
    </xdr:to>
    <xdr:sp macro="" textlink="">
      <xdr:nvSpPr>
        <xdr:cNvPr id="845" name="Line 2397"/>
        <xdr:cNvSpPr>
          <a:spLocks noChangeShapeType="1"/>
        </xdr:cNvSpPr>
      </xdr:nvSpPr>
      <xdr:spPr bwMode="auto">
        <a:xfrm flipH="1">
          <a:off x="3381375" y="122415300"/>
          <a:ext cx="2667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0</xdr:col>
      <xdr:colOff>590550</xdr:colOff>
      <xdr:row>1042</xdr:row>
      <xdr:rowOff>19050</xdr:rowOff>
    </xdr:from>
    <xdr:to>
      <xdr:col>0</xdr:col>
      <xdr:colOff>590550</xdr:colOff>
      <xdr:row>1042</xdr:row>
      <xdr:rowOff>19050</xdr:rowOff>
    </xdr:to>
    <xdr:sp macro="" textlink="">
      <xdr:nvSpPr>
        <xdr:cNvPr id="846" name="Line 2408"/>
        <xdr:cNvSpPr>
          <a:spLocks noChangeShapeType="1"/>
        </xdr:cNvSpPr>
      </xdr:nvSpPr>
      <xdr:spPr bwMode="auto">
        <a:xfrm>
          <a:off x="590550" y="12252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1042</xdr:row>
      <xdr:rowOff>19050</xdr:rowOff>
    </xdr:from>
    <xdr:to>
      <xdr:col>1</xdr:col>
      <xdr:colOff>0</xdr:colOff>
      <xdr:row>1042</xdr:row>
      <xdr:rowOff>123825</xdr:rowOff>
    </xdr:to>
    <xdr:sp macro="" textlink="">
      <xdr:nvSpPr>
        <xdr:cNvPr id="847" name="Line 2409"/>
        <xdr:cNvSpPr>
          <a:spLocks noChangeShapeType="1"/>
        </xdr:cNvSpPr>
      </xdr:nvSpPr>
      <xdr:spPr bwMode="auto">
        <a:xfrm>
          <a:off x="609600" y="12252007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1042</xdr:row>
      <xdr:rowOff>19050</xdr:rowOff>
    </xdr:from>
    <xdr:to>
      <xdr:col>7</xdr:col>
      <xdr:colOff>0</xdr:colOff>
      <xdr:row>1042</xdr:row>
      <xdr:rowOff>123825</xdr:rowOff>
    </xdr:to>
    <xdr:sp macro="" textlink="">
      <xdr:nvSpPr>
        <xdr:cNvPr id="848" name="Line 2410"/>
        <xdr:cNvSpPr>
          <a:spLocks noChangeShapeType="1"/>
        </xdr:cNvSpPr>
      </xdr:nvSpPr>
      <xdr:spPr bwMode="auto">
        <a:xfrm>
          <a:off x="4267200" y="12252007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1042</xdr:row>
      <xdr:rowOff>76200</xdr:rowOff>
    </xdr:from>
    <xdr:to>
      <xdr:col>3</xdr:col>
      <xdr:colOff>95250</xdr:colOff>
      <xdr:row>1042</xdr:row>
      <xdr:rowOff>76200</xdr:rowOff>
    </xdr:to>
    <xdr:sp macro="" textlink="">
      <xdr:nvSpPr>
        <xdr:cNvPr id="849" name="Line 2411"/>
        <xdr:cNvSpPr>
          <a:spLocks noChangeShapeType="1"/>
        </xdr:cNvSpPr>
      </xdr:nvSpPr>
      <xdr:spPr bwMode="auto">
        <a:xfrm flipH="1">
          <a:off x="619125" y="122577225"/>
          <a:ext cx="1304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6</xdr:col>
      <xdr:colOff>381000</xdr:colOff>
      <xdr:row>1041</xdr:row>
      <xdr:rowOff>76200</xdr:rowOff>
    </xdr:from>
    <xdr:to>
      <xdr:col>6</xdr:col>
      <xdr:colOff>600075</xdr:colOff>
      <xdr:row>1041</xdr:row>
      <xdr:rowOff>76200</xdr:rowOff>
    </xdr:to>
    <xdr:sp macro="" textlink="">
      <xdr:nvSpPr>
        <xdr:cNvPr id="850" name="Line 2685"/>
        <xdr:cNvSpPr>
          <a:spLocks noChangeShapeType="1"/>
        </xdr:cNvSpPr>
      </xdr:nvSpPr>
      <xdr:spPr bwMode="auto">
        <a:xfrm>
          <a:off x="4038600" y="12241530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561975</xdr:colOff>
      <xdr:row>1041</xdr:row>
      <xdr:rowOff>85725</xdr:rowOff>
    </xdr:from>
    <xdr:to>
      <xdr:col>4</xdr:col>
      <xdr:colOff>247650</xdr:colOff>
      <xdr:row>1041</xdr:row>
      <xdr:rowOff>85725</xdr:rowOff>
    </xdr:to>
    <xdr:sp macro="" textlink="">
      <xdr:nvSpPr>
        <xdr:cNvPr id="851" name="Line 2699"/>
        <xdr:cNvSpPr>
          <a:spLocks noChangeShapeType="1"/>
        </xdr:cNvSpPr>
      </xdr:nvSpPr>
      <xdr:spPr bwMode="auto">
        <a:xfrm>
          <a:off x="2390775" y="122424825"/>
          <a:ext cx="2952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295275</xdr:colOff>
      <xdr:row>1041</xdr:row>
      <xdr:rowOff>85725</xdr:rowOff>
    </xdr:from>
    <xdr:to>
      <xdr:col>3</xdr:col>
      <xdr:colOff>76200</xdr:colOff>
      <xdr:row>1041</xdr:row>
      <xdr:rowOff>85725</xdr:rowOff>
    </xdr:to>
    <xdr:sp macro="" textlink="">
      <xdr:nvSpPr>
        <xdr:cNvPr id="852" name="Line 2700"/>
        <xdr:cNvSpPr>
          <a:spLocks noChangeShapeType="1"/>
        </xdr:cNvSpPr>
      </xdr:nvSpPr>
      <xdr:spPr bwMode="auto">
        <a:xfrm flipH="1">
          <a:off x="1514475" y="122424825"/>
          <a:ext cx="3905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0</xdr:colOff>
      <xdr:row>1041</xdr:row>
      <xdr:rowOff>76200</xdr:rowOff>
    </xdr:from>
    <xdr:to>
      <xdr:col>1</xdr:col>
      <xdr:colOff>95250</xdr:colOff>
      <xdr:row>1041</xdr:row>
      <xdr:rowOff>76200</xdr:rowOff>
    </xdr:to>
    <xdr:sp macro="" textlink="">
      <xdr:nvSpPr>
        <xdr:cNvPr id="853" name="Line 2701"/>
        <xdr:cNvSpPr>
          <a:spLocks noChangeShapeType="1"/>
        </xdr:cNvSpPr>
      </xdr:nvSpPr>
      <xdr:spPr bwMode="auto">
        <a:xfrm flipH="1">
          <a:off x="609600" y="122415300"/>
          <a:ext cx="9525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257175</xdr:colOff>
      <xdr:row>1041</xdr:row>
      <xdr:rowOff>76200</xdr:rowOff>
    </xdr:from>
    <xdr:to>
      <xdr:col>4</xdr:col>
      <xdr:colOff>381000</xdr:colOff>
      <xdr:row>1041</xdr:row>
      <xdr:rowOff>76200</xdr:rowOff>
    </xdr:to>
    <xdr:sp macro="" textlink="">
      <xdr:nvSpPr>
        <xdr:cNvPr id="854" name="Line 2702"/>
        <xdr:cNvSpPr>
          <a:spLocks noChangeShapeType="1"/>
        </xdr:cNvSpPr>
      </xdr:nvSpPr>
      <xdr:spPr bwMode="auto">
        <a:xfrm flipH="1">
          <a:off x="2695575" y="122415300"/>
          <a:ext cx="1238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476250</xdr:colOff>
      <xdr:row>1041</xdr:row>
      <xdr:rowOff>76200</xdr:rowOff>
    </xdr:from>
    <xdr:to>
      <xdr:col>1</xdr:col>
      <xdr:colOff>600075</xdr:colOff>
      <xdr:row>1041</xdr:row>
      <xdr:rowOff>76200</xdr:rowOff>
    </xdr:to>
    <xdr:sp macro="" textlink="">
      <xdr:nvSpPr>
        <xdr:cNvPr id="855" name="Line 2703"/>
        <xdr:cNvSpPr>
          <a:spLocks noChangeShapeType="1"/>
        </xdr:cNvSpPr>
      </xdr:nvSpPr>
      <xdr:spPr bwMode="auto">
        <a:xfrm>
          <a:off x="1085850" y="122415300"/>
          <a:ext cx="1238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590550</xdr:colOff>
      <xdr:row>1042</xdr:row>
      <xdr:rowOff>66675</xdr:rowOff>
    </xdr:from>
    <xdr:to>
      <xdr:col>7</xdr:col>
      <xdr:colOff>0</xdr:colOff>
      <xdr:row>1042</xdr:row>
      <xdr:rowOff>66675</xdr:rowOff>
    </xdr:to>
    <xdr:sp macro="" textlink="">
      <xdr:nvSpPr>
        <xdr:cNvPr id="856" name="Line 2706"/>
        <xdr:cNvSpPr>
          <a:spLocks noChangeShapeType="1"/>
        </xdr:cNvSpPr>
      </xdr:nvSpPr>
      <xdr:spPr bwMode="auto">
        <a:xfrm>
          <a:off x="2419350" y="122567700"/>
          <a:ext cx="1847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0</xdr:col>
      <xdr:colOff>419100</xdr:colOff>
      <xdr:row>920</xdr:row>
      <xdr:rowOff>47625</xdr:rowOff>
    </xdr:from>
    <xdr:to>
      <xdr:col>1</xdr:col>
      <xdr:colOff>114300</xdr:colOff>
      <xdr:row>920</xdr:row>
      <xdr:rowOff>47625</xdr:rowOff>
    </xdr:to>
    <xdr:sp macro="" textlink="">
      <xdr:nvSpPr>
        <xdr:cNvPr id="858" name="Line 2489"/>
        <xdr:cNvSpPr>
          <a:spLocks noChangeShapeType="1"/>
        </xdr:cNvSpPr>
      </xdr:nvSpPr>
      <xdr:spPr bwMode="auto">
        <a:xfrm>
          <a:off x="1028700" y="85420200"/>
          <a:ext cx="304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11</xdr:col>
      <xdr:colOff>552450</xdr:colOff>
      <xdr:row>922</xdr:row>
      <xdr:rowOff>123825</xdr:rowOff>
    </xdr:from>
    <xdr:ext cx="19050" cy="342900"/>
    <xdr:sp macro="" textlink="">
      <xdr:nvSpPr>
        <xdr:cNvPr id="859" name="Text Box 2490"/>
        <xdr:cNvSpPr txBox="1">
          <a:spLocks noChangeArrowheads="1"/>
        </xdr:cNvSpPr>
      </xdr:nvSpPr>
      <xdr:spPr bwMode="auto">
        <a:xfrm>
          <a:off x="1162050" y="8565832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0</xdr:col>
      <xdr:colOff>457200</xdr:colOff>
      <xdr:row>919</xdr:row>
      <xdr:rowOff>142875</xdr:rowOff>
    </xdr:from>
    <xdr:to>
      <xdr:col>0</xdr:col>
      <xdr:colOff>514350</xdr:colOff>
      <xdr:row>920</xdr:row>
      <xdr:rowOff>47625</xdr:rowOff>
    </xdr:to>
    <xdr:sp macro="" textlink="">
      <xdr:nvSpPr>
        <xdr:cNvPr id="860" name="Line 2491"/>
        <xdr:cNvSpPr>
          <a:spLocks noChangeShapeType="1"/>
        </xdr:cNvSpPr>
      </xdr:nvSpPr>
      <xdr:spPr bwMode="auto">
        <a:xfrm>
          <a:off x="1066800" y="85353525"/>
          <a:ext cx="5715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514350</xdr:colOff>
      <xdr:row>919</xdr:row>
      <xdr:rowOff>133350</xdr:rowOff>
    </xdr:from>
    <xdr:to>
      <xdr:col>0</xdr:col>
      <xdr:colOff>552450</xdr:colOff>
      <xdr:row>920</xdr:row>
      <xdr:rowOff>38100</xdr:rowOff>
    </xdr:to>
    <xdr:sp macro="" textlink="">
      <xdr:nvSpPr>
        <xdr:cNvPr id="861" name="Line 2492"/>
        <xdr:cNvSpPr>
          <a:spLocks noChangeShapeType="1"/>
        </xdr:cNvSpPr>
      </xdr:nvSpPr>
      <xdr:spPr bwMode="auto">
        <a:xfrm flipV="1">
          <a:off x="1123950" y="853440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457200</xdr:colOff>
      <xdr:row>919</xdr:row>
      <xdr:rowOff>133350</xdr:rowOff>
    </xdr:from>
    <xdr:to>
      <xdr:col>0</xdr:col>
      <xdr:colOff>571500</xdr:colOff>
      <xdr:row>919</xdr:row>
      <xdr:rowOff>133350</xdr:rowOff>
    </xdr:to>
    <xdr:sp macro="" textlink="">
      <xdr:nvSpPr>
        <xdr:cNvPr id="862" name="Line 2493"/>
        <xdr:cNvSpPr>
          <a:spLocks noChangeShapeType="1"/>
        </xdr:cNvSpPr>
      </xdr:nvSpPr>
      <xdr:spPr bwMode="auto">
        <a:xfrm>
          <a:off x="1066800" y="8534400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466725</xdr:colOff>
      <xdr:row>920</xdr:row>
      <xdr:rowOff>66675</xdr:rowOff>
    </xdr:from>
    <xdr:to>
      <xdr:col>0</xdr:col>
      <xdr:colOff>552450</xdr:colOff>
      <xdr:row>920</xdr:row>
      <xdr:rowOff>66675</xdr:rowOff>
    </xdr:to>
    <xdr:sp macro="" textlink="">
      <xdr:nvSpPr>
        <xdr:cNvPr id="863" name="Line 2494"/>
        <xdr:cNvSpPr>
          <a:spLocks noChangeShapeType="1"/>
        </xdr:cNvSpPr>
      </xdr:nvSpPr>
      <xdr:spPr bwMode="auto">
        <a:xfrm flipH="1">
          <a:off x="1076325" y="8543925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514350</xdr:colOff>
      <xdr:row>920</xdr:row>
      <xdr:rowOff>85725</xdr:rowOff>
    </xdr:from>
    <xdr:to>
      <xdr:col>0</xdr:col>
      <xdr:colOff>533400</xdr:colOff>
      <xdr:row>920</xdr:row>
      <xdr:rowOff>85725</xdr:rowOff>
    </xdr:to>
    <xdr:sp macro="" textlink="">
      <xdr:nvSpPr>
        <xdr:cNvPr id="864" name="Line 2495"/>
        <xdr:cNvSpPr>
          <a:spLocks noChangeShapeType="1"/>
        </xdr:cNvSpPr>
      </xdr:nvSpPr>
      <xdr:spPr bwMode="auto">
        <a:xfrm flipH="1">
          <a:off x="1123950" y="8545830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920</xdr:row>
      <xdr:rowOff>38100</xdr:rowOff>
    </xdr:from>
    <xdr:to>
      <xdr:col>1</xdr:col>
      <xdr:colOff>0</xdr:colOff>
      <xdr:row>921</xdr:row>
      <xdr:rowOff>104775</xdr:rowOff>
    </xdr:to>
    <xdr:sp macro="" textlink="">
      <xdr:nvSpPr>
        <xdr:cNvPr id="865" name="Line 3229"/>
        <xdr:cNvSpPr>
          <a:spLocks noChangeShapeType="1"/>
        </xdr:cNvSpPr>
      </xdr:nvSpPr>
      <xdr:spPr bwMode="auto">
        <a:xfrm flipV="1">
          <a:off x="1219200" y="85410675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0</xdr:colOff>
      <xdr:row>920</xdr:row>
      <xdr:rowOff>114300</xdr:rowOff>
    </xdr:from>
    <xdr:to>
      <xdr:col>1</xdr:col>
      <xdr:colOff>0</xdr:colOff>
      <xdr:row>923</xdr:row>
      <xdr:rowOff>19050</xdr:rowOff>
    </xdr:to>
    <xdr:sp macro="" textlink="">
      <xdr:nvSpPr>
        <xdr:cNvPr id="866" name="Line 3230"/>
        <xdr:cNvSpPr>
          <a:spLocks noChangeShapeType="1"/>
        </xdr:cNvSpPr>
      </xdr:nvSpPr>
      <xdr:spPr bwMode="auto">
        <a:xfrm>
          <a:off x="609600" y="9903142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390525</xdr:colOff>
      <xdr:row>923</xdr:row>
      <xdr:rowOff>38100</xdr:rowOff>
    </xdr:from>
    <xdr:to>
      <xdr:col>7</xdr:col>
      <xdr:colOff>542925</xdr:colOff>
      <xdr:row>923</xdr:row>
      <xdr:rowOff>38100</xdr:rowOff>
    </xdr:to>
    <xdr:sp macro="" textlink="">
      <xdr:nvSpPr>
        <xdr:cNvPr id="867" name="Line 2504"/>
        <xdr:cNvSpPr>
          <a:spLocks noChangeShapeType="1"/>
        </xdr:cNvSpPr>
      </xdr:nvSpPr>
      <xdr:spPr bwMode="auto">
        <a:xfrm>
          <a:off x="4657725" y="9944100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438150</xdr:colOff>
      <xdr:row>923</xdr:row>
      <xdr:rowOff>76200</xdr:rowOff>
    </xdr:from>
    <xdr:to>
      <xdr:col>7</xdr:col>
      <xdr:colOff>476250</xdr:colOff>
      <xdr:row>923</xdr:row>
      <xdr:rowOff>76200</xdr:rowOff>
    </xdr:to>
    <xdr:sp macro="" textlink="">
      <xdr:nvSpPr>
        <xdr:cNvPr id="868" name="Line 2508"/>
        <xdr:cNvSpPr>
          <a:spLocks noChangeShapeType="1"/>
        </xdr:cNvSpPr>
      </xdr:nvSpPr>
      <xdr:spPr bwMode="auto">
        <a:xfrm>
          <a:off x="4705350" y="99479100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123825</xdr:colOff>
      <xdr:row>923</xdr:row>
      <xdr:rowOff>9525</xdr:rowOff>
    </xdr:from>
    <xdr:to>
      <xdr:col>8</xdr:col>
      <xdr:colOff>123825</xdr:colOff>
      <xdr:row>923</xdr:row>
      <xdr:rowOff>11113</xdr:rowOff>
    </xdr:to>
    <xdr:cxnSp macro="">
      <xdr:nvCxnSpPr>
        <xdr:cNvPr id="869" name="Straight Connector 868"/>
        <xdr:cNvCxnSpPr/>
      </xdr:nvCxnSpPr>
      <xdr:spPr bwMode="auto">
        <a:xfrm>
          <a:off x="4391025" y="99412425"/>
          <a:ext cx="609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438150</xdr:colOff>
      <xdr:row>922</xdr:row>
      <xdr:rowOff>66675</xdr:rowOff>
    </xdr:from>
    <xdr:to>
      <xdr:col>7</xdr:col>
      <xdr:colOff>495300</xdr:colOff>
      <xdr:row>922</xdr:row>
      <xdr:rowOff>152400</xdr:rowOff>
    </xdr:to>
    <xdr:sp macro="" textlink="">
      <xdr:nvSpPr>
        <xdr:cNvPr id="870" name="Flowchart: Merge 869"/>
        <xdr:cNvSpPr/>
      </xdr:nvSpPr>
      <xdr:spPr bwMode="auto">
        <a:xfrm>
          <a:off x="4705350" y="99307650"/>
          <a:ext cx="57150" cy="85725"/>
        </a:xfrm>
        <a:prstGeom prst="flowChartMerge">
          <a:avLst/>
        </a:prstGeom>
        <a:ln w="31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228600</xdr:colOff>
      <xdr:row>1036</xdr:row>
      <xdr:rowOff>104775</xdr:rowOff>
    </xdr:from>
    <xdr:to>
      <xdr:col>7</xdr:col>
      <xdr:colOff>571500</xdr:colOff>
      <xdr:row>1036</xdr:row>
      <xdr:rowOff>104775</xdr:rowOff>
    </xdr:to>
    <xdr:sp macro="" textlink="">
      <xdr:nvSpPr>
        <xdr:cNvPr id="871" name="Line 2604"/>
        <xdr:cNvSpPr>
          <a:spLocks noChangeShapeType="1"/>
        </xdr:cNvSpPr>
      </xdr:nvSpPr>
      <xdr:spPr bwMode="auto">
        <a:xfrm>
          <a:off x="3886200" y="105660825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1036</xdr:row>
      <xdr:rowOff>19050</xdr:rowOff>
    </xdr:from>
    <xdr:to>
      <xdr:col>7</xdr:col>
      <xdr:colOff>400050</xdr:colOff>
      <xdr:row>1036</xdr:row>
      <xdr:rowOff>104775</xdr:rowOff>
    </xdr:to>
    <xdr:sp macro="" textlink="">
      <xdr:nvSpPr>
        <xdr:cNvPr id="872" name="Line 2605"/>
        <xdr:cNvSpPr>
          <a:spLocks noChangeShapeType="1"/>
        </xdr:cNvSpPr>
      </xdr:nvSpPr>
      <xdr:spPr bwMode="auto">
        <a:xfrm>
          <a:off x="3971925" y="105575100"/>
          <a:ext cx="857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400050</xdr:colOff>
      <xdr:row>1036</xdr:row>
      <xdr:rowOff>19050</xdr:rowOff>
    </xdr:from>
    <xdr:to>
      <xdr:col>7</xdr:col>
      <xdr:colOff>447675</xdr:colOff>
      <xdr:row>1036</xdr:row>
      <xdr:rowOff>104775</xdr:rowOff>
    </xdr:to>
    <xdr:sp macro="" textlink="">
      <xdr:nvSpPr>
        <xdr:cNvPr id="873" name="Line 2606"/>
        <xdr:cNvSpPr>
          <a:spLocks noChangeShapeType="1"/>
        </xdr:cNvSpPr>
      </xdr:nvSpPr>
      <xdr:spPr bwMode="auto">
        <a:xfrm flipV="1">
          <a:off x="4057650" y="105575100"/>
          <a:ext cx="476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276225</xdr:colOff>
      <xdr:row>1036</xdr:row>
      <xdr:rowOff>28575</xdr:rowOff>
    </xdr:from>
    <xdr:to>
      <xdr:col>7</xdr:col>
      <xdr:colOff>485775</xdr:colOff>
      <xdr:row>1036</xdr:row>
      <xdr:rowOff>28575</xdr:rowOff>
    </xdr:to>
    <xdr:sp macro="" textlink="">
      <xdr:nvSpPr>
        <xdr:cNvPr id="874" name="Line 2607"/>
        <xdr:cNvSpPr>
          <a:spLocks noChangeShapeType="1"/>
        </xdr:cNvSpPr>
      </xdr:nvSpPr>
      <xdr:spPr bwMode="auto">
        <a:xfrm>
          <a:off x="3933825" y="10558462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371475</xdr:colOff>
      <xdr:row>1036</xdr:row>
      <xdr:rowOff>133350</xdr:rowOff>
    </xdr:from>
    <xdr:to>
      <xdr:col>7</xdr:col>
      <xdr:colOff>476250</xdr:colOff>
      <xdr:row>1036</xdr:row>
      <xdr:rowOff>133350</xdr:rowOff>
    </xdr:to>
    <xdr:sp macro="" textlink="">
      <xdr:nvSpPr>
        <xdr:cNvPr id="875" name="Line 2608"/>
        <xdr:cNvSpPr>
          <a:spLocks noChangeShapeType="1"/>
        </xdr:cNvSpPr>
      </xdr:nvSpPr>
      <xdr:spPr bwMode="auto">
        <a:xfrm>
          <a:off x="4029075" y="10568940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390525</xdr:colOff>
      <xdr:row>1037</xdr:row>
      <xdr:rowOff>0</xdr:rowOff>
    </xdr:from>
    <xdr:to>
      <xdr:col>7</xdr:col>
      <xdr:colOff>438150</xdr:colOff>
      <xdr:row>1037</xdr:row>
      <xdr:rowOff>0</xdr:rowOff>
    </xdr:to>
    <xdr:sp macro="" textlink="">
      <xdr:nvSpPr>
        <xdr:cNvPr id="876" name="Line 2609"/>
        <xdr:cNvSpPr>
          <a:spLocks noChangeShapeType="1"/>
        </xdr:cNvSpPr>
      </xdr:nvSpPr>
      <xdr:spPr bwMode="auto">
        <a:xfrm>
          <a:off x="4048125" y="105717975"/>
          <a:ext cx="47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228600</xdr:colOff>
      <xdr:row>1036</xdr:row>
      <xdr:rowOff>104775</xdr:rowOff>
    </xdr:from>
    <xdr:to>
      <xdr:col>7</xdr:col>
      <xdr:colOff>571500</xdr:colOff>
      <xdr:row>1036</xdr:row>
      <xdr:rowOff>104775</xdr:rowOff>
    </xdr:to>
    <xdr:sp macro="" textlink="">
      <xdr:nvSpPr>
        <xdr:cNvPr id="877" name="Line 2633"/>
        <xdr:cNvSpPr>
          <a:spLocks noChangeShapeType="1"/>
        </xdr:cNvSpPr>
      </xdr:nvSpPr>
      <xdr:spPr bwMode="auto">
        <a:xfrm>
          <a:off x="3886200" y="105660825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1036</xdr:row>
      <xdr:rowOff>19050</xdr:rowOff>
    </xdr:from>
    <xdr:to>
      <xdr:col>7</xdr:col>
      <xdr:colOff>400050</xdr:colOff>
      <xdr:row>1036</xdr:row>
      <xdr:rowOff>104775</xdr:rowOff>
    </xdr:to>
    <xdr:sp macro="" textlink="">
      <xdr:nvSpPr>
        <xdr:cNvPr id="878" name="Line 2634"/>
        <xdr:cNvSpPr>
          <a:spLocks noChangeShapeType="1"/>
        </xdr:cNvSpPr>
      </xdr:nvSpPr>
      <xdr:spPr bwMode="auto">
        <a:xfrm>
          <a:off x="3971925" y="105575100"/>
          <a:ext cx="857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400050</xdr:colOff>
      <xdr:row>1036</xdr:row>
      <xdr:rowOff>19050</xdr:rowOff>
    </xdr:from>
    <xdr:to>
      <xdr:col>7</xdr:col>
      <xdr:colOff>447675</xdr:colOff>
      <xdr:row>1036</xdr:row>
      <xdr:rowOff>104775</xdr:rowOff>
    </xdr:to>
    <xdr:sp macro="" textlink="">
      <xdr:nvSpPr>
        <xdr:cNvPr id="879" name="Line 2635"/>
        <xdr:cNvSpPr>
          <a:spLocks noChangeShapeType="1"/>
        </xdr:cNvSpPr>
      </xdr:nvSpPr>
      <xdr:spPr bwMode="auto">
        <a:xfrm flipV="1">
          <a:off x="4057650" y="105575100"/>
          <a:ext cx="476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276225</xdr:colOff>
      <xdr:row>1036</xdr:row>
      <xdr:rowOff>28575</xdr:rowOff>
    </xdr:from>
    <xdr:to>
      <xdr:col>7</xdr:col>
      <xdr:colOff>485775</xdr:colOff>
      <xdr:row>1036</xdr:row>
      <xdr:rowOff>28575</xdr:rowOff>
    </xdr:to>
    <xdr:sp macro="" textlink="">
      <xdr:nvSpPr>
        <xdr:cNvPr id="880" name="Line 2636"/>
        <xdr:cNvSpPr>
          <a:spLocks noChangeShapeType="1"/>
        </xdr:cNvSpPr>
      </xdr:nvSpPr>
      <xdr:spPr bwMode="auto">
        <a:xfrm>
          <a:off x="3933825" y="10558462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371475</xdr:colOff>
      <xdr:row>1036</xdr:row>
      <xdr:rowOff>133350</xdr:rowOff>
    </xdr:from>
    <xdr:to>
      <xdr:col>7</xdr:col>
      <xdr:colOff>476250</xdr:colOff>
      <xdr:row>1036</xdr:row>
      <xdr:rowOff>133350</xdr:rowOff>
    </xdr:to>
    <xdr:sp macro="" textlink="">
      <xdr:nvSpPr>
        <xdr:cNvPr id="881" name="Line 2637"/>
        <xdr:cNvSpPr>
          <a:spLocks noChangeShapeType="1"/>
        </xdr:cNvSpPr>
      </xdr:nvSpPr>
      <xdr:spPr bwMode="auto">
        <a:xfrm>
          <a:off x="4029075" y="10568940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390525</xdr:colOff>
      <xdr:row>1037</xdr:row>
      <xdr:rowOff>0</xdr:rowOff>
    </xdr:from>
    <xdr:to>
      <xdr:col>7</xdr:col>
      <xdr:colOff>438150</xdr:colOff>
      <xdr:row>1037</xdr:row>
      <xdr:rowOff>0</xdr:rowOff>
    </xdr:to>
    <xdr:sp macro="" textlink="">
      <xdr:nvSpPr>
        <xdr:cNvPr id="882" name="Line 2638"/>
        <xdr:cNvSpPr>
          <a:spLocks noChangeShapeType="1"/>
        </xdr:cNvSpPr>
      </xdr:nvSpPr>
      <xdr:spPr bwMode="auto">
        <a:xfrm>
          <a:off x="4048125" y="105717975"/>
          <a:ext cx="47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219075</xdr:colOff>
      <xdr:row>1036</xdr:row>
      <xdr:rowOff>104776</xdr:rowOff>
    </xdr:from>
    <xdr:to>
      <xdr:col>7</xdr:col>
      <xdr:colOff>228600</xdr:colOff>
      <xdr:row>1038</xdr:row>
      <xdr:rowOff>19054</xdr:rowOff>
    </xdr:to>
    <xdr:cxnSp macro="">
      <xdr:nvCxnSpPr>
        <xdr:cNvPr id="883" name="Straight Arrow Connector 882"/>
        <xdr:cNvCxnSpPr>
          <a:stCxn id="877" idx="0"/>
        </xdr:cNvCxnSpPr>
      </xdr:nvCxnSpPr>
      <xdr:spPr bwMode="auto">
        <a:xfrm rot="5400000">
          <a:off x="4371974" y="119291102"/>
          <a:ext cx="238128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95250</xdr:colOff>
      <xdr:row>1038</xdr:row>
      <xdr:rowOff>9526</xdr:rowOff>
    </xdr:from>
    <xdr:to>
      <xdr:col>7</xdr:col>
      <xdr:colOff>381000</xdr:colOff>
      <xdr:row>1038</xdr:row>
      <xdr:rowOff>19050</xdr:rowOff>
    </xdr:to>
    <xdr:cxnSp macro="">
      <xdr:nvCxnSpPr>
        <xdr:cNvPr id="884" name="Straight Connector 883"/>
        <xdr:cNvCxnSpPr/>
      </xdr:nvCxnSpPr>
      <xdr:spPr bwMode="auto">
        <a:xfrm>
          <a:off x="4362450" y="119405401"/>
          <a:ext cx="285750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123825</xdr:colOff>
      <xdr:row>1037</xdr:row>
      <xdr:rowOff>57150</xdr:rowOff>
    </xdr:from>
    <xdr:to>
      <xdr:col>0</xdr:col>
      <xdr:colOff>219075</xdr:colOff>
      <xdr:row>1037</xdr:row>
      <xdr:rowOff>142875</xdr:rowOff>
    </xdr:to>
    <xdr:sp macro="" textlink="">
      <xdr:nvSpPr>
        <xdr:cNvPr id="885" name="Flowchart: Merge 884"/>
        <xdr:cNvSpPr/>
      </xdr:nvSpPr>
      <xdr:spPr bwMode="auto">
        <a:xfrm>
          <a:off x="123825" y="119291100"/>
          <a:ext cx="95250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133350</xdr:colOff>
      <xdr:row>62</xdr:row>
      <xdr:rowOff>133350</xdr:rowOff>
    </xdr:from>
    <xdr:to>
      <xdr:col>0</xdr:col>
      <xdr:colOff>134938</xdr:colOff>
      <xdr:row>67</xdr:row>
      <xdr:rowOff>0</xdr:rowOff>
    </xdr:to>
    <xdr:cxnSp macro="">
      <xdr:nvCxnSpPr>
        <xdr:cNvPr id="822" name="Straight Arrow Connector 821"/>
        <xdr:cNvCxnSpPr/>
      </xdr:nvCxnSpPr>
      <xdr:spPr bwMode="auto">
        <a:xfrm rot="5400000">
          <a:off x="-203994" y="9633744"/>
          <a:ext cx="676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581026</xdr:colOff>
      <xdr:row>1070</xdr:row>
      <xdr:rowOff>0</xdr:rowOff>
    </xdr:from>
    <xdr:to>
      <xdr:col>6</xdr:col>
      <xdr:colOff>1</xdr:colOff>
      <xdr:row>1070</xdr:row>
      <xdr:rowOff>1</xdr:rowOff>
    </xdr:to>
    <xdr:cxnSp macro="">
      <xdr:nvCxnSpPr>
        <xdr:cNvPr id="823" name="Straight Connector 822"/>
        <xdr:cNvCxnSpPr/>
      </xdr:nvCxnSpPr>
      <xdr:spPr bwMode="auto">
        <a:xfrm rot="10800000">
          <a:off x="3019426" y="122310525"/>
          <a:ext cx="63817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495300</xdr:colOff>
      <xdr:row>1068</xdr:row>
      <xdr:rowOff>57150</xdr:rowOff>
    </xdr:from>
    <xdr:to>
      <xdr:col>1</xdr:col>
      <xdr:colOff>496888</xdr:colOff>
      <xdr:row>1070</xdr:row>
      <xdr:rowOff>57150</xdr:rowOff>
    </xdr:to>
    <xdr:cxnSp macro="">
      <xdr:nvCxnSpPr>
        <xdr:cNvPr id="837" name="Straight Connector 836"/>
        <xdr:cNvCxnSpPr/>
      </xdr:nvCxnSpPr>
      <xdr:spPr bwMode="auto">
        <a:xfrm rot="5400000">
          <a:off x="943769" y="12446238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600076</xdr:colOff>
      <xdr:row>1072</xdr:row>
      <xdr:rowOff>123824</xdr:rowOff>
    </xdr:from>
    <xdr:to>
      <xdr:col>4</xdr:col>
      <xdr:colOff>601664</xdr:colOff>
      <xdr:row>1074</xdr:row>
      <xdr:rowOff>19049</xdr:rowOff>
    </xdr:to>
    <xdr:cxnSp macro="">
      <xdr:nvCxnSpPr>
        <xdr:cNvPr id="838" name="Straight Connector 837"/>
        <xdr:cNvCxnSpPr/>
      </xdr:nvCxnSpPr>
      <xdr:spPr bwMode="auto">
        <a:xfrm rot="5400000">
          <a:off x="2929732" y="122866943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1</xdr:col>
      <xdr:colOff>495301</xdr:colOff>
      <xdr:row>1069</xdr:row>
      <xdr:rowOff>152401</xdr:rowOff>
    </xdr:from>
    <xdr:to>
      <xdr:col>3</xdr:col>
      <xdr:colOff>390528</xdr:colOff>
      <xdr:row>1070</xdr:row>
      <xdr:rowOff>1589</xdr:rowOff>
    </xdr:to>
    <xdr:cxnSp macro="">
      <xdr:nvCxnSpPr>
        <xdr:cNvPr id="841" name="Straight Connector 840"/>
        <xdr:cNvCxnSpPr/>
      </xdr:nvCxnSpPr>
      <xdr:spPr bwMode="auto">
        <a:xfrm rot="10800000">
          <a:off x="1104901" y="124558426"/>
          <a:ext cx="1114427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381000</xdr:colOff>
      <xdr:row>1070</xdr:row>
      <xdr:rowOff>0</xdr:rowOff>
    </xdr:from>
    <xdr:to>
      <xdr:col>4</xdr:col>
      <xdr:colOff>571500</xdr:colOff>
      <xdr:row>1070</xdr:row>
      <xdr:rowOff>1588</xdr:rowOff>
    </xdr:to>
    <xdr:cxnSp macro="">
      <xdr:nvCxnSpPr>
        <xdr:cNvPr id="844" name="Straight Connector 843"/>
        <xdr:cNvCxnSpPr/>
      </xdr:nvCxnSpPr>
      <xdr:spPr bwMode="auto">
        <a:xfrm rot="10800000">
          <a:off x="2209800" y="122310525"/>
          <a:ext cx="8001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581025</xdr:colOff>
      <xdr:row>1068</xdr:row>
      <xdr:rowOff>19051</xdr:rowOff>
    </xdr:from>
    <xdr:to>
      <xdr:col>4</xdr:col>
      <xdr:colOff>590552</xdr:colOff>
      <xdr:row>1070</xdr:row>
      <xdr:rowOff>152403</xdr:rowOff>
    </xdr:to>
    <xdr:cxnSp macro="">
      <xdr:nvCxnSpPr>
        <xdr:cNvPr id="886" name="Straight Arrow Connector 885"/>
        <xdr:cNvCxnSpPr/>
      </xdr:nvCxnSpPr>
      <xdr:spPr bwMode="auto">
        <a:xfrm rot="5400000" flipH="1" flipV="1">
          <a:off x="2795588" y="122229563"/>
          <a:ext cx="457202" cy="952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0</xdr:colOff>
      <xdr:row>954</xdr:row>
      <xdr:rowOff>0</xdr:rowOff>
    </xdr:from>
    <xdr:to>
      <xdr:col>4</xdr:col>
      <xdr:colOff>1588</xdr:colOff>
      <xdr:row>955</xdr:row>
      <xdr:rowOff>66675</xdr:rowOff>
    </xdr:to>
    <xdr:cxnSp macro="">
      <xdr:nvCxnSpPr>
        <xdr:cNvPr id="703" name="Straight Arrow Connector 702"/>
        <xdr:cNvCxnSpPr/>
      </xdr:nvCxnSpPr>
      <xdr:spPr bwMode="auto">
        <a:xfrm rot="5400000" flipH="1" flipV="1">
          <a:off x="2324894" y="105498106"/>
          <a:ext cx="228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0</xdr:colOff>
      <xdr:row>957</xdr:row>
      <xdr:rowOff>0</xdr:rowOff>
    </xdr:from>
    <xdr:to>
      <xdr:col>4</xdr:col>
      <xdr:colOff>1588</xdr:colOff>
      <xdr:row>958</xdr:row>
      <xdr:rowOff>114300</xdr:rowOff>
    </xdr:to>
    <xdr:cxnSp macro="">
      <xdr:nvCxnSpPr>
        <xdr:cNvPr id="834" name="Straight Arrow Connector 833"/>
        <xdr:cNvCxnSpPr/>
      </xdr:nvCxnSpPr>
      <xdr:spPr bwMode="auto">
        <a:xfrm rot="5400000" flipH="1" flipV="1">
          <a:off x="2301081" y="106007694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66675</xdr:colOff>
      <xdr:row>954</xdr:row>
      <xdr:rowOff>9525</xdr:rowOff>
    </xdr:from>
    <xdr:to>
      <xdr:col>5</xdr:col>
      <xdr:colOff>457200</xdr:colOff>
      <xdr:row>954</xdr:row>
      <xdr:rowOff>9527</xdr:rowOff>
    </xdr:to>
    <xdr:cxnSp macro="">
      <xdr:nvCxnSpPr>
        <xdr:cNvPr id="889" name="Straight Connector 888"/>
        <xdr:cNvCxnSpPr/>
      </xdr:nvCxnSpPr>
      <xdr:spPr bwMode="auto">
        <a:xfrm flipV="1">
          <a:off x="3114675" y="105394125"/>
          <a:ext cx="390525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133350</xdr:colOff>
      <xdr:row>954</xdr:row>
      <xdr:rowOff>47625</xdr:rowOff>
    </xdr:from>
    <xdr:to>
      <xdr:col>2</xdr:col>
      <xdr:colOff>523875</xdr:colOff>
      <xdr:row>954</xdr:row>
      <xdr:rowOff>47627</xdr:rowOff>
    </xdr:to>
    <xdr:cxnSp macro="">
      <xdr:nvCxnSpPr>
        <xdr:cNvPr id="890" name="Straight Connector 889"/>
        <xdr:cNvCxnSpPr/>
      </xdr:nvCxnSpPr>
      <xdr:spPr bwMode="auto">
        <a:xfrm flipV="1">
          <a:off x="1352550" y="105432225"/>
          <a:ext cx="390525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</xdr:colOff>
      <xdr:row>954</xdr:row>
      <xdr:rowOff>9525</xdr:rowOff>
    </xdr:from>
    <xdr:to>
      <xdr:col>4</xdr:col>
      <xdr:colOff>400050</xdr:colOff>
      <xdr:row>954</xdr:row>
      <xdr:rowOff>9527</xdr:rowOff>
    </xdr:to>
    <xdr:cxnSp macro="">
      <xdr:nvCxnSpPr>
        <xdr:cNvPr id="891" name="Straight Connector 890"/>
        <xdr:cNvCxnSpPr/>
      </xdr:nvCxnSpPr>
      <xdr:spPr bwMode="auto">
        <a:xfrm flipV="1">
          <a:off x="2447925" y="105394125"/>
          <a:ext cx="390525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314325</xdr:colOff>
      <xdr:row>1070</xdr:row>
      <xdr:rowOff>153194</xdr:rowOff>
    </xdr:from>
    <xdr:to>
      <xdr:col>0</xdr:col>
      <xdr:colOff>571500</xdr:colOff>
      <xdr:row>1072</xdr:row>
      <xdr:rowOff>1588</xdr:rowOff>
    </xdr:to>
    <xdr:grpSp>
      <xdr:nvGrpSpPr>
        <xdr:cNvPr id="896" name="Group 895"/>
        <xdr:cNvGrpSpPr/>
      </xdr:nvGrpSpPr>
      <xdr:grpSpPr>
        <a:xfrm>
          <a:off x="314325" y="180204269"/>
          <a:ext cx="257175" cy="172244"/>
          <a:chOff x="314325" y="124721144"/>
          <a:chExt cx="257175" cy="172244"/>
        </a:xfrm>
      </xdr:grpSpPr>
      <xdr:cxnSp macro="">
        <xdr:nvCxnSpPr>
          <xdr:cNvPr id="857" name="Straight Connector 856"/>
          <xdr:cNvCxnSpPr/>
        </xdr:nvCxnSpPr>
        <xdr:spPr bwMode="auto">
          <a:xfrm>
            <a:off x="314325" y="124891800"/>
            <a:ext cx="238125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888" name="Straight Connector 887"/>
          <xdr:cNvCxnSpPr/>
        </xdr:nvCxnSpPr>
        <xdr:spPr bwMode="auto">
          <a:xfrm>
            <a:off x="323850" y="124739400"/>
            <a:ext cx="24765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893" name="Straight Arrow Connector 892"/>
          <xdr:cNvCxnSpPr/>
        </xdr:nvCxnSpPr>
        <xdr:spPr bwMode="auto">
          <a:xfrm rot="5400000">
            <a:off x="414338" y="124801313"/>
            <a:ext cx="161925" cy="1588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triangle" w="sm" len="sm"/>
            <a:tailEnd type="triangle" w="sm" len="sm"/>
          </a:ln>
          <a:effectLst/>
        </xdr:spPr>
      </xdr:cxnSp>
    </xdr:grpSp>
    <xdr:clientData/>
  </xdr:twoCellAnchor>
  <xdr:twoCellAnchor>
    <xdr:from>
      <xdr:col>7</xdr:col>
      <xdr:colOff>28575</xdr:colOff>
      <xdr:row>956</xdr:row>
      <xdr:rowOff>123031</xdr:rowOff>
    </xdr:from>
    <xdr:to>
      <xdr:col>7</xdr:col>
      <xdr:colOff>266700</xdr:colOff>
      <xdr:row>956</xdr:row>
      <xdr:rowOff>124619</xdr:rowOff>
    </xdr:to>
    <xdr:cxnSp macro="">
      <xdr:nvCxnSpPr>
        <xdr:cNvPr id="898" name="Straight Connector 897"/>
        <xdr:cNvCxnSpPr/>
      </xdr:nvCxnSpPr>
      <xdr:spPr bwMode="auto">
        <a:xfrm>
          <a:off x="4295775" y="105831481"/>
          <a:ext cx="2381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57150</xdr:colOff>
      <xdr:row>955</xdr:row>
      <xdr:rowOff>103981</xdr:rowOff>
    </xdr:from>
    <xdr:to>
      <xdr:col>7</xdr:col>
      <xdr:colOff>304800</xdr:colOff>
      <xdr:row>955</xdr:row>
      <xdr:rowOff>105569</xdr:rowOff>
    </xdr:to>
    <xdr:cxnSp macro="">
      <xdr:nvCxnSpPr>
        <xdr:cNvPr id="899" name="Straight Connector 898"/>
        <xdr:cNvCxnSpPr/>
      </xdr:nvCxnSpPr>
      <xdr:spPr bwMode="auto">
        <a:xfrm>
          <a:off x="4324350" y="105650506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133351</xdr:colOff>
      <xdr:row>955</xdr:row>
      <xdr:rowOff>104776</xdr:rowOff>
    </xdr:from>
    <xdr:to>
      <xdr:col>7</xdr:col>
      <xdr:colOff>134146</xdr:colOff>
      <xdr:row>956</xdr:row>
      <xdr:rowOff>123828</xdr:rowOff>
    </xdr:to>
    <xdr:cxnSp macro="">
      <xdr:nvCxnSpPr>
        <xdr:cNvPr id="900" name="Straight Arrow Connector 899"/>
        <xdr:cNvCxnSpPr/>
      </xdr:nvCxnSpPr>
      <xdr:spPr bwMode="auto">
        <a:xfrm rot="5400000">
          <a:off x="4310460" y="105741392"/>
          <a:ext cx="180977" cy="79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2</xdr:colOff>
      <xdr:row>1070</xdr:row>
      <xdr:rowOff>1</xdr:rowOff>
    </xdr:from>
    <xdr:to>
      <xdr:col>1</xdr:col>
      <xdr:colOff>495300</xdr:colOff>
      <xdr:row>1070</xdr:row>
      <xdr:rowOff>9526</xdr:rowOff>
    </xdr:to>
    <xdr:cxnSp macro="">
      <xdr:nvCxnSpPr>
        <xdr:cNvPr id="836" name="Straight Connector 835"/>
        <xdr:cNvCxnSpPr/>
      </xdr:nvCxnSpPr>
      <xdr:spPr bwMode="auto">
        <a:xfrm rot="10800000">
          <a:off x="609602" y="124567951"/>
          <a:ext cx="495298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600075</xdr:colOff>
      <xdr:row>1069</xdr:row>
      <xdr:rowOff>47625</xdr:rowOff>
    </xdr:from>
    <xdr:to>
      <xdr:col>0</xdr:col>
      <xdr:colOff>601663</xdr:colOff>
      <xdr:row>1070</xdr:row>
      <xdr:rowOff>114300</xdr:rowOff>
    </xdr:to>
    <xdr:cxnSp macro="">
      <xdr:nvCxnSpPr>
        <xdr:cNvPr id="892" name="Straight Arrow Connector 891"/>
        <xdr:cNvCxnSpPr/>
      </xdr:nvCxnSpPr>
      <xdr:spPr bwMode="auto">
        <a:xfrm rot="5400000" flipH="1" flipV="1">
          <a:off x="486569" y="124567156"/>
          <a:ext cx="228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457200</xdr:colOff>
      <xdr:row>1074</xdr:row>
      <xdr:rowOff>85725</xdr:rowOff>
    </xdr:from>
    <xdr:to>
      <xdr:col>1</xdr:col>
      <xdr:colOff>590550</xdr:colOff>
      <xdr:row>1074</xdr:row>
      <xdr:rowOff>95250</xdr:rowOff>
    </xdr:to>
    <xdr:cxnSp macro="">
      <xdr:nvCxnSpPr>
        <xdr:cNvPr id="902" name="Straight Connector 901"/>
        <xdr:cNvCxnSpPr/>
      </xdr:nvCxnSpPr>
      <xdr:spPr bwMode="auto">
        <a:xfrm>
          <a:off x="1066800" y="125301375"/>
          <a:ext cx="1333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123826</xdr:colOff>
      <xdr:row>952</xdr:row>
      <xdr:rowOff>0</xdr:rowOff>
    </xdr:from>
    <xdr:to>
      <xdr:col>4</xdr:col>
      <xdr:colOff>1</xdr:colOff>
      <xdr:row>952</xdr:row>
      <xdr:rowOff>9524</xdr:rowOff>
    </xdr:to>
    <xdr:cxnSp macro="">
      <xdr:nvCxnSpPr>
        <xdr:cNvPr id="887" name="Straight Connector 886"/>
        <xdr:cNvCxnSpPr/>
      </xdr:nvCxnSpPr>
      <xdr:spPr bwMode="auto">
        <a:xfrm rot="10800000" flipV="1">
          <a:off x="1343026" y="105060750"/>
          <a:ext cx="1095375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199231</xdr:colOff>
      <xdr:row>950</xdr:row>
      <xdr:rowOff>142879</xdr:rowOff>
    </xdr:from>
    <xdr:to>
      <xdr:col>6</xdr:col>
      <xdr:colOff>209550</xdr:colOff>
      <xdr:row>952</xdr:row>
      <xdr:rowOff>134145</xdr:rowOff>
    </xdr:to>
    <xdr:cxnSp macro="">
      <xdr:nvCxnSpPr>
        <xdr:cNvPr id="894" name="Straight Connector 893"/>
        <xdr:cNvCxnSpPr/>
      </xdr:nvCxnSpPr>
      <xdr:spPr bwMode="auto">
        <a:xfrm rot="5400000">
          <a:off x="3704433" y="114376202"/>
          <a:ext cx="315116" cy="1031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0</xdr:colOff>
      <xdr:row>951</xdr:row>
      <xdr:rowOff>19050</xdr:rowOff>
    </xdr:from>
    <xdr:to>
      <xdr:col>4</xdr:col>
      <xdr:colOff>1588</xdr:colOff>
      <xdr:row>953</xdr:row>
      <xdr:rowOff>19050</xdr:rowOff>
    </xdr:to>
    <xdr:cxnSp macro="">
      <xdr:nvCxnSpPr>
        <xdr:cNvPr id="895" name="Straight Connector 894"/>
        <xdr:cNvCxnSpPr/>
      </xdr:nvCxnSpPr>
      <xdr:spPr bwMode="auto">
        <a:xfrm rot="5400000">
          <a:off x="2277269" y="105079006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66675</xdr:colOff>
      <xdr:row>951</xdr:row>
      <xdr:rowOff>0</xdr:rowOff>
    </xdr:from>
    <xdr:to>
      <xdr:col>5</xdr:col>
      <xdr:colOff>68263</xdr:colOff>
      <xdr:row>953</xdr:row>
      <xdr:rowOff>0</xdr:rowOff>
    </xdr:to>
    <xdr:cxnSp macro="">
      <xdr:nvCxnSpPr>
        <xdr:cNvPr id="897" name="Straight Connector 896"/>
        <xdr:cNvCxnSpPr/>
      </xdr:nvCxnSpPr>
      <xdr:spPr bwMode="auto">
        <a:xfrm rot="5400000">
          <a:off x="2953544" y="105059956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133350</xdr:colOff>
      <xdr:row>951</xdr:row>
      <xdr:rowOff>47625</xdr:rowOff>
    </xdr:from>
    <xdr:to>
      <xdr:col>2</xdr:col>
      <xdr:colOff>134938</xdr:colOff>
      <xdr:row>953</xdr:row>
      <xdr:rowOff>47625</xdr:rowOff>
    </xdr:to>
    <xdr:cxnSp macro="">
      <xdr:nvCxnSpPr>
        <xdr:cNvPr id="901" name="Straight Connector 900"/>
        <xdr:cNvCxnSpPr/>
      </xdr:nvCxnSpPr>
      <xdr:spPr bwMode="auto">
        <a:xfrm rot="5400000">
          <a:off x="1191419" y="11461353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57153</xdr:colOff>
      <xdr:row>952</xdr:row>
      <xdr:rowOff>9525</xdr:rowOff>
    </xdr:from>
    <xdr:to>
      <xdr:col>6</xdr:col>
      <xdr:colOff>200026</xdr:colOff>
      <xdr:row>952</xdr:row>
      <xdr:rowOff>11113</xdr:rowOff>
    </xdr:to>
    <xdr:cxnSp macro="">
      <xdr:nvCxnSpPr>
        <xdr:cNvPr id="903" name="Straight Connector 902"/>
        <xdr:cNvCxnSpPr/>
      </xdr:nvCxnSpPr>
      <xdr:spPr bwMode="auto">
        <a:xfrm rot="10800000">
          <a:off x="3105153" y="105070275"/>
          <a:ext cx="752473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0</xdr:colOff>
      <xdr:row>952</xdr:row>
      <xdr:rowOff>1</xdr:rowOff>
    </xdr:from>
    <xdr:to>
      <xdr:col>5</xdr:col>
      <xdr:colOff>76200</xdr:colOff>
      <xdr:row>952</xdr:row>
      <xdr:rowOff>11114</xdr:rowOff>
    </xdr:to>
    <xdr:cxnSp macro="">
      <xdr:nvCxnSpPr>
        <xdr:cNvPr id="904" name="Straight Connector 903"/>
        <xdr:cNvCxnSpPr/>
      </xdr:nvCxnSpPr>
      <xdr:spPr bwMode="auto">
        <a:xfrm rot="10800000">
          <a:off x="2438400" y="105060751"/>
          <a:ext cx="685800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9525</xdr:colOff>
      <xdr:row>951</xdr:row>
      <xdr:rowOff>0</xdr:rowOff>
    </xdr:from>
    <xdr:to>
      <xdr:col>7</xdr:col>
      <xdr:colOff>11113</xdr:colOff>
      <xdr:row>953</xdr:row>
      <xdr:rowOff>0</xdr:rowOff>
    </xdr:to>
    <xdr:cxnSp macro="">
      <xdr:nvCxnSpPr>
        <xdr:cNvPr id="905" name="Straight Connector 904"/>
        <xdr:cNvCxnSpPr/>
      </xdr:nvCxnSpPr>
      <xdr:spPr bwMode="auto">
        <a:xfrm rot="5400000">
          <a:off x="4115594" y="105059956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200026</xdr:colOff>
      <xdr:row>951</xdr:row>
      <xdr:rowOff>161924</xdr:rowOff>
    </xdr:from>
    <xdr:to>
      <xdr:col>7</xdr:col>
      <xdr:colOff>19050</xdr:colOff>
      <xdr:row>952</xdr:row>
      <xdr:rowOff>0</xdr:rowOff>
    </xdr:to>
    <xdr:cxnSp macro="">
      <xdr:nvCxnSpPr>
        <xdr:cNvPr id="906" name="Straight Connector 905"/>
        <xdr:cNvCxnSpPr/>
      </xdr:nvCxnSpPr>
      <xdr:spPr bwMode="auto">
        <a:xfrm rot="10800000" flipV="1">
          <a:off x="3857626" y="105060749"/>
          <a:ext cx="428624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28577</xdr:colOff>
      <xdr:row>238</xdr:row>
      <xdr:rowOff>123828</xdr:rowOff>
    </xdr:from>
    <xdr:to>
      <xdr:col>6</xdr:col>
      <xdr:colOff>38102</xdr:colOff>
      <xdr:row>246</xdr:row>
      <xdr:rowOff>28578</xdr:rowOff>
    </xdr:to>
    <xdr:cxnSp macro="">
      <xdr:nvCxnSpPr>
        <xdr:cNvPr id="908" name="Straight Arrow Connector 907"/>
        <xdr:cNvCxnSpPr/>
      </xdr:nvCxnSpPr>
      <xdr:spPr bwMode="auto">
        <a:xfrm rot="16200000" flipH="1">
          <a:off x="3090865" y="31732540"/>
          <a:ext cx="12001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647704</xdr:colOff>
      <xdr:row>257</xdr:row>
      <xdr:rowOff>133354</xdr:rowOff>
    </xdr:from>
    <xdr:to>
      <xdr:col>6</xdr:col>
      <xdr:colOff>657229</xdr:colOff>
      <xdr:row>265</xdr:row>
      <xdr:rowOff>38104</xdr:rowOff>
    </xdr:to>
    <xdr:cxnSp macro="">
      <xdr:nvCxnSpPr>
        <xdr:cNvPr id="910" name="Straight Arrow Connector 909"/>
        <xdr:cNvCxnSpPr/>
      </xdr:nvCxnSpPr>
      <xdr:spPr bwMode="auto">
        <a:xfrm rot="16200000" flipH="1">
          <a:off x="3709992" y="35199641"/>
          <a:ext cx="12001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571503</xdr:colOff>
      <xdr:row>275</xdr:row>
      <xdr:rowOff>114303</xdr:rowOff>
    </xdr:from>
    <xdr:to>
      <xdr:col>7</xdr:col>
      <xdr:colOff>581028</xdr:colOff>
      <xdr:row>283</xdr:row>
      <xdr:rowOff>19053</xdr:rowOff>
    </xdr:to>
    <xdr:cxnSp macro="">
      <xdr:nvCxnSpPr>
        <xdr:cNvPr id="912" name="Straight Arrow Connector 911"/>
        <xdr:cNvCxnSpPr/>
      </xdr:nvCxnSpPr>
      <xdr:spPr bwMode="auto">
        <a:xfrm rot="16200000" flipH="1">
          <a:off x="4243391" y="23093365"/>
          <a:ext cx="12001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40</xdr:col>
      <xdr:colOff>9525</xdr:colOff>
      <xdr:row>218</xdr:row>
      <xdr:rowOff>0</xdr:rowOff>
    </xdr:from>
    <xdr:to>
      <xdr:col>42</xdr:col>
      <xdr:colOff>695325</xdr:colOff>
      <xdr:row>218</xdr:row>
      <xdr:rowOff>9525</xdr:rowOff>
    </xdr:to>
    <xdr:sp macro="" textlink="">
      <xdr:nvSpPr>
        <xdr:cNvPr id="914" name="Line 1"/>
        <xdr:cNvSpPr>
          <a:spLocks noChangeShapeType="1"/>
        </xdr:cNvSpPr>
      </xdr:nvSpPr>
      <xdr:spPr bwMode="auto">
        <a:xfrm flipV="1">
          <a:off x="619125" y="24355425"/>
          <a:ext cx="18192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0</xdr:colOff>
      <xdr:row>218</xdr:row>
      <xdr:rowOff>0</xdr:rowOff>
    </xdr:from>
    <xdr:to>
      <xdr:col>44</xdr:col>
      <xdr:colOff>0</xdr:colOff>
      <xdr:row>219</xdr:row>
      <xdr:rowOff>0</xdr:rowOff>
    </xdr:to>
    <xdr:sp macro="" textlink="">
      <xdr:nvSpPr>
        <xdr:cNvPr id="915" name="Line 2"/>
        <xdr:cNvSpPr>
          <a:spLocks noChangeShapeType="1"/>
        </xdr:cNvSpPr>
      </xdr:nvSpPr>
      <xdr:spPr bwMode="auto">
        <a:xfrm>
          <a:off x="2438400" y="24355425"/>
          <a:ext cx="6096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219</xdr:row>
      <xdr:rowOff>0</xdr:rowOff>
    </xdr:from>
    <xdr:to>
      <xdr:col>46</xdr:col>
      <xdr:colOff>0</xdr:colOff>
      <xdr:row>219</xdr:row>
      <xdr:rowOff>0</xdr:rowOff>
    </xdr:to>
    <xdr:sp macro="" textlink="">
      <xdr:nvSpPr>
        <xdr:cNvPr id="916" name="Line 3"/>
        <xdr:cNvSpPr>
          <a:spLocks noChangeShapeType="1"/>
        </xdr:cNvSpPr>
      </xdr:nvSpPr>
      <xdr:spPr bwMode="auto">
        <a:xfrm>
          <a:off x="3048000" y="245173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0</xdr:colOff>
      <xdr:row>219</xdr:row>
      <xdr:rowOff>0</xdr:rowOff>
    </xdr:from>
    <xdr:to>
      <xdr:col>46</xdr:col>
      <xdr:colOff>0</xdr:colOff>
      <xdr:row>220</xdr:row>
      <xdr:rowOff>47625</xdr:rowOff>
    </xdr:to>
    <xdr:sp macro="" textlink="">
      <xdr:nvSpPr>
        <xdr:cNvPr id="917" name="Line 4"/>
        <xdr:cNvSpPr>
          <a:spLocks noChangeShapeType="1"/>
        </xdr:cNvSpPr>
      </xdr:nvSpPr>
      <xdr:spPr bwMode="auto">
        <a:xfrm>
          <a:off x="4267200" y="2451735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0</xdr:colOff>
      <xdr:row>213</xdr:row>
      <xdr:rowOff>0</xdr:rowOff>
    </xdr:from>
    <xdr:to>
      <xdr:col>43</xdr:col>
      <xdr:colOff>0</xdr:colOff>
      <xdr:row>213</xdr:row>
      <xdr:rowOff>152400</xdr:rowOff>
    </xdr:to>
    <xdr:sp macro="" textlink="">
      <xdr:nvSpPr>
        <xdr:cNvPr id="918" name="Line 5"/>
        <xdr:cNvSpPr>
          <a:spLocks noChangeShapeType="1"/>
        </xdr:cNvSpPr>
      </xdr:nvSpPr>
      <xdr:spPr bwMode="auto">
        <a:xfrm>
          <a:off x="2438400" y="235077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266700</xdr:colOff>
      <xdr:row>213</xdr:row>
      <xdr:rowOff>152400</xdr:rowOff>
    </xdr:from>
    <xdr:to>
      <xdr:col>43</xdr:col>
      <xdr:colOff>0</xdr:colOff>
      <xdr:row>213</xdr:row>
      <xdr:rowOff>152400</xdr:rowOff>
    </xdr:to>
    <xdr:sp macro="" textlink="">
      <xdr:nvSpPr>
        <xdr:cNvPr id="919" name="Line 6"/>
        <xdr:cNvSpPr>
          <a:spLocks noChangeShapeType="1"/>
        </xdr:cNvSpPr>
      </xdr:nvSpPr>
      <xdr:spPr bwMode="auto">
        <a:xfrm flipH="1">
          <a:off x="1485900" y="23660100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266700</xdr:colOff>
      <xdr:row>212</xdr:row>
      <xdr:rowOff>152400</xdr:rowOff>
    </xdr:from>
    <xdr:to>
      <xdr:col>41</xdr:col>
      <xdr:colOff>266700</xdr:colOff>
      <xdr:row>213</xdr:row>
      <xdr:rowOff>152400</xdr:rowOff>
    </xdr:to>
    <xdr:sp macro="" textlink="">
      <xdr:nvSpPr>
        <xdr:cNvPr id="920" name="Line 7"/>
        <xdr:cNvSpPr>
          <a:spLocks noChangeShapeType="1"/>
        </xdr:cNvSpPr>
      </xdr:nvSpPr>
      <xdr:spPr bwMode="auto">
        <a:xfrm flipV="1">
          <a:off x="1485900" y="234981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215</xdr:row>
      <xdr:rowOff>152400</xdr:rowOff>
    </xdr:from>
    <xdr:to>
      <xdr:col>42</xdr:col>
      <xdr:colOff>0</xdr:colOff>
      <xdr:row>218</xdr:row>
      <xdr:rowOff>0</xdr:rowOff>
    </xdr:to>
    <xdr:sp macro="" textlink="">
      <xdr:nvSpPr>
        <xdr:cNvPr id="921" name="Line 8"/>
        <xdr:cNvSpPr>
          <a:spLocks noChangeShapeType="1"/>
        </xdr:cNvSpPr>
      </xdr:nvSpPr>
      <xdr:spPr bwMode="auto">
        <a:xfrm>
          <a:off x="1828800" y="23983950"/>
          <a:ext cx="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42</xdr:col>
      <xdr:colOff>0</xdr:colOff>
      <xdr:row>214</xdr:row>
      <xdr:rowOff>0</xdr:rowOff>
    </xdr:from>
    <xdr:to>
      <xdr:col>42</xdr:col>
      <xdr:colOff>0</xdr:colOff>
      <xdr:row>216</xdr:row>
      <xdr:rowOff>0</xdr:rowOff>
    </xdr:to>
    <xdr:sp macro="" textlink="">
      <xdr:nvSpPr>
        <xdr:cNvPr id="922" name="Line 9"/>
        <xdr:cNvSpPr>
          <a:spLocks noChangeShapeType="1"/>
        </xdr:cNvSpPr>
      </xdr:nvSpPr>
      <xdr:spPr bwMode="auto">
        <a:xfrm flipV="1">
          <a:off x="1828800" y="23669625"/>
          <a:ext cx="0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39</xdr:col>
      <xdr:colOff>485775</xdr:colOff>
      <xdr:row>214</xdr:row>
      <xdr:rowOff>57150</xdr:rowOff>
    </xdr:from>
    <xdr:to>
      <xdr:col>45</xdr:col>
      <xdr:colOff>323850</xdr:colOff>
      <xdr:row>218</xdr:row>
      <xdr:rowOff>19050</xdr:rowOff>
    </xdr:to>
    <xdr:sp macro="" textlink="">
      <xdr:nvSpPr>
        <xdr:cNvPr id="923" name="Freeform 11"/>
        <xdr:cNvSpPr>
          <a:spLocks/>
        </xdr:cNvSpPr>
      </xdr:nvSpPr>
      <xdr:spPr bwMode="auto">
        <a:xfrm>
          <a:off x="485775" y="13430250"/>
          <a:ext cx="3495675" cy="647700"/>
        </a:xfrm>
        <a:custGeom>
          <a:avLst/>
          <a:gdLst>
            <a:gd name="T0" fmla="*/ 0 w 367"/>
            <a:gd name="T1" fmla="*/ 2147483647 h 85"/>
            <a:gd name="T2" fmla="*/ 2147483647 w 367"/>
            <a:gd name="T3" fmla="*/ 2147483647 h 85"/>
            <a:gd name="T4" fmla="*/ 2147483647 w 367"/>
            <a:gd name="T5" fmla="*/ 2147483647 h 85"/>
            <a:gd name="T6" fmla="*/ 2147483647 w 367"/>
            <a:gd name="T7" fmla="*/ 2147483647 h 85"/>
            <a:gd name="T8" fmla="*/ 2147483647 w 367"/>
            <a:gd name="T9" fmla="*/ 2147483647 h 85"/>
            <a:gd name="T10" fmla="*/ 2147483647 w 367"/>
            <a:gd name="T11" fmla="*/ 2147483647 h 85"/>
            <a:gd name="T12" fmla="*/ 2147483647 w 367"/>
            <a:gd name="T13" fmla="*/ 2147483647 h 85"/>
            <a:gd name="T14" fmla="*/ 2147483647 w 367"/>
            <a:gd name="T15" fmla="*/ 2147483647 h 85"/>
            <a:gd name="T16" fmla="*/ 2147483647 w 367"/>
            <a:gd name="T17" fmla="*/ 2147483647 h 85"/>
            <a:gd name="T18" fmla="*/ 2147483647 w 367"/>
            <a:gd name="T19" fmla="*/ 2147483647 h 85"/>
            <a:gd name="T20" fmla="*/ 2147483647 w 367"/>
            <a:gd name="T21" fmla="*/ 2147483647 h 85"/>
            <a:gd name="T22" fmla="*/ 2147483647 w 367"/>
            <a:gd name="T23" fmla="*/ 2147483647 h 85"/>
            <a:gd name="T24" fmla="*/ 2147483647 w 367"/>
            <a:gd name="T25" fmla="*/ 2147483647 h 85"/>
            <a:gd name="T26" fmla="*/ 2147483647 w 367"/>
            <a:gd name="T27" fmla="*/ 2147483647 h 85"/>
            <a:gd name="T28" fmla="*/ 2147483647 w 367"/>
            <a:gd name="T29" fmla="*/ 2147483647 h 85"/>
            <a:gd name="T30" fmla="*/ 2147483647 w 367"/>
            <a:gd name="T31" fmla="*/ 2147483647 h 85"/>
            <a:gd name="T32" fmla="*/ 2147483647 w 367"/>
            <a:gd name="T33" fmla="*/ 2147483647 h 85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367"/>
            <a:gd name="T52" fmla="*/ 0 h 85"/>
            <a:gd name="T53" fmla="*/ 367 w 367"/>
            <a:gd name="T54" fmla="*/ 85 h 85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367" h="85">
              <a:moveTo>
                <a:pt x="0" y="2"/>
              </a:moveTo>
              <a:cubicBezTo>
                <a:pt x="18" y="2"/>
                <a:pt x="36" y="0"/>
                <a:pt x="54" y="3"/>
              </a:cubicBezTo>
              <a:cubicBezTo>
                <a:pt x="55" y="3"/>
                <a:pt x="57" y="13"/>
                <a:pt x="58" y="15"/>
              </a:cubicBezTo>
              <a:cubicBezTo>
                <a:pt x="61" y="24"/>
                <a:pt x="65" y="32"/>
                <a:pt x="73" y="37"/>
              </a:cubicBezTo>
              <a:cubicBezTo>
                <a:pt x="83" y="44"/>
                <a:pt x="91" y="43"/>
                <a:pt x="104" y="45"/>
              </a:cubicBezTo>
              <a:cubicBezTo>
                <a:pt x="109" y="46"/>
                <a:pt x="120" y="47"/>
                <a:pt x="120" y="47"/>
              </a:cubicBezTo>
              <a:cubicBezTo>
                <a:pt x="132" y="51"/>
                <a:pt x="144" y="51"/>
                <a:pt x="156" y="52"/>
              </a:cubicBezTo>
              <a:cubicBezTo>
                <a:pt x="173" y="56"/>
                <a:pt x="201" y="55"/>
                <a:pt x="215" y="55"/>
              </a:cubicBezTo>
              <a:cubicBezTo>
                <a:pt x="219" y="56"/>
                <a:pt x="223" y="57"/>
                <a:pt x="227" y="58"/>
              </a:cubicBezTo>
              <a:cubicBezTo>
                <a:pt x="230" y="59"/>
                <a:pt x="235" y="60"/>
                <a:pt x="235" y="60"/>
              </a:cubicBezTo>
              <a:cubicBezTo>
                <a:pt x="241" y="64"/>
                <a:pt x="250" y="63"/>
                <a:pt x="257" y="64"/>
              </a:cubicBezTo>
              <a:cubicBezTo>
                <a:pt x="265" y="67"/>
                <a:pt x="271" y="69"/>
                <a:pt x="278" y="74"/>
              </a:cubicBezTo>
              <a:cubicBezTo>
                <a:pt x="281" y="76"/>
                <a:pt x="287" y="79"/>
                <a:pt x="287" y="79"/>
              </a:cubicBezTo>
              <a:cubicBezTo>
                <a:pt x="291" y="85"/>
                <a:pt x="297" y="80"/>
                <a:pt x="301" y="76"/>
              </a:cubicBezTo>
              <a:cubicBezTo>
                <a:pt x="303" y="69"/>
                <a:pt x="307" y="59"/>
                <a:pt x="313" y="55"/>
              </a:cubicBezTo>
              <a:cubicBezTo>
                <a:pt x="315" y="50"/>
                <a:pt x="319" y="44"/>
                <a:pt x="324" y="41"/>
              </a:cubicBezTo>
              <a:cubicBezTo>
                <a:pt x="334" y="26"/>
                <a:pt x="353" y="28"/>
                <a:pt x="367" y="21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323850</xdr:colOff>
      <xdr:row>215</xdr:row>
      <xdr:rowOff>66675</xdr:rowOff>
    </xdr:from>
    <xdr:to>
      <xdr:col>46</xdr:col>
      <xdr:colOff>485775</xdr:colOff>
      <xdr:row>215</xdr:row>
      <xdr:rowOff>76200</xdr:rowOff>
    </xdr:to>
    <xdr:cxnSp macro="">
      <xdr:nvCxnSpPr>
        <xdr:cNvPr id="924" name="Straight Connector 923"/>
        <xdr:cNvCxnSpPr/>
      </xdr:nvCxnSpPr>
      <xdr:spPr bwMode="auto">
        <a:xfrm>
          <a:off x="3981450" y="23898225"/>
          <a:ext cx="7715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45</xdr:col>
      <xdr:colOff>485775</xdr:colOff>
      <xdr:row>214</xdr:row>
      <xdr:rowOff>133350</xdr:rowOff>
    </xdr:from>
    <xdr:to>
      <xdr:col>45</xdr:col>
      <xdr:colOff>571500</xdr:colOff>
      <xdr:row>215</xdr:row>
      <xdr:rowOff>47625</xdr:rowOff>
    </xdr:to>
    <xdr:sp macro="" textlink="">
      <xdr:nvSpPr>
        <xdr:cNvPr id="925" name="Flowchart: Merge 924"/>
        <xdr:cNvSpPr/>
      </xdr:nvSpPr>
      <xdr:spPr bwMode="auto">
        <a:xfrm>
          <a:off x="4143375" y="23802975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39</xdr:col>
      <xdr:colOff>581025</xdr:colOff>
      <xdr:row>213</xdr:row>
      <xdr:rowOff>133350</xdr:rowOff>
    </xdr:from>
    <xdr:to>
      <xdr:col>40</xdr:col>
      <xdr:colOff>66675</xdr:colOff>
      <xdr:row>214</xdr:row>
      <xdr:rowOff>66675</xdr:rowOff>
    </xdr:to>
    <xdr:sp macro="" textlink="">
      <xdr:nvSpPr>
        <xdr:cNvPr id="926" name="Flowchart: Merge 925"/>
        <xdr:cNvSpPr/>
      </xdr:nvSpPr>
      <xdr:spPr bwMode="auto">
        <a:xfrm>
          <a:off x="581025" y="23641050"/>
          <a:ext cx="95250" cy="9525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40</xdr:col>
      <xdr:colOff>218282</xdr:colOff>
      <xdr:row>214</xdr:row>
      <xdr:rowOff>86519</xdr:rowOff>
    </xdr:from>
    <xdr:to>
      <xdr:col>40</xdr:col>
      <xdr:colOff>219870</xdr:colOff>
      <xdr:row>218</xdr:row>
      <xdr:rowOff>19844</xdr:rowOff>
    </xdr:to>
    <xdr:cxnSp macro="">
      <xdr:nvCxnSpPr>
        <xdr:cNvPr id="927" name="Straight Arrow Connector 926"/>
        <xdr:cNvCxnSpPr/>
      </xdr:nvCxnSpPr>
      <xdr:spPr bwMode="auto">
        <a:xfrm rot="5400000">
          <a:off x="519113" y="24064913"/>
          <a:ext cx="619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42</xdr:col>
      <xdr:colOff>608807</xdr:colOff>
      <xdr:row>216</xdr:row>
      <xdr:rowOff>124618</xdr:rowOff>
    </xdr:from>
    <xdr:to>
      <xdr:col>43</xdr:col>
      <xdr:colOff>795</xdr:colOff>
      <xdr:row>218</xdr:row>
      <xdr:rowOff>793</xdr:rowOff>
    </xdr:to>
    <xdr:cxnSp macro="">
      <xdr:nvCxnSpPr>
        <xdr:cNvPr id="928" name="Straight Arrow Connector 927"/>
        <xdr:cNvCxnSpPr>
          <a:endCxn id="914" idx="1"/>
        </xdr:cNvCxnSpPr>
      </xdr:nvCxnSpPr>
      <xdr:spPr bwMode="auto">
        <a:xfrm rot="5400000">
          <a:off x="2338388" y="24255412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45</xdr:col>
      <xdr:colOff>95250</xdr:colOff>
      <xdr:row>216</xdr:row>
      <xdr:rowOff>114300</xdr:rowOff>
    </xdr:from>
    <xdr:to>
      <xdr:col>46</xdr:col>
      <xdr:colOff>295275</xdr:colOff>
      <xdr:row>216</xdr:row>
      <xdr:rowOff>115888</xdr:rowOff>
    </xdr:to>
    <xdr:cxnSp macro="">
      <xdr:nvCxnSpPr>
        <xdr:cNvPr id="929" name="Straight Arrow Connector 928"/>
        <xdr:cNvCxnSpPr/>
      </xdr:nvCxnSpPr>
      <xdr:spPr bwMode="auto">
        <a:xfrm>
          <a:off x="3752850" y="13849350"/>
          <a:ext cx="8096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42</xdr:col>
      <xdr:colOff>47625</xdr:colOff>
      <xdr:row>213</xdr:row>
      <xdr:rowOff>47625</xdr:rowOff>
    </xdr:from>
    <xdr:to>
      <xdr:col>42</xdr:col>
      <xdr:colOff>114300</xdr:colOff>
      <xdr:row>213</xdr:row>
      <xdr:rowOff>133350</xdr:rowOff>
    </xdr:to>
    <xdr:sp macro="" textlink="">
      <xdr:nvSpPr>
        <xdr:cNvPr id="930" name="Flowchart: Merge 929"/>
        <xdr:cNvSpPr/>
      </xdr:nvSpPr>
      <xdr:spPr bwMode="auto">
        <a:xfrm>
          <a:off x="1876425" y="23555325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533403</xdr:colOff>
      <xdr:row>257</xdr:row>
      <xdr:rowOff>123828</xdr:rowOff>
    </xdr:from>
    <xdr:to>
      <xdr:col>7</xdr:col>
      <xdr:colOff>542928</xdr:colOff>
      <xdr:row>265</xdr:row>
      <xdr:rowOff>28578</xdr:rowOff>
    </xdr:to>
    <xdr:cxnSp macro="">
      <xdr:nvCxnSpPr>
        <xdr:cNvPr id="936" name="Straight Arrow Connector 935"/>
        <xdr:cNvCxnSpPr/>
      </xdr:nvCxnSpPr>
      <xdr:spPr bwMode="auto">
        <a:xfrm rot="16200000" flipH="1">
          <a:off x="4205291" y="20131090"/>
          <a:ext cx="12001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0</xdr:colOff>
      <xdr:row>152</xdr:row>
      <xdr:rowOff>0</xdr:rowOff>
    </xdr:from>
    <xdr:to>
      <xdr:col>6</xdr:col>
      <xdr:colOff>0</xdr:colOff>
      <xdr:row>153</xdr:row>
      <xdr:rowOff>0</xdr:rowOff>
    </xdr:to>
    <xdr:sp macro="" textlink="">
      <xdr:nvSpPr>
        <xdr:cNvPr id="940" name="Line 2"/>
        <xdr:cNvSpPr>
          <a:spLocks noChangeShapeType="1"/>
        </xdr:cNvSpPr>
      </xdr:nvSpPr>
      <xdr:spPr bwMode="auto">
        <a:xfrm>
          <a:off x="2438400" y="16973550"/>
          <a:ext cx="6096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153</xdr:row>
      <xdr:rowOff>0</xdr:rowOff>
    </xdr:from>
    <xdr:to>
      <xdr:col>8</xdr:col>
      <xdr:colOff>0</xdr:colOff>
      <xdr:row>153</xdr:row>
      <xdr:rowOff>0</xdr:rowOff>
    </xdr:to>
    <xdr:sp macro="" textlink="">
      <xdr:nvSpPr>
        <xdr:cNvPr id="941" name="Line 3"/>
        <xdr:cNvSpPr>
          <a:spLocks noChangeShapeType="1"/>
        </xdr:cNvSpPr>
      </xdr:nvSpPr>
      <xdr:spPr bwMode="auto">
        <a:xfrm>
          <a:off x="3048000" y="17135475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276225</xdr:colOff>
      <xdr:row>144</xdr:row>
      <xdr:rowOff>47625</xdr:rowOff>
    </xdr:from>
    <xdr:to>
      <xdr:col>5</xdr:col>
      <xdr:colOff>371475</xdr:colOff>
      <xdr:row>144</xdr:row>
      <xdr:rowOff>142875</xdr:rowOff>
    </xdr:to>
    <xdr:sp macro="" textlink="">
      <xdr:nvSpPr>
        <xdr:cNvPr id="951" name="Flowchart: Merge 950"/>
        <xdr:cNvSpPr/>
      </xdr:nvSpPr>
      <xdr:spPr bwMode="auto">
        <a:xfrm>
          <a:off x="3324225" y="14230350"/>
          <a:ext cx="95250" cy="9525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</xdr:col>
      <xdr:colOff>599283</xdr:colOff>
      <xdr:row>147</xdr:row>
      <xdr:rowOff>0</xdr:rowOff>
    </xdr:from>
    <xdr:to>
      <xdr:col>2</xdr:col>
      <xdr:colOff>0</xdr:colOff>
      <xdr:row>152</xdr:row>
      <xdr:rowOff>19846</xdr:rowOff>
    </xdr:to>
    <xdr:cxnSp macro="">
      <xdr:nvCxnSpPr>
        <xdr:cNvPr id="952" name="Straight Arrow Connector 951"/>
        <xdr:cNvCxnSpPr/>
      </xdr:nvCxnSpPr>
      <xdr:spPr bwMode="auto">
        <a:xfrm flipH="1">
          <a:off x="1208883" y="14706600"/>
          <a:ext cx="10317" cy="95329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1</xdr:colOff>
      <xdr:row>150</xdr:row>
      <xdr:rowOff>124618</xdr:rowOff>
    </xdr:from>
    <xdr:to>
      <xdr:col>5</xdr:col>
      <xdr:colOff>798</xdr:colOff>
      <xdr:row>151</xdr:row>
      <xdr:rowOff>200024</xdr:rowOff>
    </xdr:to>
    <xdr:cxnSp macro="">
      <xdr:nvCxnSpPr>
        <xdr:cNvPr id="953" name="Straight Arrow Connector 952"/>
        <xdr:cNvCxnSpPr/>
      </xdr:nvCxnSpPr>
      <xdr:spPr bwMode="auto">
        <a:xfrm rot="5400000">
          <a:off x="2929734" y="15330485"/>
          <a:ext cx="237331" cy="79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7</xdr:col>
      <xdr:colOff>523875</xdr:colOff>
      <xdr:row>144</xdr:row>
      <xdr:rowOff>171450</xdr:rowOff>
    </xdr:from>
    <xdr:to>
      <xdr:col>7</xdr:col>
      <xdr:colOff>523876</xdr:colOff>
      <xdr:row>152</xdr:row>
      <xdr:rowOff>47625</xdr:rowOff>
    </xdr:to>
    <xdr:cxnSp macro="">
      <xdr:nvCxnSpPr>
        <xdr:cNvPr id="957" name="Straight Connector 956"/>
        <xdr:cNvCxnSpPr/>
      </xdr:nvCxnSpPr>
      <xdr:spPr bwMode="auto">
        <a:xfrm flipV="1">
          <a:off x="4867275" y="22612350"/>
          <a:ext cx="1" cy="14192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9525</xdr:colOff>
      <xdr:row>151</xdr:row>
      <xdr:rowOff>9525</xdr:rowOff>
    </xdr:from>
    <xdr:to>
      <xdr:col>9</xdr:col>
      <xdr:colOff>133350</xdr:colOff>
      <xdr:row>151</xdr:row>
      <xdr:rowOff>11113</xdr:rowOff>
    </xdr:to>
    <xdr:cxnSp macro="">
      <xdr:nvCxnSpPr>
        <xdr:cNvPr id="960" name="Straight Connector 959"/>
        <xdr:cNvCxnSpPr/>
      </xdr:nvCxnSpPr>
      <xdr:spPr bwMode="auto">
        <a:xfrm>
          <a:off x="4886325" y="15449550"/>
          <a:ext cx="733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148</xdr:row>
      <xdr:rowOff>190500</xdr:rowOff>
    </xdr:from>
    <xdr:to>
      <xdr:col>9</xdr:col>
      <xdr:colOff>114300</xdr:colOff>
      <xdr:row>148</xdr:row>
      <xdr:rowOff>192088</xdr:rowOff>
    </xdr:to>
    <xdr:cxnSp macro="">
      <xdr:nvCxnSpPr>
        <xdr:cNvPr id="961" name="Straight Connector 960"/>
        <xdr:cNvCxnSpPr/>
      </xdr:nvCxnSpPr>
      <xdr:spPr bwMode="auto">
        <a:xfrm>
          <a:off x="4867275" y="14878050"/>
          <a:ext cx="733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9525</xdr:colOff>
      <xdr:row>147</xdr:row>
      <xdr:rowOff>0</xdr:rowOff>
    </xdr:from>
    <xdr:to>
      <xdr:col>9</xdr:col>
      <xdr:colOff>133350</xdr:colOff>
      <xdr:row>147</xdr:row>
      <xdr:rowOff>1588</xdr:rowOff>
    </xdr:to>
    <xdr:cxnSp macro="">
      <xdr:nvCxnSpPr>
        <xdr:cNvPr id="962" name="Straight Connector 961"/>
        <xdr:cNvCxnSpPr/>
      </xdr:nvCxnSpPr>
      <xdr:spPr bwMode="auto">
        <a:xfrm>
          <a:off x="4886325" y="14706600"/>
          <a:ext cx="733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314325</xdr:colOff>
      <xdr:row>144</xdr:row>
      <xdr:rowOff>161925</xdr:rowOff>
    </xdr:from>
    <xdr:to>
      <xdr:col>8</xdr:col>
      <xdr:colOff>438150</xdr:colOff>
      <xdr:row>144</xdr:row>
      <xdr:rowOff>163513</xdr:rowOff>
    </xdr:to>
    <xdr:cxnSp macro="">
      <xdr:nvCxnSpPr>
        <xdr:cNvPr id="963" name="Straight Connector 962"/>
        <xdr:cNvCxnSpPr/>
      </xdr:nvCxnSpPr>
      <xdr:spPr bwMode="auto">
        <a:xfrm>
          <a:off x="4581525" y="14077950"/>
          <a:ext cx="733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0</xdr:colOff>
      <xdr:row>146</xdr:row>
      <xdr:rowOff>9525</xdr:rowOff>
    </xdr:from>
    <xdr:to>
      <xdr:col>5</xdr:col>
      <xdr:colOff>0</xdr:colOff>
      <xdr:row>147</xdr:row>
      <xdr:rowOff>0</xdr:rowOff>
    </xdr:to>
    <xdr:sp macro="" textlink="">
      <xdr:nvSpPr>
        <xdr:cNvPr id="964" name="Line 5"/>
        <xdr:cNvSpPr>
          <a:spLocks noChangeShapeType="1"/>
        </xdr:cNvSpPr>
      </xdr:nvSpPr>
      <xdr:spPr bwMode="auto">
        <a:xfrm>
          <a:off x="2438400" y="145161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266700</xdr:colOff>
      <xdr:row>147</xdr:row>
      <xdr:rowOff>0</xdr:rowOff>
    </xdr:from>
    <xdr:to>
      <xdr:col>5</xdr:col>
      <xdr:colOff>0</xdr:colOff>
      <xdr:row>147</xdr:row>
      <xdr:rowOff>0</xdr:rowOff>
    </xdr:to>
    <xdr:sp macro="" textlink="">
      <xdr:nvSpPr>
        <xdr:cNvPr id="965" name="Line 6"/>
        <xdr:cNvSpPr>
          <a:spLocks noChangeShapeType="1"/>
        </xdr:cNvSpPr>
      </xdr:nvSpPr>
      <xdr:spPr bwMode="auto">
        <a:xfrm flipH="1">
          <a:off x="1485900" y="14668500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495300</xdr:colOff>
      <xdr:row>147</xdr:row>
      <xdr:rowOff>9525</xdr:rowOff>
    </xdr:from>
    <xdr:to>
      <xdr:col>2</xdr:col>
      <xdr:colOff>9525</xdr:colOff>
      <xdr:row>147</xdr:row>
      <xdr:rowOff>11113</xdr:rowOff>
    </xdr:to>
    <xdr:cxnSp macro="">
      <xdr:nvCxnSpPr>
        <xdr:cNvPr id="967" name="Straight Connector 966"/>
        <xdr:cNvCxnSpPr/>
      </xdr:nvCxnSpPr>
      <xdr:spPr bwMode="auto">
        <a:xfrm>
          <a:off x="495300" y="14716125"/>
          <a:ext cx="733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147</xdr:row>
      <xdr:rowOff>9525</xdr:rowOff>
    </xdr:from>
    <xdr:to>
      <xdr:col>8</xdr:col>
      <xdr:colOff>9525</xdr:colOff>
      <xdr:row>151</xdr:row>
      <xdr:rowOff>19050</xdr:rowOff>
    </xdr:to>
    <xdr:sp macro="" textlink="">
      <xdr:nvSpPr>
        <xdr:cNvPr id="968" name="Freeform 967"/>
        <xdr:cNvSpPr/>
      </xdr:nvSpPr>
      <xdr:spPr bwMode="auto">
        <a:xfrm>
          <a:off x="1219200" y="14678025"/>
          <a:ext cx="3667125" cy="695325"/>
        </a:xfrm>
        <a:custGeom>
          <a:avLst/>
          <a:gdLst>
            <a:gd name="connsiteX0" fmla="*/ 0 w 4114800"/>
            <a:gd name="connsiteY0" fmla="*/ 0 h 676275"/>
            <a:gd name="connsiteX1" fmla="*/ 466725 w 4114800"/>
            <a:gd name="connsiteY1" fmla="*/ 295275 h 676275"/>
            <a:gd name="connsiteX2" fmla="*/ 742950 w 4114800"/>
            <a:gd name="connsiteY2" fmla="*/ 485775 h 676275"/>
            <a:gd name="connsiteX3" fmla="*/ 1476375 w 4114800"/>
            <a:gd name="connsiteY3" fmla="*/ 638175 h 676275"/>
            <a:gd name="connsiteX4" fmla="*/ 3152775 w 4114800"/>
            <a:gd name="connsiteY4" fmla="*/ 676275 h 676275"/>
            <a:gd name="connsiteX5" fmla="*/ 4114800 w 4114800"/>
            <a:gd name="connsiteY5" fmla="*/ 666750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4114800" h="676275">
              <a:moveTo>
                <a:pt x="0" y="0"/>
              </a:moveTo>
              <a:lnTo>
                <a:pt x="466725" y="295275"/>
              </a:lnTo>
              <a:cubicBezTo>
                <a:pt x="590550" y="376237"/>
                <a:pt x="574675" y="428625"/>
                <a:pt x="742950" y="485775"/>
              </a:cubicBezTo>
              <a:cubicBezTo>
                <a:pt x="911225" y="542925"/>
                <a:pt x="1074738" y="606425"/>
                <a:pt x="1476375" y="638175"/>
              </a:cubicBezTo>
              <a:cubicBezTo>
                <a:pt x="1878012" y="669925"/>
                <a:pt x="3152775" y="676275"/>
                <a:pt x="3152775" y="676275"/>
              </a:cubicBezTo>
              <a:lnTo>
                <a:pt x="4114800" y="666750"/>
              </a:lnTo>
            </a:path>
          </a:pathLst>
        </a:custGeom>
        <a:noFill/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0</xdr:colOff>
      <xdr:row>147</xdr:row>
      <xdr:rowOff>0</xdr:rowOff>
    </xdr:from>
    <xdr:to>
      <xdr:col>8</xdr:col>
      <xdr:colOff>1</xdr:colOff>
      <xdr:row>149</xdr:row>
      <xdr:rowOff>47625</xdr:rowOff>
    </xdr:to>
    <xdr:sp macro="" textlink="">
      <xdr:nvSpPr>
        <xdr:cNvPr id="970" name="Freeform 969"/>
        <xdr:cNvSpPr/>
      </xdr:nvSpPr>
      <xdr:spPr bwMode="auto">
        <a:xfrm>
          <a:off x="1219200" y="14668500"/>
          <a:ext cx="3657601" cy="371475"/>
        </a:xfrm>
        <a:custGeom>
          <a:avLst/>
          <a:gdLst>
            <a:gd name="connsiteX0" fmla="*/ 0 w 4467225"/>
            <a:gd name="connsiteY0" fmla="*/ 0 h 384175"/>
            <a:gd name="connsiteX1" fmla="*/ 742950 w 4467225"/>
            <a:gd name="connsiteY1" fmla="*/ 295275 h 384175"/>
            <a:gd name="connsiteX2" fmla="*/ 1257300 w 4467225"/>
            <a:gd name="connsiteY2" fmla="*/ 361950 h 384175"/>
            <a:gd name="connsiteX3" fmla="*/ 2247900 w 4467225"/>
            <a:gd name="connsiteY3" fmla="*/ 381000 h 384175"/>
            <a:gd name="connsiteX4" fmla="*/ 2819400 w 4467225"/>
            <a:gd name="connsiteY4" fmla="*/ 342900 h 384175"/>
            <a:gd name="connsiteX5" fmla="*/ 3305175 w 4467225"/>
            <a:gd name="connsiteY5" fmla="*/ 342900 h 384175"/>
            <a:gd name="connsiteX6" fmla="*/ 3971925 w 4467225"/>
            <a:gd name="connsiteY6" fmla="*/ 333375 h 384175"/>
            <a:gd name="connsiteX7" fmla="*/ 4305300 w 4467225"/>
            <a:gd name="connsiteY7" fmla="*/ 333375 h 384175"/>
            <a:gd name="connsiteX8" fmla="*/ 4467225 w 4467225"/>
            <a:gd name="connsiteY8" fmla="*/ 333375 h 384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467225" h="384175">
              <a:moveTo>
                <a:pt x="0" y="0"/>
              </a:moveTo>
              <a:cubicBezTo>
                <a:pt x="266700" y="117475"/>
                <a:pt x="533400" y="234950"/>
                <a:pt x="742950" y="295275"/>
              </a:cubicBezTo>
              <a:cubicBezTo>
                <a:pt x="952500" y="355600"/>
                <a:pt x="1006475" y="347663"/>
                <a:pt x="1257300" y="361950"/>
              </a:cubicBezTo>
              <a:cubicBezTo>
                <a:pt x="1508125" y="376237"/>
                <a:pt x="1987550" y="384175"/>
                <a:pt x="2247900" y="381000"/>
              </a:cubicBezTo>
              <a:cubicBezTo>
                <a:pt x="2508250" y="377825"/>
                <a:pt x="2643188" y="349250"/>
                <a:pt x="2819400" y="342900"/>
              </a:cubicBezTo>
              <a:cubicBezTo>
                <a:pt x="2995612" y="336550"/>
                <a:pt x="3305175" y="342900"/>
                <a:pt x="3305175" y="342900"/>
              </a:cubicBezTo>
              <a:lnTo>
                <a:pt x="3971925" y="333375"/>
              </a:lnTo>
              <a:lnTo>
                <a:pt x="4305300" y="333375"/>
              </a:lnTo>
              <a:lnTo>
                <a:pt x="4467225" y="333375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28575</xdr:colOff>
      <xdr:row>146</xdr:row>
      <xdr:rowOff>7938</xdr:rowOff>
    </xdr:from>
    <xdr:to>
      <xdr:col>8</xdr:col>
      <xdr:colOff>9525</xdr:colOff>
      <xdr:row>147</xdr:row>
      <xdr:rowOff>38101</xdr:rowOff>
    </xdr:to>
    <xdr:sp macro="" textlink="">
      <xdr:nvSpPr>
        <xdr:cNvPr id="972" name="Freeform 971"/>
        <xdr:cNvSpPr/>
      </xdr:nvSpPr>
      <xdr:spPr bwMode="auto">
        <a:xfrm>
          <a:off x="638175" y="14514513"/>
          <a:ext cx="3638550" cy="192088"/>
        </a:xfrm>
        <a:custGeom>
          <a:avLst/>
          <a:gdLst>
            <a:gd name="connsiteX0" fmla="*/ 0 w 4876800"/>
            <a:gd name="connsiteY0" fmla="*/ 1588 h 212725"/>
            <a:gd name="connsiteX1" fmla="*/ 533400 w 4876800"/>
            <a:gd name="connsiteY1" fmla="*/ 30163 h 212725"/>
            <a:gd name="connsiteX2" fmla="*/ 885825 w 4876800"/>
            <a:gd name="connsiteY2" fmla="*/ 182563 h 212725"/>
            <a:gd name="connsiteX3" fmla="*/ 1828800 w 4876800"/>
            <a:gd name="connsiteY3" fmla="*/ 211138 h 212725"/>
            <a:gd name="connsiteX4" fmla="*/ 2476500 w 4876800"/>
            <a:gd name="connsiteY4" fmla="*/ 173038 h 212725"/>
            <a:gd name="connsiteX5" fmla="*/ 3419475 w 4876800"/>
            <a:gd name="connsiteY5" fmla="*/ 163513 h 212725"/>
            <a:gd name="connsiteX6" fmla="*/ 4876800 w 4876800"/>
            <a:gd name="connsiteY6" fmla="*/ 163513 h 212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876800" h="212725">
              <a:moveTo>
                <a:pt x="0" y="1588"/>
              </a:moveTo>
              <a:cubicBezTo>
                <a:pt x="192881" y="794"/>
                <a:pt x="385762" y="0"/>
                <a:pt x="533400" y="30163"/>
              </a:cubicBezTo>
              <a:cubicBezTo>
                <a:pt x="681038" y="60326"/>
                <a:pt x="669925" y="152401"/>
                <a:pt x="885825" y="182563"/>
              </a:cubicBezTo>
              <a:cubicBezTo>
                <a:pt x="1101725" y="212725"/>
                <a:pt x="1563688" y="212725"/>
                <a:pt x="1828800" y="211138"/>
              </a:cubicBezTo>
              <a:cubicBezTo>
                <a:pt x="2093912" y="209551"/>
                <a:pt x="2211388" y="180975"/>
                <a:pt x="2476500" y="173038"/>
              </a:cubicBezTo>
              <a:cubicBezTo>
                <a:pt x="2741612" y="165101"/>
                <a:pt x="3419475" y="163513"/>
                <a:pt x="3419475" y="163513"/>
              </a:cubicBezTo>
              <a:cubicBezTo>
                <a:pt x="3819525" y="161926"/>
                <a:pt x="4548188" y="149226"/>
                <a:pt x="4876800" y="163513"/>
              </a:cubicBez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9525</xdr:colOff>
      <xdr:row>144</xdr:row>
      <xdr:rowOff>19051</xdr:rowOff>
    </xdr:from>
    <xdr:to>
      <xdr:col>1</xdr:col>
      <xdr:colOff>9529</xdr:colOff>
      <xdr:row>152</xdr:row>
      <xdr:rowOff>19053</xdr:rowOff>
    </xdr:to>
    <xdr:cxnSp macro="">
      <xdr:nvCxnSpPr>
        <xdr:cNvPr id="973" name="Straight Connector 972"/>
        <xdr:cNvCxnSpPr/>
      </xdr:nvCxnSpPr>
      <xdr:spPr bwMode="auto">
        <a:xfrm rot="16200000" flipV="1">
          <a:off x="-109537" y="14930438"/>
          <a:ext cx="1457327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485775</xdr:colOff>
      <xdr:row>153</xdr:row>
      <xdr:rowOff>19050</xdr:rowOff>
    </xdr:from>
    <xdr:to>
      <xdr:col>2</xdr:col>
      <xdr:colOff>371475</xdr:colOff>
      <xdr:row>153</xdr:row>
      <xdr:rowOff>19051</xdr:rowOff>
    </xdr:to>
    <xdr:cxnSp macro="">
      <xdr:nvCxnSpPr>
        <xdr:cNvPr id="975" name="Straight Connector 974"/>
        <xdr:cNvCxnSpPr/>
      </xdr:nvCxnSpPr>
      <xdr:spPr bwMode="auto">
        <a:xfrm flipV="1">
          <a:off x="485775" y="15630525"/>
          <a:ext cx="110490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514350</xdr:colOff>
      <xdr:row>146</xdr:row>
      <xdr:rowOff>9525</xdr:rowOff>
    </xdr:from>
    <xdr:to>
      <xdr:col>2</xdr:col>
      <xdr:colOff>28575</xdr:colOff>
      <xdr:row>146</xdr:row>
      <xdr:rowOff>11113</xdr:rowOff>
    </xdr:to>
    <xdr:cxnSp macro="">
      <xdr:nvCxnSpPr>
        <xdr:cNvPr id="976" name="Straight Connector 975"/>
        <xdr:cNvCxnSpPr/>
      </xdr:nvCxnSpPr>
      <xdr:spPr bwMode="auto">
        <a:xfrm>
          <a:off x="514350" y="14554200"/>
          <a:ext cx="733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265907</xdr:colOff>
      <xdr:row>142</xdr:row>
      <xdr:rowOff>153194</xdr:rowOff>
    </xdr:from>
    <xdr:to>
      <xdr:col>3</xdr:col>
      <xdr:colOff>267495</xdr:colOff>
      <xdr:row>147</xdr:row>
      <xdr:rowOff>794</xdr:rowOff>
    </xdr:to>
    <xdr:cxnSp macro="">
      <xdr:nvCxnSpPr>
        <xdr:cNvPr id="978" name="Straight Connector 977"/>
        <xdr:cNvCxnSpPr>
          <a:stCxn id="965" idx="1"/>
        </xdr:cNvCxnSpPr>
      </xdr:nvCxnSpPr>
      <xdr:spPr bwMode="auto">
        <a:xfrm rot="5400000" flipH="1" flipV="1">
          <a:off x="1747838" y="14358938"/>
          <a:ext cx="695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608808</xdr:colOff>
      <xdr:row>142</xdr:row>
      <xdr:rowOff>143671</xdr:rowOff>
    </xdr:from>
    <xdr:to>
      <xdr:col>5</xdr:col>
      <xdr:colOff>796</xdr:colOff>
      <xdr:row>146</xdr:row>
      <xdr:rowOff>153196</xdr:rowOff>
    </xdr:to>
    <xdr:cxnSp macro="">
      <xdr:nvCxnSpPr>
        <xdr:cNvPr id="980" name="Straight Connector 979"/>
        <xdr:cNvCxnSpPr/>
      </xdr:nvCxnSpPr>
      <xdr:spPr bwMode="auto">
        <a:xfrm rot="5400000" flipH="1" flipV="1">
          <a:off x="2700339" y="14349415"/>
          <a:ext cx="695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9525</xdr:colOff>
      <xdr:row>144</xdr:row>
      <xdr:rowOff>152400</xdr:rowOff>
    </xdr:from>
    <xdr:to>
      <xdr:col>7</xdr:col>
      <xdr:colOff>385622</xdr:colOff>
      <xdr:row>144</xdr:row>
      <xdr:rowOff>167067</xdr:rowOff>
    </xdr:to>
    <xdr:cxnSp macro="">
      <xdr:nvCxnSpPr>
        <xdr:cNvPr id="981" name="Straight Connector 980"/>
        <xdr:cNvCxnSpPr>
          <a:endCxn id="907" idx="7"/>
        </xdr:cNvCxnSpPr>
      </xdr:nvCxnSpPr>
      <xdr:spPr bwMode="auto">
        <a:xfrm>
          <a:off x="3057525" y="14068425"/>
          <a:ext cx="1595297" cy="14667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142875</xdr:colOff>
      <xdr:row>144</xdr:row>
      <xdr:rowOff>9525</xdr:rowOff>
    </xdr:from>
    <xdr:to>
      <xdr:col>3</xdr:col>
      <xdr:colOff>266700</xdr:colOff>
      <xdr:row>144</xdr:row>
      <xdr:rowOff>11113</xdr:rowOff>
    </xdr:to>
    <xdr:cxnSp macro="">
      <xdr:nvCxnSpPr>
        <xdr:cNvPr id="982" name="Straight Connector 981"/>
        <xdr:cNvCxnSpPr/>
      </xdr:nvCxnSpPr>
      <xdr:spPr bwMode="auto">
        <a:xfrm>
          <a:off x="1362075" y="14192250"/>
          <a:ext cx="733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</xdr:colOff>
      <xdr:row>80</xdr:row>
      <xdr:rowOff>38100</xdr:rowOff>
    </xdr:from>
    <xdr:to>
      <xdr:col>4</xdr:col>
      <xdr:colOff>76200</xdr:colOff>
      <xdr:row>80</xdr:row>
      <xdr:rowOff>123825</xdr:rowOff>
    </xdr:to>
    <xdr:sp macro="" textlink="">
      <xdr:nvSpPr>
        <xdr:cNvPr id="983" name="Flowchart: Merge 982"/>
        <xdr:cNvSpPr/>
      </xdr:nvSpPr>
      <xdr:spPr bwMode="auto">
        <a:xfrm>
          <a:off x="2447925" y="1211580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28575</xdr:colOff>
      <xdr:row>145</xdr:row>
      <xdr:rowOff>76200</xdr:rowOff>
    </xdr:from>
    <xdr:to>
      <xdr:col>2</xdr:col>
      <xdr:colOff>95250</xdr:colOff>
      <xdr:row>145</xdr:row>
      <xdr:rowOff>161925</xdr:rowOff>
    </xdr:to>
    <xdr:sp macro="" textlink="">
      <xdr:nvSpPr>
        <xdr:cNvPr id="984" name="Flowchart: Merge 983"/>
        <xdr:cNvSpPr/>
      </xdr:nvSpPr>
      <xdr:spPr bwMode="auto">
        <a:xfrm>
          <a:off x="1247775" y="1442085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</xdr:col>
      <xdr:colOff>504825</xdr:colOff>
      <xdr:row>146</xdr:row>
      <xdr:rowOff>76200</xdr:rowOff>
    </xdr:from>
    <xdr:to>
      <xdr:col>1</xdr:col>
      <xdr:colOff>571500</xdr:colOff>
      <xdr:row>147</xdr:row>
      <xdr:rowOff>0</xdr:rowOff>
    </xdr:to>
    <xdr:sp macro="" textlink="">
      <xdr:nvSpPr>
        <xdr:cNvPr id="985" name="Flowchart: Merge 984"/>
        <xdr:cNvSpPr/>
      </xdr:nvSpPr>
      <xdr:spPr bwMode="auto">
        <a:xfrm>
          <a:off x="1114425" y="14620875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333375</xdr:colOff>
      <xdr:row>144</xdr:row>
      <xdr:rowOff>9525</xdr:rowOff>
    </xdr:from>
    <xdr:to>
      <xdr:col>2</xdr:col>
      <xdr:colOff>142875</xdr:colOff>
      <xdr:row>144</xdr:row>
      <xdr:rowOff>11113</xdr:rowOff>
    </xdr:to>
    <xdr:cxnSp macro="">
      <xdr:nvCxnSpPr>
        <xdr:cNvPr id="986" name="Straight Connector 985"/>
        <xdr:cNvCxnSpPr/>
      </xdr:nvCxnSpPr>
      <xdr:spPr bwMode="auto">
        <a:xfrm>
          <a:off x="333375" y="14192250"/>
          <a:ext cx="10287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599283</xdr:colOff>
      <xdr:row>147</xdr:row>
      <xdr:rowOff>0</xdr:rowOff>
    </xdr:from>
    <xdr:to>
      <xdr:col>4</xdr:col>
      <xdr:colOff>0</xdr:colOff>
      <xdr:row>152</xdr:row>
      <xdr:rowOff>19846</xdr:rowOff>
    </xdr:to>
    <xdr:cxnSp macro="">
      <xdr:nvCxnSpPr>
        <xdr:cNvPr id="992" name="Straight Arrow Connector 991"/>
        <xdr:cNvCxnSpPr/>
      </xdr:nvCxnSpPr>
      <xdr:spPr bwMode="auto">
        <a:xfrm flipH="1">
          <a:off x="2428083" y="14706600"/>
          <a:ext cx="10317" cy="95329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314325</xdr:colOff>
      <xdr:row>146</xdr:row>
      <xdr:rowOff>66675</xdr:rowOff>
    </xdr:from>
    <xdr:to>
      <xdr:col>5</xdr:col>
      <xdr:colOff>381000</xdr:colOff>
      <xdr:row>146</xdr:row>
      <xdr:rowOff>152400</xdr:rowOff>
    </xdr:to>
    <xdr:sp macro="" textlink="">
      <xdr:nvSpPr>
        <xdr:cNvPr id="996" name="Flowchart: Merge 995"/>
        <xdr:cNvSpPr/>
      </xdr:nvSpPr>
      <xdr:spPr bwMode="auto">
        <a:xfrm>
          <a:off x="3362325" y="1461135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542925</xdr:colOff>
      <xdr:row>148</xdr:row>
      <xdr:rowOff>47625</xdr:rowOff>
    </xdr:from>
    <xdr:to>
      <xdr:col>6</xdr:col>
      <xdr:colOff>0</xdr:colOff>
      <xdr:row>148</xdr:row>
      <xdr:rowOff>133350</xdr:rowOff>
    </xdr:to>
    <xdr:sp macro="" textlink="">
      <xdr:nvSpPr>
        <xdr:cNvPr id="997" name="Flowchart: Merge 996"/>
        <xdr:cNvSpPr/>
      </xdr:nvSpPr>
      <xdr:spPr bwMode="auto">
        <a:xfrm>
          <a:off x="3590925" y="1495425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19050</xdr:colOff>
      <xdr:row>150</xdr:row>
      <xdr:rowOff>76200</xdr:rowOff>
    </xdr:from>
    <xdr:to>
      <xdr:col>6</xdr:col>
      <xdr:colOff>85725</xdr:colOff>
      <xdr:row>151</xdr:row>
      <xdr:rowOff>0</xdr:rowOff>
    </xdr:to>
    <xdr:sp macro="" textlink="">
      <xdr:nvSpPr>
        <xdr:cNvPr id="998" name="Flowchart: Merge 997"/>
        <xdr:cNvSpPr/>
      </xdr:nvSpPr>
      <xdr:spPr bwMode="auto">
        <a:xfrm>
          <a:off x="3676650" y="1535430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342900</xdr:colOff>
      <xdr:row>151</xdr:row>
      <xdr:rowOff>190497</xdr:rowOff>
    </xdr:from>
    <xdr:to>
      <xdr:col>3</xdr:col>
      <xdr:colOff>190500</xdr:colOff>
      <xdr:row>153</xdr:row>
      <xdr:rowOff>28574</xdr:rowOff>
    </xdr:to>
    <xdr:sp macro="" textlink="">
      <xdr:nvSpPr>
        <xdr:cNvPr id="999" name="Line 1"/>
        <xdr:cNvSpPr>
          <a:spLocks noChangeShapeType="1"/>
        </xdr:cNvSpPr>
      </xdr:nvSpPr>
      <xdr:spPr bwMode="auto">
        <a:xfrm flipV="1">
          <a:off x="1562100" y="15440022"/>
          <a:ext cx="457200" cy="20002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152</xdr:row>
      <xdr:rowOff>104775</xdr:rowOff>
    </xdr:from>
    <xdr:to>
      <xdr:col>6</xdr:col>
      <xdr:colOff>0</xdr:colOff>
      <xdr:row>153</xdr:row>
      <xdr:rowOff>104775</xdr:rowOff>
    </xdr:to>
    <xdr:sp macro="" textlink="">
      <xdr:nvSpPr>
        <xdr:cNvPr id="1000" name="Line 2"/>
        <xdr:cNvSpPr>
          <a:spLocks noChangeShapeType="1"/>
        </xdr:cNvSpPr>
      </xdr:nvSpPr>
      <xdr:spPr bwMode="auto">
        <a:xfrm>
          <a:off x="3048000" y="14792325"/>
          <a:ext cx="6096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153</xdr:row>
      <xdr:rowOff>104775</xdr:rowOff>
    </xdr:from>
    <xdr:to>
      <xdr:col>8</xdr:col>
      <xdr:colOff>0</xdr:colOff>
      <xdr:row>153</xdr:row>
      <xdr:rowOff>104775</xdr:rowOff>
    </xdr:to>
    <xdr:sp macro="" textlink="">
      <xdr:nvSpPr>
        <xdr:cNvPr id="1001" name="Line 3"/>
        <xdr:cNvSpPr>
          <a:spLocks noChangeShapeType="1"/>
        </xdr:cNvSpPr>
      </xdr:nvSpPr>
      <xdr:spPr bwMode="auto">
        <a:xfrm>
          <a:off x="3657600" y="149542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484981</xdr:colOff>
      <xdr:row>153</xdr:row>
      <xdr:rowOff>10319</xdr:rowOff>
    </xdr:from>
    <xdr:to>
      <xdr:col>0</xdr:col>
      <xdr:colOff>486569</xdr:colOff>
      <xdr:row>153</xdr:row>
      <xdr:rowOff>124619</xdr:rowOff>
    </xdr:to>
    <xdr:cxnSp macro="">
      <xdr:nvCxnSpPr>
        <xdr:cNvPr id="1004" name="Straight Connector 1003"/>
        <xdr:cNvCxnSpPr/>
      </xdr:nvCxnSpPr>
      <xdr:spPr bwMode="auto">
        <a:xfrm rot="5400000">
          <a:off x="428625" y="15678150"/>
          <a:ext cx="114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190500</xdr:colOff>
      <xdr:row>144</xdr:row>
      <xdr:rowOff>123825</xdr:rowOff>
    </xdr:from>
    <xdr:to>
      <xdr:col>7</xdr:col>
      <xdr:colOff>419100</xdr:colOff>
      <xdr:row>146</xdr:row>
      <xdr:rowOff>19050</xdr:rowOff>
    </xdr:to>
    <xdr:sp macro="" textlink="">
      <xdr:nvSpPr>
        <xdr:cNvPr id="907" name="Oval 906"/>
        <xdr:cNvSpPr/>
      </xdr:nvSpPr>
      <xdr:spPr bwMode="auto">
        <a:xfrm>
          <a:off x="4457700" y="13354050"/>
          <a:ext cx="228600" cy="257175"/>
        </a:xfrm>
        <a:prstGeom prst="ellipse">
          <a:avLst/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190500</xdr:colOff>
      <xdr:row>146</xdr:row>
      <xdr:rowOff>133350</xdr:rowOff>
    </xdr:from>
    <xdr:to>
      <xdr:col>7</xdr:col>
      <xdr:colOff>419100</xdr:colOff>
      <xdr:row>148</xdr:row>
      <xdr:rowOff>28575</xdr:rowOff>
    </xdr:to>
    <xdr:sp macro="" textlink="">
      <xdr:nvSpPr>
        <xdr:cNvPr id="909" name="Oval 908"/>
        <xdr:cNvSpPr/>
      </xdr:nvSpPr>
      <xdr:spPr bwMode="auto">
        <a:xfrm>
          <a:off x="4457700" y="13725525"/>
          <a:ext cx="228600" cy="257175"/>
        </a:xfrm>
        <a:prstGeom prst="ellipse">
          <a:avLst/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209550</xdr:colOff>
      <xdr:row>148</xdr:row>
      <xdr:rowOff>133350</xdr:rowOff>
    </xdr:from>
    <xdr:to>
      <xdr:col>7</xdr:col>
      <xdr:colOff>438150</xdr:colOff>
      <xdr:row>150</xdr:row>
      <xdr:rowOff>19050</xdr:rowOff>
    </xdr:to>
    <xdr:sp macro="" textlink="">
      <xdr:nvSpPr>
        <xdr:cNvPr id="911" name="Oval 910"/>
        <xdr:cNvSpPr/>
      </xdr:nvSpPr>
      <xdr:spPr bwMode="auto">
        <a:xfrm>
          <a:off x="4476750" y="14087475"/>
          <a:ext cx="228600" cy="257175"/>
        </a:xfrm>
        <a:prstGeom prst="ellipse">
          <a:avLst/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200025</xdr:colOff>
      <xdr:row>150</xdr:row>
      <xdr:rowOff>152400</xdr:rowOff>
    </xdr:from>
    <xdr:to>
      <xdr:col>7</xdr:col>
      <xdr:colOff>428625</xdr:colOff>
      <xdr:row>152</xdr:row>
      <xdr:rowOff>47625</xdr:rowOff>
    </xdr:to>
    <xdr:sp macro="" textlink="">
      <xdr:nvSpPr>
        <xdr:cNvPr id="913" name="Oval 912"/>
        <xdr:cNvSpPr/>
      </xdr:nvSpPr>
      <xdr:spPr bwMode="auto">
        <a:xfrm>
          <a:off x="4467225" y="15249525"/>
          <a:ext cx="228600" cy="257175"/>
        </a:xfrm>
        <a:prstGeom prst="ellipse">
          <a:avLst/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266700</xdr:colOff>
      <xdr:row>142</xdr:row>
      <xdr:rowOff>114300</xdr:rowOff>
    </xdr:from>
    <xdr:to>
      <xdr:col>9</xdr:col>
      <xdr:colOff>95250</xdr:colOff>
      <xdr:row>144</xdr:row>
      <xdr:rowOff>47625</xdr:rowOff>
    </xdr:to>
    <xdr:sp macro="" textlink="">
      <xdr:nvSpPr>
        <xdr:cNvPr id="931" name="Oval 930"/>
        <xdr:cNvSpPr/>
      </xdr:nvSpPr>
      <xdr:spPr bwMode="auto">
        <a:xfrm>
          <a:off x="5143500" y="13668375"/>
          <a:ext cx="438150" cy="295275"/>
        </a:xfrm>
        <a:prstGeom prst="ellipse">
          <a:avLst/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114300</xdr:colOff>
      <xdr:row>141</xdr:row>
      <xdr:rowOff>133350</xdr:rowOff>
    </xdr:from>
    <xdr:to>
      <xdr:col>0</xdr:col>
      <xdr:colOff>552450</xdr:colOff>
      <xdr:row>143</xdr:row>
      <xdr:rowOff>47625</xdr:rowOff>
    </xdr:to>
    <xdr:sp macro="" textlink="">
      <xdr:nvSpPr>
        <xdr:cNvPr id="932" name="Oval 931"/>
        <xdr:cNvSpPr/>
      </xdr:nvSpPr>
      <xdr:spPr bwMode="auto">
        <a:xfrm>
          <a:off x="114300" y="12858750"/>
          <a:ext cx="438150" cy="257175"/>
        </a:xfrm>
        <a:prstGeom prst="ellipse">
          <a:avLst/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561975</xdr:colOff>
      <xdr:row>153</xdr:row>
      <xdr:rowOff>85727</xdr:rowOff>
    </xdr:from>
    <xdr:to>
      <xdr:col>0</xdr:col>
      <xdr:colOff>571500</xdr:colOff>
      <xdr:row>155</xdr:row>
      <xdr:rowOff>28577</xdr:rowOff>
    </xdr:to>
    <xdr:cxnSp macro="">
      <xdr:nvCxnSpPr>
        <xdr:cNvPr id="934" name="Straight Connector 933"/>
        <xdr:cNvCxnSpPr/>
      </xdr:nvCxnSpPr>
      <xdr:spPr bwMode="auto">
        <a:xfrm rot="5400000">
          <a:off x="433388" y="15825789"/>
          <a:ext cx="2667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533402</xdr:colOff>
      <xdr:row>153</xdr:row>
      <xdr:rowOff>57151</xdr:rowOff>
    </xdr:from>
    <xdr:to>
      <xdr:col>7</xdr:col>
      <xdr:colOff>542926</xdr:colOff>
      <xdr:row>155</xdr:row>
      <xdr:rowOff>9524</xdr:rowOff>
    </xdr:to>
    <xdr:cxnSp macro="">
      <xdr:nvCxnSpPr>
        <xdr:cNvPr id="937" name="Straight Connector 936"/>
        <xdr:cNvCxnSpPr/>
      </xdr:nvCxnSpPr>
      <xdr:spPr bwMode="auto">
        <a:xfrm rot="16200000" flipH="1">
          <a:off x="4667252" y="15687676"/>
          <a:ext cx="276223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608806</xdr:colOff>
      <xdr:row>152</xdr:row>
      <xdr:rowOff>153194</xdr:rowOff>
    </xdr:from>
    <xdr:to>
      <xdr:col>8</xdr:col>
      <xdr:colOff>794</xdr:colOff>
      <xdr:row>153</xdr:row>
      <xdr:rowOff>105569</xdr:rowOff>
    </xdr:to>
    <xdr:cxnSp macro="">
      <xdr:nvCxnSpPr>
        <xdr:cNvPr id="938" name="Straight Connector 937"/>
        <xdr:cNvCxnSpPr/>
      </xdr:nvCxnSpPr>
      <xdr:spPr bwMode="auto">
        <a:xfrm rot="5400000">
          <a:off x="4819650" y="14897100"/>
          <a:ext cx="114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162</xdr:row>
      <xdr:rowOff>0</xdr:rowOff>
    </xdr:from>
    <xdr:to>
      <xdr:col>1</xdr:col>
      <xdr:colOff>0</xdr:colOff>
      <xdr:row>163</xdr:row>
      <xdr:rowOff>0</xdr:rowOff>
    </xdr:to>
    <xdr:sp macro="" textlink="">
      <xdr:nvSpPr>
        <xdr:cNvPr id="933" name="Line 4"/>
        <xdr:cNvSpPr>
          <a:spLocks noChangeShapeType="1"/>
        </xdr:cNvSpPr>
      </xdr:nvSpPr>
      <xdr:spPr bwMode="auto">
        <a:xfrm>
          <a:off x="609600" y="171164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600076</xdr:colOff>
      <xdr:row>400</xdr:row>
      <xdr:rowOff>161924</xdr:rowOff>
    </xdr:from>
    <xdr:to>
      <xdr:col>2</xdr:col>
      <xdr:colOff>476251</xdr:colOff>
      <xdr:row>401</xdr:row>
      <xdr:rowOff>9524</xdr:rowOff>
    </xdr:to>
    <xdr:cxnSp macro="">
      <xdr:nvCxnSpPr>
        <xdr:cNvPr id="943" name="Straight Connector 942"/>
        <xdr:cNvCxnSpPr/>
      </xdr:nvCxnSpPr>
      <xdr:spPr bwMode="auto">
        <a:xfrm rot="10800000" flipV="1">
          <a:off x="600076" y="53349524"/>
          <a:ext cx="10953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396</xdr:row>
      <xdr:rowOff>104774</xdr:rowOff>
    </xdr:from>
    <xdr:to>
      <xdr:col>8</xdr:col>
      <xdr:colOff>0</xdr:colOff>
      <xdr:row>400</xdr:row>
      <xdr:rowOff>152399</xdr:rowOff>
    </xdr:to>
    <xdr:cxnSp macro="">
      <xdr:nvCxnSpPr>
        <xdr:cNvPr id="946" name="Straight Arrow Connector 945"/>
        <xdr:cNvCxnSpPr/>
      </xdr:nvCxnSpPr>
      <xdr:spPr bwMode="auto">
        <a:xfrm rot="16200000" flipH="1">
          <a:off x="4505325" y="53006624"/>
          <a:ext cx="733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600076</xdr:colOff>
      <xdr:row>339</xdr:row>
      <xdr:rowOff>161924</xdr:rowOff>
    </xdr:from>
    <xdr:to>
      <xdr:col>2</xdr:col>
      <xdr:colOff>476251</xdr:colOff>
      <xdr:row>340</xdr:row>
      <xdr:rowOff>9524</xdr:rowOff>
    </xdr:to>
    <xdr:cxnSp macro="">
      <xdr:nvCxnSpPr>
        <xdr:cNvPr id="948" name="Straight Connector 947"/>
        <xdr:cNvCxnSpPr/>
      </xdr:nvCxnSpPr>
      <xdr:spPr bwMode="auto">
        <a:xfrm rot="10800000" flipV="1">
          <a:off x="600076" y="44748449"/>
          <a:ext cx="10953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608806</xdr:colOff>
      <xdr:row>335</xdr:row>
      <xdr:rowOff>105569</xdr:rowOff>
    </xdr:from>
    <xdr:to>
      <xdr:col>8</xdr:col>
      <xdr:colOff>794</xdr:colOff>
      <xdr:row>339</xdr:row>
      <xdr:rowOff>153193</xdr:rowOff>
    </xdr:to>
    <xdr:cxnSp macro="">
      <xdr:nvCxnSpPr>
        <xdr:cNvPr id="949" name="Straight Arrow Connector 948"/>
        <xdr:cNvCxnSpPr/>
      </xdr:nvCxnSpPr>
      <xdr:spPr bwMode="auto">
        <a:xfrm rot="5400000">
          <a:off x="4491038" y="44391262"/>
          <a:ext cx="771524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438150</xdr:colOff>
      <xdr:row>335</xdr:row>
      <xdr:rowOff>95250</xdr:rowOff>
    </xdr:from>
    <xdr:to>
      <xdr:col>8</xdr:col>
      <xdr:colOff>419100</xdr:colOff>
      <xdr:row>335</xdr:row>
      <xdr:rowOff>96838</xdr:rowOff>
    </xdr:to>
    <xdr:cxnSp macro="">
      <xdr:nvCxnSpPr>
        <xdr:cNvPr id="955" name="Straight Connector 954"/>
        <xdr:cNvCxnSpPr/>
      </xdr:nvCxnSpPr>
      <xdr:spPr bwMode="auto">
        <a:xfrm>
          <a:off x="4705350" y="43995975"/>
          <a:ext cx="590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247650</xdr:colOff>
      <xdr:row>335</xdr:row>
      <xdr:rowOff>152400</xdr:rowOff>
    </xdr:from>
    <xdr:to>
      <xdr:col>7</xdr:col>
      <xdr:colOff>323850</xdr:colOff>
      <xdr:row>335</xdr:row>
      <xdr:rowOff>152400</xdr:rowOff>
    </xdr:to>
    <xdr:sp macro="" textlink="">
      <xdr:nvSpPr>
        <xdr:cNvPr id="966" name="Line 36"/>
        <xdr:cNvSpPr>
          <a:spLocks noChangeShapeType="1"/>
        </xdr:cNvSpPr>
      </xdr:nvSpPr>
      <xdr:spPr bwMode="auto">
        <a:xfrm>
          <a:off x="4514850" y="44053125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410</xdr:row>
      <xdr:rowOff>190500</xdr:rowOff>
    </xdr:from>
    <xdr:to>
      <xdr:col>4</xdr:col>
      <xdr:colOff>428625</xdr:colOff>
      <xdr:row>410</xdr:row>
      <xdr:rowOff>192088</xdr:rowOff>
    </xdr:to>
    <xdr:cxnSp macro="">
      <xdr:nvCxnSpPr>
        <xdr:cNvPr id="944" name="Straight Connector 943"/>
        <xdr:cNvCxnSpPr/>
      </xdr:nvCxnSpPr>
      <xdr:spPr bwMode="auto">
        <a:xfrm>
          <a:off x="2571750" y="46434375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133350</xdr:colOff>
      <xdr:row>412</xdr:row>
      <xdr:rowOff>190500</xdr:rowOff>
    </xdr:from>
    <xdr:to>
      <xdr:col>4</xdr:col>
      <xdr:colOff>428625</xdr:colOff>
      <xdr:row>412</xdr:row>
      <xdr:rowOff>192088</xdr:rowOff>
    </xdr:to>
    <xdr:cxnSp macro="">
      <xdr:nvCxnSpPr>
        <xdr:cNvPr id="945" name="Straight Connector 944"/>
        <xdr:cNvCxnSpPr/>
      </xdr:nvCxnSpPr>
      <xdr:spPr bwMode="auto">
        <a:xfrm>
          <a:off x="2571750" y="46796325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457200</xdr:colOff>
      <xdr:row>396</xdr:row>
      <xdr:rowOff>95250</xdr:rowOff>
    </xdr:from>
    <xdr:to>
      <xdr:col>8</xdr:col>
      <xdr:colOff>342900</xdr:colOff>
      <xdr:row>396</xdr:row>
      <xdr:rowOff>96838</xdr:rowOff>
    </xdr:to>
    <xdr:cxnSp macro="">
      <xdr:nvCxnSpPr>
        <xdr:cNvPr id="956" name="Straight Connector 955"/>
        <xdr:cNvCxnSpPr/>
      </xdr:nvCxnSpPr>
      <xdr:spPr bwMode="auto">
        <a:xfrm>
          <a:off x="4724400" y="52711350"/>
          <a:ext cx="495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180975</xdr:colOff>
      <xdr:row>470</xdr:row>
      <xdr:rowOff>0</xdr:rowOff>
    </xdr:from>
    <xdr:to>
      <xdr:col>2</xdr:col>
      <xdr:colOff>1</xdr:colOff>
      <xdr:row>470</xdr:row>
      <xdr:rowOff>142874</xdr:rowOff>
    </xdr:to>
    <xdr:sp macro="" textlink="">
      <xdr:nvSpPr>
        <xdr:cNvPr id="775" name="Line 3300"/>
        <xdr:cNvSpPr>
          <a:spLocks noChangeShapeType="1"/>
        </xdr:cNvSpPr>
      </xdr:nvSpPr>
      <xdr:spPr bwMode="auto">
        <a:xfrm>
          <a:off x="2619375" y="72704325"/>
          <a:ext cx="428626" cy="142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590551</xdr:colOff>
      <xdr:row>470</xdr:row>
      <xdr:rowOff>71887</xdr:rowOff>
    </xdr:from>
    <xdr:to>
      <xdr:col>5</xdr:col>
      <xdr:colOff>251603</xdr:colOff>
      <xdr:row>470</xdr:row>
      <xdr:rowOff>142875</xdr:rowOff>
    </xdr:to>
    <xdr:sp macro="" textlink="">
      <xdr:nvSpPr>
        <xdr:cNvPr id="959" name="Line 3301"/>
        <xdr:cNvSpPr>
          <a:spLocks noChangeShapeType="1"/>
        </xdr:cNvSpPr>
      </xdr:nvSpPr>
      <xdr:spPr bwMode="auto">
        <a:xfrm flipV="1">
          <a:off x="3034702" y="72686533"/>
          <a:ext cx="2177090" cy="709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465931</xdr:colOff>
      <xdr:row>470</xdr:row>
      <xdr:rowOff>794</xdr:rowOff>
    </xdr:from>
    <xdr:to>
      <xdr:col>5</xdr:col>
      <xdr:colOff>467519</xdr:colOff>
      <xdr:row>470</xdr:row>
      <xdr:rowOff>76994</xdr:rowOff>
    </xdr:to>
    <xdr:cxnSp macro="">
      <xdr:nvCxnSpPr>
        <xdr:cNvPr id="989" name="Straight Connector 988"/>
        <xdr:cNvCxnSpPr/>
      </xdr:nvCxnSpPr>
      <xdr:spPr bwMode="auto">
        <a:xfrm rot="5400000">
          <a:off x="5305425" y="71085075"/>
          <a:ext cx="76200" cy="1588"/>
        </a:xfrm>
        <a:prstGeom prst="line">
          <a:avLst/>
        </a:prstGeom>
        <a:solidFill>
          <a:srgbClr val="FFFFFF"/>
        </a:solidFill>
        <a:ln w="31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600075</xdr:colOff>
      <xdr:row>470</xdr:row>
      <xdr:rowOff>152400</xdr:rowOff>
    </xdr:from>
    <xdr:to>
      <xdr:col>2</xdr:col>
      <xdr:colOff>9525</xdr:colOff>
      <xdr:row>477</xdr:row>
      <xdr:rowOff>66675</xdr:rowOff>
    </xdr:to>
    <xdr:cxnSp macro="">
      <xdr:nvCxnSpPr>
        <xdr:cNvPr id="994" name="Straight Connector 993"/>
        <xdr:cNvCxnSpPr/>
      </xdr:nvCxnSpPr>
      <xdr:spPr bwMode="auto">
        <a:xfrm rot="16200000" flipH="1">
          <a:off x="2524125" y="71713725"/>
          <a:ext cx="104775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466724</xdr:colOff>
      <xdr:row>470</xdr:row>
      <xdr:rowOff>1</xdr:rowOff>
    </xdr:from>
    <xdr:to>
      <xdr:col>5</xdr:col>
      <xdr:colOff>476249</xdr:colOff>
      <xdr:row>471</xdr:row>
      <xdr:rowOff>66676</xdr:rowOff>
    </xdr:to>
    <xdr:cxnSp macro="">
      <xdr:nvCxnSpPr>
        <xdr:cNvPr id="1003" name="Straight Connector 1002"/>
        <xdr:cNvCxnSpPr>
          <a:stCxn id="131" idx="1"/>
        </xdr:cNvCxnSpPr>
      </xdr:nvCxnSpPr>
      <xdr:spPr bwMode="auto">
        <a:xfrm rot="16200000" flipH="1">
          <a:off x="5233987" y="71156513"/>
          <a:ext cx="2286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361950</xdr:colOff>
      <xdr:row>471</xdr:row>
      <xdr:rowOff>66675</xdr:rowOff>
    </xdr:from>
    <xdr:to>
      <xdr:col>5</xdr:col>
      <xdr:colOff>476250</xdr:colOff>
      <xdr:row>471</xdr:row>
      <xdr:rowOff>68263</xdr:rowOff>
    </xdr:to>
    <xdr:cxnSp macro="">
      <xdr:nvCxnSpPr>
        <xdr:cNvPr id="1006" name="Straight Connector 1005"/>
        <xdr:cNvCxnSpPr/>
      </xdr:nvCxnSpPr>
      <xdr:spPr bwMode="auto">
        <a:xfrm rot="10800000">
          <a:off x="5238750" y="71275575"/>
          <a:ext cx="114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238125</xdr:colOff>
      <xdr:row>470</xdr:row>
      <xdr:rowOff>76200</xdr:rowOff>
    </xdr:from>
    <xdr:to>
      <xdr:col>5</xdr:col>
      <xdr:colOff>352425</xdr:colOff>
      <xdr:row>471</xdr:row>
      <xdr:rowOff>66675</xdr:rowOff>
    </xdr:to>
    <xdr:cxnSp macro="">
      <xdr:nvCxnSpPr>
        <xdr:cNvPr id="1008" name="Straight Connector 1007"/>
        <xdr:cNvCxnSpPr/>
      </xdr:nvCxnSpPr>
      <xdr:spPr bwMode="auto">
        <a:xfrm rot="16200000" flipV="1">
          <a:off x="5095875" y="71142225"/>
          <a:ext cx="152400" cy="1143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133350</xdr:colOff>
      <xdr:row>230</xdr:row>
      <xdr:rowOff>190500</xdr:rowOff>
    </xdr:from>
    <xdr:to>
      <xdr:col>13</xdr:col>
      <xdr:colOff>428625</xdr:colOff>
      <xdr:row>230</xdr:row>
      <xdr:rowOff>192088</xdr:rowOff>
    </xdr:to>
    <xdr:cxnSp macro="">
      <xdr:nvCxnSpPr>
        <xdr:cNvPr id="1011" name="Straight Connector 1010"/>
        <xdr:cNvCxnSpPr/>
      </xdr:nvCxnSpPr>
      <xdr:spPr bwMode="auto">
        <a:xfrm>
          <a:off x="2571750" y="55730775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95250</xdr:colOff>
      <xdr:row>800</xdr:row>
      <xdr:rowOff>76200</xdr:rowOff>
    </xdr:from>
    <xdr:to>
      <xdr:col>6</xdr:col>
      <xdr:colOff>276225</xdr:colOff>
      <xdr:row>800</xdr:row>
      <xdr:rowOff>114302</xdr:rowOff>
    </xdr:to>
    <xdr:cxnSp macro="">
      <xdr:nvCxnSpPr>
        <xdr:cNvPr id="974" name="Straight Arrow Connector 973"/>
        <xdr:cNvCxnSpPr/>
      </xdr:nvCxnSpPr>
      <xdr:spPr bwMode="auto">
        <a:xfrm flipH="1">
          <a:off x="3752850" y="134483475"/>
          <a:ext cx="180975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190500</xdr:colOff>
      <xdr:row>809</xdr:row>
      <xdr:rowOff>38101</xdr:rowOff>
    </xdr:from>
    <xdr:to>
      <xdr:col>5</xdr:col>
      <xdr:colOff>342900</xdr:colOff>
      <xdr:row>809</xdr:row>
      <xdr:rowOff>47626</xdr:rowOff>
    </xdr:to>
    <xdr:cxnSp macro="">
      <xdr:nvCxnSpPr>
        <xdr:cNvPr id="977" name="Straight Arrow Connector 976"/>
        <xdr:cNvCxnSpPr/>
      </xdr:nvCxnSpPr>
      <xdr:spPr bwMode="auto">
        <a:xfrm rot="10800000">
          <a:off x="3238500" y="135940801"/>
          <a:ext cx="1524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504825</xdr:colOff>
      <xdr:row>809</xdr:row>
      <xdr:rowOff>28576</xdr:rowOff>
    </xdr:from>
    <xdr:to>
      <xdr:col>5</xdr:col>
      <xdr:colOff>47625</xdr:colOff>
      <xdr:row>809</xdr:row>
      <xdr:rowOff>38101</xdr:rowOff>
    </xdr:to>
    <xdr:cxnSp macro="">
      <xdr:nvCxnSpPr>
        <xdr:cNvPr id="987" name="Straight Arrow Connector 986"/>
        <xdr:cNvCxnSpPr/>
      </xdr:nvCxnSpPr>
      <xdr:spPr bwMode="auto">
        <a:xfrm rot="10800000">
          <a:off x="2943225" y="91992451"/>
          <a:ext cx="1524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247650</xdr:colOff>
      <xdr:row>809</xdr:row>
      <xdr:rowOff>28576</xdr:rowOff>
    </xdr:from>
    <xdr:to>
      <xdr:col>4</xdr:col>
      <xdr:colOff>400050</xdr:colOff>
      <xdr:row>809</xdr:row>
      <xdr:rowOff>38101</xdr:rowOff>
    </xdr:to>
    <xdr:cxnSp macro="">
      <xdr:nvCxnSpPr>
        <xdr:cNvPr id="988" name="Straight Arrow Connector 987"/>
        <xdr:cNvCxnSpPr/>
      </xdr:nvCxnSpPr>
      <xdr:spPr bwMode="auto">
        <a:xfrm rot="10800000">
          <a:off x="2686050" y="91992451"/>
          <a:ext cx="1524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352425</xdr:colOff>
      <xdr:row>809</xdr:row>
      <xdr:rowOff>76200</xdr:rowOff>
    </xdr:from>
    <xdr:to>
      <xdr:col>3</xdr:col>
      <xdr:colOff>523875</xdr:colOff>
      <xdr:row>809</xdr:row>
      <xdr:rowOff>114302</xdr:rowOff>
    </xdr:to>
    <xdr:cxnSp macro="">
      <xdr:nvCxnSpPr>
        <xdr:cNvPr id="990" name="Straight Arrow Connector 989"/>
        <xdr:cNvCxnSpPr/>
      </xdr:nvCxnSpPr>
      <xdr:spPr bwMode="auto">
        <a:xfrm rot="10800000" flipV="1">
          <a:off x="2181225" y="92040075"/>
          <a:ext cx="171450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85725</xdr:colOff>
      <xdr:row>809</xdr:row>
      <xdr:rowOff>114300</xdr:rowOff>
    </xdr:from>
    <xdr:to>
      <xdr:col>3</xdr:col>
      <xdr:colOff>257175</xdr:colOff>
      <xdr:row>809</xdr:row>
      <xdr:rowOff>152402</xdr:rowOff>
    </xdr:to>
    <xdr:cxnSp macro="">
      <xdr:nvCxnSpPr>
        <xdr:cNvPr id="993" name="Straight Arrow Connector 992"/>
        <xdr:cNvCxnSpPr/>
      </xdr:nvCxnSpPr>
      <xdr:spPr bwMode="auto">
        <a:xfrm rot="10800000" flipV="1">
          <a:off x="1914525" y="92078175"/>
          <a:ext cx="171450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447675</xdr:colOff>
      <xdr:row>809</xdr:row>
      <xdr:rowOff>180975</xdr:rowOff>
    </xdr:from>
    <xdr:to>
      <xdr:col>3</xdr:col>
      <xdr:colOff>9525</xdr:colOff>
      <xdr:row>810</xdr:row>
      <xdr:rowOff>19052</xdr:rowOff>
    </xdr:to>
    <xdr:cxnSp macro="">
      <xdr:nvCxnSpPr>
        <xdr:cNvPr id="1007" name="Straight Arrow Connector 1006"/>
        <xdr:cNvCxnSpPr/>
      </xdr:nvCxnSpPr>
      <xdr:spPr bwMode="auto">
        <a:xfrm rot="10800000" flipV="1">
          <a:off x="1666875" y="92144850"/>
          <a:ext cx="171450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180975</xdr:colOff>
      <xdr:row>810</xdr:row>
      <xdr:rowOff>19050</xdr:rowOff>
    </xdr:from>
    <xdr:to>
      <xdr:col>2</xdr:col>
      <xdr:colOff>352425</xdr:colOff>
      <xdr:row>810</xdr:row>
      <xdr:rowOff>57152</xdr:rowOff>
    </xdr:to>
    <xdr:cxnSp macro="">
      <xdr:nvCxnSpPr>
        <xdr:cNvPr id="1009" name="Straight Arrow Connector 1008"/>
        <xdr:cNvCxnSpPr/>
      </xdr:nvCxnSpPr>
      <xdr:spPr bwMode="auto">
        <a:xfrm rot="10800000" flipV="1">
          <a:off x="1400175" y="92182950"/>
          <a:ext cx="171450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37307</xdr:colOff>
      <xdr:row>811</xdr:row>
      <xdr:rowOff>38894</xdr:rowOff>
    </xdr:from>
    <xdr:to>
      <xdr:col>2</xdr:col>
      <xdr:colOff>38895</xdr:colOff>
      <xdr:row>812</xdr:row>
      <xdr:rowOff>57946</xdr:rowOff>
    </xdr:to>
    <xdr:cxnSp macro="">
      <xdr:nvCxnSpPr>
        <xdr:cNvPr id="1010" name="Straight Arrow Connector 1009"/>
        <xdr:cNvCxnSpPr/>
      </xdr:nvCxnSpPr>
      <xdr:spPr bwMode="auto">
        <a:xfrm rot="5400000">
          <a:off x="1166812" y="92492514"/>
          <a:ext cx="180977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46832</xdr:colOff>
      <xdr:row>810</xdr:row>
      <xdr:rowOff>38894</xdr:rowOff>
    </xdr:from>
    <xdr:to>
      <xdr:col>2</xdr:col>
      <xdr:colOff>48420</xdr:colOff>
      <xdr:row>811</xdr:row>
      <xdr:rowOff>19846</xdr:rowOff>
    </xdr:to>
    <xdr:cxnSp macro="">
      <xdr:nvCxnSpPr>
        <xdr:cNvPr id="1014" name="Straight Arrow Connector 1013"/>
        <xdr:cNvCxnSpPr/>
      </xdr:nvCxnSpPr>
      <xdr:spPr bwMode="auto">
        <a:xfrm rot="5400000">
          <a:off x="1176337" y="92292489"/>
          <a:ext cx="180977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600075</xdr:colOff>
      <xdr:row>808</xdr:row>
      <xdr:rowOff>66675</xdr:rowOff>
    </xdr:from>
    <xdr:to>
      <xdr:col>3</xdr:col>
      <xdr:colOff>600075</xdr:colOff>
      <xdr:row>809</xdr:row>
      <xdr:rowOff>114300</xdr:rowOff>
    </xdr:to>
    <xdr:sp macro="" textlink="">
      <xdr:nvSpPr>
        <xdr:cNvPr id="1015" name="Line 3271"/>
        <xdr:cNvSpPr>
          <a:spLocks noChangeShapeType="1"/>
        </xdr:cNvSpPr>
      </xdr:nvSpPr>
      <xdr:spPr bwMode="auto">
        <a:xfrm flipV="1">
          <a:off x="1209675" y="92068650"/>
          <a:ext cx="121920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600075</xdr:colOff>
      <xdr:row>808</xdr:row>
      <xdr:rowOff>66675</xdr:rowOff>
    </xdr:from>
    <xdr:to>
      <xdr:col>5</xdr:col>
      <xdr:colOff>600075</xdr:colOff>
      <xdr:row>808</xdr:row>
      <xdr:rowOff>66675</xdr:rowOff>
    </xdr:to>
    <xdr:sp macro="" textlink="">
      <xdr:nvSpPr>
        <xdr:cNvPr id="1016" name="Line 3272"/>
        <xdr:cNvSpPr>
          <a:spLocks noChangeShapeType="1"/>
        </xdr:cNvSpPr>
      </xdr:nvSpPr>
      <xdr:spPr bwMode="auto">
        <a:xfrm>
          <a:off x="2428875" y="920686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600075</xdr:colOff>
      <xdr:row>808</xdr:row>
      <xdr:rowOff>66675</xdr:rowOff>
    </xdr:from>
    <xdr:to>
      <xdr:col>7</xdr:col>
      <xdr:colOff>600075</xdr:colOff>
      <xdr:row>809</xdr:row>
      <xdr:rowOff>104775</xdr:rowOff>
    </xdr:to>
    <xdr:sp macro="" textlink="">
      <xdr:nvSpPr>
        <xdr:cNvPr id="1017" name="Line 3273"/>
        <xdr:cNvSpPr>
          <a:spLocks noChangeShapeType="1"/>
        </xdr:cNvSpPr>
      </xdr:nvSpPr>
      <xdr:spPr bwMode="auto">
        <a:xfrm>
          <a:off x="3648075" y="92068650"/>
          <a:ext cx="121920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409575</xdr:colOff>
      <xdr:row>744</xdr:row>
      <xdr:rowOff>28577</xdr:rowOff>
    </xdr:from>
    <xdr:to>
      <xdr:col>3</xdr:col>
      <xdr:colOff>9525</xdr:colOff>
      <xdr:row>744</xdr:row>
      <xdr:rowOff>38100</xdr:rowOff>
    </xdr:to>
    <xdr:cxnSp macro="">
      <xdr:nvCxnSpPr>
        <xdr:cNvPr id="1018" name="Straight Arrow Connector 1017"/>
        <xdr:cNvCxnSpPr/>
      </xdr:nvCxnSpPr>
      <xdr:spPr bwMode="auto">
        <a:xfrm flipV="1">
          <a:off x="1628775" y="83515202"/>
          <a:ext cx="20955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592688</xdr:colOff>
      <xdr:row>809</xdr:row>
      <xdr:rowOff>100362</xdr:rowOff>
    </xdr:from>
    <xdr:to>
      <xdr:col>8</xdr:col>
      <xdr:colOff>114532</xdr:colOff>
      <xdr:row>809</xdr:row>
      <xdr:rowOff>147986</xdr:rowOff>
    </xdr:to>
    <xdr:sp macro="" textlink="">
      <xdr:nvSpPr>
        <xdr:cNvPr id="1019" name="Line 3274"/>
        <xdr:cNvSpPr>
          <a:spLocks noChangeShapeType="1"/>
        </xdr:cNvSpPr>
      </xdr:nvSpPr>
      <xdr:spPr bwMode="auto">
        <a:xfrm>
          <a:off x="4853383" y="92581142"/>
          <a:ext cx="130515" cy="4762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103982</xdr:colOff>
      <xdr:row>809</xdr:row>
      <xdr:rowOff>143668</xdr:rowOff>
    </xdr:from>
    <xdr:to>
      <xdr:col>8</xdr:col>
      <xdr:colOff>105570</xdr:colOff>
      <xdr:row>812</xdr:row>
      <xdr:rowOff>10318</xdr:rowOff>
    </xdr:to>
    <xdr:cxnSp macro="">
      <xdr:nvCxnSpPr>
        <xdr:cNvPr id="1021" name="Straight Connector 1020"/>
        <xdr:cNvCxnSpPr/>
      </xdr:nvCxnSpPr>
      <xdr:spPr bwMode="auto">
        <a:xfrm rot="5400000">
          <a:off x="4767263" y="92521087"/>
          <a:ext cx="428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465</xdr:colOff>
      <xdr:row>812</xdr:row>
      <xdr:rowOff>8363</xdr:rowOff>
    </xdr:from>
    <xdr:to>
      <xdr:col>8</xdr:col>
      <xdr:colOff>113836</xdr:colOff>
      <xdr:row>812</xdr:row>
      <xdr:rowOff>8363</xdr:rowOff>
    </xdr:to>
    <xdr:sp macro="" textlink="">
      <xdr:nvSpPr>
        <xdr:cNvPr id="1022" name="Line 3280"/>
        <xdr:cNvSpPr>
          <a:spLocks noChangeShapeType="1"/>
        </xdr:cNvSpPr>
      </xdr:nvSpPr>
      <xdr:spPr bwMode="auto">
        <a:xfrm>
          <a:off x="4869831" y="93051351"/>
          <a:ext cx="11337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495300</xdr:colOff>
      <xdr:row>811</xdr:row>
      <xdr:rowOff>152400</xdr:rowOff>
    </xdr:from>
    <xdr:to>
      <xdr:col>2</xdr:col>
      <xdr:colOff>0</xdr:colOff>
      <xdr:row>811</xdr:row>
      <xdr:rowOff>152400</xdr:rowOff>
    </xdr:to>
    <xdr:sp macro="" textlink="">
      <xdr:nvSpPr>
        <xdr:cNvPr id="1024" name="Line 3280"/>
        <xdr:cNvSpPr>
          <a:spLocks noChangeShapeType="1"/>
        </xdr:cNvSpPr>
      </xdr:nvSpPr>
      <xdr:spPr bwMode="auto">
        <a:xfrm>
          <a:off x="1104900" y="927163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485774</xdr:colOff>
      <xdr:row>809</xdr:row>
      <xdr:rowOff>104774</xdr:rowOff>
    </xdr:from>
    <xdr:to>
      <xdr:col>2</xdr:col>
      <xdr:colOff>28569</xdr:colOff>
      <xdr:row>809</xdr:row>
      <xdr:rowOff>142876</xdr:rowOff>
    </xdr:to>
    <xdr:sp macro="" textlink="">
      <xdr:nvSpPr>
        <xdr:cNvPr id="1025" name="Line 3275"/>
        <xdr:cNvSpPr>
          <a:spLocks noChangeShapeType="1"/>
        </xdr:cNvSpPr>
      </xdr:nvSpPr>
      <xdr:spPr bwMode="auto">
        <a:xfrm flipH="1">
          <a:off x="1095374" y="136169399"/>
          <a:ext cx="152395" cy="38102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none" w="med" len="med"/>
        </a:ln>
      </xdr:spPr>
    </xdr:sp>
    <xdr:clientData/>
  </xdr:twoCellAnchor>
  <xdr:twoCellAnchor>
    <xdr:from>
      <xdr:col>1</xdr:col>
      <xdr:colOff>494507</xdr:colOff>
      <xdr:row>809</xdr:row>
      <xdr:rowOff>124619</xdr:rowOff>
    </xdr:from>
    <xdr:to>
      <xdr:col>1</xdr:col>
      <xdr:colOff>496095</xdr:colOff>
      <xdr:row>811</xdr:row>
      <xdr:rowOff>153194</xdr:rowOff>
    </xdr:to>
    <xdr:cxnSp macro="">
      <xdr:nvCxnSpPr>
        <xdr:cNvPr id="1026" name="Straight Connector 1025"/>
        <xdr:cNvCxnSpPr/>
      </xdr:nvCxnSpPr>
      <xdr:spPr bwMode="auto">
        <a:xfrm rot="5400000">
          <a:off x="890588" y="92502038"/>
          <a:ext cx="428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0</xdr:colOff>
      <xdr:row>808</xdr:row>
      <xdr:rowOff>1</xdr:rowOff>
    </xdr:from>
    <xdr:to>
      <xdr:col>0</xdr:col>
      <xdr:colOff>0</xdr:colOff>
      <xdr:row>810</xdr:row>
      <xdr:rowOff>9526</xdr:rowOff>
    </xdr:to>
    <xdr:sp macro="" textlink="">
      <xdr:nvSpPr>
        <xdr:cNvPr id="1027" name="Line 3270"/>
        <xdr:cNvSpPr>
          <a:spLocks noChangeShapeType="1"/>
        </xdr:cNvSpPr>
      </xdr:nvSpPr>
      <xdr:spPr bwMode="auto">
        <a:xfrm flipV="1">
          <a:off x="0" y="92001976"/>
          <a:ext cx="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744</xdr:row>
      <xdr:rowOff>38102</xdr:rowOff>
    </xdr:from>
    <xdr:to>
      <xdr:col>3</xdr:col>
      <xdr:colOff>247650</xdr:colOff>
      <xdr:row>744</xdr:row>
      <xdr:rowOff>47625</xdr:rowOff>
    </xdr:to>
    <xdr:cxnSp macro="">
      <xdr:nvCxnSpPr>
        <xdr:cNvPr id="991" name="Straight Arrow Connector 990"/>
        <xdr:cNvCxnSpPr/>
      </xdr:nvCxnSpPr>
      <xdr:spPr bwMode="auto">
        <a:xfrm flipV="1">
          <a:off x="1866900" y="83524727"/>
          <a:ext cx="20955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304800</xdr:colOff>
      <xdr:row>744</xdr:row>
      <xdr:rowOff>28577</xdr:rowOff>
    </xdr:from>
    <xdr:to>
      <xdr:col>3</xdr:col>
      <xdr:colOff>514350</xdr:colOff>
      <xdr:row>744</xdr:row>
      <xdr:rowOff>38100</xdr:rowOff>
    </xdr:to>
    <xdr:cxnSp macro="">
      <xdr:nvCxnSpPr>
        <xdr:cNvPr id="995" name="Straight Arrow Connector 994"/>
        <xdr:cNvCxnSpPr/>
      </xdr:nvCxnSpPr>
      <xdr:spPr bwMode="auto">
        <a:xfrm flipV="1">
          <a:off x="2133600" y="83515202"/>
          <a:ext cx="20955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542925</xdr:colOff>
      <xdr:row>744</xdr:row>
      <xdr:rowOff>38102</xdr:rowOff>
    </xdr:from>
    <xdr:to>
      <xdr:col>4</xdr:col>
      <xdr:colOff>142875</xdr:colOff>
      <xdr:row>744</xdr:row>
      <xdr:rowOff>47625</xdr:rowOff>
    </xdr:to>
    <xdr:cxnSp macro="">
      <xdr:nvCxnSpPr>
        <xdr:cNvPr id="1005" name="Straight Arrow Connector 1004"/>
        <xdr:cNvCxnSpPr/>
      </xdr:nvCxnSpPr>
      <xdr:spPr bwMode="auto">
        <a:xfrm flipV="1">
          <a:off x="2371725" y="83524727"/>
          <a:ext cx="20955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238125</xdr:colOff>
      <xdr:row>745</xdr:row>
      <xdr:rowOff>47627</xdr:rowOff>
    </xdr:from>
    <xdr:to>
      <xdr:col>5</xdr:col>
      <xdr:colOff>447675</xdr:colOff>
      <xdr:row>745</xdr:row>
      <xdr:rowOff>57150</xdr:rowOff>
    </xdr:to>
    <xdr:cxnSp macro="">
      <xdr:nvCxnSpPr>
        <xdr:cNvPr id="1013" name="Straight Arrow Connector 1012"/>
        <xdr:cNvCxnSpPr/>
      </xdr:nvCxnSpPr>
      <xdr:spPr bwMode="auto">
        <a:xfrm flipV="1">
          <a:off x="3286125" y="83696177"/>
          <a:ext cx="20955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476250</xdr:colOff>
      <xdr:row>745</xdr:row>
      <xdr:rowOff>57152</xdr:rowOff>
    </xdr:from>
    <xdr:to>
      <xdr:col>6</xdr:col>
      <xdr:colOff>76200</xdr:colOff>
      <xdr:row>745</xdr:row>
      <xdr:rowOff>66675</xdr:rowOff>
    </xdr:to>
    <xdr:cxnSp macro="">
      <xdr:nvCxnSpPr>
        <xdr:cNvPr id="1020" name="Straight Arrow Connector 1019"/>
        <xdr:cNvCxnSpPr/>
      </xdr:nvCxnSpPr>
      <xdr:spPr bwMode="auto">
        <a:xfrm flipV="1">
          <a:off x="3524250" y="83705702"/>
          <a:ext cx="20955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133350</xdr:colOff>
      <xdr:row>745</xdr:row>
      <xdr:rowOff>47627</xdr:rowOff>
    </xdr:from>
    <xdr:to>
      <xdr:col>6</xdr:col>
      <xdr:colOff>342900</xdr:colOff>
      <xdr:row>745</xdr:row>
      <xdr:rowOff>57150</xdr:rowOff>
    </xdr:to>
    <xdr:cxnSp macro="">
      <xdr:nvCxnSpPr>
        <xdr:cNvPr id="1023" name="Straight Arrow Connector 1022"/>
        <xdr:cNvCxnSpPr/>
      </xdr:nvCxnSpPr>
      <xdr:spPr bwMode="auto">
        <a:xfrm flipV="1">
          <a:off x="3790950" y="83696177"/>
          <a:ext cx="20955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371475</xdr:colOff>
      <xdr:row>745</xdr:row>
      <xdr:rowOff>57152</xdr:rowOff>
    </xdr:from>
    <xdr:to>
      <xdr:col>6</xdr:col>
      <xdr:colOff>581025</xdr:colOff>
      <xdr:row>745</xdr:row>
      <xdr:rowOff>66675</xdr:rowOff>
    </xdr:to>
    <xdr:cxnSp macro="">
      <xdr:nvCxnSpPr>
        <xdr:cNvPr id="1028" name="Straight Arrow Connector 1027"/>
        <xdr:cNvCxnSpPr/>
      </xdr:nvCxnSpPr>
      <xdr:spPr bwMode="auto">
        <a:xfrm flipV="1">
          <a:off x="4029075" y="83705702"/>
          <a:ext cx="20955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552453</xdr:colOff>
      <xdr:row>747</xdr:row>
      <xdr:rowOff>38100</xdr:rowOff>
    </xdr:from>
    <xdr:to>
      <xdr:col>6</xdr:col>
      <xdr:colOff>561976</xdr:colOff>
      <xdr:row>748</xdr:row>
      <xdr:rowOff>95250</xdr:rowOff>
    </xdr:to>
    <xdr:cxnSp macro="">
      <xdr:nvCxnSpPr>
        <xdr:cNvPr id="1029" name="Straight Arrow Connector 1028"/>
        <xdr:cNvCxnSpPr/>
      </xdr:nvCxnSpPr>
      <xdr:spPr bwMode="auto">
        <a:xfrm rot="5400000">
          <a:off x="4105277" y="84115276"/>
          <a:ext cx="219075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209550</xdr:colOff>
      <xdr:row>744</xdr:row>
      <xdr:rowOff>57151</xdr:rowOff>
    </xdr:from>
    <xdr:to>
      <xdr:col>4</xdr:col>
      <xdr:colOff>400050</xdr:colOff>
      <xdr:row>744</xdr:row>
      <xdr:rowOff>123825</xdr:rowOff>
    </xdr:to>
    <xdr:cxnSp macro="">
      <xdr:nvCxnSpPr>
        <xdr:cNvPr id="1031" name="Straight Arrow Connector 1030"/>
        <xdr:cNvCxnSpPr/>
      </xdr:nvCxnSpPr>
      <xdr:spPr bwMode="auto">
        <a:xfrm>
          <a:off x="2647950" y="83543776"/>
          <a:ext cx="190500" cy="6667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409575</xdr:colOff>
      <xdr:row>744</xdr:row>
      <xdr:rowOff>104776</xdr:rowOff>
    </xdr:from>
    <xdr:to>
      <xdr:col>4</xdr:col>
      <xdr:colOff>600075</xdr:colOff>
      <xdr:row>745</xdr:row>
      <xdr:rowOff>9525</xdr:rowOff>
    </xdr:to>
    <xdr:cxnSp macro="">
      <xdr:nvCxnSpPr>
        <xdr:cNvPr id="1032" name="Straight Arrow Connector 1031"/>
        <xdr:cNvCxnSpPr/>
      </xdr:nvCxnSpPr>
      <xdr:spPr bwMode="auto">
        <a:xfrm>
          <a:off x="2847975" y="83591401"/>
          <a:ext cx="190500" cy="6667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9525</xdr:colOff>
      <xdr:row>744</xdr:row>
      <xdr:rowOff>142876</xdr:rowOff>
    </xdr:from>
    <xdr:to>
      <xdr:col>5</xdr:col>
      <xdr:colOff>200025</xdr:colOff>
      <xdr:row>745</xdr:row>
      <xdr:rowOff>47625</xdr:rowOff>
    </xdr:to>
    <xdr:cxnSp macro="">
      <xdr:nvCxnSpPr>
        <xdr:cNvPr id="1033" name="Straight Arrow Connector 1032"/>
        <xdr:cNvCxnSpPr/>
      </xdr:nvCxnSpPr>
      <xdr:spPr bwMode="auto">
        <a:xfrm>
          <a:off x="3057525" y="83629501"/>
          <a:ext cx="190500" cy="6667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114300</xdr:colOff>
      <xdr:row>744</xdr:row>
      <xdr:rowOff>57150</xdr:rowOff>
    </xdr:from>
    <xdr:to>
      <xdr:col>2</xdr:col>
      <xdr:colOff>314325</xdr:colOff>
      <xdr:row>744</xdr:row>
      <xdr:rowOff>152401</xdr:rowOff>
    </xdr:to>
    <xdr:cxnSp macro="">
      <xdr:nvCxnSpPr>
        <xdr:cNvPr id="1035" name="Straight Arrow Connector 1034"/>
        <xdr:cNvCxnSpPr/>
      </xdr:nvCxnSpPr>
      <xdr:spPr bwMode="auto">
        <a:xfrm flipV="1">
          <a:off x="1333500" y="83543775"/>
          <a:ext cx="200025" cy="952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47625</xdr:colOff>
      <xdr:row>745</xdr:row>
      <xdr:rowOff>47627</xdr:rowOff>
    </xdr:from>
    <xdr:to>
      <xdr:col>1</xdr:col>
      <xdr:colOff>257175</xdr:colOff>
      <xdr:row>745</xdr:row>
      <xdr:rowOff>57150</xdr:rowOff>
    </xdr:to>
    <xdr:cxnSp macro="">
      <xdr:nvCxnSpPr>
        <xdr:cNvPr id="1036" name="Straight Arrow Connector 1035"/>
        <xdr:cNvCxnSpPr/>
      </xdr:nvCxnSpPr>
      <xdr:spPr bwMode="auto">
        <a:xfrm flipV="1">
          <a:off x="657225" y="83696177"/>
          <a:ext cx="20955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285750</xdr:colOff>
      <xdr:row>745</xdr:row>
      <xdr:rowOff>57152</xdr:rowOff>
    </xdr:from>
    <xdr:to>
      <xdr:col>1</xdr:col>
      <xdr:colOff>495300</xdr:colOff>
      <xdr:row>745</xdr:row>
      <xdr:rowOff>66675</xdr:rowOff>
    </xdr:to>
    <xdr:cxnSp macro="">
      <xdr:nvCxnSpPr>
        <xdr:cNvPr id="1037" name="Straight Arrow Connector 1036"/>
        <xdr:cNvCxnSpPr/>
      </xdr:nvCxnSpPr>
      <xdr:spPr bwMode="auto">
        <a:xfrm flipV="1">
          <a:off x="895350" y="83705702"/>
          <a:ext cx="20955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47627</xdr:colOff>
      <xdr:row>745</xdr:row>
      <xdr:rowOff>85726</xdr:rowOff>
    </xdr:from>
    <xdr:to>
      <xdr:col>1</xdr:col>
      <xdr:colOff>57150</xdr:colOff>
      <xdr:row>746</xdr:row>
      <xdr:rowOff>123825</xdr:rowOff>
    </xdr:to>
    <xdr:cxnSp macro="">
      <xdr:nvCxnSpPr>
        <xdr:cNvPr id="1043" name="Straight Arrow Connector 1042"/>
        <xdr:cNvCxnSpPr/>
      </xdr:nvCxnSpPr>
      <xdr:spPr bwMode="auto">
        <a:xfrm rot="16200000" flipV="1">
          <a:off x="561977" y="83829526"/>
          <a:ext cx="200024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600075</xdr:colOff>
      <xdr:row>970</xdr:row>
      <xdr:rowOff>19049</xdr:rowOff>
    </xdr:from>
    <xdr:to>
      <xdr:col>8</xdr:col>
      <xdr:colOff>0</xdr:colOff>
      <xdr:row>974</xdr:row>
      <xdr:rowOff>142874</xdr:rowOff>
    </xdr:to>
    <xdr:cxnSp macro="">
      <xdr:nvCxnSpPr>
        <xdr:cNvPr id="1045" name="Straight Connector 1044"/>
        <xdr:cNvCxnSpPr/>
      </xdr:nvCxnSpPr>
      <xdr:spPr bwMode="auto">
        <a:xfrm rot="16200000" flipH="1" flipV="1">
          <a:off x="4486275" y="118748174"/>
          <a:ext cx="7715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495300</xdr:colOff>
      <xdr:row>970</xdr:row>
      <xdr:rowOff>0</xdr:rowOff>
    </xdr:from>
    <xdr:to>
      <xdr:col>8</xdr:col>
      <xdr:colOff>95250</xdr:colOff>
      <xdr:row>970</xdr:row>
      <xdr:rowOff>0</xdr:rowOff>
    </xdr:to>
    <xdr:sp macro="" textlink="">
      <xdr:nvSpPr>
        <xdr:cNvPr id="1046" name="Line 2636"/>
        <xdr:cNvSpPr>
          <a:spLocks noChangeShapeType="1"/>
        </xdr:cNvSpPr>
      </xdr:nvSpPr>
      <xdr:spPr bwMode="auto">
        <a:xfrm>
          <a:off x="4762500" y="11834812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514350</xdr:colOff>
      <xdr:row>974</xdr:row>
      <xdr:rowOff>152400</xdr:rowOff>
    </xdr:from>
    <xdr:to>
      <xdr:col>8</xdr:col>
      <xdr:colOff>114300</xdr:colOff>
      <xdr:row>974</xdr:row>
      <xdr:rowOff>152400</xdr:rowOff>
    </xdr:to>
    <xdr:sp macro="" textlink="">
      <xdr:nvSpPr>
        <xdr:cNvPr id="1047" name="Line 2636"/>
        <xdr:cNvSpPr>
          <a:spLocks noChangeShapeType="1"/>
        </xdr:cNvSpPr>
      </xdr:nvSpPr>
      <xdr:spPr bwMode="auto">
        <a:xfrm>
          <a:off x="4781550" y="11914822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247650</xdr:colOff>
      <xdr:row>970</xdr:row>
      <xdr:rowOff>19049</xdr:rowOff>
    </xdr:from>
    <xdr:to>
      <xdr:col>0</xdr:col>
      <xdr:colOff>257175</xdr:colOff>
      <xdr:row>974</xdr:row>
      <xdr:rowOff>142874</xdr:rowOff>
    </xdr:to>
    <xdr:cxnSp macro="">
      <xdr:nvCxnSpPr>
        <xdr:cNvPr id="1048" name="Straight Connector 1047"/>
        <xdr:cNvCxnSpPr/>
      </xdr:nvCxnSpPr>
      <xdr:spPr bwMode="auto">
        <a:xfrm rot="16200000" flipH="1" flipV="1">
          <a:off x="-133350" y="118748174"/>
          <a:ext cx="7715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142875</xdr:colOff>
      <xdr:row>970</xdr:row>
      <xdr:rowOff>0</xdr:rowOff>
    </xdr:from>
    <xdr:to>
      <xdr:col>0</xdr:col>
      <xdr:colOff>352425</xdr:colOff>
      <xdr:row>970</xdr:row>
      <xdr:rowOff>0</xdr:rowOff>
    </xdr:to>
    <xdr:sp macro="" textlink="">
      <xdr:nvSpPr>
        <xdr:cNvPr id="1049" name="Line 2636"/>
        <xdr:cNvSpPr>
          <a:spLocks noChangeShapeType="1"/>
        </xdr:cNvSpPr>
      </xdr:nvSpPr>
      <xdr:spPr bwMode="auto">
        <a:xfrm>
          <a:off x="142875" y="11834812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161925</xdr:colOff>
      <xdr:row>974</xdr:row>
      <xdr:rowOff>152400</xdr:rowOff>
    </xdr:from>
    <xdr:to>
      <xdr:col>0</xdr:col>
      <xdr:colOff>371475</xdr:colOff>
      <xdr:row>974</xdr:row>
      <xdr:rowOff>152400</xdr:rowOff>
    </xdr:to>
    <xdr:sp macro="" textlink="">
      <xdr:nvSpPr>
        <xdr:cNvPr id="1050" name="Line 2636"/>
        <xdr:cNvSpPr>
          <a:spLocks noChangeShapeType="1"/>
        </xdr:cNvSpPr>
      </xdr:nvSpPr>
      <xdr:spPr bwMode="auto">
        <a:xfrm>
          <a:off x="161925" y="11914822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744</xdr:row>
      <xdr:rowOff>152400</xdr:rowOff>
    </xdr:from>
    <xdr:to>
      <xdr:col>1</xdr:col>
      <xdr:colOff>0</xdr:colOff>
      <xdr:row>748</xdr:row>
      <xdr:rowOff>85725</xdr:rowOff>
    </xdr:to>
    <xdr:sp macro="" textlink="">
      <xdr:nvSpPr>
        <xdr:cNvPr id="1052" name="Line 2381"/>
        <xdr:cNvSpPr>
          <a:spLocks noChangeShapeType="1"/>
        </xdr:cNvSpPr>
      </xdr:nvSpPr>
      <xdr:spPr bwMode="auto">
        <a:xfrm>
          <a:off x="609600" y="83639025"/>
          <a:ext cx="0" cy="581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57152</xdr:colOff>
      <xdr:row>747</xdr:row>
      <xdr:rowOff>38102</xdr:rowOff>
    </xdr:from>
    <xdr:to>
      <xdr:col>1</xdr:col>
      <xdr:colOff>66675</xdr:colOff>
      <xdr:row>748</xdr:row>
      <xdr:rowOff>76201</xdr:rowOff>
    </xdr:to>
    <xdr:cxnSp macro="">
      <xdr:nvCxnSpPr>
        <xdr:cNvPr id="1053" name="Straight Arrow Connector 1052"/>
        <xdr:cNvCxnSpPr/>
      </xdr:nvCxnSpPr>
      <xdr:spPr bwMode="auto">
        <a:xfrm rot="16200000" flipV="1">
          <a:off x="571502" y="84105752"/>
          <a:ext cx="200024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552453</xdr:colOff>
      <xdr:row>745</xdr:row>
      <xdr:rowOff>95250</xdr:rowOff>
    </xdr:from>
    <xdr:to>
      <xdr:col>6</xdr:col>
      <xdr:colOff>561976</xdr:colOff>
      <xdr:row>746</xdr:row>
      <xdr:rowOff>152400</xdr:rowOff>
    </xdr:to>
    <xdr:cxnSp macro="">
      <xdr:nvCxnSpPr>
        <xdr:cNvPr id="1055" name="Straight Arrow Connector 1054"/>
        <xdr:cNvCxnSpPr/>
      </xdr:nvCxnSpPr>
      <xdr:spPr bwMode="auto">
        <a:xfrm rot="5400000">
          <a:off x="4105277" y="83848576"/>
          <a:ext cx="219075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304800</xdr:colOff>
      <xdr:row>745</xdr:row>
      <xdr:rowOff>0</xdr:rowOff>
    </xdr:from>
    <xdr:to>
      <xdr:col>0</xdr:col>
      <xdr:colOff>304800</xdr:colOff>
      <xdr:row>748</xdr:row>
      <xdr:rowOff>95250</xdr:rowOff>
    </xdr:to>
    <xdr:sp macro="" textlink="">
      <xdr:nvSpPr>
        <xdr:cNvPr id="1056" name="Line 2381"/>
        <xdr:cNvSpPr>
          <a:spLocks noChangeShapeType="1"/>
        </xdr:cNvSpPr>
      </xdr:nvSpPr>
      <xdr:spPr bwMode="auto">
        <a:xfrm>
          <a:off x="304800" y="83648550"/>
          <a:ext cx="0" cy="581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7</xdr:col>
      <xdr:colOff>9525</xdr:colOff>
      <xdr:row>745</xdr:row>
      <xdr:rowOff>0</xdr:rowOff>
    </xdr:from>
    <xdr:to>
      <xdr:col>7</xdr:col>
      <xdr:colOff>9525</xdr:colOff>
      <xdr:row>748</xdr:row>
      <xdr:rowOff>95250</xdr:rowOff>
    </xdr:to>
    <xdr:sp macro="" textlink="">
      <xdr:nvSpPr>
        <xdr:cNvPr id="971" name="Line 2381"/>
        <xdr:cNvSpPr>
          <a:spLocks noChangeShapeType="1"/>
        </xdr:cNvSpPr>
      </xdr:nvSpPr>
      <xdr:spPr bwMode="auto">
        <a:xfrm>
          <a:off x="4276725" y="83648550"/>
          <a:ext cx="0" cy="581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918</xdr:row>
      <xdr:rowOff>0</xdr:rowOff>
    </xdr:from>
    <xdr:to>
      <xdr:col>13</xdr:col>
      <xdr:colOff>247650</xdr:colOff>
      <xdr:row>918</xdr:row>
      <xdr:rowOff>0</xdr:rowOff>
    </xdr:to>
    <xdr:sp macro="" textlink="">
      <xdr:nvSpPr>
        <xdr:cNvPr id="1030" name="Line 2480"/>
        <xdr:cNvSpPr>
          <a:spLocks noChangeShapeType="1"/>
        </xdr:cNvSpPr>
      </xdr:nvSpPr>
      <xdr:spPr bwMode="auto">
        <a:xfrm>
          <a:off x="609600" y="99079050"/>
          <a:ext cx="857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916</xdr:row>
      <xdr:rowOff>152400</xdr:rowOff>
    </xdr:from>
    <xdr:to>
      <xdr:col>14</xdr:col>
      <xdr:colOff>0</xdr:colOff>
      <xdr:row>918</xdr:row>
      <xdr:rowOff>0</xdr:rowOff>
    </xdr:to>
    <xdr:sp macro="" textlink="">
      <xdr:nvSpPr>
        <xdr:cNvPr id="1034" name="Line 2481"/>
        <xdr:cNvSpPr>
          <a:spLocks noChangeShapeType="1"/>
        </xdr:cNvSpPr>
      </xdr:nvSpPr>
      <xdr:spPr bwMode="auto">
        <a:xfrm flipV="1">
          <a:off x="1457325" y="98907600"/>
          <a:ext cx="3714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916</xdr:row>
      <xdr:rowOff>152400</xdr:rowOff>
    </xdr:from>
    <xdr:to>
      <xdr:col>15</xdr:col>
      <xdr:colOff>342900</xdr:colOff>
      <xdr:row>916</xdr:row>
      <xdr:rowOff>152400</xdr:rowOff>
    </xdr:to>
    <xdr:sp macro="" textlink="">
      <xdr:nvSpPr>
        <xdr:cNvPr id="1038" name="Line 2482"/>
        <xdr:cNvSpPr>
          <a:spLocks noChangeShapeType="1"/>
        </xdr:cNvSpPr>
      </xdr:nvSpPr>
      <xdr:spPr bwMode="auto">
        <a:xfrm>
          <a:off x="1828800" y="98907600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333375</xdr:colOff>
      <xdr:row>916</xdr:row>
      <xdr:rowOff>152400</xdr:rowOff>
    </xdr:from>
    <xdr:to>
      <xdr:col>17</xdr:col>
      <xdr:colOff>9525</xdr:colOff>
      <xdr:row>918</xdr:row>
      <xdr:rowOff>0</xdr:rowOff>
    </xdr:to>
    <xdr:sp macro="" textlink="">
      <xdr:nvSpPr>
        <xdr:cNvPr id="1039" name="Line 2483"/>
        <xdr:cNvSpPr>
          <a:spLocks noChangeShapeType="1"/>
        </xdr:cNvSpPr>
      </xdr:nvSpPr>
      <xdr:spPr bwMode="auto">
        <a:xfrm>
          <a:off x="2771775" y="98907600"/>
          <a:ext cx="8953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0</xdr:colOff>
      <xdr:row>917</xdr:row>
      <xdr:rowOff>152400</xdr:rowOff>
    </xdr:from>
    <xdr:to>
      <xdr:col>18</xdr:col>
      <xdr:colOff>523875</xdr:colOff>
      <xdr:row>917</xdr:row>
      <xdr:rowOff>152400</xdr:rowOff>
    </xdr:to>
    <xdr:sp macro="" textlink="">
      <xdr:nvSpPr>
        <xdr:cNvPr id="1040" name="Line 2484"/>
        <xdr:cNvSpPr>
          <a:spLocks noChangeShapeType="1"/>
        </xdr:cNvSpPr>
      </xdr:nvSpPr>
      <xdr:spPr bwMode="auto">
        <a:xfrm>
          <a:off x="3657600" y="99069525"/>
          <a:ext cx="1133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915</xdr:row>
      <xdr:rowOff>0</xdr:rowOff>
    </xdr:from>
    <xdr:to>
      <xdr:col>15</xdr:col>
      <xdr:colOff>323850</xdr:colOff>
      <xdr:row>915</xdr:row>
      <xdr:rowOff>0</xdr:rowOff>
    </xdr:to>
    <xdr:sp macro="" textlink="">
      <xdr:nvSpPr>
        <xdr:cNvPr id="1041" name="Line 2486"/>
        <xdr:cNvSpPr>
          <a:spLocks noChangeShapeType="1"/>
        </xdr:cNvSpPr>
      </xdr:nvSpPr>
      <xdr:spPr bwMode="auto">
        <a:xfrm>
          <a:off x="1828800" y="98593275"/>
          <a:ext cx="933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914</xdr:row>
      <xdr:rowOff>38100</xdr:rowOff>
    </xdr:from>
    <xdr:to>
      <xdr:col>14</xdr:col>
      <xdr:colOff>0</xdr:colOff>
      <xdr:row>914</xdr:row>
      <xdr:rowOff>152400</xdr:rowOff>
    </xdr:to>
    <xdr:sp macro="" textlink="">
      <xdr:nvSpPr>
        <xdr:cNvPr id="1042" name="Line 2487"/>
        <xdr:cNvSpPr>
          <a:spLocks noChangeShapeType="1"/>
        </xdr:cNvSpPr>
      </xdr:nvSpPr>
      <xdr:spPr bwMode="auto">
        <a:xfrm flipV="1">
          <a:off x="1828800" y="984694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342900</xdr:colOff>
      <xdr:row>914</xdr:row>
      <xdr:rowOff>28575</xdr:rowOff>
    </xdr:from>
    <xdr:to>
      <xdr:col>15</xdr:col>
      <xdr:colOff>342900</xdr:colOff>
      <xdr:row>915</xdr:row>
      <xdr:rowOff>0</xdr:rowOff>
    </xdr:to>
    <xdr:sp macro="" textlink="">
      <xdr:nvSpPr>
        <xdr:cNvPr id="1044" name="Line 2488"/>
        <xdr:cNvSpPr>
          <a:spLocks noChangeShapeType="1"/>
        </xdr:cNvSpPr>
      </xdr:nvSpPr>
      <xdr:spPr bwMode="auto">
        <a:xfrm flipV="1">
          <a:off x="2781300" y="984599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419100</xdr:colOff>
      <xdr:row>914</xdr:row>
      <xdr:rowOff>47625</xdr:rowOff>
    </xdr:from>
    <xdr:to>
      <xdr:col>13</xdr:col>
      <xdr:colOff>114300</xdr:colOff>
      <xdr:row>914</xdr:row>
      <xdr:rowOff>47625</xdr:rowOff>
    </xdr:to>
    <xdr:sp macro="" textlink="">
      <xdr:nvSpPr>
        <xdr:cNvPr id="1051" name="Line 2489"/>
        <xdr:cNvSpPr>
          <a:spLocks noChangeShapeType="1"/>
        </xdr:cNvSpPr>
      </xdr:nvSpPr>
      <xdr:spPr bwMode="auto">
        <a:xfrm>
          <a:off x="1028700" y="98478975"/>
          <a:ext cx="304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12</xdr:col>
      <xdr:colOff>552450</xdr:colOff>
      <xdr:row>915</xdr:row>
      <xdr:rowOff>123825</xdr:rowOff>
    </xdr:from>
    <xdr:ext cx="19050" cy="342900"/>
    <xdr:sp macro="" textlink="">
      <xdr:nvSpPr>
        <xdr:cNvPr id="1054" name="Text Box 2490"/>
        <xdr:cNvSpPr txBox="1">
          <a:spLocks noChangeArrowheads="1"/>
        </xdr:cNvSpPr>
      </xdr:nvSpPr>
      <xdr:spPr bwMode="auto">
        <a:xfrm>
          <a:off x="1162050" y="98717100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12</xdr:col>
      <xdr:colOff>457200</xdr:colOff>
      <xdr:row>913</xdr:row>
      <xdr:rowOff>142875</xdr:rowOff>
    </xdr:from>
    <xdr:to>
      <xdr:col>12</xdr:col>
      <xdr:colOff>514350</xdr:colOff>
      <xdr:row>914</xdr:row>
      <xdr:rowOff>47625</xdr:rowOff>
    </xdr:to>
    <xdr:sp macro="" textlink="">
      <xdr:nvSpPr>
        <xdr:cNvPr id="1057" name="Line 2491"/>
        <xdr:cNvSpPr>
          <a:spLocks noChangeShapeType="1"/>
        </xdr:cNvSpPr>
      </xdr:nvSpPr>
      <xdr:spPr bwMode="auto">
        <a:xfrm>
          <a:off x="1066800" y="98412300"/>
          <a:ext cx="5715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514350</xdr:colOff>
      <xdr:row>913</xdr:row>
      <xdr:rowOff>133350</xdr:rowOff>
    </xdr:from>
    <xdr:to>
      <xdr:col>12</xdr:col>
      <xdr:colOff>552450</xdr:colOff>
      <xdr:row>914</xdr:row>
      <xdr:rowOff>38100</xdr:rowOff>
    </xdr:to>
    <xdr:sp macro="" textlink="">
      <xdr:nvSpPr>
        <xdr:cNvPr id="1058" name="Line 2492"/>
        <xdr:cNvSpPr>
          <a:spLocks noChangeShapeType="1"/>
        </xdr:cNvSpPr>
      </xdr:nvSpPr>
      <xdr:spPr bwMode="auto">
        <a:xfrm flipV="1">
          <a:off x="1123950" y="984027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457200</xdr:colOff>
      <xdr:row>913</xdr:row>
      <xdr:rowOff>133350</xdr:rowOff>
    </xdr:from>
    <xdr:to>
      <xdr:col>12</xdr:col>
      <xdr:colOff>571500</xdr:colOff>
      <xdr:row>913</xdr:row>
      <xdr:rowOff>133350</xdr:rowOff>
    </xdr:to>
    <xdr:sp macro="" textlink="">
      <xdr:nvSpPr>
        <xdr:cNvPr id="1059" name="Line 2493"/>
        <xdr:cNvSpPr>
          <a:spLocks noChangeShapeType="1"/>
        </xdr:cNvSpPr>
      </xdr:nvSpPr>
      <xdr:spPr bwMode="auto">
        <a:xfrm>
          <a:off x="1066800" y="984027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466725</xdr:colOff>
      <xdr:row>914</xdr:row>
      <xdr:rowOff>66675</xdr:rowOff>
    </xdr:from>
    <xdr:to>
      <xdr:col>12</xdr:col>
      <xdr:colOff>552450</xdr:colOff>
      <xdr:row>914</xdr:row>
      <xdr:rowOff>66675</xdr:rowOff>
    </xdr:to>
    <xdr:sp macro="" textlink="">
      <xdr:nvSpPr>
        <xdr:cNvPr id="1060" name="Line 2494"/>
        <xdr:cNvSpPr>
          <a:spLocks noChangeShapeType="1"/>
        </xdr:cNvSpPr>
      </xdr:nvSpPr>
      <xdr:spPr bwMode="auto">
        <a:xfrm flipH="1">
          <a:off x="1076325" y="98498025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514350</xdr:colOff>
      <xdr:row>914</xdr:row>
      <xdr:rowOff>85725</xdr:rowOff>
    </xdr:from>
    <xdr:to>
      <xdr:col>12</xdr:col>
      <xdr:colOff>533400</xdr:colOff>
      <xdr:row>914</xdr:row>
      <xdr:rowOff>85725</xdr:rowOff>
    </xdr:to>
    <xdr:sp macro="" textlink="">
      <xdr:nvSpPr>
        <xdr:cNvPr id="1061" name="Line 2495"/>
        <xdr:cNvSpPr>
          <a:spLocks noChangeShapeType="1"/>
        </xdr:cNvSpPr>
      </xdr:nvSpPr>
      <xdr:spPr bwMode="auto">
        <a:xfrm flipH="1">
          <a:off x="1123950" y="98517075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238125</xdr:colOff>
      <xdr:row>915</xdr:row>
      <xdr:rowOff>152400</xdr:rowOff>
    </xdr:from>
    <xdr:to>
      <xdr:col>14</xdr:col>
      <xdr:colOff>523875</xdr:colOff>
      <xdr:row>915</xdr:row>
      <xdr:rowOff>152400</xdr:rowOff>
    </xdr:to>
    <xdr:sp macro="" textlink="">
      <xdr:nvSpPr>
        <xdr:cNvPr id="1062" name="Line 2496"/>
        <xdr:cNvSpPr>
          <a:spLocks noChangeShapeType="1"/>
        </xdr:cNvSpPr>
      </xdr:nvSpPr>
      <xdr:spPr bwMode="auto">
        <a:xfrm>
          <a:off x="2066925" y="98745675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20</xdr:col>
      <xdr:colOff>194449</xdr:colOff>
      <xdr:row>918</xdr:row>
      <xdr:rowOff>23928</xdr:rowOff>
    </xdr:from>
    <xdr:to>
      <xdr:col>20</xdr:col>
      <xdr:colOff>345920</xdr:colOff>
      <xdr:row>918</xdr:row>
      <xdr:rowOff>23928</xdr:rowOff>
    </xdr:to>
    <xdr:sp macro="" textlink="">
      <xdr:nvSpPr>
        <xdr:cNvPr id="1063" name="Line 2504"/>
        <xdr:cNvSpPr>
          <a:spLocks noChangeShapeType="1"/>
        </xdr:cNvSpPr>
      </xdr:nvSpPr>
      <xdr:spPr bwMode="auto">
        <a:xfrm>
          <a:off x="11910199" y="100236453"/>
          <a:ext cx="15147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260195</xdr:colOff>
      <xdr:row>918</xdr:row>
      <xdr:rowOff>52503</xdr:rowOff>
    </xdr:from>
    <xdr:to>
      <xdr:col>20</xdr:col>
      <xdr:colOff>298295</xdr:colOff>
      <xdr:row>918</xdr:row>
      <xdr:rowOff>52503</xdr:rowOff>
    </xdr:to>
    <xdr:sp macro="" textlink="">
      <xdr:nvSpPr>
        <xdr:cNvPr id="1064" name="Line 2508"/>
        <xdr:cNvSpPr>
          <a:spLocks noChangeShapeType="1"/>
        </xdr:cNvSpPr>
      </xdr:nvSpPr>
      <xdr:spPr bwMode="auto">
        <a:xfrm>
          <a:off x="11975945" y="100265028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914</xdr:row>
      <xdr:rowOff>38100</xdr:rowOff>
    </xdr:from>
    <xdr:to>
      <xdr:col>13</xdr:col>
      <xdr:colOff>0</xdr:colOff>
      <xdr:row>915</xdr:row>
      <xdr:rowOff>104775</xdr:rowOff>
    </xdr:to>
    <xdr:sp macro="" textlink="">
      <xdr:nvSpPr>
        <xdr:cNvPr id="1065" name="Line 3229"/>
        <xdr:cNvSpPr>
          <a:spLocks noChangeShapeType="1"/>
        </xdr:cNvSpPr>
      </xdr:nvSpPr>
      <xdr:spPr bwMode="auto">
        <a:xfrm flipV="1">
          <a:off x="1219200" y="98469450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13</xdr:col>
      <xdr:colOff>0</xdr:colOff>
      <xdr:row>915</xdr:row>
      <xdr:rowOff>95250</xdr:rowOff>
    </xdr:from>
    <xdr:to>
      <xdr:col>13</xdr:col>
      <xdr:colOff>0</xdr:colOff>
      <xdr:row>918</xdr:row>
      <xdr:rowOff>0</xdr:rowOff>
    </xdr:to>
    <xdr:sp macro="" textlink="">
      <xdr:nvSpPr>
        <xdr:cNvPr id="1066" name="Line 3230"/>
        <xdr:cNvSpPr>
          <a:spLocks noChangeShapeType="1"/>
        </xdr:cNvSpPr>
      </xdr:nvSpPr>
      <xdr:spPr bwMode="auto">
        <a:xfrm>
          <a:off x="1219200" y="9868852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12</xdr:col>
      <xdr:colOff>199232</xdr:colOff>
      <xdr:row>918</xdr:row>
      <xdr:rowOff>10319</xdr:rowOff>
    </xdr:from>
    <xdr:to>
      <xdr:col>12</xdr:col>
      <xdr:colOff>200820</xdr:colOff>
      <xdr:row>921</xdr:row>
      <xdr:rowOff>10319</xdr:rowOff>
    </xdr:to>
    <xdr:cxnSp macro="">
      <xdr:nvCxnSpPr>
        <xdr:cNvPr id="1067" name="Straight Connector 1066"/>
        <xdr:cNvCxnSpPr/>
      </xdr:nvCxnSpPr>
      <xdr:spPr bwMode="auto">
        <a:xfrm rot="5400000">
          <a:off x="566738" y="99331463"/>
          <a:ext cx="4857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18</xdr:col>
      <xdr:colOff>371475</xdr:colOff>
      <xdr:row>918</xdr:row>
      <xdr:rowOff>9526</xdr:rowOff>
    </xdr:from>
    <xdr:to>
      <xdr:col>18</xdr:col>
      <xdr:colOff>381000</xdr:colOff>
      <xdr:row>921</xdr:row>
      <xdr:rowOff>1</xdr:rowOff>
    </xdr:to>
    <xdr:cxnSp macro="">
      <xdr:nvCxnSpPr>
        <xdr:cNvPr id="1068" name="Straight Connector 1067"/>
        <xdr:cNvCxnSpPr/>
      </xdr:nvCxnSpPr>
      <xdr:spPr bwMode="auto">
        <a:xfrm rot="5400000">
          <a:off x="4405313" y="99321938"/>
          <a:ext cx="4762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19</xdr:col>
      <xdr:colOff>555470</xdr:colOff>
      <xdr:row>918</xdr:row>
      <xdr:rowOff>4878</xdr:rowOff>
    </xdr:from>
    <xdr:to>
      <xdr:col>20</xdr:col>
      <xdr:colOff>555470</xdr:colOff>
      <xdr:row>918</xdr:row>
      <xdr:rowOff>6466</xdr:rowOff>
    </xdr:to>
    <xdr:cxnSp macro="">
      <xdr:nvCxnSpPr>
        <xdr:cNvPr id="1069" name="Straight Connector 1068"/>
        <xdr:cNvCxnSpPr/>
      </xdr:nvCxnSpPr>
      <xdr:spPr bwMode="auto">
        <a:xfrm>
          <a:off x="11646287" y="100565646"/>
          <a:ext cx="608671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223024</xdr:colOff>
      <xdr:row>917</xdr:row>
      <xdr:rowOff>42978</xdr:rowOff>
    </xdr:from>
    <xdr:to>
      <xdr:col>20</xdr:col>
      <xdr:colOff>280174</xdr:colOff>
      <xdr:row>917</xdr:row>
      <xdr:rowOff>128703</xdr:rowOff>
    </xdr:to>
    <xdr:sp macro="" textlink="">
      <xdr:nvSpPr>
        <xdr:cNvPr id="1070" name="Flowchart: Merge 1069"/>
        <xdr:cNvSpPr/>
      </xdr:nvSpPr>
      <xdr:spPr bwMode="auto">
        <a:xfrm>
          <a:off x="11938774" y="100093578"/>
          <a:ext cx="57150" cy="85725"/>
        </a:xfrm>
        <a:prstGeom prst="flowChartMerge">
          <a:avLst/>
        </a:prstGeom>
        <a:ln w="31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0</xdr:colOff>
      <xdr:row>983</xdr:row>
      <xdr:rowOff>0</xdr:rowOff>
    </xdr:from>
    <xdr:to>
      <xdr:col>13</xdr:col>
      <xdr:colOff>247650</xdr:colOff>
      <xdr:row>983</xdr:row>
      <xdr:rowOff>0</xdr:rowOff>
    </xdr:to>
    <xdr:sp macro="" textlink="">
      <xdr:nvSpPr>
        <xdr:cNvPr id="1071" name="Line 2480"/>
        <xdr:cNvSpPr>
          <a:spLocks noChangeShapeType="1"/>
        </xdr:cNvSpPr>
      </xdr:nvSpPr>
      <xdr:spPr bwMode="auto">
        <a:xfrm>
          <a:off x="6838950" y="100860225"/>
          <a:ext cx="857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238125</xdr:colOff>
      <xdr:row>981</xdr:row>
      <xdr:rowOff>152400</xdr:rowOff>
    </xdr:from>
    <xdr:to>
      <xdr:col>14</xdr:col>
      <xdr:colOff>0</xdr:colOff>
      <xdr:row>983</xdr:row>
      <xdr:rowOff>0</xdr:rowOff>
    </xdr:to>
    <xdr:sp macro="" textlink="">
      <xdr:nvSpPr>
        <xdr:cNvPr id="1072" name="Line 2481"/>
        <xdr:cNvSpPr>
          <a:spLocks noChangeShapeType="1"/>
        </xdr:cNvSpPr>
      </xdr:nvSpPr>
      <xdr:spPr bwMode="auto">
        <a:xfrm flipV="1">
          <a:off x="7686675" y="100688775"/>
          <a:ext cx="3714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981</xdr:row>
      <xdr:rowOff>152400</xdr:rowOff>
    </xdr:from>
    <xdr:to>
      <xdr:col>15</xdr:col>
      <xdr:colOff>342900</xdr:colOff>
      <xdr:row>981</xdr:row>
      <xdr:rowOff>152400</xdr:rowOff>
    </xdr:to>
    <xdr:sp macro="" textlink="">
      <xdr:nvSpPr>
        <xdr:cNvPr id="1073" name="Line 2482"/>
        <xdr:cNvSpPr>
          <a:spLocks noChangeShapeType="1"/>
        </xdr:cNvSpPr>
      </xdr:nvSpPr>
      <xdr:spPr bwMode="auto">
        <a:xfrm>
          <a:off x="8058150" y="100688775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333375</xdr:colOff>
      <xdr:row>981</xdr:row>
      <xdr:rowOff>152400</xdr:rowOff>
    </xdr:from>
    <xdr:to>
      <xdr:col>17</xdr:col>
      <xdr:colOff>9525</xdr:colOff>
      <xdr:row>983</xdr:row>
      <xdr:rowOff>0</xdr:rowOff>
    </xdr:to>
    <xdr:sp macro="" textlink="">
      <xdr:nvSpPr>
        <xdr:cNvPr id="1074" name="Line 2483"/>
        <xdr:cNvSpPr>
          <a:spLocks noChangeShapeType="1"/>
        </xdr:cNvSpPr>
      </xdr:nvSpPr>
      <xdr:spPr bwMode="auto">
        <a:xfrm>
          <a:off x="9001125" y="100688775"/>
          <a:ext cx="8953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0</xdr:colOff>
      <xdr:row>982</xdr:row>
      <xdr:rowOff>152400</xdr:rowOff>
    </xdr:from>
    <xdr:to>
      <xdr:col>18</xdr:col>
      <xdr:colOff>523875</xdr:colOff>
      <xdr:row>982</xdr:row>
      <xdr:rowOff>152400</xdr:rowOff>
    </xdr:to>
    <xdr:sp macro="" textlink="">
      <xdr:nvSpPr>
        <xdr:cNvPr id="1075" name="Line 2484"/>
        <xdr:cNvSpPr>
          <a:spLocks noChangeShapeType="1"/>
        </xdr:cNvSpPr>
      </xdr:nvSpPr>
      <xdr:spPr bwMode="auto">
        <a:xfrm>
          <a:off x="9886950" y="100850700"/>
          <a:ext cx="1133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980</xdr:row>
      <xdr:rowOff>0</xdr:rowOff>
    </xdr:from>
    <xdr:to>
      <xdr:col>15</xdr:col>
      <xdr:colOff>323850</xdr:colOff>
      <xdr:row>980</xdr:row>
      <xdr:rowOff>0</xdr:rowOff>
    </xdr:to>
    <xdr:sp macro="" textlink="">
      <xdr:nvSpPr>
        <xdr:cNvPr id="1076" name="Line 2486"/>
        <xdr:cNvSpPr>
          <a:spLocks noChangeShapeType="1"/>
        </xdr:cNvSpPr>
      </xdr:nvSpPr>
      <xdr:spPr bwMode="auto">
        <a:xfrm>
          <a:off x="8058150" y="100374450"/>
          <a:ext cx="933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979</xdr:row>
      <xdr:rowOff>38100</xdr:rowOff>
    </xdr:from>
    <xdr:to>
      <xdr:col>14</xdr:col>
      <xdr:colOff>0</xdr:colOff>
      <xdr:row>979</xdr:row>
      <xdr:rowOff>152400</xdr:rowOff>
    </xdr:to>
    <xdr:sp macro="" textlink="">
      <xdr:nvSpPr>
        <xdr:cNvPr id="1077" name="Line 2487"/>
        <xdr:cNvSpPr>
          <a:spLocks noChangeShapeType="1"/>
        </xdr:cNvSpPr>
      </xdr:nvSpPr>
      <xdr:spPr bwMode="auto">
        <a:xfrm flipV="1">
          <a:off x="8058150" y="1002506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342900</xdr:colOff>
      <xdr:row>979</xdr:row>
      <xdr:rowOff>28575</xdr:rowOff>
    </xdr:from>
    <xdr:to>
      <xdr:col>15</xdr:col>
      <xdr:colOff>342900</xdr:colOff>
      <xdr:row>980</xdr:row>
      <xdr:rowOff>0</xdr:rowOff>
    </xdr:to>
    <xdr:sp macro="" textlink="">
      <xdr:nvSpPr>
        <xdr:cNvPr id="1078" name="Line 2488"/>
        <xdr:cNvSpPr>
          <a:spLocks noChangeShapeType="1"/>
        </xdr:cNvSpPr>
      </xdr:nvSpPr>
      <xdr:spPr bwMode="auto">
        <a:xfrm flipV="1">
          <a:off x="9010650" y="100241100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419100</xdr:colOff>
      <xdr:row>979</xdr:row>
      <xdr:rowOff>47625</xdr:rowOff>
    </xdr:from>
    <xdr:to>
      <xdr:col>19</xdr:col>
      <xdr:colOff>114300</xdr:colOff>
      <xdr:row>979</xdr:row>
      <xdr:rowOff>47625</xdr:rowOff>
    </xdr:to>
    <xdr:sp macro="" textlink="">
      <xdr:nvSpPr>
        <xdr:cNvPr id="1079" name="Line 2489"/>
        <xdr:cNvSpPr>
          <a:spLocks noChangeShapeType="1"/>
        </xdr:cNvSpPr>
      </xdr:nvSpPr>
      <xdr:spPr bwMode="auto">
        <a:xfrm>
          <a:off x="7258050" y="100260150"/>
          <a:ext cx="304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12</xdr:col>
      <xdr:colOff>552450</xdr:colOff>
      <xdr:row>980</xdr:row>
      <xdr:rowOff>123825</xdr:rowOff>
    </xdr:from>
    <xdr:ext cx="19050" cy="342900"/>
    <xdr:sp macro="" textlink="">
      <xdr:nvSpPr>
        <xdr:cNvPr id="1080" name="Text Box 2490"/>
        <xdr:cNvSpPr txBox="1">
          <a:spLocks noChangeArrowheads="1"/>
        </xdr:cNvSpPr>
      </xdr:nvSpPr>
      <xdr:spPr bwMode="auto">
        <a:xfrm>
          <a:off x="7391400" y="10049827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18</xdr:col>
      <xdr:colOff>457200</xdr:colOff>
      <xdr:row>978</xdr:row>
      <xdr:rowOff>142875</xdr:rowOff>
    </xdr:from>
    <xdr:to>
      <xdr:col>18</xdr:col>
      <xdr:colOff>514350</xdr:colOff>
      <xdr:row>979</xdr:row>
      <xdr:rowOff>47625</xdr:rowOff>
    </xdr:to>
    <xdr:sp macro="" textlink="">
      <xdr:nvSpPr>
        <xdr:cNvPr id="1081" name="Line 2491"/>
        <xdr:cNvSpPr>
          <a:spLocks noChangeShapeType="1"/>
        </xdr:cNvSpPr>
      </xdr:nvSpPr>
      <xdr:spPr bwMode="auto">
        <a:xfrm>
          <a:off x="7296150" y="100193475"/>
          <a:ext cx="5715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514350</xdr:colOff>
      <xdr:row>978</xdr:row>
      <xdr:rowOff>133350</xdr:rowOff>
    </xdr:from>
    <xdr:to>
      <xdr:col>18</xdr:col>
      <xdr:colOff>552450</xdr:colOff>
      <xdr:row>979</xdr:row>
      <xdr:rowOff>38100</xdr:rowOff>
    </xdr:to>
    <xdr:sp macro="" textlink="">
      <xdr:nvSpPr>
        <xdr:cNvPr id="1082" name="Line 2492"/>
        <xdr:cNvSpPr>
          <a:spLocks noChangeShapeType="1"/>
        </xdr:cNvSpPr>
      </xdr:nvSpPr>
      <xdr:spPr bwMode="auto">
        <a:xfrm flipV="1">
          <a:off x="7353300" y="1001839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457200</xdr:colOff>
      <xdr:row>978</xdr:row>
      <xdr:rowOff>133350</xdr:rowOff>
    </xdr:from>
    <xdr:to>
      <xdr:col>18</xdr:col>
      <xdr:colOff>571500</xdr:colOff>
      <xdr:row>978</xdr:row>
      <xdr:rowOff>133350</xdr:rowOff>
    </xdr:to>
    <xdr:sp macro="" textlink="">
      <xdr:nvSpPr>
        <xdr:cNvPr id="1083" name="Line 2493"/>
        <xdr:cNvSpPr>
          <a:spLocks noChangeShapeType="1"/>
        </xdr:cNvSpPr>
      </xdr:nvSpPr>
      <xdr:spPr bwMode="auto">
        <a:xfrm>
          <a:off x="7296150" y="1001839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466725</xdr:colOff>
      <xdr:row>979</xdr:row>
      <xdr:rowOff>66675</xdr:rowOff>
    </xdr:from>
    <xdr:to>
      <xdr:col>18</xdr:col>
      <xdr:colOff>552450</xdr:colOff>
      <xdr:row>979</xdr:row>
      <xdr:rowOff>66675</xdr:rowOff>
    </xdr:to>
    <xdr:sp macro="" textlink="">
      <xdr:nvSpPr>
        <xdr:cNvPr id="1084" name="Line 2494"/>
        <xdr:cNvSpPr>
          <a:spLocks noChangeShapeType="1"/>
        </xdr:cNvSpPr>
      </xdr:nvSpPr>
      <xdr:spPr bwMode="auto">
        <a:xfrm flipH="1">
          <a:off x="7305675" y="10027920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514350</xdr:colOff>
      <xdr:row>979</xdr:row>
      <xdr:rowOff>85725</xdr:rowOff>
    </xdr:from>
    <xdr:to>
      <xdr:col>18</xdr:col>
      <xdr:colOff>533400</xdr:colOff>
      <xdr:row>979</xdr:row>
      <xdr:rowOff>85725</xdr:rowOff>
    </xdr:to>
    <xdr:sp macro="" textlink="">
      <xdr:nvSpPr>
        <xdr:cNvPr id="1085" name="Line 2495"/>
        <xdr:cNvSpPr>
          <a:spLocks noChangeShapeType="1"/>
        </xdr:cNvSpPr>
      </xdr:nvSpPr>
      <xdr:spPr bwMode="auto">
        <a:xfrm flipH="1">
          <a:off x="7353300" y="10029825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238125</xdr:colOff>
      <xdr:row>980</xdr:row>
      <xdr:rowOff>152400</xdr:rowOff>
    </xdr:from>
    <xdr:to>
      <xdr:col>14</xdr:col>
      <xdr:colOff>523875</xdr:colOff>
      <xdr:row>980</xdr:row>
      <xdr:rowOff>152400</xdr:rowOff>
    </xdr:to>
    <xdr:sp macro="" textlink="">
      <xdr:nvSpPr>
        <xdr:cNvPr id="1086" name="Line 2496"/>
        <xdr:cNvSpPr>
          <a:spLocks noChangeShapeType="1"/>
        </xdr:cNvSpPr>
      </xdr:nvSpPr>
      <xdr:spPr bwMode="auto">
        <a:xfrm>
          <a:off x="8296275" y="10052685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542925</xdr:colOff>
      <xdr:row>981</xdr:row>
      <xdr:rowOff>28575</xdr:rowOff>
    </xdr:from>
    <xdr:to>
      <xdr:col>12</xdr:col>
      <xdr:colOff>85725</xdr:colOff>
      <xdr:row>981</xdr:row>
      <xdr:rowOff>28575</xdr:rowOff>
    </xdr:to>
    <xdr:sp macro="" textlink="">
      <xdr:nvSpPr>
        <xdr:cNvPr id="1087" name="Line 2504"/>
        <xdr:cNvSpPr>
          <a:spLocks noChangeShapeType="1"/>
        </xdr:cNvSpPr>
      </xdr:nvSpPr>
      <xdr:spPr bwMode="auto">
        <a:xfrm>
          <a:off x="11649075" y="10088880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981</xdr:row>
      <xdr:rowOff>57150</xdr:rowOff>
    </xdr:from>
    <xdr:to>
      <xdr:col>12</xdr:col>
      <xdr:colOff>38100</xdr:colOff>
      <xdr:row>981</xdr:row>
      <xdr:rowOff>57150</xdr:rowOff>
    </xdr:to>
    <xdr:sp macro="" textlink="">
      <xdr:nvSpPr>
        <xdr:cNvPr id="1088" name="Line 2508"/>
        <xdr:cNvSpPr>
          <a:spLocks noChangeShapeType="1"/>
        </xdr:cNvSpPr>
      </xdr:nvSpPr>
      <xdr:spPr bwMode="auto">
        <a:xfrm>
          <a:off x="11715750" y="100917375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979</xdr:row>
      <xdr:rowOff>38100</xdr:rowOff>
    </xdr:from>
    <xdr:to>
      <xdr:col>19</xdr:col>
      <xdr:colOff>0</xdr:colOff>
      <xdr:row>980</xdr:row>
      <xdr:rowOff>104775</xdr:rowOff>
    </xdr:to>
    <xdr:sp macro="" textlink="">
      <xdr:nvSpPr>
        <xdr:cNvPr id="1089" name="Line 3229"/>
        <xdr:cNvSpPr>
          <a:spLocks noChangeShapeType="1"/>
        </xdr:cNvSpPr>
      </xdr:nvSpPr>
      <xdr:spPr bwMode="auto">
        <a:xfrm flipV="1">
          <a:off x="7448550" y="100250625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13</xdr:col>
      <xdr:colOff>0</xdr:colOff>
      <xdr:row>980</xdr:row>
      <xdr:rowOff>95250</xdr:rowOff>
    </xdr:from>
    <xdr:to>
      <xdr:col>13</xdr:col>
      <xdr:colOff>0</xdr:colOff>
      <xdr:row>983</xdr:row>
      <xdr:rowOff>0</xdr:rowOff>
    </xdr:to>
    <xdr:sp macro="" textlink="">
      <xdr:nvSpPr>
        <xdr:cNvPr id="1090" name="Line 3230"/>
        <xdr:cNvSpPr>
          <a:spLocks noChangeShapeType="1"/>
        </xdr:cNvSpPr>
      </xdr:nvSpPr>
      <xdr:spPr bwMode="auto">
        <a:xfrm>
          <a:off x="7448550" y="100469700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12</xdr:col>
      <xdr:colOff>199232</xdr:colOff>
      <xdr:row>983</xdr:row>
      <xdr:rowOff>10319</xdr:rowOff>
    </xdr:from>
    <xdr:to>
      <xdr:col>12</xdr:col>
      <xdr:colOff>200820</xdr:colOff>
      <xdr:row>986</xdr:row>
      <xdr:rowOff>10319</xdr:rowOff>
    </xdr:to>
    <xdr:cxnSp macro="">
      <xdr:nvCxnSpPr>
        <xdr:cNvPr id="1091" name="Straight Connector 1090"/>
        <xdr:cNvCxnSpPr/>
      </xdr:nvCxnSpPr>
      <xdr:spPr bwMode="auto">
        <a:xfrm rot="5400000">
          <a:off x="6796088" y="101112638"/>
          <a:ext cx="4857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18</xdr:col>
      <xdr:colOff>371475</xdr:colOff>
      <xdr:row>983</xdr:row>
      <xdr:rowOff>9526</xdr:rowOff>
    </xdr:from>
    <xdr:to>
      <xdr:col>18</xdr:col>
      <xdr:colOff>381000</xdr:colOff>
      <xdr:row>986</xdr:row>
      <xdr:rowOff>1</xdr:rowOff>
    </xdr:to>
    <xdr:cxnSp macro="">
      <xdr:nvCxnSpPr>
        <xdr:cNvPr id="1092" name="Straight Connector 1091"/>
        <xdr:cNvCxnSpPr/>
      </xdr:nvCxnSpPr>
      <xdr:spPr bwMode="auto">
        <a:xfrm rot="5400000">
          <a:off x="10634663" y="101103113"/>
          <a:ext cx="4762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295275</xdr:colOff>
      <xdr:row>981</xdr:row>
      <xdr:rowOff>9525</xdr:rowOff>
    </xdr:from>
    <xdr:to>
      <xdr:col>12</xdr:col>
      <xdr:colOff>295275</xdr:colOff>
      <xdr:row>981</xdr:row>
      <xdr:rowOff>11113</xdr:rowOff>
    </xdr:to>
    <xdr:cxnSp macro="">
      <xdr:nvCxnSpPr>
        <xdr:cNvPr id="1093" name="Straight Connector 1092"/>
        <xdr:cNvCxnSpPr/>
      </xdr:nvCxnSpPr>
      <xdr:spPr bwMode="auto">
        <a:xfrm>
          <a:off x="11401425" y="100869750"/>
          <a:ext cx="609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476250</xdr:colOff>
      <xdr:row>980</xdr:row>
      <xdr:rowOff>57150</xdr:rowOff>
    </xdr:from>
    <xdr:to>
      <xdr:col>11</xdr:col>
      <xdr:colOff>533400</xdr:colOff>
      <xdr:row>980</xdr:row>
      <xdr:rowOff>142875</xdr:rowOff>
    </xdr:to>
    <xdr:sp macro="" textlink="">
      <xdr:nvSpPr>
        <xdr:cNvPr id="1094" name="Flowchart: Merge 1093"/>
        <xdr:cNvSpPr/>
      </xdr:nvSpPr>
      <xdr:spPr bwMode="auto">
        <a:xfrm>
          <a:off x="11582400" y="100755450"/>
          <a:ext cx="57150" cy="85725"/>
        </a:xfrm>
        <a:prstGeom prst="flowChartMerge">
          <a:avLst/>
        </a:prstGeom>
        <a:ln w="3175">
          <a:headEnd type="none" w="med" len="med"/>
          <a:tailEnd type="triangl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542925</xdr:colOff>
      <xdr:row>983</xdr:row>
      <xdr:rowOff>28575</xdr:rowOff>
    </xdr:from>
    <xdr:to>
      <xdr:col>12</xdr:col>
      <xdr:colOff>85725</xdr:colOff>
      <xdr:row>983</xdr:row>
      <xdr:rowOff>28575</xdr:rowOff>
    </xdr:to>
    <xdr:sp macro="" textlink="">
      <xdr:nvSpPr>
        <xdr:cNvPr id="1095" name="Line 2504"/>
        <xdr:cNvSpPr>
          <a:spLocks noChangeShapeType="1"/>
        </xdr:cNvSpPr>
      </xdr:nvSpPr>
      <xdr:spPr bwMode="auto">
        <a:xfrm>
          <a:off x="6772275" y="1193482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295275</xdr:colOff>
      <xdr:row>983</xdr:row>
      <xdr:rowOff>9525</xdr:rowOff>
    </xdr:from>
    <xdr:to>
      <xdr:col>12</xdr:col>
      <xdr:colOff>295275</xdr:colOff>
      <xdr:row>983</xdr:row>
      <xdr:rowOff>11113</xdr:rowOff>
    </xdr:to>
    <xdr:cxnSp macro="">
      <xdr:nvCxnSpPr>
        <xdr:cNvPr id="1096" name="Straight Connector 1095"/>
        <xdr:cNvCxnSpPr/>
      </xdr:nvCxnSpPr>
      <xdr:spPr bwMode="auto">
        <a:xfrm>
          <a:off x="6524625" y="119329200"/>
          <a:ext cx="609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323057</xdr:colOff>
      <xdr:row>853</xdr:row>
      <xdr:rowOff>795</xdr:rowOff>
    </xdr:from>
    <xdr:to>
      <xdr:col>0</xdr:col>
      <xdr:colOff>324645</xdr:colOff>
      <xdr:row>856</xdr:row>
      <xdr:rowOff>795</xdr:rowOff>
    </xdr:to>
    <xdr:cxnSp macro="">
      <xdr:nvCxnSpPr>
        <xdr:cNvPr id="1097" name="Straight Connector 1096"/>
        <xdr:cNvCxnSpPr/>
      </xdr:nvCxnSpPr>
      <xdr:spPr bwMode="auto">
        <a:xfrm rot="5400000">
          <a:off x="80963" y="98674239"/>
          <a:ext cx="4857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247650</xdr:colOff>
      <xdr:row>853</xdr:row>
      <xdr:rowOff>0</xdr:rowOff>
    </xdr:from>
    <xdr:to>
      <xdr:col>0</xdr:col>
      <xdr:colOff>466725</xdr:colOff>
      <xdr:row>853</xdr:row>
      <xdr:rowOff>1588</xdr:rowOff>
    </xdr:to>
    <xdr:cxnSp macro="">
      <xdr:nvCxnSpPr>
        <xdr:cNvPr id="1100" name="Straight Connector 1099"/>
        <xdr:cNvCxnSpPr/>
      </xdr:nvCxnSpPr>
      <xdr:spPr bwMode="auto">
        <a:xfrm>
          <a:off x="247650" y="98431350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219075</xdr:colOff>
      <xdr:row>856</xdr:row>
      <xdr:rowOff>9525</xdr:rowOff>
    </xdr:from>
    <xdr:to>
      <xdr:col>0</xdr:col>
      <xdr:colOff>438150</xdr:colOff>
      <xdr:row>856</xdr:row>
      <xdr:rowOff>11113</xdr:rowOff>
    </xdr:to>
    <xdr:cxnSp macro="">
      <xdr:nvCxnSpPr>
        <xdr:cNvPr id="1102" name="Straight Connector 1101"/>
        <xdr:cNvCxnSpPr/>
      </xdr:nvCxnSpPr>
      <xdr:spPr bwMode="auto">
        <a:xfrm>
          <a:off x="219075" y="98926650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8732</xdr:colOff>
      <xdr:row>853</xdr:row>
      <xdr:rowOff>10322</xdr:rowOff>
    </xdr:from>
    <xdr:to>
      <xdr:col>9</xdr:col>
      <xdr:colOff>10320</xdr:colOff>
      <xdr:row>856</xdr:row>
      <xdr:rowOff>10322</xdr:rowOff>
    </xdr:to>
    <xdr:cxnSp macro="">
      <xdr:nvCxnSpPr>
        <xdr:cNvPr id="1104" name="Straight Connector 1103"/>
        <xdr:cNvCxnSpPr/>
      </xdr:nvCxnSpPr>
      <xdr:spPr bwMode="auto">
        <a:xfrm rot="5400000">
          <a:off x="5253038" y="98683766"/>
          <a:ext cx="4857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504825</xdr:colOff>
      <xdr:row>856</xdr:row>
      <xdr:rowOff>9526</xdr:rowOff>
    </xdr:from>
    <xdr:to>
      <xdr:col>9</xdr:col>
      <xdr:colOff>114300</xdr:colOff>
      <xdr:row>856</xdr:row>
      <xdr:rowOff>11114</xdr:rowOff>
    </xdr:to>
    <xdr:cxnSp macro="">
      <xdr:nvCxnSpPr>
        <xdr:cNvPr id="1107" name="Straight Connector 1106"/>
        <xdr:cNvCxnSpPr/>
      </xdr:nvCxnSpPr>
      <xdr:spPr bwMode="auto">
        <a:xfrm>
          <a:off x="5381625" y="98926651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251599</xdr:colOff>
      <xdr:row>853</xdr:row>
      <xdr:rowOff>42978</xdr:rowOff>
    </xdr:from>
    <xdr:to>
      <xdr:col>8</xdr:col>
      <xdr:colOff>403070</xdr:colOff>
      <xdr:row>853</xdr:row>
      <xdr:rowOff>42978</xdr:rowOff>
    </xdr:to>
    <xdr:sp macro="" textlink="">
      <xdr:nvSpPr>
        <xdr:cNvPr id="1109" name="Line 2504"/>
        <xdr:cNvSpPr>
          <a:spLocks noChangeShapeType="1"/>
        </xdr:cNvSpPr>
      </xdr:nvSpPr>
      <xdr:spPr bwMode="auto">
        <a:xfrm>
          <a:off x="5128399" y="98474328"/>
          <a:ext cx="15147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317345</xdr:colOff>
      <xdr:row>853</xdr:row>
      <xdr:rowOff>71553</xdr:rowOff>
    </xdr:from>
    <xdr:to>
      <xdr:col>8</xdr:col>
      <xdr:colOff>355445</xdr:colOff>
      <xdr:row>853</xdr:row>
      <xdr:rowOff>71553</xdr:rowOff>
    </xdr:to>
    <xdr:sp macro="" textlink="">
      <xdr:nvSpPr>
        <xdr:cNvPr id="1111" name="Line 2508"/>
        <xdr:cNvSpPr>
          <a:spLocks noChangeShapeType="1"/>
        </xdr:cNvSpPr>
      </xdr:nvSpPr>
      <xdr:spPr bwMode="auto">
        <a:xfrm>
          <a:off x="5194145" y="98502903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180975</xdr:colOff>
      <xdr:row>924</xdr:row>
      <xdr:rowOff>152400</xdr:rowOff>
    </xdr:from>
    <xdr:to>
      <xdr:col>18</xdr:col>
      <xdr:colOff>371475</xdr:colOff>
      <xdr:row>925</xdr:row>
      <xdr:rowOff>9526</xdr:rowOff>
    </xdr:to>
    <xdr:cxnSp macro="">
      <xdr:nvCxnSpPr>
        <xdr:cNvPr id="1105" name="Straight Connector 1104"/>
        <xdr:cNvCxnSpPr>
          <a:endCxn id="252" idx="0"/>
        </xdr:cNvCxnSpPr>
      </xdr:nvCxnSpPr>
      <xdr:spPr bwMode="auto">
        <a:xfrm flipV="1">
          <a:off x="7096125" y="110185200"/>
          <a:ext cx="3848100" cy="1905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19050</xdr:colOff>
      <xdr:row>809</xdr:row>
      <xdr:rowOff>38101</xdr:rowOff>
    </xdr:from>
    <xdr:to>
      <xdr:col>4</xdr:col>
      <xdr:colOff>171450</xdr:colOff>
      <xdr:row>809</xdr:row>
      <xdr:rowOff>47626</xdr:rowOff>
    </xdr:to>
    <xdr:cxnSp macro="">
      <xdr:nvCxnSpPr>
        <xdr:cNvPr id="1099" name="Straight Arrow Connector 1098"/>
        <xdr:cNvCxnSpPr/>
      </xdr:nvCxnSpPr>
      <xdr:spPr bwMode="auto">
        <a:xfrm rot="10800000">
          <a:off x="2457450" y="92563951"/>
          <a:ext cx="1524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457200</xdr:colOff>
      <xdr:row>745</xdr:row>
      <xdr:rowOff>0</xdr:rowOff>
    </xdr:from>
    <xdr:to>
      <xdr:col>1</xdr:col>
      <xdr:colOff>466725</xdr:colOff>
      <xdr:row>745</xdr:row>
      <xdr:rowOff>0</xdr:rowOff>
    </xdr:to>
    <xdr:sp macro="" textlink="">
      <xdr:nvSpPr>
        <xdr:cNvPr id="1113" name="Line 2376"/>
        <xdr:cNvSpPr>
          <a:spLocks noChangeShapeType="1"/>
        </xdr:cNvSpPr>
      </xdr:nvSpPr>
      <xdr:spPr bwMode="auto">
        <a:xfrm>
          <a:off x="457200" y="8364855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745</xdr:row>
      <xdr:rowOff>0</xdr:rowOff>
    </xdr:from>
    <xdr:to>
      <xdr:col>7</xdr:col>
      <xdr:colOff>161925</xdr:colOff>
      <xdr:row>745</xdr:row>
      <xdr:rowOff>0</xdr:rowOff>
    </xdr:to>
    <xdr:sp macro="" textlink="">
      <xdr:nvSpPr>
        <xdr:cNvPr id="1114" name="Line 2380"/>
        <xdr:cNvSpPr>
          <a:spLocks noChangeShapeType="1"/>
        </xdr:cNvSpPr>
      </xdr:nvSpPr>
      <xdr:spPr bwMode="auto">
        <a:xfrm>
          <a:off x="3533775" y="83648550"/>
          <a:ext cx="971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929</xdr:row>
      <xdr:rowOff>85725</xdr:rowOff>
    </xdr:from>
    <xdr:to>
      <xdr:col>7</xdr:col>
      <xdr:colOff>9525</xdr:colOff>
      <xdr:row>929</xdr:row>
      <xdr:rowOff>104775</xdr:rowOff>
    </xdr:to>
    <xdr:cxnSp macro="">
      <xdr:nvCxnSpPr>
        <xdr:cNvPr id="1117" name="Straight Connector 1116"/>
        <xdr:cNvCxnSpPr/>
      </xdr:nvCxnSpPr>
      <xdr:spPr bwMode="auto">
        <a:xfrm flipV="1">
          <a:off x="619125" y="110928150"/>
          <a:ext cx="3733800" cy="1905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170657</xdr:colOff>
      <xdr:row>1072</xdr:row>
      <xdr:rowOff>153194</xdr:rowOff>
    </xdr:from>
    <xdr:to>
      <xdr:col>1</xdr:col>
      <xdr:colOff>172245</xdr:colOff>
      <xdr:row>1076</xdr:row>
      <xdr:rowOff>67469</xdr:rowOff>
    </xdr:to>
    <xdr:cxnSp macro="">
      <xdr:nvCxnSpPr>
        <xdr:cNvPr id="1118" name="Straight Arrow Connector 1117"/>
        <xdr:cNvCxnSpPr/>
      </xdr:nvCxnSpPr>
      <xdr:spPr bwMode="auto">
        <a:xfrm rot="5400000" flipH="1" flipV="1">
          <a:off x="500063" y="133592888"/>
          <a:ext cx="561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504032</xdr:colOff>
      <xdr:row>957</xdr:row>
      <xdr:rowOff>62260</xdr:rowOff>
    </xdr:from>
    <xdr:to>
      <xdr:col>6</xdr:col>
      <xdr:colOff>505620</xdr:colOff>
      <xdr:row>959</xdr:row>
      <xdr:rowOff>90658</xdr:rowOff>
    </xdr:to>
    <xdr:cxnSp macro="">
      <xdr:nvCxnSpPr>
        <xdr:cNvPr id="1121" name="Straight Arrow Connector 1120"/>
        <xdr:cNvCxnSpPr/>
      </xdr:nvCxnSpPr>
      <xdr:spPr bwMode="auto">
        <a:xfrm rot="5400000" flipH="1" flipV="1">
          <a:off x="3995107" y="119120194"/>
          <a:ext cx="351889" cy="1588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8737</xdr:colOff>
      <xdr:row>1078</xdr:row>
      <xdr:rowOff>38895</xdr:rowOff>
    </xdr:from>
    <xdr:to>
      <xdr:col>1</xdr:col>
      <xdr:colOff>10325</xdr:colOff>
      <xdr:row>1079</xdr:row>
      <xdr:rowOff>153195</xdr:rowOff>
    </xdr:to>
    <xdr:cxnSp macro="">
      <xdr:nvCxnSpPr>
        <xdr:cNvPr id="1122" name="Straight Arrow Connector 1121"/>
        <xdr:cNvCxnSpPr/>
      </xdr:nvCxnSpPr>
      <xdr:spPr bwMode="auto">
        <a:xfrm rot="5400000" flipH="1" flipV="1">
          <a:off x="481018" y="134145339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608813</xdr:colOff>
      <xdr:row>1078</xdr:row>
      <xdr:rowOff>38896</xdr:rowOff>
    </xdr:from>
    <xdr:to>
      <xdr:col>6</xdr:col>
      <xdr:colOff>801</xdr:colOff>
      <xdr:row>1079</xdr:row>
      <xdr:rowOff>153196</xdr:rowOff>
    </xdr:to>
    <xdr:cxnSp macro="">
      <xdr:nvCxnSpPr>
        <xdr:cNvPr id="1123" name="Straight Arrow Connector 1122"/>
        <xdr:cNvCxnSpPr/>
      </xdr:nvCxnSpPr>
      <xdr:spPr bwMode="auto">
        <a:xfrm rot="5400000" flipH="1" flipV="1">
          <a:off x="3519494" y="134145340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</xdr:colOff>
      <xdr:row>1079</xdr:row>
      <xdr:rowOff>9525</xdr:rowOff>
    </xdr:from>
    <xdr:to>
      <xdr:col>6</xdr:col>
      <xdr:colOff>9525</xdr:colOff>
      <xdr:row>1079</xdr:row>
      <xdr:rowOff>11113</xdr:rowOff>
    </xdr:to>
    <xdr:cxnSp macro="">
      <xdr:nvCxnSpPr>
        <xdr:cNvPr id="1124" name="Straight Connector 1123"/>
        <xdr:cNvCxnSpPr/>
      </xdr:nvCxnSpPr>
      <xdr:spPr bwMode="auto">
        <a:xfrm>
          <a:off x="619125" y="134140575"/>
          <a:ext cx="30480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19051</xdr:colOff>
      <xdr:row>950</xdr:row>
      <xdr:rowOff>66674</xdr:rowOff>
    </xdr:from>
    <xdr:to>
      <xdr:col>7</xdr:col>
      <xdr:colOff>28578</xdr:colOff>
      <xdr:row>950</xdr:row>
      <xdr:rowOff>76199</xdr:rowOff>
    </xdr:to>
    <xdr:cxnSp macro="">
      <xdr:nvCxnSpPr>
        <xdr:cNvPr id="1126" name="Straight Connector 1125"/>
        <xdr:cNvCxnSpPr/>
      </xdr:nvCxnSpPr>
      <xdr:spPr bwMode="auto">
        <a:xfrm rot="10800000" flipV="1">
          <a:off x="3067051" y="114309524"/>
          <a:ext cx="1304927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161926</xdr:colOff>
      <xdr:row>950</xdr:row>
      <xdr:rowOff>76199</xdr:rowOff>
    </xdr:from>
    <xdr:to>
      <xdr:col>4</xdr:col>
      <xdr:colOff>247653</xdr:colOff>
      <xdr:row>950</xdr:row>
      <xdr:rowOff>85724</xdr:rowOff>
    </xdr:to>
    <xdr:cxnSp macro="">
      <xdr:nvCxnSpPr>
        <xdr:cNvPr id="1128" name="Straight Connector 1127"/>
        <xdr:cNvCxnSpPr/>
      </xdr:nvCxnSpPr>
      <xdr:spPr bwMode="auto">
        <a:xfrm rot="10800000" flipV="1">
          <a:off x="1381126" y="114319049"/>
          <a:ext cx="1304927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9525</xdr:colOff>
      <xdr:row>949</xdr:row>
      <xdr:rowOff>123825</xdr:rowOff>
    </xdr:from>
    <xdr:to>
      <xdr:col>7</xdr:col>
      <xdr:colOff>11113</xdr:colOff>
      <xdr:row>951</xdr:row>
      <xdr:rowOff>123825</xdr:rowOff>
    </xdr:to>
    <xdr:cxnSp macro="">
      <xdr:nvCxnSpPr>
        <xdr:cNvPr id="1129" name="Straight Connector 1128"/>
        <xdr:cNvCxnSpPr/>
      </xdr:nvCxnSpPr>
      <xdr:spPr bwMode="auto">
        <a:xfrm rot="5400000">
          <a:off x="4191794" y="11436588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133350</xdr:colOff>
      <xdr:row>950</xdr:row>
      <xdr:rowOff>0</xdr:rowOff>
    </xdr:from>
    <xdr:to>
      <xdr:col>2</xdr:col>
      <xdr:colOff>134938</xdr:colOff>
      <xdr:row>952</xdr:row>
      <xdr:rowOff>0</xdr:rowOff>
    </xdr:to>
    <xdr:cxnSp macro="">
      <xdr:nvCxnSpPr>
        <xdr:cNvPr id="1130" name="Straight Connector 1129"/>
        <xdr:cNvCxnSpPr/>
      </xdr:nvCxnSpPr>
      <xdr:spPr bwMode="auto">
        <a:xfrm rot="5400000">
          <a:off x="1191419" y="11440398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371475</xdr:colOff>
      <xdr:row>71</xdr:row>
      <xdr:rowOff>95250</xdr:rowOff>
    </xdr:from>
    <xdr:to>
      <xdr:col>5</xdr:col>
      <xdr:colOff>371477</xdr:colOff>
      <xdr:row>72</xdr:row>
      <xdr:rowOff>95251</xdr:rowOff>
    </xdr:to>
    <xdr:cxnSp macro="">
      <xdr:nvCxnSpPr>
        <xdr:cNvPr id="1133" name="Straight Connector 1132"/>
        <xdr:cNvCxnSpPr/>
      </xdr:nvCxnSpPr>
      <xdr:spPr bwMode="auto">
        <a:xfrm rot="16200000" flipH="1">
          <a:off x="3338513" y="1031081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9525</xdr:colOff>
      <xdr:row>82</xdr:row>
      <xdr:rowOff>123825</xdr:rowOff>
    </xdr:from>
    <xdr:to>
      <xdr:col>9</xdr:col>
      <xdr:colOff>9527</xdr:colOff>
      <xdr:row>83</xdr:row>
      <xdr:rowOff>123826</xdr:rowOff>
    </xdr:to>
    <xdr:cxnSp macro="">
      <xdr:nvCxnSpPr>
        <xdr:cNvPr id="1134" name="Straight Connector 1133"/>
        <xdr:cNvCxnSpPr/>
      </xdr:nvCxnSpPr>
      <xdr:spPr bwMode="auto">
        <a:xfrm rot="16200000" flipH="1">
          <a:off x="5491163" y="12606337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70</xdr:row>
      <xdr:rowOff>76200</xdr:rowOff>
    </xdr:from>
    <xdr:to>
      <xdr:col>3</xdr:col>
      <xdr:colOff>600077</xdr:colOff>
      <xdr:row>71</xdr:row>
      <xdr:rowOff>76201</xdr:rowOff>
    </xdr:to>
    <xdr:cxnSp macro="">
      <xdr:nvCxnSpPr>
        <xdr:cNvPr id="1135" name="Straight Connector 1134"/>
        <xdr:cNvCxnSpPr/>
      </xdr:nvCxnSpPr>
      <xdr:spPr bwMode="auto">
        <a:xfrm rot="16200000" flipH="1">
          <a:off x="1738313" y="1029176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71</xdr:row>
      <xdr:rowOff>85725</xdr:rowOff>
    </xdr:from>
    <xdr:to>
      <xdr:col>7</xdr:col>
      <xdr:colOff>600077</xdr:colOff>
      <xdr:row>72</xdr:row>
      <xdr:rowOff>85726</xdr:rowOff>
    </xdr:to>
    <xdr:cxnSp macro="">
      <xdr:nvCxnSpPr>
        <xdr:cNvPr id="1137" name="Straight Connector 1136"/>
        <xdr:cNvCxnSpPr/>
      </xdr:nvCxnSpPr>
      <xdr:spPr bwMode="auto">
        <a:xfrm rot="16200000" flipH="1">
          <a:off x="4862513" y="10301287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57152</xdr:colOff>
      <xdr:row>66</xdr:row>
      <xdr:rowOff>152404</xdr:rowOff>
    </xdr:from>
    <xdr:to>
      <xdr:col>0</xdr:col>
      <xdr:colOff>257973</xdr:colOff>
      <xdr:row>66</xdr:row>
      <xdr:rowOff>153198</xdr:rowOff>
    </xdr:to>
    <xdr:cxnSp macro="">
      <xdr:nvCxnSpPr>
        <xdr:cNvPr id="1139" name="Straight Connector 1138"/>
        <xdr:cNvCxnSpPr/>
      </xdr:nvCxnSpPr>
      <xdr:spPr bwMode="auto">
        <a:xfrm rot="10800000">
          <a:off x="57152" y="9963154"/>
          <a:ext cx="200821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85727</xdr:colOff>
      <xdr:row>62</xdr:row>
      <xdr:rowOff>152404</xdr:rowOff>
    </xdr:from>
    <xdr:to>
      <xdr:col>0</xdr:col>
      <xdr:colOff>286548</xdr:colOff>
      <xdr:row>62</xdr:row>
      <xdr:rowOff>153198</xdr:rowOff>
    </xdr:to>
    <xdr:cxnSp macro="">
      <xdr:nvCxnSpPr>
        <xdr:cNvPr id="1140" name="Straight Connector 1139"/>
        <xdr:cNvCxnSpPr/>
      </xdr:nvCxnSpPr>
      <xdr:spPr bwMode="auto">
        <a:xfrm rot="10800000">
          <a:off x="85727" y="9315454"/>
          <a:ext cx="200821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257175</xdr:colOff>
      <xdr:row>152</xdr:row>
      <xdr:rowOff>76200</xdr:rowOff>
    </xdr:from>
    <xdr:to>
      <xdr:col>6</xdr:col>
      <xdr:colOff>323850</xdr:colOff>
      <xdr:row>153</xdr:row>
      <xdr:rowOff>0</xdr:rowOff>
    </xdr:to>
    <xdr:sp macro="" textlink="">
      <xdr:nvSpPr>
        <xdr:cNvPr id="1116" name="Flowchart: Merge 1115"/>
        <xdr:cNvSpPr/>
      </xdr:nvSpPr>
      <xdr:spPr bwMode="auto">
        <a:xfrm>
          <a:off x="3914775" y="1552575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57150</xdr:colOff>
      <xdr:row>151</xdr:row>
      <xdr:rowOff>95250</xdr:rowOff>
    </xdr:from>
    <xdr:to>
      <xdr:col>4</xdr:col>
      <xdr:colOff>123825</xdr:colOff>
      <xdr:row>151</xdr:row>
      <xdr:rowOff>180975</xdr:rowOff>
    </xdr:to>
    <xdr:sp macro="" textlink="">
      <xdr:nvSpPr>
        <xdr:cNvPr id="1119" name="Flowchart: Merge 1118"/>
        <xdr:cNvSpPr/>
      </xdr:nvSpPr>
      <xdr:spPr bwMode="auto">
        <a:xfrm>
          <a:off x="1885950" y="15344775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200025</xdr:colOff>
      <xdr:row>151</xdr:row>
      <xdr:rowOff>180975</xdr:rowOff>
    </xdr:from>
    <xdr:to>
      <xdr:col>5</xdr:col>
      <xdr:colOff>9525</xdr:colOff>
      <xdr:row>151</xdr:row>
      <xdr:rowOff>190500</xdr:rowOff>
    </xdr:to>
    <xdr:cxnSp macro="">
      <xdr:nvCxnSpPr>
        <xdr:cNvPr id="1127" name="Straight Connector 1126"/>
        <xdr:cNvCxnSpPr/>
      </xdr:nvCxnSpPr>
      <xdr:spPr bwMode="auto">
        <a:xfrm flipV="1">
          <a:off x="2028825" y="15430500"/>
          <a:ext cx="10287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3</xdr:col>
      <xdr:colOff>190500</xdr:colOff>
      <xdr:row>152</xdr:row>
      <xdr:rowOff>95250</xdr:rowOff>
    </xdr:from>
    <xdr:to>
      <xdr:col>5</xdr:col>
      <xdr:colOff>0</xdr:colOff>
      <xdr:row>152</xdr:row>
      <xdr:rowOff>104775</xdr:rowOff>
    </xdr:to>
    <xdr:cxnSp macro="">
      <xdr:nvCxnSpPr>
        <xdr:cNvPr id="1132" name="Straight Connector 1131"/>
        <xdr:cNvCxnSpPr/>
      </xdr:nvCxnSpPr>
      <xdr:spPr bwMode="auto">
        <a:xfrm flipV="1">
          <a:off x="2019300" y="15544800"/>
          <a:ext cx="10287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0</xdr:col>
      <xdr:colOff>523875</xdr:colOff>
      <xdr:row>152</xdr:row>
      <xdr:rowOff>9525</xdr:rowOff>
    </xdr:from>
    <xdr:to>
      <xdr:col>1</xdr:col>
      <xdr:colOff>123828</xdr:colOff>
      <xdr:row>152</xdr:row>
      <xdr:rowOff>9528</xdr:rowOff>
    </xdr:to>
    <xdr:cxnSp macro="">
      <xdr:nvCxnSpPr>
        <xdr:cNvPr id="1141" name="Straight Connector 1140"/>
        <xdr:cNvCxnSpPr/>
      </xdr:nvCxnSpPr>
      <xdr:spPr bwMode="auto">
        <a:xfrm>
          <a:off x="523875" y="15459075"/>
          <a:ext cx="209553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485775</xdr:colOff>
      <xdr:row>152</xdr:row>
      <xdr:rowOff>0</xdr:rowOff>
    </xdr:from>
    <xdr:to>
      <xdr:col>2</xdr:col>
      <xdr:colOff>85728</xdr:colOff>
      <xdr:row>152</xdr:row>
      <xdr:rowOff>3</xdr:rowOff>
    </xdr:to>
    <xdr:cxnSp macro="">
      <xdr:nvCxnSpPr>
        <xdr:cNvPr id="1144" name="Straight Connector 1143"/>
        <xdr:cNvCxnSpPr/>
      </xdr:nvCxnSpPr>
      <xdr:spPr bwMode="auto">
        <a:xfrm>
          <a:off x="1095375" y="15449550"/>
          <a:ext cx="209553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495300</xdr:colOff>
      <xdr:row>153</xdr:row>
      <xdr:rowOff>123825</xdr:rowOff>
    </xdr:from>
    <xdr:to>
      <xdr:col>2</xdr:col>
      <xdr:colOff>381000</xdr:colOff>
      <xdr:row>153</xdr:row>
      <xdr:rowOff>123826</xdr:rowOff>
    </xdr:to>
    <xdr:cxnSp macro="">
      <xdr:nvCxnSpPr>
        <xdr:cNvPr id="1148" name="Straight Connector 1147"/>
        <xdr:cNvCxnSpPr/>
      </xdr:nvCxnSpPr>
      <xdr:spPr bwMode="auto">
        <a:xfrm flipV="1">
          <a:off x="495300" y="15735300"/>
          <a:ext cx="110490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352425</xdr:colOff>
      <xdr:row>152</xdr:row>
      <xdr:rowOff>95247</xdr:rowOff>
    </xdr:from>
    <xdr:to>
      <xdr:col>3</xdr:col>
      <xdr:colOff>200025</xdr:colOff>
      <xdr:row>153</xdr:row>
      <xdr:rowOff>133349</xdr:rowOff>
    </xdr:to>
    <xdr:sp macro="" textlink="">
      <xdr:nvSpPr>
        <xdr:cNvPr id="1149" name="Line 1"/>
        <xdr:cNvSpPr>
          <a:spLocks noChangeShapeType="1"/>
        </xdr:cNvSpPr>
      </xdr:nvSpPr>
      <xdr:spPr bwMode="auto">
        <a:xfrm flipV="1">
          <a:off x="1571625" y="15544797"/>
          <a:ext cx="457200" cy="20002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152</xdr:row>
      <xdr:rowOff>95250</xdr:rowOff>
    </xdr:from>
    <xdr:to>
      <xdr:col>1</xdr:col>
      <xdr:colOff>285750</xdr:colOff>
      <xdr:row>153</xdr:row>
      <xdr:rowOff>19050</xdr:rowOff>
    </xdr:to>
    <xdr:sp macro="" textlink="">
      <xdr:nvSpPr>
        <xdr:cNvPr id="1150" name="Flowchart: Merge 1149"/>
        <xdr:cNvSpPr/>
      </xdr:nvSpPr>
      <xdr:spPr bwMode="auto">
        <a:xfrm>
          <a:off x="828675" y="1554480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</xdr:col>
      <xdr:colOff>9525</xdr:colOff>
      <xdr:row>69</xdr:row>
      <xdr:rowOff>152400</xdr:rowOff>
    </xdr:from>
    <xdr:to>
      <xdr:col>1</xdr:col>
      <xdr:colOff>285750</xdr:colOff>
      <xdr:row>69</xdr:row>
      <xdr:rowOff>153988</xdr:rowOff>
    </xdr:to>
    <xdr:cxnSp macro="">
      <xdr:nvCxnSpPr>
        <xdr:cNvPr id="1146" name="Straight Connector 1145"/>
        <xdr:cNvCxnSpPr/>
      </xdr:nvCxnSpPr>
      <xdr:spPr bwMode="auto">
        <a:xfrm>
          <a:off x="619125" y="9963150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608807</xdr:colOff>
      <xdr:row>60</xdr:row>
      <xdr:rowOff>793</xdr:rowOff>
    </xdr:from>
    <xdr:to>
      <xdr:col>1</xdr:col>
      <xdr:colOff>795</xdr:colOff>
      <xdr:row>69</xdr:row>
      <xdr:rowOff>134143</xdr:rowOff>
    </xdr:to>
    <xdr:cxnSp macro="">
      <xdr:nvCxnSpPr>
        <xdr:cNvPr id="1147" name="Straight Connector 1146"/>
        <xdr:cNvCxnSpPr/>
      </xdr:nvCxnSpPr>
      <xdr:spPr bwMode="auto">
        <a:xfrm rot="5400000">
          <a:off x="-185737" y="9958387"/>
          <a:ext cx="15906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600074</xdr:colOff>
      <xdr:row>70</xdr:row>
      <xdr:rowOff>66674</xdr:rowOff>
    </xdr:from>
    <xdr:to>
      <xdr:col>0</xdr:col>
      <xdr:colOff>600075</xdr:colOff>
      <xdr:row>71</xdr:row>
      <xdr:rowOff>152402</xdr:rowOff>
    </xdr:to>
    <xdr:cxnSp macro="">
      <xdr:nvCxnSpPr>
        <xdr:cNvPr id="1151" name="Straight Connector 1150"/>
        <xdr:cNvCxnSpPr/>
      </xdr:nvCxnSpPr>
      <xdr:spPr bwMode="auto">
        <a:xfrm rot="16200000" flipH="1">
          <a:off x="476248" y="10163175"/>
          <a:ext cx="247653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276226</xdr:colOff>
      <xdr:row>67</xdr:row>
      <xdr:rowOff>9525</xdr:rowOff>
    </xdr:from>
    <xdr:to>
      <xdr:col>1</xdr:col>
      <xdr:colOff>285751</xdr:colOff>
      <xdr:row>70</xdr:row>
      <xdr:rowOff>9525</xdr:rowOff>
    </xdr:to>
    <xdr:cxnSp macro="">
      <xdr:nvCxnSpPr>
        <xdr:cNvPr id="1153" name="Straight Connector 1152"/>
        <xdr:cNvCxnSpPr/>
      </xdr:nvCxnSpPr>
      <xdr:spPr bwMode="auto">
        <a:xfrm rot="5400000">
          <a:off x="647701" y="9734550"/>
          <a:ext cx="4857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590550</xdr:colOff>
      <xdr:row>71</xdr:row>
      <xdr:rowOff>28575</xdr:rowOff>
    </xdr:from>
    <xdr:to>
      <xdr:col>1</xdr:col>
      <xdr:colOff>314325</xdr:colOff>
      <xdr:row>71</xdr:row>
      <xdr:rowOff>30163</xdr:rowOff>
    </xdr:to>
    <xdr:cxnSp macro="">
      <xdr:nvCxnSpPr>
        <xdr:cNvPr id="1154" name="Straight Arrow Connector 1153"/>
        <xdr:cNvCxnSpPr/>
      </xdr:nvCxnSpPr>
      <xdr:spPr bwMode="auto">
        <a:xfrm>
          <a:off x="590550" y="10163175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8</xdr:col>
      <xdr:colOff>0</xdr:colOff>
      <xdr:row>60</xdr:row>
      <xdr:rowOff>9525</xdr:rowOff>
    </xdr:from>
    <xdr:to>
      <xdr:col>8</xdr:col>
      <xdr:colOff>352425</xdr:colOff>
      <xdr:row>60</xdr:row>
      <xdr:rowOff>11113</xdr:rowOff>
    </xdr:to>
    <xdr:cxnSp macro="">
      <xdr:nvCxnSpPr>
        <xdr:cNvPr id="1163" name="Straight Connector 1162"/>
        <xdr:cNvCxnSpPr/>
      </xdr:nvCxnSpPr>
      <xdr:spPr bwMode="auto">
        <a:xfrm>
          <a:off x="4960189" y="9103204"/>
          <a:ext cx="352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71</xdr:row>
      <xdr:rowOff>85725</xdr:rowOff>
    </xdr:from>
    <xdr:to>
      <xdr:col>3</xdr:col>
      <xdr:colOff>600077</xdr:colOff>
      <xdr:row>72</xdr:row>
      <xdr:rowOff>85726</xdr:rowOff>
    </xdr:to>
    <xdr:cxnSp macro="">
      <xdr:nvCxnSpPr>
        <xdr:cNvPr id="1167" name="Straight Connector 1166"/>
        <xdr:cNvCxnSpPr/>
      </xdr:nvCxnSpPr>
      <xdr:spPr bwMode="auto">
        <a:xfrm rot="16200000" flipH="1">
          <a:off x="2347913" y="1111091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60</xdr:row>
      <xdr:rowOff>9525</xdr:rowOff>
    </xdr:from>
    <xdr:to>
      <xdr:col>1</xdr:col>
      <xdr:colOff>276225</xdr:colOff>
      <xdr:row>60</xdr:row>
      <xdr:rowOff>11113</xdr:rowOff>
    </xdr:to>
    <xdr:cxnSp macro="">
      <xdr:nvCxnSpPr>
        <xdr:cNvPr id="1171" name="Straight Connector 1170"/>
        <xdr:cNvCxnSpPr/>
      </xdr:nvCxnSpPr>
      <xdr:spPr bwMode="auto">
        <a:xfrm>
          <a:off x="609600" y="9172575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276226</xdr:colOff>
      <xdr:row>60</xdr:row>
      <xdr:rowOff>9525</xdr:rowOff>
    </xdr:from>
    <xdr:to>
      <xdr:col>1</xdr:col>
      <xdr:colOff>285751</xdr:colOff>
      <xdr:row>63</xdr:row>
      <xdr:rowOff>9525</xdr:rowOff>
    </xdr:to>
    <xdr:cxnSp macro="">
      <xdr:nvCxnSpPr>
        <xdr:cNvPr id="1172" name="Straight Connector 1171"/>
        <xdr:cNvCxnSpPr/>
      </xdr:nvCxnSpPr>
      <xdr:spPr bwMode="auto">
        <a:xfrm rot="5400000">
          <a:off x="647701" y="9410700"/>
          <a:ext cx="4857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342900</xdr:colOff>
      <xdr:row>57</xdr:row>
      <xdr:rowOff>66675</xdr:rowOff>
    </xdr:from>
    <xdr:to>
      <xdr:col>8</xdr:col>
      <xdr:colOff>342902</xdr:colOff>
      <xdr:row>58</xdr:row>
      <xdr:rowOff>66676</xdr:rowOff>
    </xdr:to>
    <xdr:cxnSp macro="">
      <xdr:nvCxnSpPr>
        <xdr:cNvPr id="1174" name="Straight Connector 1173"/>
        <xdr:cNvCxnSpPr/>
      </xdr:nvCxnSpPr>
      <xdr:spPr bwMode="auto">
        <a:xfrm rot="16200000" flipH="1">
          <a:off x="5214938" y="882491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600075</xdr:colOff>
      <xdr:row>57</xdr:row>
      <xdr:rowOff>57150</xdr:rowOff>
    </xdr:from>
    <xdr:to>
      <xdr:col>0</xdr:col>
      <xdr:colOff>600077</xdr:colOff>
      <xdr:row>58</xdr:row>
      <xdr:rowOff>57151</xdr:rowOff>
    </xdr:to>
    <xdr:cxnSp macro="">
      <xdr:nvCxnSpPr>
        <xdr:cNvPr id="1175" name="Straight Connector 1174"/>
        <xdr:cNvCxnSpPr/>
      </xdr:nvCxnSpPr>
      <xdr:spPr bwMode="auto">
        <a:xfrm rot="16200000" flipH="1">
          <a:off x="519113" y="8815387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71</xdr:row>
      <xdr:rowOff>104775</xdr:rowOff>
    </xdr:from>
    <xdr:to>
      <xdr:col>3</xdr:col>
      <xdr:colOff>371477</xdr:colOff>
      <xdr:row>72</xdr:row>
      <xdr:rowOff>104776</xdr:rowOff>
    </xdr:to>
    <xdr:cxnSp macro="">
      <xdr:nvCxnSpPr>
        <xdr:cNvPr id="1180" name="Straight Connector 1179"/>
        <xdr:cNvCxnSpPr/>
      </xdr:nvCxnSpPr>
      <xdr:spPr bwMode="auto">
        <a:xfrm rot="16200000" flipH="1">
          <a:off x="2119313" y="1112996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9525</xdr:colOff>
      <xdr:row>72</xdr:row>
      <xdr:rowOff>76200</xdr:rowOff>
    </xdr:from>
    <xdr:to>
      <xdr:col>6</xdr:col>
      <xdr:colOff>9527</xdr:colOff>
      <xdr:row>73</xdr:row>
      <xdr:rowOff>76201</xdr:rowOff>
    </xdr:to>
    <xdr:cxnSp macro="">
      <xdr:nvCxnSpPr>
        <xdr:cNvPr id="1181" name="Straight Connector 1180"/>
        <xdr:cNvCxnSpPr/>
      </xdr:nvCxnSpPr>
      <xdr:spPr bwMode="auto">
        <a:xfrm rot="16200000" flipH="1">
          <a:off x="3586163" y="1126331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</xdr:colOff>
      <xdr:row>70</xdr:row>
      <xdr:rowOff>9527</xdr:rowOff>
    </xdr:from>
    <xdr:to>
      <xdr:col>0</xdr:col>
      <xdr:colOff>276226</xdr:colOff>
      <xdr:row>70</xdr:row>
      <xdr:rowOff>11115</xdr:rowOff>
    </xdr:to>
    <xdr:cxnSp macro="">
      <xdr:nvCxnSpPr>
        <xdr:cNvPr id="1183" name="Straight Connector 1182"/>
        <xdr:cNvCxnSpPr/>
      </xdr:nvCxnSpPr>
      <xdr:spPr bwMode="auto">
        <a:xfrm>
          <a:off x="1" y="10467977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142876</xdr:colOff>
      <xdr:row>67</xdr:row>
      <xdr:rowOff>4</xdr:rowOff>
    </xdr:from>
    <xdr:to>
      <xdr:col>0</xdr:col>
      <xdr:colOff>142877</xdr:colOff>
      <xdr:row>70</xdr:row>
      <xdr:rowOff>9531</xdr:rowOff>
    </xdr:to>
    <xdr:cxnSp macro="">
      <xdr:nvCxnSpPr>
        <xdr:cNvPr id="1184" name="Straight Arrow Connector 1183"/>
        <xdr:cNvCxnSpPr/>
      </xdr:nvCxnSpPr>
      <xdr:spPr bwMode="auto">
        <a:xfrm rot="5400000">
          <a:off x="-104774" y="10220329"/>
          <a:ext cx="495302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0</xdr:colOff>
      <xdr:row>59</xdr:row>
      <xdr:rowOff>142877</xdr:rowOff>
    </xdr:from>
    <xdr:to>
      <xdr:col>0</xdr:col>
      <xdr:colOff>276225</xdr:colOff>
      <xdr:row>59</xdr:row>
      <xdr:rowOff>144465</xdr:rowOff>
    </xdr:to>
    <xdr:cxnSp macro="">
      <xdr:nvCxnSpPr>
        <xdr:cNvPr id="1185" name="Straight Connector 1184"/>
        <xdr:cNvCxnSpPr/>
      </xdr:nvCxnSpPr>
      <xdr:spPr bwMode="auto">
        <a:xfrm>
          <a:off x="0" y="8820152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142874</xdr:colOff>
      <xdr:row>59</xdr:row>
      <xdr:rowOff>142879</xdr:rowOff>
    </xdr:from>
    <xdr:to>
      <xdr:col>0</xdr:col>
      <xdr:colOff>142875</xdr:colOff>
      <xdr:row>62</xdr:row>
      <xdr:rowOff>152406</xdr:rowOff>
    </xdr:to>
    <xdr:cxnSp macro="">
      <xdr:nvCxnSpPr>
        <xdr:cNvPr id="1186" name="Straight Arrow Connector 1185"/>
        <xdr:cNvCxnSpPr/>
      </xdr:nvCxnSpPr>
      <xdr:spPr bwMode="auto">
        <a:xfrm rot="5400000">
          <a:off x="-104776" y="9067804"/>
          <a:ext cx="495302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466723</xdr:colOff>
      <xdr:row>60</xdr:row>
      <xdr:rowOff>2</xdr:rowOff>
    </xdr:from>
    <xdr:to>
      <xdr:col>9</xdr:col>
      <xdr:colOff>133348</xdr:colOff>
      <xdr:row>60</xdr:row>
      <xdr:rowOff>1590</xdr:rowOff>
    </xdr:to>
    <xdr:cxnSp macro="">
      <xdr:nvCxnSpPr>
        <xdr:cNvPr id="1187" name="Straight Connector 1186"/>
        <xdr:cNvCxnSpPr/>
      </xdr:nvCxnSpPr>
      <xdr:spPr bwMode="auto">
        <a:xfrm>
          <a:off x="5419723" y="9163052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609598</xdr:colOff>
      <xdr:row>60</xdr:row>
      <xdr:rowOff>4</xdr:rowOff>
    </xdr:from>
    <xdr:to>
      <xdr:col>8</xdr:col>
      <xdr:colOff>609599</xdr:colOff>
      <xdr:row>63</xdr:row>
      <xdr:rowOff>9531</xdr:rowOff>
    </xdr:to>
    <xdr:cxnSp macro="">
      <xdr:nvCxnSpPr>
        <xdr:cNvPr id="1188" name="Straight Arrow Connector 1187"/>
        <xdr:cNvCxnSpPr/>
      </xdr:nvCxnSpPr>
      <xdr:spPr bwMode="auto">
        <a:xfrm rot="5400000">
          <a:off x="5314948" y="9410704"/>
          <a:ext cx="495302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70</xdr:row>
      <xdr:rowOff>114300</xdr:rowOff>
    </xdr:from>
    <xdr:to>
      <xdr:col>1</xdr:col>
      <xdr:colOff>323852</xdr:colOff>
      <xdr:row>71</xdr:row>
      <xdr:rowOff>114301</xdr:rowOff>
    </xdr:to>
    <xdr:cxnSp macro="">
      <xdr:nvCxnSpPr>
        <xdr:cNvPr id="1189" name="Straight Connector 1188"/>
        <xdr:cNvCxnSpPr/>
      </xdr:nvCxnSpPr>
      <xdr:spPr bwMode="auto">
        <a:xfrm rot="16200000" flipH="1">
          <a:off x="852488" y="1097756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361950</xdr:colOff>
      <xdr:row>57</xdr:row>
      <xdr:rowOff>114300</xdr:rowOff>
    </xdr:from>
    <xdr:to>
      <xdr:col>5</xdr:col>
      <xdr:colOff>361952</xdr:colOff>
      <xdr:row>58</xdr:row>
      <xdr:rowOff>114301</xdr:rowOff>
    </xdr:to>
    <xdr:cxnSp macro="">
      <xdr:nvCxnSpPr>
        <xdr:cNvPr id="1192" name="Straight Connector 1191"/>
        <xdr:cNvCxnSpPr/>
      </xdr:nvCxnSpPr>
      <xdr:spPr bwMode="auto">
        <a:xfrm rot="16200000" flipH="1">
          <a:off x="3328988" y="8548687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 editAs="oneCell">
    <xdr:from>
      <xdr:col>0</xdr:col>
      <xdr:colOff>542925</xdr:colOff>
      <xdr:row>82</xdr:row>
      <xdr:rowOff>38100</xdr:rowOff>
    </xdr:from>
    <xdr:to>
      <xdr:col>1</xdr:col>
      <xdr:colOff>466725</xdr:colOff>
      <xdr:row>83</xdr:row>
      <xdr:rowOff>76200</xdr:rowOff>
    </xdr:to>
    <xdr:sp macro="" textlink="">
      <xdr:nvSpPr>
        <xdr:cNvPr id="1195" name="Text Box 53"/>
        <xdr:cNvSpPr txBox="1">
          <a:spLocks noChangeArrowheads="1"/>
        </xdr:cNvSpPr>
      </xdr:nvSpPr>
      <xdr:spPr bwMode="auto">
        <a:xfrm>
          <a:off x="542925" y="21431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28575</xdr:colOff>
      <xdr:row>88</xdr:row>
      <xdr:rowOff>19050</xdr:rowOff>
    </xdr:from>
    <xdr:to>
      <xdr:col>0</xdr:col>
      <xdr:colOff>28575</xdr:colOff>
      <xdr:row>88</xdr:row>
      <xdr:rowOff>95250</xdr:rowOff>
    </xdr:to>
    <xdr:sp macro="" textlink="">
      <xdr:nvSpPr>
        <xdr:cNvPr id="1197" name="Line 56"/>
        <xdr:cNvSpPr>
          <a:spLocks noChangeShapeType="1"/>
        </xdr:cNvSpPr>
      </xdr:nvSpPr>
      <xdr:spPr bwMode="auto">
        <a:xfrm>
          <a:off x="28575" y="1339215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86</xdr:row>
      <xdr:rowOff>38100</xdr:rowOff>
    </xdr:from>
    <xdr:to>
      <xdr:col>5</xdr:col>
      <xdr:colOff>0</xdr:colOff>
      <xdr:row>87</xdr:row>
      <xdr:rowOff>133350</xdr:rowOff>
    </xdr:to>
    <xdr:sp macro="" textlink="">
      <xdr:nvSpPr>
        <xdr:cNvPr id="1199" name="Line 66"/>
        <xdr:cNvSpPr>
          <a:spLocks noChangeShapeType="1"/>
        </xdr:cNvSpPr>
      </xdr:nvSpPr>
      <xdr:spPr bwMode="auto">
        <a:xfrm>
          <a:off x="3048000" y="1308735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80</xdr:row>
      <xdr:rowOff>157163</xdr:rowOff>
    </xdr:from>
    <xdr:to>
      <xdr:col>3</xdr:col>
      <xdr:colOff>219074</xdr:colOff>
      <xdr:row>82</xdr:row>
      <xdr:rowOff>9525</xdr:rowOff>
    </xdr:to>
    <xdr:sp macro="" textlink="">
      <xdr:nvSpPr>
        <xdr:cNvPr id="1201" name="Line 73"/>
        <xdr:cNvSpPr>
          <a:spLocks noChangeShapeType="1"/>
        </xdr:cNvSpPr>
      </xdr:nvSpPr>
      <xdr:spPr bwMode="auto">
        <a:xfrm flipV="1">
          <a:off x="2438400" y="1938338"/>
          <a:ext cx="219074" cy="17621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</xdr:colOff>
      <xdr:row>81</xdr:row>
      <xdr:rowOff>0</xdr:rowOff>
    </xdr:from>
    <xdr:to>
      <xdr:col>5</xdr:col>
      <xdr:colOff>319088</xdr:colOff>
      <xdr:row>81</xdr:row>
      <xdr:rowOff>152400</xdr:rowOff>
    </xdr:to>
    <xdr:sp macro="" textlink="">
      <xdr:nvSpPr>
        <xdr:cNvPr id="1202" name="Line 75"/>
        <xdr:cNvSpPr>
          <a:spLocks noChangeShapeType="1"/>
        </xdr:cNvSpPr>
      </xdr:nvSpPr>
      <xdr:spPr bwMode="auto">
        <a:xfrm>
          <a:off x="3057525" y="12239625"/>
          <a:ext cx="309563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485775</xdr:colOff>
      <xdr:row>82</xdr:row>
      <xdr:rowOff>0</xdr:rowOff>
    </xdr:from>
    <xdr:to>
      <xdr:col>9</xdr:col>
      <xdr:colOff>9525</xdr:colOff>
      <xdr:row>82</xdr:row>
      <xdr:rowOff>0</xdr:rowOff>
    </xdr:to>
    <xdr:sp macro="" textlink="">
      <xdr:nvSpPr>
        <xdr:cNvPr id="1203" name="Line 82"/>
        <xdr:cNvSpPr>
          <a:spLocks noChangeShapeType="1"/>
        </xdr:cNvSpPr>
      </xdr:nvSpPr>
      <xdr:spPr bwMode="auto">
        <a:xfrm>
          <a:off x="5362575" y="2105025"/>
          <a:ext cx="742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247650</xdr:colOff>
      <xdr:row>86</xdr:row>
      <xdr:rowOff>28575</xdr:rowOff>
    </xdr:from>
    <xdr:to>
      <xdr:col>3</xdr:col>
      <xdr:colOff>247650</xdr:colOff>
      <xdr:row>87</xdr:row>
      <xdr:rowOff>133350</xdr:rowOff>
    </xdr:to>
    <xdr:sp macro="" textlink="">
      <xdr:nvSpPr>
        <xdr:cNvPr id="1205" name="Line 96"/>
        <xdr:cNvSpPr>
          <a:spLocks noChangeShapeType="1"/>
        </xdr:cNvSpPr>
      </xdr:nvSpPr>
      <xdr:spPr bwMode="auto">
        <a:xfrm>
          <a:off x="2076450" y="1307782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14287</xdr:colOff>
      <xdr:row>86</xdr:row>
      <xdr:rowOff>104775</xdr:rowOff>
    </xdr:from>
    <xdr:to>
      <xdr:col>0</xdr:col>
      <xdr:colOff>14287</xdr:colOff>
      <xdr:row>87</xdr:row>
      <xdr:rowOff>133350</xdr:rowOff>
    </xdr:to>
    <xdr:sp macro="" textlink="">
      <xdr:nvSpPr>
        <xdr:cNvPr id="1206" name="Line 99"/>
        <xdr:cNvSpPr>
          <a:spLocks noChangeShapeType="1"/>
        </xdr:cNvSpPr>
      </xdr:nvSpPr>
      <xdr:spPr bwMode="auto">
        <a:xfrm>
          <a:off x="14287" y="1315402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9</xdr:col>
      <xdr:colOff>310731</xdr:colOff>
      <xdr:row>83</xdr:row>
      <xdr:rowOff>15994</xdr:rowOff>
    </xdr:from>
    <xdr:ext cx="123825" cy="180975"/>
    <xdr:sp macro="" textlink="">
      <xdr:nvSpPr>
        <xdr:cNvPr id="1207" name="Text Box 103"/>
        <xdr:cNvSpPr txBox="1">
          <a:spLocks noChangeArrowheads="1"/>
        </xdr:cNvSpPr>
      </xdr:nvSpPr>
      <xdr:spPr bwMode="auto">
        <a:xfrm>
          <a:off x="5881957" y="1282981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</xdr:col>
      <xdr:colOff>76200</xdr:colOff>
      <xdr:row>78</xdr:row>
      <xdr:rowOff>9525</xdr:rowOff>
    </xdr:from>
    <xdr:to>
      <xdr:col>3</xdr:col>
      <xdr:colOff>152400</xdr:colOff>
      <xdr:row>78</xdr:row>
      <xdr:rowOff>9525</xdr:rowOff>
    </xdr:to>
    <xdr:sp macro="" textlink="">
      <xdr:nvSpPr>
        <xdr:cNvPr id="1213" name="Line 115"/>
        <xdr:cNvSpPr>
          <a:spLocks noChangeShapeType="1"/>
        </xdr:cNvSpPr>
      </xdr:nvSpPr>
      <xdr:spPr bwMode="auto">
        <a:xfrm flipH="1">
          <a:off x="1905000" y="11763375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285750</xdr:colOff>
      <xdr:row>85</xdr:row>
      <xdr:rowOff>142875</xdr:rowOff>
    </xdr:from>
    <xdr:ext cx="123825" cy="180975"/>
    <xdr:sp macro="" textlink="">
      <xdr:nvSpPr>
        <xdr:cNvPr id="1215" name="Text Box 157"/>
        <xdr:cNvSpPr txBox="1">
          <a:spLocks noChangeArrowheads="1"/>
        </xdr:cNvSpPr>
      </xdr:nvSpPr>
      <xdr:spPr bwMode="auto">
        <a:xfrm>
          <a:off x="2724150" y="130302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9</xdr:col>
      <xdr:colOff>9525</xdr:colOff>
      <xdr:row>86</xdr:row>
      <xdr:rowOff>28575</xdr:rowOff>
    </xdr:from>
    <xdr:to>
      <xdr:col>9</xdr:col>
      <xdr:colOff>9525</xdr:colOff>
      <xdr:row>87</xdr:row>
      <xdr:rowOff>114300</xdr:rowOff>
    </xdr:to>
    <xdr:sp macro="" textlink="">
      <xdr:nvSpPr>
        <xdr:cNvPr id="1216" name="Line 158"/>
        <xdr:cNvSpPr>
          <a:spLocks noChangeShapeType="1"/>
        </xdr:cNvSpPr>
      </xdr:nvSpPr>
      <xdr:spPr bwMode="auto">
        <a:xfrm>
          <a:off x="5572125" y="1307782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476250</xdr:colOff>
      <xdr:row>80</xdr:row>
      <xdr:rowOff>0</xdr:rowOff>
    </xdr:from>
    <xdr:ext cx="460126" cy="170560"/>
    <xdr:sp macro="" textlink="">
      <xdr:nvSpPr>
        <xdr:cNvPr id="1219" name="Text Box 161"/>
        <xdr:cNvSpPr txBox="1">
          <a:spLocks noChangeArrowheads="1"/>
        </xdr:cNvSpPr>
      </xdr:nvSpPr>
      <xdr:spPr bwMode="auto">
        <a:xfrm>
          <a:off x="2914650" y="12077700"/>
          <a:ext cx="460126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 PWD</a:t>
          </a:r>
        </a:p>
      </xdr:txBody>
    </xdr:sp>
    <xdr:clientData/>
  </xdr:oneCellAnchor>
  <xdr:twoCellAnchor>
    <xdr:from>
      <xdr:col>3</xdr:col>
      <xdr:colOff>38100</xdr:colOff>
      <xdr:row>80</xdr:row>
      <xdr:rowOff>142875</xdr:rowOff>
    </xdr:from>
    <xdr:to>
      <xdr:col>3</xdr:col>
      <xdr:colOff>142875</xdr:colOff>
      <xdr:row>80</xdr:row>
      <xdr:rowOff>144463</xdr:rowOff>
    </xdr:to>
    <xdr:cxnSp macro="">
      <xdr:nvCxnSpPr>
        <xdr:cNvPr id="1220" name="Straight Connector 1219"/>
        <xdr:cNvCxnSpPr/>
      </xdr:nvCxnSpPr>
      <xdr:spPr bwMode="auto">
        <a:xfrm>
          <a:off x="1866900" y="12220575"/>
          <a:ext cx="1047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238125</xdr:colOff>
      <xdr:row>75</xdr:row>
      <xdr:rowOff>9527</xdr:rowOff>
    </xdr:from>
    <xdr:to>
      <xdr:col>3</xdr:col>
      <xdr:colOff>238125</xdr:colOff>
      <xdr:row>79</xdr:row>
      <xdr:rowOff>28575</xdr:rowOff>
    </xdr:to>
    <xdr:cxnSp macro="">
      <xdr:nvCxnSpPr>
        <xdr:cNvPr id="1221" name="Straight Connector 1220"/>
        <xdr:cNvCxnSpPr/>
      </xdr:nvCxnSpPr>
      <xdr:spPr bwMode="auto">
        <a:xfrm flipV="1">
          <a:off x="847725" y="11277602"/>
          <a:ext cx="1219200" cy="66674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0</xdr:colOff>
      <xdr:row>75</xdr:row>
      <xdr:rowOff>9525</xdr:rowOff>
    </xdr:from>
    <xdr:to>
      <xdr:col>7</xdr:col>
      <xdr:colOff>276225</xdr:colOff>
      <xdr:row>79</xdr:row>
      <xdr:rowOff>0</xdr:rowOff>
    </xdr:to>
    <xdr:cxnSp macro="">
      <xdr:nvCxnSpPr>
        <xdr:cNvPr id="1222" name="Straight Connector 1221"/>
        <xdr:cNvCxnSpPr/>
      </xdr:nvCxnSpPr>
      <xdr:spPr bwMode="auto">
        <a:xfrm>
          <a:off x="3048000" y="11277600"/>
          <a:ext cx="1571625" cy="6381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209550</xdr:colOff>
      <xdr:row>80</xdr:row>
      <xdr:rowOff>152400</xdr:rowOff>
    </xdr:from>
    <xdr:to>
      <xdr:col>5</xdr:col>
      <xdr:colOff>9525</xdr:colOff>
      <xdr:row>81</xdr:row>
      <xdr:rowOff>1</xdr:rowOff>
    </xdr:to>
    <xdr:cxnSp macro="">
      <xdr:nvCxnSpPr>
        <xdr:cNvPr id="1223" name="Straight Connector 1222"/>
        <xdr:cNvCxnSpPr/>
      </xdr:nvCxnSpPr>
      <xdr:spPr bwMode="auto">
        <a:xfrm flipV="1">
          <a:off x="2038350" y="12230100"/>
          <a:ext cx="1019175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180975</xdr:colOff>
      <xdr:row>82</xdr:row>
      <xdr:rowOff>9525</xdr:rowOff>
    </xdr:from>
    <xdr:to>
      <xdr:col>2</xdr:col>
      <xdr:colOff>590550</xdr:colOff>
      <xdr:row>82</xdr:row>
      <xdr:rowOff>11113</xdr:rowOff>
    </xdr:to>
    <xdr:cxnSp macro="">
      <xdr:nvCxnSpPr>
        <xdr:cNvPr id="1224" name="Straight Connector 1223"/>
        <xdr:cNvCxnSpPr/>
      </xdr:nvCxnSpPr>
      <xdr:spPr bwMode="auto">
        <a:xfrm>
          <a:off x="790575" y="2114550"/>
          <a:ext cx="16287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323850</xdr:colOff>
      <xdr:row>81</xdr:row>
      <xdr:rowOff>152400</xdr:rowOff>
    </xdr:from>
    <xdr:to>
      <xdr:col>8</xdr:col>
      <xdr:colOff>523875</xdr:colOff>
      <xdr:row>82</xdr:row>
      <xdr:rowOff>0</xdr:rowOff>
    </xdr:to>
    <xdr:cxnSp macro="">
      <xdr:nvCxnSpPr>
        <xdr:cNvPr id="1225" name="Straight Connector 1224"/>
        <xdr:cNvCxnSpPr/>
      </xdr:nvCxnSpPr>
      <xdr:spPr bwMode="auto">
        <a:xfrm>
          <a:off x="3981450" y="2095500"/>
          <a:ext cx="20288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247650</xdr:colOff>
      <xdr:row>87</xdr:row>
      <xdr:rowOff>9525</xdr:rowOff>
    </xdr:from>
    <xdr:to>
      <xdr:col>5</xdr:col>
      <xdr:colOff>0</xdr:colOff>
      <xdr:row>87</xdr:row>
      <xdr:rowOff>11113</xdr:rowOff>
    </xdr:to>
    <xdr:cxnSp macro="">
      <xdr:nvCxnSpPr>
        <xdr:cNvPr id="1227" name="Straight Arrow Connector 1226"/>
        <xdr:cNvCxnSpPr/>
      </xdr:nvCxnSpPr>
      <xdr:spPr bwMode="auto">
        <a:xfrm>
          <a:off x="2076450" y="13220700"/>
          <a:ext cx="9715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9525</xdr:colOff>
      <xdr:row>87</xdr:row>
      <xdr:rowOff>9525</xdr:rowOff>
    </xdr:from>
    <xdr:to>
      <xdr:col>9</xdr:col>
      <xdr:colOff>9525</xdr:colOff>
      <xdr:row>87</xdr:row>
      <xdr:rowOff>11113</xdr:rowOff>
    </xdr:to>
    <xdr:cxnSp macro="">
      <xdr:nvCxnSpPr>
        <xdr:cNvPr id="1228" name="Straight Connector 1227"/>
        <xdr:cNvCxnSpPr/>
      </xdr:nvCxnSpPr>
      <xdr:spPr bwMode="auto">
        <a:xfrm>
          <a:off x="3057525" y="13220700"/>
          <a:ext cx="2514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9525</xdr:colOff>
      <xdr:row>87</xdr:row>
      <xdr:rowOff>9526</xdr:rowOff>
    </xdr:from>
    <xdr:to>
      <xdr:col>3</xdr:col>
      <xdr:colOff>238125</xdr:colOff>
      <xdr:row>87</xdr:row>
      <xdr:rowOff>28575</xdr:rowOff>
    </xdr:to>
    <xdr:cxnSp macro="">
      <xdr:nvCxnSpPr>
        <xdr:cNvPr id="1229" name="Straight Arrow Connector 1228"/>
        <xdr:cNvCxnSpPr/>
      </xdr:nvCxnSpPr>
      <xdr:spPr bwMode="auto">
        <a:xfrm flipV="1">
          <a:off x="9525" y="13220701"/>
          <a:ext cx="2057400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0</xdr:colOff>
      <xdr:row>82</xdr:row>
      <xdr:rowOff>9525</xdr:rowOff>
    </xdr:from>
    <xdr:to>
      <xdr:col>0</xdr:col>
      <xdr:colOff>180975</xdr:colOff>
      <xdr:row>82</xdr:row>
      <xdr:rowOff>11113</xdr:rowOff>
    </xdr:to>
    <xdr:cxnSp macro="">
      <xdr:nvCxnSpPr>
        <xdr:cNvPr id="1230" name="Straight Connector 1229"/>
        <xdr:cNvCxnSpPr/>
      </xdr:nvCxnSpPr>
      <xdr:spPr bwMode="auto">
        <a:xfrm>
          <a:off x="609600" y="2114550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438150</xdr:colOff>
      <xdr:row>83</xdr:row>
      <xdr:rowOff>9525</xdr:rowOff>
    </xdr:from>
    <xdr:to>
      <xdr:col>9</xdr:col>
      <xdr:colOff>47625</xdr:colOff>
      <xdr:row>83</xdr:row>
      <xdr:rowOff>19050</xdr:rowOff>
    </xdr:to>
    <xdr:cxnSp macro="">
      <xdr:nvCxnSpPr>
        <xdr:cNvPr id="1240" name="Straight Arrow Connector 1239"/>
        <xdr:cNvCxnSpPr/>
      </xdr:nvCxnSpPr>
      <xdr:spPr bwMode="auto">
        <a:xfrm>
          <a:off x="5391150" y="12573000"/>
          <a:ext cx="2190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19053</xdr:colOff>
      <xdr:row>88</xdr:row>
      <xdr:rowOff>76199</xdr:rowOff>
    </xdr:from>
    <xdr:to>
      <xdr:col>4</xdr:col>
      <xdr:colOff>219075</xdr:colOff>
      <xdr:row>88</xdr:row>
      <xdr:rowOff>95250</xdr:rowOff>
    </xdr:to>
    <xdr:cxnSp macro="">
      <xdr:nvCxnSpPr>
        <xdr:cNvPr id="1241" name="Straight Connector 1240"/>
        <xdr:cNvCxnSpPr/>
      </xdr:nvCxnSpPr>
      <xdr:spPr bwMode="auto">
        <a:xfrm rot="10800000" flipV="1">
          <a:off x="19053" y="13449299"/>
          <a:ext cx="2638422" cy="1905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19050</xdr:colOff>
      <xdr:row>81</xdr:row>
      <xdr:rowOff>104773</xdr:rowOff>
    </xdr:from>
    <xdr:to>
      <xdr:col>3</xdr:col>
      <xdr:colOff>242887</xdr:colOff>
      <xdr:row>82</xdr:row>
      <xdr:rowOff>119062</xdr:rowOff>
    </xdr:to>
    <xdr:sp macro="" textlink="">
      <xdr:nvSpPr>
        <xdr:cNvPr id="1244" name="Line 73"/>
        <xdr:cNvSpPr>
          <a:spLocks noChangeShapeType="1"/>
        </xdr:cNvSpPr>
      </xdr:nvSpPr>
      <xdr:spPr bwMode="auto">
        <a:xfrm flipV="1">
          <a:off x="2457450" y="2047873"/>
          <a:ext cx="223837" cy="1762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19050</xdr:colOff>
      <xdr:row>81</xdr:row>
      <xdr:rowOff>114300</xdr:rowOff>
    </xdr:from>
    <xdr:to>
      <xdr:col>5</xdr:col>
      <xdr:colOff>328613</xdr:colOff>
      <xdr:row>82</xdr:row>
      <xdr:rowOff>80963</xdr:rowOff>
    </xdr:to>
    <xdr:sp macro="" textlink="">
      <xdr:nvSpPr>
        <xdr:cNvPr id="1245" name="Line 75"/>
        <xdr:cNvSpPr>
          <a:spLocks noChangeShapeType="1"/>
        </xdr:cNvSpPr>
      </xdr:nvSpPr>
      <xdr:spPr bwMode="auto">
        <a:xfrm>
          <a:off x="3067050" y="12353925"/>
          <a:ext cx="309563" cy="1285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238125</xdr:colOff>
      <xdr:row>81</xdr:row>
      <xdr:rowOff>104775</xdr:rowOff>
    </xdr:from>
    <xdr:to>
      <xdr:col>5</xdr:col>
      <xdr:colOff>9525</xdr:colOff>
      <xdr:row>81</xdr:row>
      <xdr:rowOff>104776</xdr:rowOff>
    </xdr:to>
    <xdr:cxnSp macro="">
      <xdr:nvCxnSpPr>
        <xdr:cNvPr id="1246" name="Straight Connector 1245"/>
        <xdr:cNvCxnSpPr/>
      </xdr:nvCxnSpPr>
      <xdr:spPr bwMode="auto">
        <a:xfrm flipV="1">
          <a:off x="2066925" y="12344400"/>
          <a:ext cx="99060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209550</xdr:colOff>
      <xdr:row>82</xdr:row>
      <xdr:rowOff>114300</xdr:rowOff>
    </xdr:from>
    <xdr:to>
      <xdr:col>3</xdr:col>
      <xdr:colOff>19050</xdr:colOff>
      <xdr:row>82</xdr:row>
      <xdr:rowOff>115888</xdr:rowOff>
    </xdr:to>
    <xdr:cxnSp macro="">
      <xdr:nvCxnSpPr>
        <xdr:cNvPr id="1247" name="Straight Connector 1246"/>
        <xdr:cNvCxnSpPr/>
      </xdr:nvCxnSpPr>
      <xdr:spPr bwMode="auto">
        <a:xfrm>
          <a:off x="819150" y="2219325"/>
          <a:ext cx="1638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323850</xdr:colOff>
      <xdr:row>82</xdr:row>
      <xdr:rowOff>76200</xdr:rowOff>
    </xdr:from>
    <xdr:to>
      <xdr:col>9</xdr:col>
      <xdr:colOff>9525</xdr:colOff>
      <xdr:row>82</xdr:row>
      <xdr:rowOff>85725</xdr:rowOff>
    </xdr:to>
    <xdr:cxnSp macro="">
      <xdr:nvCxnSpPr>
        <xdr:cNvPr id="1248" name="Straight Connector 1247"/>
        <xdr:cNvCxnSpPr/>
      </xdr:nvCxnSpPr>
      <xdr:spPr bwMode="auto">
        <a:xfrm>
          <a:off x="3981450" y="2181225"/>
          <a:ext cx="21240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</xdr:colOff>
      <xdr:row>82</xdr:row>
      <xdr:rowOff>4763</xdr:rowOff>
    </xdr:from>
    <xdr:to>
      <xdr:col>0</xdr:col>
      <xdr:colOff>4767</xdr:colOff>
      <xdr:row>82</xdr:row>
      <xdr:rowOff>109542</xdr:rowOff>
    </xdr:to>
    <xdr:cxnSp macro="">
      <xdr:nvCxnSpPr>
        <xdr:cNvPr id="1249" name="Straight Connector 1248"/>
        <xdr:cNvCxnSpPr/>
      </xdr:nvCxnSpPr>
      <xdr:spPr bwMode="auto">
        <a:xfrm rot="5400000" flipH="1" flipV="1">
          <a:off x="559594" y="2159795"/>
          <a:ext cx="104779" cy="476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</xdr:colOff>
      <xdr:row>82</xdr:row>
      <xdr:rowOff>114300</xdr:rowOff>
    </xdr:from>
    <xdr:to>
      <xdr:col>0</xdr:col>
      <xdr:colOff>238126</xdr:colOff>
      <xdr:row>82</xdr:row>
      <xdr:rowOff>114302</xdr:rowOff>
    </xdr:to>
    <xdr:cxnSp macro="">
      <xdr:nvCxnSpPr>
        <xdr:cNvPr id="1250" name="Straight Connector 1249"/>
        <xdr:cNvCxnSpPr/>
      </xdr:nvCxnSpPr>
      <xdr:spPr bwMode="auto">
        <a:xfrm rot="10800000" flipV="1">
          <a:off x="609601" y="2219325"/>
          <a:ext cx="238125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180975</xdr:colOff>
      <xdr:row>82</xdr:row>
      <xdr:rowOff>66675</xdr:rowOff>
    </xdr:from>
    <xdr:to>
      <xdr:col>0</xdr:col>
      <xdr:colOff>180975</xdr:colOff>
      <xdr:row>86</xdr:row>
      <xdr:rowOff>0</xdr:rowOff>
    </xdr:to>
    <xdr:sp macro="" textlink="">
      <xdr:nvSpPr>
        <xdr:cNvPr id="1251" name="Line 78"/>
        <xdr:cNvSpPr>
          <a:spLocks noChangeShapeType="1"/>
        </xdr:cNvSpPr>
      </xdr:nvSpPr>
      <xdr:spPr bwMode="auto">
        <a:xfrm>
          <a:off x="790575" y="2171700"/>
          <a:ext cx="0" cy="581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457200</xdr:colOff>
      <xdr:row>82</xdr:row>
      <xdr:rowOff>47625</xdr:rowOff>
    </xdr:from>
    <xdr:to>
      <xdr:col>8</xdr:col>
      <xdr:colOff>457200</xdr:colOff>
      <xdr:row>86</xdr:row>
      <xdr:rowOff>0</xdr:rowOff>
    </xdr:to>
    <xdr:sp macro="" textlink="">
      <xdr:nvSpPr>
        <xdr:cNvPr id="1252" name="Line 78"/>
        <xdr:cNvSpPr>
          <a:spLocks noChangeShapeType="1"/>
        </xdr:cNvSpPr>
      </xdr:nvSpPr>
      <xdr:spPr bwMode="auto">
        <a:xfrm>
          <a:off x="5943600" y="2152650"/>
          <a:ext cx="0" cy="600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4766</xdr:colOff>
      <xdr:row>81</xdr:row>
      <xdr:rowOff>152404</xdr:rowOff>
    </xdr:from>
    <xdr:to>
      <xdr:col>9</xdr:col>
      <xdr:colOff>9525</xdr:colOff>
      <xdr:row>82</xdr:row>
      <xdr:rowOff>80963</xdr:rowOff>
    </xdr:to>
    <xdr:cxnSp macro="">
      <xdr:nvCxnSpPr>
        <xdr:cNvPr id="1253" name="Straight Connector 1252"/>
        <xdr:cNvCxnSpPr/>
      </xdr:nvCxnSpPr>
      <xdr:spPr bwMode="auto">
        <a:xfrm rot="16200000" flipV="1">
          <a:off x="6057904" y="2138366"/>
          <a:ext cx="90484" cy="475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257175</xdr:colOff>
      <xdr:row>78</xdr:row>
      <xdr:rowOff>152400</xdr:rowOff>
    </xdr:from>
    <xdr:to>
      <xdr:col>8</xdr:col>
      <xdr:colOff>323850</xdr:colOff>
      <xdr:row>78</xdr:row>
      <xdr:rowOff>153988</xdr:rowOff>
    </xdr:to>
    <xdr:cxnSp macro="">
      <xdr:nvCxnSpPr>
        <xdr:cNvPr id="1254" name="Straight Connector 1253"/>
        <xdr:cNvCxnSpPr/>
      </xdr:nvCxnSpPr>
      <xdr:spPr bwMode="auto">
        <a:xfrm>
          <a:off x="4600575" y="11906250"/>
          <a:ext cx="676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342900</xdr:colOff>
      <xdr:row>79</xdr:row>
      <xdr:rowOff>19050</xdr:rowOff>
    </xdr:from>
    <xdr:to>
      <xdr:col>1</xdr:col>
      <xdr:colOff>247650</xdr:colOff>
      <xdr:row>79</xdr:row>
      <xdr:rowOff>20638</xdr:rowOff>
    </xdr:to>
    <xdr:cxnSp macro="">
      <xdr:nvCxnSpPr>
        <xdr:cNvPr id="1255" name="Straight Connector 1254"/>
        <xdr:cNvCxnSpPr/>
      </xdr:nvCxnSpPr>
      <xdr:spPr bwMode="auto">
        <a:xfrm>
          <a:off x="342900" y="11934825"/>
          <a:ext cx="5143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323850</xdr:colOff>
      <xdr:row>78</xdr:row>
      <xdr:rowOff>152404</xdr:rowOff>
    </xdr:from>
    <xdr:to>
      <xdr:col>8</xdr:col>
      <xdr:colOff>323853</xdr:colOff>
      <xdr:row>82</xdr:row>
      <xdr:rowOff>4</xdr:rowOff>
    </xdr:to>
    <xdr:cxnSp macro="">
      <xdr:nvCxnSpPr>
        <xdr:cNvPr id="1260" name="Straight Connector 1259"/>
        <xdr:cNvCxnSpPr/>
      </xdr:nvCxnSpPr>
      <xdr:spPr bwMode="auto">
        <a:xfrm rot="5400000">
          <a:off x="5029202" y="12153902"/>
          <a:ext cx="495300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78</xdr:row>
      <xdr:rowOff>57150</xdr:rowOff>
    </xdr:from>
    <xdr:to>
      <xdr:col>8</xdr:col>
      <xdr:colOff>57150</xdr:colOff>
      <xdr:row>78</xdr:row>
      <xdr:rowOff>142875</xdr:rowOff>
    </xdr:to>
    <xdr:sp macro="" textlink="">
      <xdr:nvSpPr>
        <xdr:cNvPr id="1261" name="Flowchart: Merge 1260"/>
        <xdr:cNvSpPr/>
      </xdr:nvSpPr>
      <xdr:spPr bwMode="auto">
        <a:xfrm>
          <a:off x="4943475" y="1181100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228600</xdr:colOff>
      <xdr:row>75</xdr:row>
      <xdr:rowOff>9525</xdr:rowOff>
    </xdr:from>
    <xdr:to>
      <xdr:col>5</xdr:col>
      <xdr:colOff>0</xdr:colOff>
      <xdr:row>78</xdr:row>
      <xdr:rowOff>0</xdr:rowOff>
    </xdr:to>
    <xdr:sp macro="" textlink="">
      <xdr:nvSpPr>
        <xdr:cNvPr id="1262" name="Rectangle 1261"/>
        <xdr:cNvSpPr/>
      </xdr:nvSpPr>
      <xdr:spPr bwMode="auto">
        <a:xfrm>
          <a:off x="2057400" y="11277600"/>
          <a:ext cx="990600" cy="476250"/>
        </a:xfrm>
        <a:prstGeom prst="rect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180975</xdr:colOff>
      <xdr:row>84</xdr:row>
      <xdr:rowOff>9525</xdr:rowOff>
    </xdr:from>
    <xdr:to>
      <xdr:col>8</xdr:col>
      <xdr:colOff>466725</xdr:colOff>
      <xdr:row>84</xdr:row>
      <xdr:rowOff>11113</xdr:rowOff>
    </xdr:to>
    <xdr:cxnSp macro="">
      <xdr:nvCxnSpPr>
        <xdr:cNvPr id="1276" name="Straight Arrow Connector 1275"/>
        <xdr:cNvCxnSpPr/>
      </xdr:nvCxnSpPr>
      <xdr:spPr bwMode="auto">
        <a:xfrm>
          <a:off x="180975" y="12734925"/>
          <a:ext cx="5238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95250</xdr:colOff>
      <xdr:row>88</xdr:row>
      <xdr:rowOff>57150</xdr:rowOff>
    </xdr:from>
    <xdr:to>
      <xdr:col>9</xdr:col>
      <xdr:colOff>14287</xdr:colOff>
      <xdr:row>88</xdr:row>
      <xdr:rowOff>66675</xdr:rowOff>
    </xdr:to>
    <xdr:cxnSp macro="">
      <xdr:nvCxnSpPr>
        <xdr:cNvPr id="1277" name="Straight Connector 1276"/>
        <xdr:cNvCxnSpPr/>
      </xdr:nvCxnSpPr>
      <xdr:spPr bwMode="auto">
        <a:xfrm>
          <a:off x="3143250" y="13430250"/>
          <a:ext cx="2433637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9525</xdr:colOff>
      <xdr:row>87</xdr:row>
      <xdr:rowOff>133350</xdr:rowOff>
    </xdr:from>
    <xdr:to>
      <xdr:col>9</xdr:col>
      <xdr:colOff>9525</xdr:colOff>
      <xdr:row>88</xdr:row>
      <xdr:rowOff>119063</xdr:rowOff>
    </xdr:to>
    <xdr:sp macro="" textlink="">
      <xdr:nvSpPr>
        <xdr:cNvPr id="1278" name="Line 99"/>
        <xdr:cNvSpPr>
          <a:spLocks noChangeShapeType="1"/>
        </xdr:cNvSpPr>
      </xdr:nvSpPr>
      <xdr:spPr bwMode="auto">
        <a:xfrm>
          <a:off x="5572125" y="13344525"/>
          <a:ext cx="0" cy="14763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314325</xdr:colOff>
      <xdr:row>81</xdr:row>
      <xdr:rowOff>47625</xdr:rowOff>
    </xdr:from>
    <xdr:to>
      <xdr:col>6</xdr:col>
      <xdr:colOff>381000</xdr:colOff>
      <xdr:row>81</xdr:row>
      <xdr:rowOff>133350</xdr:rowOff>
    </xdr:to>
    <xdr:sp macro="" textlink="">
      <xdr:nvSpPr>
        <xdr:cNvPr id="1280" name="Flowchart: Merge 1279"/>
        <xdr:cNvSpPr/>
      </xdr:nvSpPr>
      <xdr:spPr bwMode="auto">
        <a:xfrm>
          <a:off x="3971925" y="1228725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495300</xdr:colOff>
      <xdr:row>74</xdr:row>
      <xdr:rowOff>38100</xdr:rowOff>
    </xdr:from>
    <xdr:to>
      <xdr:col>3</xdr:col>
      <xdr:colOff>561975</xdr:colOff>
      <xdr:row>74</xdr:row>
      <xdr:rowOff>123825</xdr:rowOff>
    </xdr:to>
    <xdr:sp macro="" textlink="">
      <xdr:nvSpPr>
        <xdr:cNvPr id="1281" name="Flowchart: Merge 1280"/>
        <xdr:cNvSpPr/>
      </xdr:nvSpPr>
      <xdr:spPr bwMode="auto">
        <a:xfrm>
          <a:off x="2324100" y="1114425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</xdr:col>
      <xdr:colOff>228600</xdr:colOff>
      <xdr:row>81</xdr:row>
      <xdr:rowOff>66675</xdr:rowOff>
    </xdr:from>
    <xdr:to>
      <xdr:col>1</xdr:col>
      <xdr:colOff>295275</xdr:colOff>
      <xdr:row>81</xdr:row>
      <xdr:rowOff>152400</xdr:rowOff>
    </xdr:to>
    <xdr:sp macro="" textlink="">
      <xdr:nvSpPr>
        <xdr:cNvPr id="1282" name="Flowchart: Merge 1281"/>
        <xdr:cNvSpPr/>
      </xdr:nvSpPr>
      <xdr:spPr bwMode="auto">
        <a:xfrm>
          <a:off x="838200" y="1230630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oneCellAnchor>
    <xdr:from>
      <xdr:col>4</xdr:col>
      <xdr:colOff>314325</xdr:colOff>
      <xdr:row>73</xdr:row>
      <xdr:rowOff>142875</xdr:rowOff>
    </xdr:from>
    <xdr:ext cx="460126" cy="170560"/>
    <xdr:sp macro="" textlink="">
      <xdr:nvSpPr>
        <xdr:cNvPr id="1283" name="Text Box 161"/>
        <xdr:cNvSpPr txBox="1">
          <a:spLocks noChangeArrowheads="1"/>
        </xdr:cNvSpPr>
      </xdr:nvSpPr>
      <xdr:spPr bwMode="auto">
        <a:xfrm>
          <a:off x="2752725" y="11087100"/>
          <a:ext cx="460126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 PWD</a:t>
          </a:r>
        </a:p>
      </xdr:txBody>
    </xdr:sp>
    <xdr:clientData/>
  </xdr:oneCellAnchor>
  <xdr:oneCellAnchor>
    <xdr:from>
      <xdr:col>0</xdr:col>
      <xdr:colOff>466725</xdr:colOff>
      <xdr:row>77</xdr:row>
      <xdr:rowOff>142875</xdr:rowOff>
    </xdr:from>
    <xdr:ext cx="460126" cy="170560"/>
    <xdr:sp macro="" textlink="">
      <xdr:nvSpPr>
        <xdr:cNvPr id="1286" name="Text Box 161"/>
        <xdr:cNvSpPr txBox="1">
          <a:spLocks noChangeArrowheads="1"/>
        </xdr:cNvSpPr>
      </xdr:nvSpPr>
      <xdr:spPr bwMode="auto">
        <a:xfrm>
          <a:off x="466725" y="11734800"/>
          <a:ext cx="460126" cy="170560"/>
        </a:xfrm>
        <a:prstGeom prst="rect">
          <a:avLst/>
        </a:prstGeom>
        <a:solidFill>
          <a:srgbClr val="79ECFB"/>
        </a:solidFill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FF"/>
              </a:solidFill>
              <a:latin typeface="Arial"/>
              <a:cs typeface="Arial"/>
            </a:rPr>
            <a:t>m PWD</a:t>
          </a:r>
        </a:p>
      </xdr:txBody>
    </xdr:sp>
    <xdr:clientData/>
  </xdr:oneCellAnchor>
  <xdr:twoCellAnchor>
    <xdr:from>
      <xdr:col>3</xdr:col>
      <xdr:colOff>295275</xdr:colOff>
      <xdr:row>75</xdr:row>
      <xdr:rowOff>19050</xdr:rowOff>
    </xdr:from>
    <xdr:to>
      <xdr:col>4</xdr:col>
      <xdr:colOff>542925</xdr:colOff>
      <xdr:row>77</xdr:row>
      <xdr:rowOff>104775</xdr:rowOff>
    </xdr:to>
    <xdr:sp macro="" textlink="">
      <xdr:nvSpPr>
        <xdr:cNvPr id="1288" name="Rectangle 1287"/>
        <xdr:cNvSpPr/>
      </xdr:nvSpPr>
      <xdr:spPr bwMode="auto">
        <a:xfrm>
          <a:off x="2124075" y="11287125"/>
          <a:ext cx="857250" cy="409575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228600</xdr:colOff>
      <xdr:row>77</xdr:row>
      <xdr:rowOff>66675</xdr:rowOff>
    </xdr:from>
    <xdr:to>
      <xdr:col>6</xdr:col>
      <xdr:colOff>457200</xdr:colOff>
      <xdr:row>78</xdr:row>
      <xdr:rowOff>0</xdr:rowOff>
    </xdr:to>
    <xdr:sp macro="" textlink="">
      <xdr:nvSpPr>
        <xdr:cNvPr id="1291" name="Right Triangle 1290"/>
        <xdr:cNvSpPr/>
      </xdr:nvSpPr>
      <xdr:spPr bwMode="auto">
        <a:xfrm>
          <a:off x="3886200" y="11820525"/>
          <a:ext cx="228600" cy="95250"/>
        </a:xfrm>
        <a:prstGeom prst="rtTriangle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en-US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190500</xdr:colOff>
      <xdr:row>76</xdr:row>
      <xdr:rowOff>152400</xdr:rowOff>
    </xdr:from>
    <xdr:to>
      <xdr:col>2</xdr:col>
      <xdr:colOff>447676</xdr:colOff>
      <xdr:row>77</xdr:row>
      <xdr:rowOff>142875</xdr:rowOff>
    </xdr:to>
    <xdr:sp macro="" textlink="">
      <xdr:nvSpPr>
        <xdr:cNvPr id="1292" name="Right Triangle 1291"/>
        <xdr:cNvSpPr/>
      </xdr:nvSpPr>
      <xdr:spPr bwMode="auto">
        <a:xfrm flipH="1">
          <a:off x="1409700" y="11744325"/>
          <a:ext cx="257176" cy="152400"/>
        </a:xfrm>
        <a:prstGeom prst="rtTriangle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171570</xdr:colOff>
      <xdr:row>468</xdr:row>
      <xdr:rowOff>162694</xdr:rowOff>
    </xdr:from>
    <xdr:to>
      <xdr:col>2</xdr:col>
      <xdr:colOff>1</xdr:colOff>
      <xdr:row>469</xdr:row>
      <xdr:rowOff>5917</xdr:rowOff>
    </xdr:to>
    <xdr:cxnSp macro="">
      <xdr:nvCxnSpPr>
        <xdr:cNvPr id="1294" name="Straight Connector 1293"/>
        <xdr:cNvCxnSpPr>
          <a:stCxn id="132" idx="0"/>
        </xdr:cNvCxnSpPr>
      </xdr:nvCxnSpPr>
      <xdr:spPr bwMode="auto">
        <a:xfrm rot="5400000">
          <a:off x="2824962" y="72626646"/>
          <a:ext cx="5917" cy="43779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170656</xdr:colOff>
      <xdr:row>469</xdr:row>
      <xdr:rowOff>10319</xdr:rowOff>
    </xdr:from>
    <xdr:to>
      <xdr:col>1</xdr:col>
      <xdr:colOff>172244</xdr:colOff>
      <xdr:row>470</xdr:row>
      <xdr:rowOff>794</xdr:rowOff>
    </xdr:to>
    <xdr:cxnSp macro="">
      <xdr:nvCxnSpPr>
        <xdr:cNvPr id="1296" name="Straight Connector 1295"/>
        <xdr:cNvCxnSpPr/>
      </xdr:nvCxnSpPr>
      <xdr:spPr bwMode="auto">
        <a:xfrm rot="5400000">
          <a:off x="2533650" y="72628125"/>
          <a:ext cx="152400" cy="15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6</xdr:col>
      <xdr:colOff>361163</xdr:colOff>
      <xdr:row>29</xdr:row>
      <xdr:rowOff>104777</xdr:rowOff>
    </xdr:from>
    <xdr:to>
      <xdr:col>6</xdr:col>
      <xdr:colOff>361951</xdr:colOff>
      <xdr:row>32</xdr:row>
      <xdr:rowOff>96049</xdr:rowOff>
    </xdr:to>
    <xdr:cxnSp macro="">
      <xdr:nvCxnSpPr>
        <xdr:cNvPr id="1304" name="Straight Connector 1303"/>
        <xdr:cNvCxnSpPr/>
      </xdr:nvCxnSpPr>
      <xdr:spPr bwMode="auto">
        <a:xfrm rot="5400000">
          <a:off x="3780633" y="4648207"/>
          <a:ext cx="477047" cy="788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142879</xdr:colOff>
      <xdr:row>31</xdr:row>
      <xdr:rowOff>7</xdr:rowOff>
    </xdr:from>
    <xdr:to>
      <xdr:col>7</xdr:col>
      <xdr:colOff>142880</xdr:colOff>
      <xdr:row>32</xdr:row>
      <xdr:rowOff>142875</xdr:rowOff>
    </xdr:to>
    <xdr:cxnSp macro="">
      <xdr:nvCxnSpPr>
        <xdr:cNvPr id="1306" name="Straight Connector 1305"/>
        <xdr:cNvCxnSpPr/>
      </xdr:nvCxnSpPr>
      <xdr:spPr bwMode="auto">
        <a:xfrm rot="5400000">
          <a:off x="4333883" y="4781553"/>
          <a:ext cx="304793" cy="1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590552</xdr:colOff>
      <xdr:row>29</xdr:row>
      <xdr:rowOff>114299</xdr:rowOff>
    </xdr:from>
    <xdr:to>
      <xdr:col>8</xdr:col>
      <xdr:colOff>476250</xdr:colOff>
      <xdr:row>29</xdr:row>
      <xdr:rowOff>123825</xdr:rowOff>
    </xdr:to>
    <xdr:cxnSp macro="">
      <xdr:nvCxnSpPr>
        <xdr:cNvPr id="1311" name="Straight Connector 1310"/>
        <xdr:cNvCxnSpPr/>
      </xdr:nvCxnSpPr>
      <xdr:spPr bwMode="auto">
        <a:xfrm rot="10800000">
          <a:off x="4933952" y="4419599"/>
          <a:ext cx="495298" cy="9526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142875</xdr:colOff>
      <xdr:row>31</xdr:row>
      <xdr:rowOff>123825</xdr:rowOff>
    </xdr:from>
    <xdr:to>
      <xdr:col>8</xdr:col>
      <xdr:colOff>466725</xdr:colOff>
      <xdr:row>31</xdr:row>
      <xdr:rowOff>125413</xdr:rowOff>
    </xdr:to>
    <xdr:cxnSp macro="">
      <xdr:nvCxnSpPr>
        <xdr:cNvPr id="1312" name="Straight Connector 1311"/>
        <xdr:cNvCxnSpPr/>
      </xdr:nvCxnSpPr>
      <xdr:spPr bwMode="auto">
        <a:xfrm rot="10800000">
          <a:off x="4486275" y="4752975"/>
          <a:ext cx="933450" cy="1588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381000</xdr:colOff>
      <xdr:row>31</xdr:row>
      <xdr:rowOff>115887</xdr:rowOff>
    </xdr:from>
    <xdr:to>
      <xdr:col>7</xdr:col>
      <xdr:colOff>152402</xdr:colOff>
      <xdr:row>31</xdr:row>
      <xdr:rowOff>123824</xdr:rowOff>
    </xdr:to>
    <xdr:cxnSp macro="">
      <xdr:nvCxnSpPr>
        <xdr:cNvPr id="1313" name="Straight Connector 1312"/>
        <xdr:cNvCxnSpPr/>
      </xdr:nvCxnSpPr>
      <xdr:spPr bwMode="auto">
        <a:xfrm rot="10800000" flipV="1">
          <a:off x="4038600" y="4745037"/>
          <a:ext cx="457202" cy="7937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474921</xdr:colOff>
      <xdr:row>24</xdr:row>
      <xdr:rowOff>160312</xdr:rowOff>
    </xdr:from>
    <xdr:to>
      <xdr:col>8</xdr:col>
      <xdr:colOff>475714</xdr:colOff>
      <xdr:row>29</xdr:row>
      <xdr:rowOff>8883</xdr:rowOff>
    </xdr:to>
    <xdr:cxnSp macro="">
      <xdr:nvCxnSpPr>
        <xdr:cNvPr id="1352" name="Straight Connector 1351"/>
        <xdr:cNvCxnSpPr/>
      </xdr:nvCxnSpPr>
      <xdr:spPr bwMode="auto">
        <a:xfrm rot="5400000">
          <a:off x="5106858" y="3975073"/>
          <a:ext cx="657298" cy="793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24</xdr:row>
      <xdr:rowOff>152400</xdr:rowOff>
    </xdr:from>
    <xdr:to>
      <xdr:col>8</xdr:col>
      <xdr:colOff>466725</xdr:colOff>
      <xdr:row>24</xdr:row>
      <xdr:rowOff>152403</xdr:rowOff>
    </xdr:to>
    <xdr:cxnSp macro="">
      <xdr:nvCxnSpPr>
        <xdr:cNvPr id="1353" name="Straight Connector 1352"/>
        <xdr:cNvCxnSpPr/>
      </xdr:nvCxnSpPr>
      <xdr:spPr bwMode="auto">
        <a:xfrm>
          <a:off x="3657600" y="3648075"/>
          <a:ext cx="1762125" cy="3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142875</xdr:colOff>
      <xdr:row>29</xdr:row>
      <xdr:rowOff>9525</xdr:rowOff>
    </xdr:from>
    <xdr:to>
      <xdr:col>8</xdr:col>
      <xdr:colOff>466725</xdr:colOff>
      <xdr:row>29</xdr:row>
      <xdr:rowOff>11113</xdr:rowOff>
    </xdr:to>
    <xdr:cxnSp macro="">
      <xdr:nvCxnSpPr>
        <xdr:cNvPr id="1354" name="Straight Connector 1353"/>
        <xdr:cNvCxnSpPr/>
      </xdr:nvCxnSpPr>
      <xdr:spPr bwMode="auto">
        <a:xfrm>
          <a:off x="4486275" y="4314825"/>
          <a:ext cx="933450" cy="1588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323850</xdr:colOff>
      <xdr:row>27</xdr:row>
      <xdr:rowOff>0</xdr:rowOff>
    </xdr:from>
    <xdr:to>
      <xdr:col>7</xdr:col>
      <xdr:colOff>133350</xdr:colOff>
      <xdr:row>29</xdr:row>
      <xdr:rowOff>0</xdr:rowOff>
    </xdr:to>
    <xdr:cxnSp macro="">
      <xdr:nvCxnSpPr>
        <xdr:cNvPr id="1355" name="Straight Connector 1354"/>
        <xdr:cNvCxnSpPr/>
      </xdr:nvCxnSpPr>
      <xdr:spPr bwMode="auto">
        <a:xfrm>
          <a:off x="3981450" y="3981450"/>
          <a:ext cx="495300" cy="323850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8735</xdr:colOff>
      <xdr:row>27</xdr:row>
      <xdr:rowOff>47634</xdr:rowOff>
    </xdr:from>
    <xdr:to>
      <xdr:col>8</xdr:col>
      <xdr:colOff>9528</xdr:colOff>
      <xdr:row>31</xdr:row>
      <xdr:rowOff>57950</xdr:rowOff>
    </xdr:to>
    <xdr:cxnSp macro="">
      <xdr:nvCxnSpPr>
        <xdr:cNvPr id="1356" name="Straight Connector 1355"/>
        <xdr:cNvCxnSpPr/>
      </xdr:nvCxnSpPr>
      <xdr:spPr bwMode="auto">
        <a:xfrm rot="5400000">
          <a:off x="4633124" y="4357695"/>
          <a:ext cx="658016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26</xdr:row>
      <xdr:rowOff>152400</xdr:rowOff>
    </xdr:from>
    <xdr:to>
      <xdr:col>6</xdr:col>
      <xdr:colOff>333375</xdr:colOff>
      <xdr:row>26</xdr:row>
      <xdr:rowOff>152403</xdr:rowOff>
    </xdr:to>
    <xdr:cxnSp macro="">
      <xdr:nvCxnSpPr>
        <xdr:cNvPr id="1357" name="Straight Connector 1356"/>
        <xdr:cNvCxnSpPr/>
      </xdr:nvCxnSpPr>
      <xdr:spPr bwMode="auto">
        <a:xfrm>
          <a:off x="3657600" y="3971925"/>
          <a:ext cx="333375" cy="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510461</xdr:colOff>
      <xdr:row>26</xdr:row>
      <xdr:rowOff>135683</xdr:rowOff>
    </xdr:from>
    <xdr:to>
      <xdr:col>9</xdr:col>
      <xdr:colOff>253286</xdr:colOff>
      <xdr:row>26</xdr:row>
      <xdr:rowOff>135683</xdr:rowOff>
    </xdr:to>
    <xdr:sp macro="" textlink="">
      <xdr:nvSpPr>
        <xdr:cNvPr id="1358" name="Line 39"/>
        <xdr:cNvSpPr>
          <a:spLocks noChangeShapeType="1"/>
        </xdr:cNvSpPr>
      </xdr:nvSpPr>
      <xdr:spPr bwMode="auto">
        <a:xfrm>
          <a:off x="5463461" y="3955208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539036</xdr:colOff>
      <xdr:row>28</xdr:row>
      <xdr:rowOff>145208</xdr:rowOff>
    </xdr:from>
    <xdr:to>
      <xdr:col>9</xdr:col>
      <xdr:colOff>281861</xdr:colOff>
      <xdr:row>28</xdr:row>
      <xdr:rowOff>145208</xdr:rowOff>
    </xdr:to>
    <xdr:sp macro="" textlink="">
      <xdr:nvSpPr>
        <xdr:cNvPr id="1359" name="Line 39"/>
        <xdr:cNvSpPr>
          <a:spLocks noChangeShapeType="1"/>
        </xdr:cNvSpPr>
      </xdr:nvSpPr>
      <xdr:spPr bwMode="auto">
        <a:xfrm>
          <a:off x="5492036" y="428858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7775</xdr:colOff>
      <xdr:row>26</xdr:row>
      <xdr:rowOff>134147</xdr:rowOff>
    </xdr:from>
    <xdr:to>
      <xdr:col>9</xdr:col>
      <xdr:colOff>10320</xdr:colOff>
      <xdr:row>28</xdr:row>
      <xdr:rowOff>133353</xdr:rowOff>
    </xdr:to>
    <xdr:cxnSp macro="">
      <xdr:nvCxnSpPr>
        <xdr:cNvPr id="1360" name="Straight Arrow Connector 1359"/>
        <xdr:cNvCxnSpPr/>
      </xdr:nvCxnSpPr>
      <xdr:spPr bwMode="auto">
        <a:xfrm rot="5400000">
          <a:off x="5410120" y="4113927"/>
          <a:ext cx="323056" cy="25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8</xdr:col>
      <xdr:colOff>466726</xdr:colOff>
      <xdr:row>31</xdr:row>
      <xdr:rowOff>7</xdr:rowOff>
    </xdr:from>
    <xdr:to>
      <xdr:col>8</xdr:col>
      <xdr:colOff>466732</xdr:colOff>
      <xdr:row>32</xdr:row>
      <xdr:rowOff>85725</xdr:rowOff>
    </xdr:to>
    <xdr:cxnSp macro="">
      <xdr:nvCxnSpPr>
        <xdr:cNvPr id="1367" name="Straight Connector 1366"/>
        <xdr:cNvCxnSpPr/>
      </xdr:nvCxnSpPr>
      <xdr:spPr bwMode="auto">
        <a:xfrm rot="5400000">
          <a:off x="5295907" y="4752976"/>
          <a:ext cx="247643" cy="6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466726</xdr:colOff>
      <xdr:row>29</xdr:row>
      <xdr:rowOff>57157</xdr:rowOff>
    </xdr:from>
    <xdr:to>
      <xdr:col>8</xdr:col>
      <xdr:colOff>466732</xdr:colOff>
      <xdr:row>30</xdr:row>
      <xdr:rowOff>142875</xdr:rowOff>
    </xdr:to>
    <xdr:cxnSp macro="">
      <xdr:nvCxnSpPr>
        <xdr:cNvPr id="1369" name="Straight Connector 1368"/>
        <xdr:cNvCxnSpPr/>
      </xdr:nvCxnSpPr>
      <xdr:spPr bwMode="auto">
        <a:xfrm rot="5400000">
          <a:off x="5295907" y="4486276"/>
          <a:ext cx="247643" cy="6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142876</xdr:colOff>
      <xdr:row>29</xdr:row>
      <xdr:rowOff>114299</xdr:rowOff>
    </xdr:from>
    <xdr:to>
      <xdr:col>8</xdr:col>
      <xdr:colOff>19051</xdr:colOff>
      <xdr:row>29</xdr:row>
      <xdr:rowOff>123824</xdr:rowOff>
    </xdr:to>
    <xdr:cxnSp macro="">
      <xdr:nvCxnSpPr>
        <xdr:cNvPr id="1370" name="Straight Connector 1369"/>
        <xdr:cNvCxnSpPr/>
      </xdr:nvCxnSpPr>
      <xdr:spPr bwMode="auto">
        <a:xfrm rot="10800000" flipV="1">
          <a:off x="4486276" y="4419599"/>
          <a:ext cx="485775" cy="9525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142876</xdr:colOff>
      <xdr:row>29</xdr:row>
      <xdr:rowOff>47633</xdr:rowOff>
    </xdr:from>
    <xdr:to>
      <xdr:col>7</xdr:col>
      <xdr:colOff>142882</xdr:colOff>
      <xdr:row>30</xdr:row>
      <xdr:rowOff>133351</xdr:rowOff>
    </xdr:to>
    <xdr:cxnSp macro="">
      <xdr:nvCxnSpPr>
        <xdr:cNvPr id="1371" name="Straight Connector 1370"/>
        <xdr:cNvCxnSpPr/>
      </xdr:nvCxnSpPr>
      <xdr:spPr bwMode="auto">
        <a:xfrm rot="5400000">
          <a:off x="4362457" y="4476752"/>
          <a:ext cx="247643" cy="6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400050</xdr:colOff>
      <xdr:row>27</xdr:row>
      <xdr:rowOff>104775</xdr:rowOff>
    </xdr:from>
    <xdr:to>
      <xdr:col>6</xdr:col>
      <xdr:colOff>657225</xdr:colOff>
      <xdr:row>28</xdr:row>
      <xdr:rowOff>104775</xdr:rowOff>
    </xdr:to>
    <xdr:sp macro="" textlink="">
      <xdr:nvSpPr>
        <xdr:cNvPr id="1381" name="Right Triangle 1380"/>
        <xdr:cNvSpPr/>
      </xdr:nvSpPr>
      <xdr:spPr bwMode="auto">
        <a:xfrm>
          <a:off x="4057650" y="4086225"/>
          <a:ext cx="257175" cy="161925"/>
        </a:xfrm>
        <a:prstGeom prst="rtTriangle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463282</xdr:colOff>
      <xdr:row>23</xdr:row>
      <xdr:rowOff>104775</xdr:rowOff>
    </xdr:from>
    <xdr:to>
      <xdr:col>6</xdr:col>
      <xdr:colOff>99648</xdr:colOff>
      <xdr:row>28</xdr:row>
      <xdr:rowOff>38100</xdr:rowOff>
    </xdr:to>
    <xdr:sp macro="" textlink="">
      <xdr:nvSpPr>
        <xdr:cNvPr id="1383" name="Freeform 1382"/>
        <xdr:cNvSpPr/>
      </xdr:nvSpPr>
      <xdr:spPr bwMode="auto">
        <a:xfrm>
          <a:off x="3511282" y="3438525"/>
          <a:ext cx="245966" cy="742950"/>
        </a:xfrm>
        <a:custGeom>
          <a:avLst/>
          <a:gdLst>
            <a:gd name="connsiteX0" fmla="*/ 146318 w 245966"/>
            <a:gd name="connsiteY0" fmla="*/ 0 h 742950"/>
            <a:gd name="connsiteX1" fmla="*/ 155843 w 245966"/>
            <a:gd name="connsiteY1" fmla="*/ 361950 h 742950"/>
            <a:gd name="connsiteX2" fmla="*/ 184418 w 245966"/>
            <a:gd name="connsiteY2" fmla="*/ 352425 h 742950"/>
            <a:gd name="connsiteX3" fmla="*/ 232043 w 245966"/>
            <a:gd name="connsiteY3" fmla="*/ 314325 h 742950"/>
            <a:gd name="connsiteX4" fmla="*/ 203468 w 245966"/>
            <a:gd name="connsiteY4" fmla="*/ 371475 h 742950"/>
            <a:gd name="connsiteX5" fmla="*/ 146318 w 245966"/>
            <a:gd name="connsiteY5" fmla="*/ 409575 h 742950"/>
            <a:gd name="connsiteX6" fmla="*/ 98693 w 245966"/>
            <a:gd name="connsiteY6" fmla="*/ 447675 h 742950"/>
            <a:gd name="connsiteX7" fmla="*/ 117743 w 245966"/>
            <a:gd name="connsiteY7" fmla="*/ 476250 h 742950"/>
            <a:gd name="connsiteX8" fmla="*/ 127268 w 245966"/>
            <a:gd name="connsiteY8" fmla="*/ 742950 h 7429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245966" h="742950">
              <a:moveTo>
                <a:pt x="146318" y="0"/>
              </a:moveTo>
              <a:cubicBezTo>
                <a:pt x="149493" y="120650"/>
                <a:pt x="142871" y="241957"/>
                <a:pt x="155843" y="361950"/>
              </a:cubicBezTo>
              <a:cubicBezTo>
                <a:pt x="156922" y="371932"/>
                <a:pt x="176578" y="358697"/>
                <a:pt x="184418" y="352425"/>
              </a:cubicBezTo>
              <a:cubicBezTo>
                <a:pt x="245966" y="303186"/>
                <a:pt x="160219" y="338266"/>
                <a:pt x="232043" y="314325"/>
              </a:cubicBezTo>
              <a:cubicBezTo>
                <a:pt x="225249" y="334708"/>
                <a:pt x="220846" y="356269"/>
                <a:pt x="203468" y="371475"/>
              </a:cubicBezTo>
              <a:cubicBezTo>
                <a:pt x="186238" y="386552"/>
                <a:pt x="146318" y="409575"/>
                <a:pt x="146318" y="409575"/>
              </a:cubicBezTo>
              <a:cubicBezTo>
                <a:pt x="111119" y="462373"/>
                <a:pt x="147407" y="420612"/>
                <a:pt x="98693" y="447675"/>
              </a:cubicBezTo>
              <a:cubicBezTo>
                <a:pt x="0" y="502505"/>
                <a:pt x="41459" y="485786"/>
                <a:pt x="117743" y="476250"/>
              </a:cubicBezTo>
              <a:cubicBezTo>
                <a:pt x="152369" y="580127"/>
                <a:pt x="127268" y="494785"/>
                <a:pt x="127268" y="742950"/>
              </a:cubicBez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342902</xdr:colOff>
      <xdr:row>26</xdr:row>
      <xdr:rowOff>47625</xdr:rowOff>
    </xdr:from>
    <xdr:to>
      <xdr:col>8</xdr:col>
      <xdr:colOff>476250</xdr:colOff>
      <xdr:row>26</xdr:row>
      <xdr:rowOff>47627</xdr:rowOff>
    </xdr:to>
    <xdr:cxnSp macro="">
      <xdr:nvCxnSpPr>
        <xdr:cNvPr id="1384" name="Straight Connector 1383"/>
        <xdr:cNvCxnSpPr/>
      </xdr:nvCxnSpPr>
      <xdr:spPr bwMode="auto">
        <a:xfrm rot="10800000" flipV="1">
          <a:off x="4000502" y="3867150"/>
          <a:ext cx="1428748" cy="2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352424</xdr:colOff>
      <xdr:row>25</xdr:row>
      <xdr:rowOff>95252</xdr:rowOff>
    </xdr:from>
    <xdr:to>
      <xdr:col>6</xdr:col>
      <xdr:colOff>352425</xdr:colOff>
      <xdr:row>26</xdr:row>
      <xdr:rowOff>114303</xdr:rowOff>
    </xdr:to>
    <xdr:cxnSp macro="">
      <xdr:nvCxnSpPr>
        <xdr:cNvPr id="1389" name="Straight Connector 1388"/>
        <xdr:cNvCxnSpPr/>
      </xdr:nvCxnSpPr>
      <xdr:spPr bwMode="auto">
        <a:xfrm rot="16200000" flipH="1">
          <a:off x="3919537" y="3843339"/>
          <a:ext cx="180976" cy="1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602052</xdr:colOff>
      <xdr:row>64</xdr:row>
      <xdr:rowOff>8986</xdr:rowOff>
    </xdr:from>
    <xdr:to>
      <xdr:col>5</xdr:col>
      <xdr:colOff>386391</xdr:colOff>
      <xdr:row>66</xdr:row>
      <xdr:rowOff>17971</xdr:rowOff>
    </xdr:to>
    <xdr:sp macro="" textlink="">
      <xdr:nvSpPr>
        <xdr:cNvPr id="1401" name="Rectangle 1400"/>
        <xdr:cNvSpPr/>
      </xdr:nvSpPr>
      <xdr:spPr bwMode="auto">
        <a:xfrm>
          <a:off x="2435165" y="9749646"/>
          <a:ext cx="1006415" cy="332476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609062</xdr:colOff>
      <xdr:row>66</xdr:row>
      <xdr:rowOff>153839</xdr:rowOff>
    </xdr:from>
    <xdr:to>
      <xdr:col>8</xdr:col>
      <xdr:colOff>8987</xdr:colOff>
      <xdr:row>69</xdr:row>
      <xdr:rowOff>153839</xdr:rowOff>
    </xdr:to>
    <xdr:cxnSp macro="">
      <xdr:nvCxnSpPr>
        <xdr:cNvPr id="1403" name="Straight Connector 1402"/>
        <xdr:cNvCxnSpPr/>
      </xdr:nvCxnSpPr>
      <xdr:spPr bwMode="auto">
        <a:xfrm rot="5400000">
          <a:off x="4721077" y="10455126"/>
          <a:ext cx="485236" cy="1096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107831</xdr:colOff>
      <xdr:row>961</xdr:row>
      <xdr:rowOff>0</xdr:rowOff>
    </xdr:from>
    <xdr:to>
      <xdr:col>6</xdr:col>
      <xdr:colOff>512194</xdr:colOff>
      <xdr:row>961</xdr:row>
      <xdr:rowOff>8986</xdr:rowOff>
    </xdr:to>
    <xdr:cxnSp macro="">
      <xdr:nvCxnSpPr>
        <xdr:cNvPr id="1405" name="Straight Arrow Connector 1404"/>
        <xdr:cNvCxnSpPr/>
      </xdr:nvCxnSpPr>
      <xdr:spPr bwMode="auto">
        <a:xfrm>
          <a:off x="1329906" y="119853255"/>
          <a:ext cx="2848514" cy="898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497996</xdr:colOff>
      <xdr:row>960</xdr:row>
      <xdr:rowOff>26959</xdr:rowOff>
    </xdr:from>
    <xdr:to>
      <xdr:col>6</xdr:col>
      <xdr:colOff>499584</xdr:colOff>
      <xdr:row>962</xdr:row>
      <xdr:rowOff>26958</xdr:rowOff>
    </xdr:to>
    <xdr:cxnSp macro="">
      <xdr:nvCxnSpPr>
        <xdr:cNvPr id="1406" name="Straight Connector 1405"/>
        <xdr:cNvCxnSpPr/>
      </xdr:nvCxnSpPr>
      <xdr:spPr bwMode="auto">
        <a:xfrm rot="5400000">
          <a:off x="4003271" y="119555929"/>
          <a:ext cx="323489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102619</xdr:colOff>
      <xdr:row>960</xdr:row>
      <xdr:rowOff>8986</xdr:rowOff>
    </xdr:from>
    <xdr:to>
      <xdr:col>2</xdr:col>
      <xdr:colOff>104207</xdr:colOff>
      <xdr:row>962</xdr:row>
      <xdr:rowOff>8985</xdr:rowOff>
    </xdr:to>
    <xdr:cxnSp macro="">
      <xdr:nvCxnSpPr>
        <xdr:cNvPr id="1407" name="Straight Connector 1406"/>
        <xdr:cNvCxnSpPr/>
      </xdr:nvCxnSpPr>
      <xdr:spPr bwMode="auto">
        <a:xfrm rot="5400000">
          <a:off x="1163743" y="119861446"/>
          <a:ext cx="32349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133351</xdr:colOff>
      <xdr:row>955</xdr:row>
      <xdr:rowOff>53915</xdr:rowOff>
    </xdr:from>
    <xdr:to>
      <xdr:col>7</xdr:col>
      <xdr:colOff>1</xdr:colOff>
      <xdr:row>955</xdr:row>
      <xdr:rowOff>76200</xdr:rowOff>
    </xdr:to>
    <xdr:cxnSp macro="">
      <xdr:nvCxnSpPr>
        <xdr:cNvPr id="1410" name="Straight Connector 1409"/>
        <xdr:cNvCxnSpPr>
          <a:stCxn id="604" idx="1"/>
        </xdr:cNvCxnSpPr>
      </xdr:nvCxnSpPr>
      <xdr:spPr bwMode="auto">
        <a:xfrm rot="5400000" flipH="1" flipV="1">
          <a:off x="2841146" y="117100530"/>
          <a:ext cx="22285" cy="2993726"/>
        </a:xfrm>
        <a:prstGeom prst="line">
          <a:avLst/>
        </a:prstGeom>
        <a:noFill/>
        <a:ln w="3175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cxnSp>
    <xdr:clientData/>
  </xdr:twoCellAnchor>
  <xdr:oneCellAnchor>
    <xdr:from>
      <xdr:col>7</xdr:col>
      <xdr:colOff>323490</xdr:colOff>
      <xdr:row>957</xdr:row>
      <xdr:rowOff>8986</xdr:rowOff>
    </xdr:from>
    <xdr:ext cx="123825" cy="180975"/>
    <xdr:sp macro="" textlink="">
      <xdr:nvSpPr>
        <xdr:cNvPr id="1411" name="Text Box 161"/>
        <xdr:cNvSpPr txBox="1">
          <a:spLocks noChangeArrowheads="1"/>
        </xdr:cNvSpPr>
      </xdr:nvSpPr>
      <xdr:spPr bwMode="auto">
        <a:xfrm>
          <a:off x="4672641" y="118891769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1</xdr:col>
      <xdr:colOff>170484</xdr:colOff>
      <xdr:row>1076</xdr:row>
      <xdr:rowOff>128754</xdr:rowOff>
    </xdr:from>
    <xdr:to>
      <xdr:col>1</xdr:col>
      <xdr:colOff>172072</xdr:colOff>
      <xdr:row>1078</xdr:row>
      <xdr:rowOff>81309</xdr:rowOff>
    </xdr:to>
    <xdr:cxnSp macro="">
      <xdr:nvCxnSpPr>
        <xdr:cNvPr id="1412" name="Straight Arrow Connector 1411"/>
        <xdr:cNvCxnSpPr/>
      </xdr:nvCxnSpPr>
      <xdr:spPr bwMode="auto">
        <a:xfrm rot="5400000" flipH="1" flipV="1">
          <a:off x="644293" y="138522257"/>
          <a:ext cx="27604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608813</xdr:colOff>
      <xdr:row>1076</xdr:row>
      <xdr:rowOff>128754</xdr:rowOff>
    </xdr:from>
    <xdr:to>
      <xdr:col>6</xdr:col>
      <xdr:colOff>801</xdr:colOff>
      <xdr:row>1078</xdr:row>
      <xdr:rowOff>81309</xdr:rowOff>
    </xdr:to>
    <xdr:cxnSp macro="">
      <xdr:nvCxnSpPr>
        <xdr:cNvPr id="1413" name="Straight Arrow Connector 1412"/>
        <xdr:cNvCxnSpPr/>
      </xdr:nvCxnSpPr>
      <xdr:spPr bwMode="auto">
        <a:xfrm rot="5400000" flipH="1" flipV="1">
          <a:off x="3527492" y="138521538"/>
          <a:ext cx="276045" cy="30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170731</xdr:colOff>
      <xdr:row>1077</xdr:row>
      <xdr:rowOff>100971</xdr:rowOff>
    </xdr:from>
    <xdr:to>
      <xdr:col>6</xdr:col>
      <xdr:colOff>9525</xdr:colOff>
      <xdr:row>1077</xdr:row>
      <xdr:rowOff>107830</xdr:rowOff>
    </xdr:to>
    <xdr:cxnSp macro="">
      <xdr:nvCxnSpPr>
        <xdr:cNvPr id="1414" name="Straight Connector 1413"/>
        <xdr:cNvCxnSpPr/>
      </xdr:nvCxnSpPr>
      <xdr:spPr bwMode="auto">
        <a:xfrm flipV="1">
          <a:off x="781769" y="138518990"/>
          <a:ext cx="2893982" cy="685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180975</xdr:colOff>
      <xdr:row>197</xdr:row>
      <xdr:rowOff>9525</xdr:rowOff>
    </xdr:from>
    <xdr:to>
      <xdr:col>5</xdr:col>
      <xdr:colOff>523875</xdr:colOff>
      <xdr:row>197</xdr:row>
      <xdr:rowOff>9525</xdr:rowOff>
    </xdr:to>
    <xdr:sp macro="" textlink="">
      <xdr:nvSpPr>
        <xdr:cNvPr id="1103" name="Line 6"/>
        <xdr:cNvSpPr>
          <a:spLocks noChangeShapeType="1"/>
        </xdr:cNvSpPr>
      </xdr:nvSpPr>
      <xdr:spPr bwMode="auto">
        <a:xfrm flipH="1">
          <a:off x="2619375" y="27984450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198</xdr:row>
      <xdr:rowOff>0</xdr:rowOff>
    </xdr:from>
    <xdr:to>
      <xdr:col>3</xdr:col>
      <xdr:colOff>161925</xdr:colOff>
      <xdr:row>198</xdr:row>
      <xdr:rowOff>0</xdr:rowOff>
    </xdr:to>
    <xdr:sp macro="" textlink="">
      <xdr:nvSpPr>
        <xdr:cNvPr id="1108" name="Line 3"/>
        <xdr:cNvSpPr>
          <a:spLocks noChangeShapeType="1"/>
        </xdr:cNvSpPr>
      </xdr:nvSpPr>
      <xdr:spPr bwMode="auto">
        <a:xfrm>
          <a:off x="695325" y="28136850"/>
          <a:ext cx="1295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198</xdr:row>
      <xdr:rowOff>0</xdr:rowOff>
    </xdr:from>
    <xdr:to>
      <xdr:col>1</xdr:col>
      <xdr:colOff>85725</xdr:colOff>
      <xdr:row>199</xdr:row>
      <xdr:rowOff>47625</xdr:rowOff>
    </xdr:to>
    <xdr:sp macro="" textlink="">
      <xdr:nvSpPr>
        <xdr:cNvPr id="1110" name="Line 4"/>
        <xdr:cNvSpPr>
          <a:spLocks noChangeShapeType="1"/>
        </xdr:cNvSpPr>
      </xdr:nvSpPr>
      <xdr:spPr bwMode="auto">
        <a:xfrm>
          <a:off x="695325" y="2813685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295275</xdr:colOff>
      <xdr:row>196</xdr:row>
      <xdr:rowOff>152400</xdr:rowOff>
    </xdr:from>
    <xdr:to>
      <xdr:col>7</xdr:col>
      <xdr:colOff>561975</xdr:colOff>
      <xdr:row>196</xdr:row>
      <xdr:rowOff>152400</xdr:rowOff>
    </xdr:to>
    <xdr:sp macro="" textlink="">
      <xdr:nvSpPr>
        <xdr:cNvPr id="1125" name="Line 6"/>
        <xdr:cNvSpPr>
          <a:spLocks noChangeShapeType="1"/>
        </xdr:cNvSpPr>
      </xdr:nvSpPr>
      <xdr:spPr bwMode="auto">
        <a:xfrm flipH="1">
          <a:off x="3952875" y="27965400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195</xdr:row>
      <xdr:rowOff>28576</xdr:rowOff>
    </xdr:from>
    <xdr:to>
      <xdr:col>4</xdr:col>
      <xdr:colOff>219076</xdr:colOff>
      <xdr:row>197</xdr:row>
      <xdr:rowOff>9525</xdr:rowOff>
    </xdr:to>
    <xdr:cxnSp macro="">
      <xdr:nvCxnSpPr>
        <xdr:cNvPr id="1136" name="Straight Arrow Connector 1135"/>
        <xdr:cNvCxnSpPr>
          <a:stCxn id="633" idx="1"/>
        </xdr:cNvCxnSpPr>
      </xdr:nvCxnSpPr>
      <xdr:spPr bwMode="auto">
        <a:xfrm rot="5400000" flipH="1">
          <a:off x="2505076" y="27832050"/>
          <a:ext cx="304799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0</xdr:col>
      <xdr:colOff>323850</xdr:colOff>
      <xdr:row>526</xdr:row>
      <xdr:rowOff>9525</xdr:rowOff>
    </xdr:from>
    <xdr:to>
      <xdr:col>0</xdr:col>
      <xdr:colOff>323850</xdr:colOff>
      <xdr:row>527</xdr:row>
      <xdr:rowOff>9525</xdr:rowOff>
    </xdr:to>
    <xdr:sp macro="" textlink="">
      <xdr:nvSpPr>
        <xdr:cNvPr id="1002" name="Line 5"/>
        <xdr:cNvSpPr>
          <a:spLocks noChangeShapeType="1"/>
        </xdr:cNvSpPr>
      </xdr:nvSpPr>
      <xdr:spPr bwMode="auto">
        <a:xfrm flipV="1">
          <a:off x="323850" y="779811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473484</xdr:colOff>
      <xdr:row>524</xdr:row>
      <xdr:rowOff>47317</xdr:rowOff>
    </xdr:from>
    <xdr:to>
      <xdr:col>4</xdr:col>
      <xdr:colOff>254409</xdr:colOff>
      <xdr:row>526</xdr:row>
      <xdr:rowOff>8295</xdr:rowOff>
    </xdr:to>
    <xdr:sp macro="" textlink="">
      <xdr:nvSpPr>
        <xdr:cNvPr id="1098" name="Line 7"/>
        <xdr:cNvSpPr>
          <a:spLocks noChangeShapeType="1"/>
        </xdr:cNvSpPr>
      </xdr:nvSpPr>
      <xdr:spPr bwMode="auto">
        <a:xfrm flipV="1">
          <a:off x="2298597" y="78023269"/>
          <a:ext cx="389296" cy="28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524</xdr:row>
      <xdr:rowOff>47625</xdr:rowOff>
    </xdr:from>
    <xdr:to>
      <xdr:col>5</xdr:col>
      <xdr:colOff>600075</xdr:colOff>
      <xdr:row>524</xdr:row>
      <xdr:rowOff>47625</xdr:rowOff>
    </xdr:to>
    <xdr:sp macro="" textlink="">
      <xdr:nvSpPr>
        <xdr:cNvPr id="1101" name="Line 8"/>
        <xdr:cNvSpPr>
          <a:spLocks noChangeShapeType="1"/>
        </xdr:cNvSpPr>
      </xdr:nvSpPr>
      <xdr:spPr bwMode="auto">
        <a:xfrm>
          <a:off x="2085975" y="55540275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600074</xdr:colOff>
      <xdr:row>524</xdr:row>
      <xdr:rowOff>47625</xdr:rowOff>
    </xdr:from>
    <xdr:to>
      <xdr:col>6</xdr:col>
      <xdr:colOff>447675</xdr:colOff>
      <xdr:row>525</xdr:row>
      <xdr:rowOff>152400</xdr:rowOff>
    </xdr:to>
    <xdr:sp macro="" textlink="">
      <xdr:nvSpPr>
        <xdr:cNvPr id="1106" name="Line 9"/>
        <xdr:cNvSpPr>
          <a:spLocks noChangeShapeType="1"/>
        </xdr:cNvSpPr>
      </xdr:nvSpPr>
      <xdr:spPr bwMode="auto">
        <a:xfrm>
          <a:off x="3038474" y="55540275"/>
          <a:ext cx="457201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438150</xdr:colOff>
      <xdr:row>525</xdr:row>
      <xdr:rowOff>152400</xdr:rowOff>
    </xdr:from>
    <xdr:to>
      <xdr:col>9</xdr:col>
      <xdr:colOff>219075</xdr:colOff>
      <xdr:row>525</xdr:row>
      <xdr:rowOff>152400</xdr:rowOff>
    </xdr:to>
    <xdr:sp macro="" textlink="">
      <xdr:nvSpPr>
        <xdr:cNvPr id="1112" name="Line 10"/>
        <xdr:cNvSpPr>
          <a:spLocks noChangeShapeType="1"/>
        </xdr:cNvSpPr>
      </xdr:nvSpPr>
      <xdr:spPr bwMode="auto">
        <a:xfrm>
          <a:off x="4095750" y="77962125"/>
          <a:ext cx="1685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216884</xdr:colOff>
      <xdr:row>525</xdr:row>
      <xdr:rowOff>148186</xdr:rowOff>
    </xdr:from>
    <xdr:to>
      <xdr:col>9</xdr:col>
      <xdr:colOff>216884</xdr:colOff>
      <xdr:row>527</xdr:row>
      <xdr:rowOff>81511</xdr:rowOff>
    </xdr:to>
    <xdr:sp macro="" textlink="">
      <xdr:nvSpPr>
        <xdr:cNvPr id="1115" name="Line 11"/>
        <xdr:cNvSpPr>
          <a:spLocks noChangeShapeType="1"/>
        </xdr:cNvSpPr>
      </xdr:nvSpPr>
      <xdr:spPr bwMode="auto">
        <a:xfrm>
          <a:off x="5792802" y="77229038"/>
          <a:ext cx="0" cy="2536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519</xdr:row>
      <xdr:rowOff>123825</xdr:rowOff>
    </xdr:from>
    <xdr:to>
      <xdr:col>4</xdr:col>
      <xdr:colOff>257175</xdr:colOff>
      <xdr:row>521</xdr:row>
      <xdr:rowOff>0</xdr:rowOff>
    </xdr:to>
    <xdr:sp macro="" textlink="">
      <xdr:nvSpPr>
        <xdr:cNvPr id="1120" name="Line 12"/>
        <xdr:cNvSpPr>
          <a:spLocks noChangeShapeType="1"/>
        </xdr:cNvSpPr>
      </xdr:nvSpPr>
      <xdr:spPr bwMode="auto">
        <a:xfrm flipV="1">
          <a:off x="2085975" y="5473065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521</xdr:row>
      <xdr:rowOff>0</xdr:rowOff>
    </xdr:from>
    <xdr:to>
      <xdr:col>6</xdr:col>
      <xdr:colOff>0</xdr:colOff>
      <xdr:row>521</xdr:row>
      <xdr:rowOff>0</xdr:rowOff>
    </xdr:to>
    <xdr:sp macro="" textlink="">
      <xdr:nvSpPr>
        <xdr:cNvPr id="1131" name="Line 13"/>
        <xdr:cNvSpPr>
          <a:spLocks noChangeShapeType="1"/>
        </xdr:cNvSpPr>
      </xdr:nvSpPr>
      <xdr:spPr bwMode="auto">
        <a:xfrm>
          <a:off x="2085975" y="54930675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519</xdr:row>
      <xdr:rowOff>133350</xdr:rowOff>
    </xdr:from>
    <xdr:to>
      <xdr:col>6</xdr:col>
      <xdr:colOff>0</xdr:colOff>
      <xdr:row>521</xdr:row>
      <xdr:rowOff>0</xdr:rowOff>
    </xdr:to>
    <xdr:sp macro="" textlink="">
      <xdr:nvSpPr>
        <xdr:cNvPr id="1138" name="Line 14"/>
        <xdr:cNvSpPr>
          <a:spLocks noChangeShapeType="1"/>
        </xdr:cNvSpPr>
      </xdr:nvSpPr>
      <xdr:spPr bwMode="auto">
        <a:xfrm flipV="1">
          <a:off x="3048000" y="547401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354027</xdr:colOff>
      <xdr:row>521</xdr:row>
      <xdr:rowOff>42146</xdr:rowOff>
    </xdr:from>
    <xdr:to>
      <xdr:col>7</xdr:col>
      <xdr:colOff>573185</xdr:colOff>
      <xdr:row>523</xdr:row>
      <xdr:rowOff>172798</xdr:rowOff>
    </xdr:to>
    <xdr:sp macro="" textlink="">
      <xdr:nvSpPr>
        <xdr:cNvPr id="1142" name="Freeform 15"/>
        <xdr:cNvSpPr>
          <a:spLocks/>
        </xdr:cNvSpPr>
      </xdr:nvSpPr>
      <xdr:spPr bwMode="auto">
        <a:xfrm flipH="1">
          <a:off x="965144" y="76406515"/>
          <a:ext cx="3961725" cy="488894"/>
        </a:xfrm>
        <a:custGeom>
          <a:avLst/>
          <a:gdLst>
            <a:gd name="T0" fmla="*/ 0 w 369"/>
            <a:gd name="T1" fmla="*/ 0 h 55"/>
            <a:gd name="T2" fmla="*/ 2147483647 w 369"/>
            <a:gd name="T3" fmla="*/ 2147483647 h 55"/>
            <a:gd name="T4" fmla="*/ 2147483647 w 369"/>
            <a:gd name="T5" fmla="*/ 2147483647 h 55"/>
            <a:gd name="T6" fmla="*/ 2147483647 w 369"/>
            <a:gd name="T7" fmla="*/ 2147483647 h 55"/>
            <a:gd name="T8" fmla="*/ 2147483647 w 369"/>
            <a:gd name="T9" fmla="*/ 2147483647 h 55"/>
            <a:gd name="T10" fmla="*/ 2147483647 w 369"/>
            <a:gd name="T11" fmla="*/ 2147483647 h 55"/>
            <a:gd name="T12" fmla="*/ 2147483647 w 369"/>
            <a:gd name="T13" fmla="*/ 2147483647 h 55"/>
            <a:gd name="T14" fmla="*/ 2147483647 w 369"/>
            <a:gd name="T15" fmla="*/ 2147483647 h 55"/>
            <a:gd name="T16" fmla="*/ 2147483647 w 369"/>
            <a:gd name="T17" fmla="*/ 2147483647 h 55"/>
            <a:gd name="T18" fmla="*/ 2147483647 w 369"/>
            <a:gd name="T19" fmla="*/ 2147483647 h 55"/>
            <a:gd name="T20" fmla="*/ 2147483647 w 369"/>
            <a:gd name="T21" fmla="*/ 2147483647 h 55"/>
            <a:gd name="T22" fmla="*/ 2147483647 w 369"/>
            <a:gd name="T23" fmla="*/ 2147483647 h 55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69"/>
            <a:gd name="T37" fmla="*/ 0 h 55"/>
            <a:gd name="T38" fmla="*/ 369 w 369"/>
            <a:gd name="T39" fmla="*/ 55 h 55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69" h="55">
              <a:moveTo>
                <a:pt x="0" y="0"/>
              </a:moveTo>
              <a:cubicBezTo>
                <a:pt x="52" y="2"/>
                <a:pt x="102" y="21"/>
                <a:pt x="153" y="27"/>
              </a:cubicBezTo>
              <a:cubicBezTo>
                <a:pt x="161" y="30"/>
                <a:pt x="170" y="33"/>
                <a:pt x="178" y="34"/>
              </a:cubicBezTo>
              <a:cubicBezTo>
                <a:pt x="191" y="38"/>
                <a:pt x="204" y="42"/>
                <a:pt x="217" y="46"/>
              </a:cubicBezTo>
              <a:cubicBezTo>
                <a:pt x="222" y="48"/>
                <a:pt x="226" y="48"/>
                <a:pt x="231" y="50"/>
              </a:cubicBezTo>
              <a:cubicBezTo>
                <a:pt x="232" y="50"/>
                <a:pt x="234" y="51"/>
                <a:pt x="234" y="51"/>
              </a:cubicBezTo>
              <a:cubicBezTo>
                <a:pt x="238" y="55"/>
                <a:pt x="241" y="54"/>
                <a:pt x="246" y="51"/>
              </a:cubicBezTo>
              <a:cubicBezTo>
                <a:pt x="248" y="46"/>
                <a:pt x="247" y="43"/>
                <a:pt x="252" y="41"/>
              </a:cubicBezTo>
              <a:cubicBezTo>
                <a:pt x="253" y="37"/>
                <a:pt x="255" y="29"/>
                <a:pt x="259" y="28"/>
              </a:cubicBezTo>
              <a:cubicBezTo>
                <a:pt x="260" y="24"/>
                <a:pt x="264" y="21"/>
                <a:pt x="268" y="18"/>
              </a:cubicBezTo>
              <a:cubicBezTo>
                <a:pt x="272" y="6"/>
                <a:pt x="278" y="10"/>
                <a:pt x="296" y="9"/>
              </a:cubicBezTo>
              <a:cubicBezTo>
                <a:pt x="319" y="8"/>
                <a:pt x="345" y="8"/>
                <a:pt x="369" y="8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257175</xdr:colOff>
      <xdr:row>523</xdr:row>
      <xdr:rowOff>28575</xdr:rowOff>
    </xdr:from>
    <xdr:ext cx="171450" cy="342900"/>
    <xdr:sp macro="" textlink="">
      <xdr:nvSpPr>
        <xdr:cNvPr id="1143" name="Text Box 16"/>
        <xdr:cNvSpPr txBox="1">
          <a:spLocks noChangeArrowheads="1"/>
        </xdr:cNvSpPr>
      </xdr:nvSpPr>
      <xdr:spPr bwMode="auto">
        <a:xfrm>
          <a:off x="2695575" y="77476350"/>
          <a:ext cx="1714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 y</a:t>
          </a:r>
          <a:r>
            <a:rPr lang="en-GB" sz="7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 editAs="oneCell">
    <xdr:from>
      <xdr:col>6</xdr:col>
      <xdr:colOff>476250</xdr:colOff>
      <xdr:row>524</xdr:row>
      <xdr:rowOff>28575</xdr:rowOff>
    </xdr:from>
    <xdr:to>
      <xdr:col>6</xdr:col>
      <xdr:colOff>552450</xdr:colOff>
      <xdr:row>525</xdr:row>
      <xdr:rowOff>66675</xdr:rowOff>
    </xdr:to>
    <xdr:sp macro="" textlink="">
      <xdr:nvSpPr>
        <xdr:cNvPr id="1152" name="Text Box 18"/>
        <xdr:cNvSpPr txBox="1">
          <a:spLocks noChangeArrowheads="1"/>
        </xdr:cNvSpPr>
      </xdr:nvSpPr>
      <xdr:spPr bwMode="auto">
        <a:xfrm>
          <a:off x="3524250" y="555212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514349</xdr:colOff>
      <xdr:row>523</xdr:row>
      <xdr:rowOff>190500</xdr:rowOff>
    </xdr:from>
    <xdr:ext cx="200025" cy="318036"/>
    <xdr:sp macro="" textlink="">
      <xdr:nvSpPr>
        <xdr:cNvPr id="1155" name="Text Box 19"/>
        <xdr:cNvSpPr txBox="1">
          <a:spLocks noChangeArrowheads="1"/>
        </xdr:cNvSpPr>
      </xdr:nvSpPr>
      <xdr:spPr bwMode="auto">
        <a:xfrm>
          <a:off x="2343149" y="77638275"/>
          <a:ext cx="200025" cy="318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y</a:t>
          </a:r>
          <a:r>
            <a:rPr lang="en-GB" sz="7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7</xdr:col>
      <xdr:colOff>608926</xdr:colOff>
      <xdr:row>519</xdr:row>
      <xdr:rowOff>73080</xdr:rowOff>
    </xdr:from>
    <xdr:to>
      <xdr:col>7</xdr:col>
      <xdr:colOff>608926</xdr:colOff>
      <xdr:row>520</xdr:row>
      <xdr:rowOff>139755</xdr:rowOff>
    </xdr:to>
    <xdr:sp macro="" textlink="">
      <xdr:nvSpPr>
        <xdr:cNvPr id="1156" name="Line 28"/>
        <xdr:cNvSpPr>
          <a:spLocks noChangeShapeType="1"/>
        </xdr:cNvSpPr>
      </xdr:nvSpPr>
      <xdr:spPr bwMode="auto">
        <a:xfrm>
          <a:off x="4962610" y="76117140"/>
          <a:ext cx="0" cy="2268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2023</xdr:colOff>
      <xdr:row>526</xdr:row>
      <xdr:rowOff>120706</xdr:rowOff>
    </xdr:from>
    <xdr:to>
      <xdr:col>8</xdr:col>
      <xdr:colOff>2023</xdr:colOff>
      <xdr:row>527</xdr:row>
      <xdr:rowOff>139756</xdr:rowOff>
    </xdr:to>
    <xdr:sp macro="" textlink="">
      <xdr:nvSpPr>
        <xdr:cNvPr id="1157" name="Line 29"/>
        <xdr:cNvSpPr>
          <a:spLocks noChangeShapeType="1"/>
        </xdr:cNvSpPr>
      </xdr:nvSpPr>
      <xdr:spPr bwMode="auto">
        <a:xfrm>
          <a:off x="4966824" y="77361713"/>
          <a:ext cx="0" cy="179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6</xdr:col>
      <xdr:colOff>409575</xdr:colOff>
      <xdr:row>520</xdr:row>
      <xdr:rowOff>47625</xdr:rowOff>
    </xdr:from>
    <xdr:ext cx="19050" cy="342900"/>
    <xdr:sp macro="" textlink="">
      <xdr:nvSpPr>
        <xdr:cNvPr id="1158" name="Text Box 31"/>
        <xdr:cNvSpPr txBox="1">
          <a:spLocks noChangeArrowheads="1"/>
        </xdr:cNvSpPr>
      </xdr:nvSpPr>
      <xdr:spPr bwMode="auto">
        <a:xfrm>
          <a:off x="3457575" y="5481637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8</xdr:col>
      <xdr:colOff>211138</xdr:colOff>
      <xdr:row>521</xdr:row>
      <xdr:rowOff>65540</xdr:rowOff>
    </xdr:from>
    <xdr:to>
      <xdr:col>8</xdr:col>
      <xdr:colOff>363538</xdr:colOff>
      <xdr:row>521</xdr:row>
      <xdr:rowOff>65540</xdr:rowOff>
    </xdr:to>
    <xdr:sp macro="" textlink="">
      <xdr:nvSpPr>
        <xdr:cNvPr id="1159" name="Line 32"/>
        <xdr:cNvSpPr>
          <a:spLocks noChangeShapeType="1"/>
        </xdr:cNvSpPr>
      </xdr:nvSpPr>
      <xdr:spPr bwMode="auto">
        <a:xfrm>
          <a:off x="5154920" y="77479209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275431</xdr:colOff>
      <xdr:row>521</xdr:row>
      <xdr:rowOff>104774</xdr:rowOff>
    </xdr:from>
    <xdr:to>
      <xdr:col>8</xdr:col>
      <xdr:colOff>304006</xdr:colOff>
      <xdr:row>521</xdr:row>
      <xdr:rowOff>104774</xdr:rowOff>
    </xdr:to>
    <xdr:sp macro="" textlink="">
      <xdr:nvSpPr>
        <xdr:cNvPr id="1160" name="Line 33"/>
        <xdr:cNvSpPr>
          <a:spLocks noChangeShapeType="1"/>
        </xdr:cNvSpPr>
      </xdr:nvSpPr>
      <xdr:spPr bwMode="auto">
        <a:xfrm>
          <a:off x="5228431" y="77190599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113038</xdr:colOff>
      <xdr:row>521</xdr:row>
      <xdr:rowOff>141221</xdr:rowOff>
    </xdr:from>
    <xdr:to>
      <xdr:col>1</xdr:col>
      <xdr:colOff>322588</xdr:colOff>
      <xdr:row>521</xdr:row>
      <xdr:rowOff>141221</xdr:rowOff>
    </xdr:to>
    <xdr:sp macro="" textlink="">
      <xdr:nvSpPr>
        <xdr:cNvPr id="1161" name="Line 34"/>
        <xdr:cNvSpPr>
          <a:spLocks noChangeShapeType="1"/>
        </xdr:cNvSpPr>
      </xdr:nvSpPr>
      <xdr:spPr bwMode="auto">
        <a:xfrm>
          <a:off x="723308" y="77595266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160696</xdr:colOff>
      <xdr:row>521</xdr:row>
      <xdr:rowOff>160874</xdr:rowOff>
    </xdr:from>
    <xdr:to>
      <xdr:col>1</xdr:col>
      <xdr:colOff>236896</xdr:colOff>
      <xdr:row>521</xdr:row>
      <xdr:rowOff>160874</xdr:rowOff>
    </xdr:to>
    <xdr:sp macro="" textlink="">
      <xdr:nvSpPr>
        <xdr:cNvPr id="1162" name="Line 36"/>
        <xdr:cNvSpPr>
          <a:spLocks noChangeShapeType="1"/>
        </xdr:cNvSpPr>
      </xdr:nvSpPr>
      <xdr:spPr bwMode="auto">
        <a:xfrm>
          <a:off x="770966" y="77614919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5</xdr:col>
      <xdr:colOff>552450</xdr:colOff>
      <xdr:row>526</xdr:row>
      <xdr:rowOff>123825</xdr:rowOff>
    </xdr:from>
    <xdr:to>
      <xdr:col>6</xdr:col>
      <xdr:colOff>19050</xdr:colOff>
      <xdr:row>528</xdr:row>
      <xdr:rowOff>0</xdr:rowOff>
    </xdr:to>
    <xdr:sp macro="" textlink="">
      <xdr:nvSpPr>
        <xdr:cNvPr id="1164" name="Text Box 42"/>
        <xdr:cNvSpPr txBox="1">
          <a:spLocks noChangeArrowheads="1"/>
        </xdr:cNvSpPr>
      </xdr:nvSpPr>
      <xdr:spPr bwMode="auto">
        <a:xfrm>
          <a:off x="2990850" y="559403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5</xdr:col>
      <xdr:colOff>552450</xdr:colOff>
      <xdr:row>521</xdr:row>
      <xdr:rowOff>28575</xdr:rowOff>
    </xdr:from>
    <xdr:ext cx="19050" cy="342900"/>
    <xdr:sp macro="" textlink="">
      <xdr:nvSpPr>
        <xdr:cNvPr id="1165" name="Text Box 43"/>
        <xdr:cNvSpPr txBox="1">
          <a:spLocks noChangeArrowheads="1"/>
        </xdr:cNvSpPr>
      </xdr:nvSpPr>
      <xdr:spPr bwMode="auto">
        <a:xfrm>
          <a:off x="2990850" y="54959250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5</xdr:col>
      <xdr:colOff>600075</xdr:colOff>
      <xdr:row>526</xdr:row>
      <xdr:rowOff>104775</xdr:rowOff>
    </xdr:from>
    <xdr:to>
      <xdr:col>5</xdr:col>
      <xdr:colOff>600075</xdr:colOff>
      <xdr:row>527</xdr:row>
      <xdr:rowOff>85725</xdr:rowOff>
    </xdr:to>
    <xdr:sp macro="" textlink="">
      <xdr:nvSpPr>
        <xdr:cNvPr id="1166" name="Line 66"/>
        <xdr:cNvSpPr>
          <a:spLocks noChangeShapeType="1"/>
        </xdr:cNvSpPr>
      </xdr:nvSpPr>
      <xdr:spPr bwMode="auto">
        <a:xfrm>
          <a:off x="3038475" y="559212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6</xdr:col>
      <xdr:colOff>304799</xdr:colOff>
      <xdr:row>525</xdr:row>
      <xdr:rowOff>142875</xdr:rowOff>
    </xdr:from>
    <xdr:ext cx="161924" cy="170560"/>
    <xdr:sp macro="" textlink="">
      <xdr:nvSpPr>
        <xdr:cNvPr id="1168" name="Text Box 69"/>
        <xdr:cNvSpPr txBox="1">
          <a:spLocks noChangeArrowheads="1"/>
        </xdr:cNvSpPr>
      </xdr:nvSpPr>
      <xdr:spPr bwMode="auto">
        <a:xfrm flipH="1">
          <a:off x="3352799" y="55797450"/>
          <a:ext cx="16192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</xdr:col>
      <xdr:colOff>479537</xdr:colOff>
      <xdr:row>526</xdr:row>
      <xdr:rowOff>66675</xdr:rowOff>
    </xdr:from>
    <xdr:to>
      <xdr:col>3</xdr:col>
      <xdr:colOff>479537</xdr:colOff>
      <xdr:row>527</xdr:row>
      <xdr:rowOff>0</xdr:rowOff>
    </xdr:to>
    <xdr:sp macro="" textlink="">
      <xdr:nvSpPr>
        <xdr:cNvPr id="1169" name="Line 2369"/>
        <xdr:cNvSpPr>
          <a:spLocks noChangeShapeType="1"/>
        </xdr:cNvSpPr>
      </xdr:nvSpPr>
      <xdr:spPr bwMode="auto">
        <a:xfrm>
          <a:off x="2312889" y="77307682"/>
          <a:ext cx="0" cy="9348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266700</xdr:colOff>
      <xdr:row>526</xdr:row>
      <xdr:rowOff>66675</xdr:rowOff>
    </xdr:from>
    <xdr:to>
      <xdr:col>4</xdr:col>
      <xdr:colOff>266700</xdr:colOff>
      <xdr:row>526</xdr:row>
      <xdr:rowOff>152400</xdr:rowOff>
    </xdr:to>
    <xdr:sp macro="" textlink="">
      <xdr:nvSpPr>
        <xdr:cNvPr id="1170" name="Line 2370"/>
        <xdr:cNvSpPr>
          <a:spLocks noChangeShapeType="1"/>
        </xdr:cNvSpPr>
      </xdr:nvSpPr>
      <xdr:spPr bwMode="auto">
        <a:xfrm>
          <a:off x="2095500" y="558831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314325</xdr:colOff>
      <xdr:row>526</xdr:row>
      <xdr:rowOff>76200</xdr:rowOff>
    </xdr:from>
    <xdr:ext cx="19050" cy="342900"/>
    <xdr:sp macro="" textlink="">
      <xdr:nvSpPr>
        <xdr:cNvPr id="1173" name="Text Box 2371"/>
        <xdr:cNvSpPr txBox="1">
          <a:spLocks noChangeArrowheads="1"/>
        </xdr:cNvSpPr>
      </xdr:nvSpPr>
      <xdr:spPr bwMode="auto">
        <a:xfrm>
          <a:off x="2143125" y="55892700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4</xdr:col>
      <xdr:colOff>314325</xdr:colOff>
      <xdr:row>527</xdr:row>
      <xdr:rowOff>0</xdr:rowOff>
    </xdr:from>
    <xdr:ext cx="19050" cy="342900"/>
    <xdr:sp macro="" textlink="">
      <xdr:nvSpPr>
        <xdr:cNvPr id="1176" name="Text Box 2372"/>
        <xdr:cNvSpPr txBox="1">
          <a:spLocks noChangeArrowheads="1"/>
        </xdr:cNvSpPr>
      </xdr:nvSpPr>
      <xdr:spPr bwMode="auto">
        <a:xfrm>
          <a:off x="2143125" y="5597842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4</xdr:col>
      <xdr:colOff>314325</xdr:colOff>
      <xdr:row>527</xdr:row>
      <xdr:rowOff>0</xdr:rowOff>
    </xdr:from>
    <xdr:ext cx="19050" cy="342900"/>
    <xdr:sp macro="" textlink="">
      <xdr:nvSpPr>
        <xdr:cNvPr id="1177" name="Text Box 2373"/>
        <xdr:cNvSpPr txBox="1">
          <a:spLocks noChangeArrowheads="1"/>
        </xdr:cNvSpPr>
      </xdr:nvSpPr>
      <xdr:spPr bwMode="auto">
        <a:xfrm>
          <a:off x="2143125" y="5597842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 editAs="oneCell">
    <xdr:from>
      <xdr:col>6</xdr:col>
      <xdr:colOff>171450</xdr:colOff>
      <xdr:row>520</xdr:row>
      <xdr:rowOff>95250</xdr:rowOff>
    </xdr:from>
    <xdr:to>
      <xdr:col>6</xdr:col>
      <xdr:colOff>247650</xdr:colOff>
      <xdr:row>521</xdr:row>
      <xdr:rowOff>133350</xdr:rowOff>
    </xdr:to>
    <xdr:sp macro="" textlink="">
      <xdr:nvSpPr>
        <xdr:cNvPr id="1182" name="Text Box 2716"/>
        <xdr:cNvSpPr txBox="1">
          <a:spLocks noChangeArrowheads="1"/>
        </xdr:cNvSpPr>
      </xdr:nvSpPr>
      <xdr:spPr bwMode="auto">
        <a:xfrm>
          <a:off x="3219450" y="548640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499936</xdr:colOff>
      <xdr:row>517</xdr:row>
      <xdr:rowOff>176423</xdr:rowOff>
    </xdr:from>
    <xdr:to>
      <xdr:col>8</xdr:col>
      <xdr:colOff>117419</xdr:colOff>
      <xdr:row>519</xdr:row>
      <xdr:rowOff>69624</xdr:rowOff>
    </xdr:to>
    <xdr:sp macro="" textlink="">
      <xdr:nvSpPr>
        <xdr:cNvPr id="1190" name="Oval 3239"/>
        <xdr:cNvSpPr>
          <a:spLocks noChangeArrowheads="1"/>
        </xdr:cNvSpPr>
      </xdr:nvSpPr>
      <xdr:spPr bwMode="auto">
        <a:xfrm>
          <a:off x="4853620" y="75879100"/>
          <a:ext cx="228600" cy="234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7</xdr:col>
      <xdr:colOff>499936</xdr:colOff>
      <xdr:row>527</xdr:row>
      <xdr:rowOff>145826</xdr:rowOff>
    </xdr:from>
    <xdr:to>
      <xdr:col>8</xdr:col>
      <xdr:colOff>126944</xdr:colOff>
      <xdr:row>529</xdr:row>
      <xdr:rowOff>23771</xdr:rowOff>
    </xdr:to>
    <xdr:sp macro="" textlink="">
      <xdr:nvSpPr>
        <xdr:cNvPr id="1191" name="Oval 3240"/>
        <xdr:cNvSpPr>
          <a:spLocks noChangeArrowheads="1"/>
        </xdr:cNvSpPr>
      </xdr:nvSpPr>
      <xdr:spPr bwMode="auto">
        <a:xfrm>
          <a:off x="4853620" y="77546988"/>
          <a:ext cx="238125" cy="19825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5</xdr:col>
      <xdr:colOff>231972</xdr:colOff>
      <xdr:row>518</xdr:row>
      <xdr:rowOff>5311</xdr:rowOff>
    </xdr:from>
    <xdr:to>
      <xdr:col>5</xdr:col>
      <xdr:colOff>485691</xdr:colOff>
      <xdr:row>529</xdr:row>
      <xdr:rowOff>12306</xdr:rowOff>
    </xdr:to>
    <xdr:grpSp>
      <xdr:nvGrpSpPr>
        <xdr:cNvPr id="18" name="Group 17"/>
        <xdr:cNvGrpSpPr/>
      </xdr:nvGrpSpPr>
      <xdr:grpSpPr>
        <a:xfrm>
          <a:off x="3279972" y="88283011"/>
          <a:ext cx="253719" cy="1864370"/>
          <a:chOff x="2175072" y="86120836"/>
          <a:chExt cx="253719" cy="1864370"/>
        </a:xfrm>
      </xdr:grpSpPr>
      <xdr:sp macro="" textlink="">
        <xdr:nvSpPr>
          <xdr:cNvPr id="1178" name="Line 2714"/>
          <xdr:cNvSpPr>
            <a:spLocks noChangeShapeType="1"/>
          </xdr:cNvSpPr>
        </xdr:nvSpPr>
        <xdr:spPr bwMode="auto">
          <a:xfrm>
            <a:off x="2307158" y="87579424"/>
            <a:ext cx="0" cy="1809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79" name="Line 2715"/>
          <xdr:cNvSpPr>
            <a:spLocks noChangeShapeType="1"/>
          </xdr:cNvSpPr>
        </xdr:nvSpPr>
        <xdr:spPr bwMode="auto">
          <a:xfrm flipV="1">
            <a:off x="2270322" y="86320861"/>
            <a:ext cx="0" cy="20955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93" name="Oval 3241"/>
          <xdr:cNvSpPr>
            <a:spLocks noChangeArrowheads="1"/>
          </xdr:cNvSpPr>
        </xdr:nvSpPr>
        <xdr:spPr bwMode="auto">
          <a:xfrm>
            <a:off x="2175072" y="86120836"/>
            <a:ext cx="238125" cy="238125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GB" sz="1000" b="1" i="0" strike="noStrike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xdr:txBody>
      </xdr:sp>
      <xdr:sp macro="" textlink="">
        <xdr:nvSpPr>
          <xdr:cNvPr id="1194" name="Oval 3242"/>
          <xdr:cNvSpPr>
            <a:spLocks noChangeArrowheads="1"/>
          </xdr:cNvSpPr>
        </xdr:nvSpPr>
        <xdr:spPr bwMode="auto">
          <a:xfrm>
            <a:off x="2200191" y="87767902"/>
            <a:ext cx="228600" cy="217304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GB" sz="1000" b="1" i="0" strike="noStrike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xdr:txBody>
      </xdr:sp>
    </xdr:grpSp>
    <xdr:clientData/>
  </xdr:twoCellAnchor>
  <xdr:oneCellAnchor>
    <xdr:from>
      <xdr:col>4</xdr:col>
      <xdr:colOff>304800</xdr:colOff>
      <xdr:row>526</xdr:row>
      <xdr:rowOff>142875</xdr:rowOff>
    </xdr:from>
    <xdr:ext cx="160941" cy="180036"/>
    <xdr:sp macro="" textlink="">
      <xdr:nvSpPr>
        <xdr:cNvPr id="1196" name="Text Box 3261"/>
        <xdr:cNvSpPr txBox="1">
          <a:spLocks noChangeArrowheads="1"/>
        </xdr:cNvSpPr>
      </xdr:nvSpPr>
      <xdr:spPr bwMode="auto">
        <a:xfrm>
          <a:off x="2133600" y="55959375"/>
          <a:ext cx="160941" cy="180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m.</a:t>
          </a:r>
        </a:p>
      </xdr:txBody>
    </xdr:sp>
    <xdr:clientData/>
  </xdr:oneCellAnchor>
  <xdr:twoCellAnchor>
    <xdr:from>
      <xdr:col>3</xdr:col>
      <xdr:colOff>308087</xdr:colOff>
      <xdr:row>526</xdr:row>
      <xdr:rowOff>114300</xdr:rowOff>
    </xdr:from>
    <xdr:to>
      <xdr:col>3</xdr:col>
      <xdr:colOff>479537</xdr:colOff>
      <xdr:row>526</xdr:row>
      <xdr:rowOff>114300</xdr:rowOff>
    </xdr:to>
    <xdr:sp macro="" textlink="">
      <xdr:nvSpPr>
        <xdr:cNvPr id="1198" name="Line 3262"/>
        <xdr:cNvSpPr>
          <a:spLocks noChangeShapeType="1"/>
        </xdr:cNvSpPr>
      </xdr:nvSpPr>
      <xdr:spPr bwMode="auto">
        <a:xfrm>
          <a:off x="2141439" y="77355307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266700</xdr:colOff>
      <xdr:row>526</xdr:row>
      <xdr:rowOff>114300</xdr:rowOff>
    </xdr:from>
    <xdr:to>
      <xdr:col>4</xdr:col>
      <xdr:colOff>466725</xdr:colOff>
      <xdr:row>526</xdr:row>
      <xdr:rowOff>114300</xdr:rowOff>
    </xdr:to>
    <xdr:sp macro="" textlink="">
      <xdr:nvSpPr>
        <xdr:cNvPr id="1200" name="Line 3263"/>
        <xdr:cNvSpPr>
          <a:spLocks noChangeShapeType="1"/>
        </xdr:cNvSpPr>
      </xdr:nvSpPr>
      <xdr:spPr bwMode="auto">
        <a:xfrm flipH="1">
          <a:off x="2095500" y="55930800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oneCellAnchor>
    <xdr:from>
      <xdr:col>8</xdr:col>
      <xdr:colOff>276224</xdr:colOff>
      <xdr:row>524</xdr:row>
      <xdr:rowOff>76200</xdr:rowOff>
    </xdr:from>
    <xdr:ext cx="161924" cy="170560"/>
    <xdr:sp macro="" textlink="">
      <xdr:nvSpPr>
        <xdr:cNvPr id="1204" name="Text Box 69"/>
        <xdr:cNvSpPr txBox="1">
          <a:spLocks noChangeArrowheads="1"/>
        </xdr:cNvSpPr>
      </xdr:nvSpPr>
      <xdr:spPr bwMode="auto">
        <a:xfrm flipH="1">
          <a:off x="4619624" y="55568850"/>
          <a:ext cx="16192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190500</xdr:colOff>
      <xdr:row>524</xdr:row>
      <xdr:rowOff>9525</xdr:rowOff>
    </xdr:from>
    <xdr:to>
      <xdr:col>2</xdr:col>
      <xdr:colOff>466725</xdr:colOff>
      <xdr:row>524</xdr:row>
      <xdr:rowOff>11113</xdr:rowOff>
    </xdr:to>
    <xdr:cxnSp macro="">
      <xdr:nvCxnSpPr>
        <xdr:cNvPr id="1208" name="Straight Connector 3312"/>
        <xdr:cNvCxnSpPr>
          <a:cxnSpLocks noChangeShapeType="1"/>
        </xdr:cNvCxnSpPr>
      </xdr:nvCxnSpPr>
      <xdr:spPr bwMode="auto">
        <a:xfrm>
          <a:off x="800100" y="55502175"/>
          <a:ext cx="276225" cy="1588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5</xdr:col>
      <xdr:colOff>589756</xdr:colOff>
      <xdr:row>521</xdr:row>
      <xdr:rowOff>794</xdr:rowOff>
    </xdr:from>
    <xdr:to>
      <xdr:col>5</xdr:col>
      <xdr:colOff>591344</xdr:colOff>
      <xdr:row>524</xdr:row>
      <xdr:rowOff>48419</xdr:rowOff>
    </xdr:to>
    <xdr:cxnSp macro="">
      <xdr:nvCxnSpPr>
        <xdr:cNvPr id="1209" name="Straight Arrow Connector 1208"/>
        <xdr:cNvCxnSpPr/>
      </xdr:nvCxnSpPr>
      <xdr:spPr bwMode="auto">
        <a:xfrm rot="5400000">
          <a:off x="3333750" y="77390625"/>
          <a:ext cx="609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 editAs="oneCell">
    <xdr:from>
      <xdr:col>6</xdr:col>
      <xdr:colOff>361950</xdr:colOff>
      <xdr:row>531</xdr:row>
      <xdr:rowOff>123825</xdr:rowOff>
    </xdr:from>
    <xdr:to>
      <xdr:col>6</xdr:col>
      <xdr:colOff>438150</xdr:colOff>
      <xdr:row>532</xdr:row>
      <xdr:rowOff>161636</xdr:rowOff>
    </xdr:to>
    <xdr:sp macro="" textlink="">
      <xdr:nvSpPr>
        <xdr:cNvPr id="1210" name="Text Box 74"/>
        <xdr:cNvSpPr txBox="1">
          <a:spLocks noChangeArrowheads="1"/>
        </xdr:cNvSpPr>
      </xdr:nvSpPr>
      <xdr:spPr bwMode="auto">
        <a:xfrm>
          <a:off x="4705350" y="567499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548</xdr:row>
      <xdr:rowOff>190500</xdr:rowOff>
    </xdr:from>
    <xdr:to>
      <xdr:col>2</xdr:col>
      <xdr:colOff>114300</xdr:colOff>
      <xdr:row>548</xdr:row>
      <xdr:rowOff>192088</xdr:rowOff>
    </xdr:to>
    <xdr:cxnSp macro="">
      <xdr:nvCxnSpPr>
        <xdr:cNvPr id="1211" name="Straight Connector 1210"/>
        <xdr:cNvCxnSpPr/>
      </xdr:nvCxnSpPr>
      <xdr:spPr bwMode="auto">
        <a:xfrm>
          <a:off x="1000125" y="59931300"/>
          <a:ext cx="333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504825</xdr:colOff>
      <xdr:row>524</xdr:row>
      <xdr:rowOff>0</xdr:rowOff>
    </xdr:from>
    <xdr:to>
      <xdr:col>8</xdr:col>
      <xdr:colOff>104775</xdr:colOff>
      <xdr:row>524</xdr:row>
      <xdr:rowOff>2</xdr:rowOff>
    </xdr:to>
    <xdr:cxnSp macro="">
      <xdr:nvCxnSpPr>
        <xdr:cNvPr id="1212" name="Straight Arrow Connector 1211"/>
        <xdr:cNvCxnSpPr/>
      </xdr:nvCxnSpPr>
      <xdr:spPr bwMode="auto">
        <a:xfrm>
          <a:off x="4162425" y="55492650"/>
          <a:ext cx="2857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8734</xdr:colOff>
      <xdr:row>524</xdr:row>
      <xdr:rowOff>797</xdr:rowOff>
    </xdr:from>
    <xdr:to>
      <xdr:col>8</xdr:col>
      <xdr:colOff>10322</xdr:colOff>
      <xdr:row>525</xdr:row>
      <xdr:rowOff>153197</xdr:rowOff>
    </xdr:to>
    <xdr:cxnSp macro="">
      <xdr:nvCxnSpPr>
        <xdr:cNvPr id="1214" name="Straight Arrow Connector 1213"/>
        <xdr:cNvCxnSpPr/>
      </xdr:nvCxnSpPr>
      <xdr:spPr bwMode="auto">
        <a:xfrm rot="16200000" flipH="1">
          <a:off x="4195765" y="55649816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2</xdr:col>
      <xdr:colOff>313532</xdr:colOff>
      <xdr:row>524</xdr:row>
      <xdr:rowOff>12293</xdr:rowOff>
    </xdr:from>
    <xdr:to>
      <xdr:col>2</xdr:col>
      <xdr:colOff>316476</xdr:colOff>
      <xdr:row>526</xdr:row>
      <xdr:rowOff>794</xdr:rowOff>
    </xdr:to>
    <xdr:cxnSp macro="">
      <xdr:nvCxnSpPr>
        <xdr:cNvPr id="1217" name="Straight Arrow Connector 1216"/>
        <xdr:cNvCxnSpPr/>
      </xdr:nvCxnSpPr>
      <xdr:spPr bwMode="auto">
        <a:xfrm rot="5400000">
          <a:off x="1374649" y="78143870"/>
          <a:ext cx="314194" cy="294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0</xdr:col>
      <xdr:colOff>386953</xdr:colOff>
      <xdr:row>521</xdr:row>
      <xdr:rowOff>110133</xdr:rowOff>
    </xdr:from>
    <xdr:to>
      <xdr:col>1</xdr:col>
      <xdr:colOff>369826</xdr:colOff>
      <xdr:row>521</xdr:row>
      <xdr:rowOff>113897</xdr:rowOff>
    </xdr:to>
    <xdr:cxnSp macro="">
      <xdr:nvCxnSpPr>
        <xdr:cNvPr id="1218" name="Straight Connector 1217"/>
        <xdr:cNvCxnSpPr/>
      </xdr:nvCxnSpPr>
      <xdr:spPr bwMode="auto">
        <a:xfrm rot="10800000">
          <a:off x="386953" y="76738758"/>
          <a:ext cx="593068" cy="376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136236</xdr:colOff>
      <xdr:row>521</xdr:row>
      <xdr:rowOff>14629</xdr:rowOff>
    </xdr:from>
    <xdr:to>
      <xdr:col>1</xdr:col>
      <xdr:colOff>221961</xdr:colOff>
      <xdr:row>521</xdr:row>
      <xdr:rowOff>90829</xdr:rowOff>
    </xdr:to>
    <xdr:sp macro="" textlink="">
      <xdr:nvSpPr>
        <xdr:cNvPr id="1226" name="Flowchart: Merge 1225"/>
        <xdr:cNvSpPr/>
      </xdr:nvSpPr>
      <xdr:spPr bwMode="auto">
        <a:xfrm>
          <a:off x="745259" y="76965084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210468</xdr:colOff>
      <xdr:row>520</xdr:row>
      <xdr:rowOff>117692</xdr:rowOff>
    </xdr:from>
    <xdr:to>
      <xdr:col>8</xdr:col>
      <xdr:colOff>296193</xdr:colOff>
      <xdr:row>521</xdr:row>
      <xdr:rowOff>27871</xdr:rowOff>
    </xdr:to>
    <xdr:sp macro="" textlink="">
      <xdr:nvSpPr>
        <xdr:cNvPr id="1231" name="Flowchart: Merge 1230"/>
        <xdr:cNvSpPr/>
      </xdr:nvSpPr>
      <xdr:spPr bwMode="auto">
        <a:xfrm>
          <a:off x="5163468" y="77041592"/>
          <a:ext cx="85725" cy="72104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133350</xdr:colOff>
      <xdr:row>535</xdr:row>
      <xdr:rowOff>190500</xdr:rowOff>
    </xdr:from>
    <xdr:to>
      <xdr:col>4</xdr:col>
      <xdr:colOff>428625</xdr:colOff>
      <xdr:row>535</xdr:row>
      <xdr:rowOff>192088</xdr:rowOff>
    </xdr:to>
    <xdr:cxnSp macro="">
      <xdr:nvCxnSpPr>
        <xdr:cNvPr id="1232" name="Straight Connector 1231"/>
        <xdr:cNvCxnSpPr/>
      </xdr:nvCxnSpPr>
      <xdr:spPr bwMode="auto">
        <a:xfrm>
          <a:off x="2571750" y="57302400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318935</xdr:colOff>
      <xdr:row>521</xdr:row>
      <xdr:rowOff>113689</xdr:rowOff>
    </xdr:from>
    <xdr:to>
      <xdr:col>2</xdr:col>
      <xdr:colOff>328766</xdr:colOff>
      <xdr:row>524</xdr:row>
      <xdr:rowOff>12603</xdr:rowOff>
    </xdr:to>
    <xdr:cxnSp macro="">
      <xdr:nvCxnSpPr>
        <xdr:cNvPr id="1233" name="Straight Arrow Connector 1232"/>
        <xdr:cNvCxnSpPr/>
      </xdr:nvCxnSpPr>
      <xdr:spPr bwMode="auto">
        <a:xfrm rot="5400000">
          <a:off x="1309994" y="77753041"/>
          <a:ext cx="461197" cy="98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133350</xdr:colOff>
      <xdr:row>537</xdr:row>
      <xdr:rowOff>190500</xdr:rowOff>
    </xdr:from>
    <xdr:to>
      <xdr:col>4</xdr:col>
      <xdr:colOff>428625</xdr:colOff>
      <xdr:row>537</xdr:row>
      <xdr:rowOff>192088</xdr:rowOff>
    </xdr:to>
    <xdr:cxnSp macro="">
      <xdr:nvCxnSpPr>
        <xdr:cNvPr id="1234" name="Straight Connector 1233"/>
        <xdr:cNvCxnSpPr/>
      </xdr:nvCxnSpPr>
      <xdr:spPr bwMode="auto">
        <a:xfrm>
          <a:off x="2571750" y="57664350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581025</xdr:colOff>
      <xdr:row>527</xdr:row>
      <xdr:rowOff>9525</xdr:rowOff>
    </xdr:from>
    <xdr:to>
      <xdr:col>6</xdr:col>
      <xdr:colOff>457200</xdr:colOff>
      <xdr:row>527</xdr:row>
      <xdr:rowOff>11113</xdr:rowOff>
    </xdr:to>
    <xdr:cxnSp macro="">
      <xdr:nvCxnSpPr>
        <xdr:cNvPr id="1235" name="Straight Arrow Connector 1234"/>
        <xdr:cNvCxnSpPr/>
      </xdr:nvCxnSpPr>
      <xdr:spPr bwMode="auto">
        <a:xfrm>
          <a:off x="3019425" y="5598795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474336</xdr:colOff>
      <xdr:row>523</xdr:row>
      <xdr:rowOff>159684</xdr:rowOff>
    </xdr:from>
    <xdr:to>
      <xdr:col>3</xdr:col>
      <xdr:colOff>476250</xdr:colOff>
      <xdr:row>526</xdr:row>
      <xdr:rowOff>2475</xdr:rowOff>
    </xdr:to>
    <xdr:cxnSp macro="">
      <xdr:nvCxnSpPr>
        <xdr:cNvPr id="1236" name="Straight Connector 1235"/>
        <xdr:cNvCxnSpPr/>
      </xdr:nvCxnSpPr>
      <xdr:spPr bwMode="auto">
        <a:xfrm rot="5400000">
          <a:off x="2124122" y="77959604"/>
          <a:ext cx="366666" cy="191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485775</xdr:colOff>
      <xdr:row>523</xdr:row>
      <xdr:rowOff>123825</xdr:rowOff>
    </xdr:from>
    <xdr:to>
      <xdr:col>4</xdr:col>
      <xdr:colOff>571500</xdr:colOff>
      <xdr:row>524</xdr:row>
      <xdr:rowOff>38100</xdr:rowOff>
    </xdr:to>
    <xdr:sp macro="" textlink="">
      <xdr:nvSpPr>
        <xdr:cNvPr id="1237" name="Flowchart: Merge 1236"/>
        <xdr:cNvSpPr/>
      </xdr:nvSpPr>
      <xdr:spPr bwMode="auto">
        <a:xfrm>
          <a:off x="2314575" y="55416450"/>
          <a:ext cx="85725" cy="1143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10323</xdr:colOff>
      <xdr:row>521</xdr:row>
      <xdr:rowOff>48421</xdr:rowOff>
    </xdr:from>
    <xdr:to>
      <xdr:col>8</xdr:col>
      <xdr:colOff>19053</xdr:colOff>
      <xdr:row>523</xdr:row>
      <xdr:rowOff>152404</xdr:rowOff>
    </xdr:to>
    <xdr:cxnSp macro="">
      <xdr:nvCxnSpPr>
        <xdr:cNvPr id="1238" name="Straight Arrow Connector 1237"/>
        <xdr:cNvCxnSpPr/>
      </xdr:nvCxnSpPr>
      <xdr:spPr bwMode="auto">
        <a:xfrm rot="16200000" flipH="1">
          <a:off x="4125121" y="77362848"/>
          <a:ext cx="465933" cy="873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608806</xdr:colOff>
      <xdr:row>521</xdr:row>
      <xdr:rowOff>105569</xdr:rowOff>
    </xdr:from>
    <xdr:to>
      <xdr:col>1</xdr:col>
      <xdr:colOff>794</xdr:colOff>
      <xdr:row>525</xdr:row>
      <xdr:rowOff>153193</xdr:rowOff>
    </xdr:to>
    <xdr:cxnSp macro="">
      <xdr:nvCxnSpPr>
        <xdr:cNvPr id="1242" name="Straight Arrow Connector 1241"/>
        <xdr:cNvCxnSpPr/>
      </xdr:nvCxnSpPr>
      <xdr:spPr bwMode="auto">
        <a:xfrm rot="5400000">
          <a:off x="223838" y="77576362"/>
          <a:ext cx="771524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578495</xdr:colOff>
      <xdr:row>521</xdr:row>
      <xdr:rowOff>43410</xdr:rowOff>
    </xdr:from>
    <xdr:to>
      <xdr:col>8</xdr:col>
      <xdr:colOff>557928</xdr:colOff>
      <xdr:row>521</xdr:row>
      <xdr:rowOff>44998</xdr:rowOff>
    </xdr:to>
    <xdr:cxnSp macro="">
      <xdr:nvCxnSpPr>
        <xdr:cNvPr id="1243" name="Straight Connector 1242"/>
        <xdr:cNvCxnSpPr/>
      </xdr:nvCxnSpPr>
      <xdr:spPr bwMode="auto">
        <a:xfrm>
          <a:off x="4932179" y="76407779"/>
          <a:ext cx="590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247650</xdr:colOff>
      <xdr:row>521</xdr:row>
      <xdr:rowOff>88173</xdr:rowOff>
    </xdr:from>
    <xdr:to>
      <xdr:col>8</xdr:col>
      <xdr:colOff>323850</xdr:colOff>
      <xdr:row>521</xdr:row>
      <xdr:rowOff>88173</xdr:rowOff>
    </xdr:to>
    <xdr:sp macro="" textlink="">
      <xdr:nvSpPr>
        <xdr:cNvPr id="1256" name="Line 36"/>
        <xdr:cNvSpPr>
          <a:spLocks noChangeShapeType="1"/>
        </xdr:cNvSpPr>
      </xdr:nvSpPr>
      <xdr:spPr bwMode="auto">
        <a:xfrm>
          <a:off x="5200650" y="77173998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571500</xdr:colOff>
      <xdr:row>524</xdr:row>
      <xdr:rowOff>85725</xdr:rowOff>
    </xdr:from>
    <xdr:to>
      <xdr:col>9</xdr:col>
      <xdr:colOff>447675</xdr:colOff>
      <xdr:row>524</xdr:row>
      <xdr:rowOff>87313</xdr:rowOff>
    </xdr:to>
    <xdr:cxnSp macro="">
      <xdr:nvCxnSpPr>
        <xdr:cNvPr id="1330" name="Straight Arrow Connector 1329"/>
        <xdr:cNvCxnSpPr/>
      </xdr:nvCxnSpPr>
      <xdr:spPr bwMode="auto">
        <a:xfrm>
          <a:off x="5524500" y="777335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</xdr:colOff>
      <xdr:row>526</xdr:row>
      <xdr:rowOff>9525</xdr:rowOff>
    </xdr:from>
    <xdr:to>
      <xdr:col>3</xdr:col>
      <xdr:colOff>476250</xdr:colOff>
      <xdr:row>526</xdr:row>
      <xdr:rowOff>9525</xdr:rowOff>
    </xdr:to>
    <xdr:sp macro="" textlink="">
      <xdr:nvSpPr>
        <xdr:cNvPr id="1338" name="Line 10"/>
        <xdr:cNvSpPr>
          <a:spLocks noChangeShapeType="1"/>
        </xdr:cNvSpPr>
      </xdr:nvSpPr>
      <xdr:spPr bwMode="auto">
        <a:xfrm>
          <a:off x="619125" y="77981175"/>
          <a:ext cx="1685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257735</xdr:colOff>
      <xdr:row>523</xdr:row>
      <xdr:rowOff>56032</xdr:rowOff>
    </xdr:from>
    <xdr:to>
      <xdr:col>4</xdr:col>
      <xdr:colOff>260537</xdr:colOff>
      <xdr:row>524</xdr:row>
      <xdr:rowOff>50431</xdr:rowOff>
    </xdr:to>
    <xdr:cxnSp macro="">
      <xdr:nvCxnSpPr>
        <xdr:cNvPr id="1341" name="Straight Connector 1340"/>
        <xdr:cNvCxnSpPr/>
      </xdr:nvCxnSpPr>
      <xdr:spPr bwMode="auto">
        <a:xfrm rot="5400000">
          <a:off x="2605366" y="77768827"/>
          <a:ext cx="193304" cy="280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459223</xdr:colOff>
      <xdr:row>526</xdr:row>
      <xdr:rowOff>54031</xdr:rowOff>
    </xdr:from>
    <xdr:to>
      <xdr:col>6</xdr:col>
      <xdr:colOff>459223</xdr:colOff>
      <xdr:row>527</xdr:row>
      <xdr:rowOff>73081</xdr:rowOff>
    </xdr:to>
    <xdr:sp macro="" textlink="">
      <xdr:nvSpPr>
        <xdr:cNvPr id="1347" name="Line 29"/>
        <xdr:cNvSpPr>
          <a:spLocks noChangeShapeType="1"/>
        </xdr:cNvSpPr>
      </xdr:nvSpPr>
      <xdr:spPr bwMode="auto">
        <a:xfrm>
          <a:off x="4116823" y="78025681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542925</xdr:colOff>
      <xdr:row>337</xdr:row>
      <xdr:rowOff>19050</xdr:rowOff>
    </xdr:from>
    <xdr:to>
      <xdr:col>9</xdr:col>
      <xdr:colOff>419100</xdr:colOff>
      <xdr:row>337</xdr:row>
      <xdr:rowOff>20638</xdr:rowOff>
    </xdr:to>
    <xdr:cxnSp macro="">
      <xdr:nvCxnSpPr>
        <xdr:cNvPr id="1348" name="Straight Arrow Connector 1347"/>
        <xdr:cNvCxnSpPr/>
      </xdr:nvCxnSpPr>
      <xdr:spPr bwMode="auto">
        <a:xfrm>
          <a:off x="5495925" y="5531167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19050</xdr:colOff>
      <xdr:row>398</xdr:row>
      <xdr:rowOff>19050</xdr:rowOff>
    </xdr:from>
    <xdr:to>
      <xdr:col>9</xdr:col>
      <xdr:colOff>504825</xdr:colOff>
      <xdr:row>398</xdr:row>
      <xdr:rowOff>20638</xdr:rowOff>
    </xdr:to>
    <xdr:cxnSp macro="">
      <xdr:nvCxnSpPr>
        <xdr:cNvPr id="1350" name="Straight Arrow Connector 1349"/>
        <xdr:cNvCxnSpPr/>
      </xdr:nvCxnSpPr>
      <xdr:spPr bwMode="auto">
        <a:xfrm>
          <a:off x="5581650" y="6522720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505743</xdr:colOff>
      <xdr:row>520</xdr:row>
      <xdr:rowOff>70067</xdr:rowOff>
    </xdr:from>
    <xdr:to>
      <xdr:col>4</xdr:col>
      <xdr:colOff>591468</xdr:colOff>
      <xdr:row>520</xdr:row>
      <xdr:rowOff>142171</xdr:rowOff>
    </xdr:to>
    <xdr:sp macro="" textlink="">
      <xdr:nvSpPr>
        <xdr:cNvPr id="1351" name="Flowchart: Merge 1350"/>
        <xdr:cNvSpPr/>
      </xdr:nvSpPr>
      <xdr:spPr bwMode="auto">
        <a:xfrm>
          <a:off x="2944143" y="76993967"/>
          <a:ext cx="85725" cy="72104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504825</xdr:colOff>
      <xdr:row>395</xdr:row>
      <xdr:rowOff>66675</xdr:rowOff>
    </xdr:from>
    <xdr:to>
      <xdr:col>3</xdr:col>
      <xdr:colOff>590550</xdr:colOff>
      <xdr:row>395</xdr:row>
      <xdr:rowOff>142875</xdr:rowOff>
    </xdr:to>
    <xdr:sp macro="" textlink="">
      <xdr:nvSpPr>
        <xdr:cNvPr id="1361" name="Flowchart: Merge 1360"/>
        <xdr:cNvSpPr/>
      </xdr:nvSpPr>
      <xdr:spPr bwMode="auto">
        <a:xfrm>
          <a:off x="2333625" y="64750950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485775</xdr:colOff>
      <xdr:row>334</xdr:row>
      <xdr:rowOff>76200</xdr:rowOff>
    </xdr:from>
    <xdr:to>
      <xdr:col>3</xdr:col>
      <xdr:colOff>571500</xdr:colOff>
      <xdr:row>334</xdr:row>
      <xdr:rowOff>152400</xdr:rowOff>
    </xdr:to>
    <xdr:sp macro="" textlink="">
      <xdr:nvSpPr>
        <xdr:cNvPr id="1362" name="Flowchart: Merge 1361"/>
        <xdr:cNvSpPr/>
      </xdr:nvSpPr>
      <xdr:spPr bwMode="auto">
        <a:xfrm>
          <a:off x="2314575" y="54844950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321469</xdr:colOff>
      <xdr:row>526</xdr:row>
      <xdr:rowOff>9525</xdr:rowOff>
    </xdr:from>
    <xdr:to>
      <xdr:col>3</xdr:col>
      <xdr:colOff>178594</xdr:colOff>
      <xdr:row>526</xdr:row>
      <xdr:rowOff>9525</xdr:rowOff>
    </xdr:to>
    <xdr:sp macro="" textlink="">
      <xdr:nvSpPr>
        <xdr:cNvPr id="1145" name="Line 10"/>
        <xdr:cNvSpPr>
          <a:spLocks noChangeShapeType="1"/>
        </xdr:cNvSpPr>
      </xdr:nvSpPr>
      <xdr:spPr bwMode="auto">
        <a:xfrm>
          <a:off x="321469" y="77981175"/>
          <a:ext cx="1685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323850</xdr:colOff>
      <xdr:row>586</xdr:row>
      <xdr:rowOff>9525</xdr:rowOff>
    </xdr:from>
    <xdr:to>
      <xdr:col>0</xdr:col>
      <xdr:colOff>323850</xdr:colOff>
      <xdr:row>587</xdr:row>
      <xdr:rowOff>9525</xdr:rowOff>
    </xdr:to>
    <xdr:sp macro="" textlink="">
      <xdr:nvSpPr>
        <xdr:cNvPr id="1239" name="Line 5"/>
        <xdr:cNvSpPr>
          <a:spLocks noChangeShapeType="1"/>
        </xdr:cNvSpPr>
      </xdr:nvSpPr>
      <xdr:spPr bwMode="auto">
        <a:xfrm flipV="1">
          <a:off x="323850" y="779811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473484</xdr:colOff>
      <xdr:row>584</xdr:row>
      <xdr:rowOff>47317</xdr:rowOff>
    </xdr:from>
    <xdr:to>
      <xdr:col>4</xdr:col>
      <xdr:colOff>254409</xdr:colOff>
      <xdr:row>586</xdr:row>
      <xdr:rowOff>8295</xdr:rowOff>
    </xdr:to>
    <xdr:sp macro="" textlink="">
      <xdr:nvSpPr>
        <xdr:cNvPr id="1259" name="Line 7"/>
        <xdr:cNvSpPr>
          <a:spLocks noChangeShapeType="1"/>
        </xdr:cNvSpPr>
      </xdr:nvSpPr>
      <xdr:spPr bwMode="auto">
        <a:xfrm flipV="1">
          <a:off x="2302284" y="77695117"/>
          <a:ext cx="390525" cy="28482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584</xdr:row>
      <xdr:rowOff>47625</xdr:rowOff>
    </xdr:from>
    <xdr:to>
      <xdr:col>5</xdr:col>
      <xdr:colOff>600075</xdr:colOff>
      <xdr:row>584</xdr:row>
      <xdr:rowOff>47625</xdr:rowOff>
    </xdr:to>
    <xdr:sp macro="" textlink="">
      <xdr:nvSpPr>
        <xdr:cNvPr id="1263" name="Line 8"/>
        <xdr:cNvSpPr>
          <a:spLocks noChangeShapeType="1"/>
        </xdr:cNvSpPr>
      </xdr:nvSpPr>
      <xdr:spPr bwMode="auto">
        <a:xfrm>
          <a:off x="2695575" y="77695425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600074</xdr:colOff>
      <xdr:row>584</xdr:row>
      <xdr:rowOff>47625</xdr:rowOff>
    </xdr:from>
    <xdr:to>
      <xdr:col>6</xdr:col>
      <xdr:colOff>447675</xdr:colOff>
      <xdr:row>585</xdr:row>
      <xdr:rowOff>152400</xdr:rowOff>
    </xdr:to>
    <xdr:sp macro="" textlink="">
      <xdr:nvSpPr>
        <xdr:cNvPr id="1264" name="Line 9"/>
        <xdr:cNvSpPr>
          <a:spLocks noChangeShapeType="1"/>
        </xdr:cNvSpPr>
      </xdr:nvSpPr>
      <xdr:spPr bwMode="auto">
        <a:xfrm>
          <a:off x="3648074" y="77695425"/>
          <a:ext cx="457201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438150</xdr:colOff>
      <xdr:row>585</xdr:row>
      <xdr:rowOff>152400</xdr:rowOff>
    </xdr:from>
    <xdr:to>
      <xdr:col>9</xdr:col>
      <xdr:colOff>219075</xdr:colOff>
      <xdr:row>585</xdr:row>
      <xdr:rowOff>152400</xdr:rowOff>
    </xdr:to>
    <xdr:sp macro="" textlink="">
      <xdr:nvSpPr>
        <xdr:cNvPr id="1265" name="Line 10"/>
        <xdr:cNvSpPr>
          <a:spLocks noChangeShapeType="1"/>
        </xdr:cNvSpPr>
      </xdr:nvSpPr>
      <xdr:spPr bwMode="auto">
        <a:xfrm>
          <a:off x="4095750" y="77962125"/>
          <a:ext cx="1685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216884</xdr:colOff>
      <xdr:row>585</xdr:row>
      <xdr:rowOff>148186</xdr:rowOff>
    </xdr:from>
    <xdr:to>
      <xdr:col>9</xdr:col>
      <xdr:colOff>216884</xdr:colOff>
      <xdr:row>587</xdr:row>
      <xdr:rowOff>81511</xdr:rowOff>
    </xdr:to>
    <xdr:sp macro="" textlink="">
      <xdr:nvSpPr>
        <xdr:cNvPr id="1266" name="Line 11"/>
        <xdr:cNvSpPr>
          <a:spLocks noChangeShapeType="1"/>
        </xdr:cNvSpPr>
      </xdr:nvSpPr>
      <xdr:spPr bwMode="auto">
        <a:xfrm>
          <a:off x="5779484" y="77957911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579</xdr:row>
      <xdr:rowOff>123825</xdr:rowOff>
    </xdr:from>
    <xdr:to>
      <xdr:col>4</xdr:col>
      <xdr:colOff>257175</xdr:colOff>
      <xdr:row>581</xdr:row>
      <xdr:rowOff>0</xdr:rowOff>
    </xdr:to>
    <xdr:sp macro="" textlink="">
      <xdr:nvSpPr>
        <xdr:cNvPr id="1267" name="Line 12"/>
        <xdr:cNvSpPr>
          <a:spLocks noChangeShapeType="1"/>
        </xdr:cNvSpPr>
      </xdr:nvSpPr>
      <xdr:spPr bwMode="auto">
        <a:xfrm flipV="1">
          <a:off x="2695575" y="7688580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257175</xdr:colOff>
      <xdr:row>581</xdr:row>
      <xdr:rowOff>0</xdr:rowOff>
    </xdr:from>
    <xdr:to>
      <xdr:col>6</xdr:col>
      <xdr:colOff>0</xdr:colOff>
      <xdr:row>581</xdr:row>
      <xdr:rowOff>0</xdr:rowOff>
    </xdr:to>
    <xdr:sp macro="" textlink="">
      <xdr:nvSpPr>
        <xdr:cNvPr id="1268" name="Line 13"/>
        <xdr:cNvSpPr>
          <a:spLocks noChangeShapeType="1"/>
        </xdr:cNvSpPr>
      </xdr:nvSpPr>
      <xdr:spPr bwMode="auto">
        <a:xfrm>
          <a:off x="2695575" y="77085825"/>
          <a:ext cx="962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579</xdr:row>
      <xdr:rowOff>133350</xdr:rowOff>
    </xdr:from>
    <xdr:to>
      <xdr:col>6</xdr:col>
      <xdr:colOff>0</xdr:colOff>
      <xdr:row>581</xdr:row>
      <xdr:rowOff>0</xdr:rowOff>
    </xdr:to>
    <xdr:sp macro="" textlink="">
      <xdr:nvSpPr>
        <xdr:cNvPr id="1269" name="Line 14"/>
        <xdr:cNvSpPr>
          <a:spLocks noChangeShapeType="1"/>
        </xdr:cNvSpPr>
      </xdr:nvSpPr>
      <xdr:spPr bwMode="auto">
        <a:xfrm flipV="1">
          <a:off x="3657600" y="7689532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354027</xdr:colOff>
      <xdr:row>581</xdr:row>
      <xdr:rowOff>42146</xdr:rowOff>
    </xdr:from>
    <xdr:to>
      <xdr:col>7</xdr:col>
      <xdr:colOff>573185</xdr:colOff>
      <xdr:row>583</xdr:row>
      <xdr:rowOff>172798</xdr:rowOff>
    </xdr:to>
    <xdr:sp macro="" textlink="">
      <xdr:nvSpPr>
        <xdr:cNvPr id="1270" name="Freeform 15"/>
        <xdr:cNvSpPr>
          <a:spLocks/>
        </xdr:cNvSpPr>
      </xdr:nvSpPr>
      <xdr:spPr bwMode="auto">
        <a:xfrm flipH="1">
          <a:off x="963627" y="77127971"/>
          <a:ext cx="3952958" cy="492602"/>
        </a:xfrm>
        <a:custGeom>
          <a:avLst/>
          <a:gdLst>
            <a:gd name="T0" fmla="*/ 0 w 369"/>
            <a:gd name="T1" fmla="*/ 0 h 55"/>
            <a:gd name="T2" fmla="*/ 2147483647 w 369"/>
            <a:gd name="T3" fmla="*/ 2147483647 h 55"/>
            <a:gd name="T4" fmla="*/ 2147483647 w 369"/>
            <a:gd name="T5" fmla="*/ 2147483647 h 55"/>
            <a:gd name="T6" fmla="*/ 2147483647 w 369"/>
            <a:gd name="T7" fmla="*/ 2147483647 h 55"/>
            <a:gd name="T8" fmla="*/ 2147483647 w 369"/>
            <a:gd name="T9" fmla="*/ 2147483647 h 55"/>
            <a:gd name="T10" fmla="*/ 2147483647 w 369"/>
            <a:gd name="T11" fmla="*/ 2147483647 h 55"/>
            <a:gd name="T12" fmla="*/ 2147483647 w 369"/>
            <a:gd name="T13" fmla="*/ 2147483647 h 55"/>
            <a:gd name="T14" fmla="*/ 2147483647 w 369"/>
            <a:gd name="T15" fmla="*/ 2147483647 h 55"/>
            <a:gd name="T16" fmla="*/ 2147483647 w 369"/>
            <a:gd name="T17" fmla="*/ 2147483647 h 55"/>
            <a:gd name="T18" fmla="*/ 2147483647 w 369"/>
            <a:gd name="T19" fmla="*/ 2147483647 h 55"/>
            <a:gd name="T20" fmla="*/ 2147483647 w 369"/>
            <a:gd name="T21" fmla="*/ 2147483647 h 55"/>
            <a:gd name="T22" fmla="*/ 2147483647 w 369"/>
            <a:gd name="T23" fmla="*/ 2147483647 h 55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69"/>
            <a:gd name="T37" fmla="*/ 0 h 55"/>
            <a:gd name="T38" fmla="*/ 369 w 369"/>
            <a:gd name="T39" fmla="*/ 55 h 55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69" h="55">
              <a:moveTo>
                <a:pt x="0" y="0"/>
              </a:moveTo>
              <a:cubicBezTo>
                <a:pt x="52" y="2"/>
                <a:pt x="102" y="21"/>
                <a:pt x="153" y="27"/>
              </a:cubicBezTo>
              <a:cubicBezTo>
                <a:pt x="161" y="30"/>
                <a:pt x="170" y="33"/>
                <a:pt x="178" y="34"/>
              </a:cubicBezTo>
              <a:cubicBezTo>
                <a:pt x="191" y="38"/>
                <a:pt x="204" y="42"/>
                <a:pt x="217" y="46"/>
              </a:cubicBezTo>
              <a:cubicBezTo>
                <a:pt x="222" y="48"/>
                <a:pt x="226" y="48"/>
                <a:pt x="231" y="50"/>
              </a:cubicBezTo>
              <a:cubicBezTo>
                <a:pt x="232" y="50"/>
                <a:pt x="234" y="51"/>
                <a:pt x="234" y="51"/>
              </a:cubicBezTo>
              <a:cubicBezTo>
                <a:pt x="238" y="55"/>
                <a:pt x="241" y="54"/>
                <a:pt x="246" y="51"/>
              </a:cubicBezTo>
              <a:cubicBezTo>
                <a:pt x="248" y="46"/>
                <a:pt x="247" y="43"/>
                <a:pt x="252" y="41"/>
              </a:cubicBezTo>
              <a:cubicBezTo>
                <a:pt x="253" y="37"/>
                <a:pt x="255" y="29"/>
                <a:pt x="259" y="28"/>
              </a:cubicBezTo>
              <a:cubicBezTo>
                <a:pt x="260" y="24"/>
                <a:pt x="264" y="21"/>
                <a:pt x="268" y="18"/>
              </a:cubicBezTo>
              <a:cubicBezTo>
                <a:pt x="272" y="6"/>
                <a:pt x="278" y="10"/>
                <a:pt x="296" y="9"/>
              </a:cubicBezTo>
              <a:cubicBezTo>
                <a:pt x="319" y="8"/>
                <a:pt x="345" y="8"/>
                <a:pt x="369" y="8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257175</xdr:colOff>
      <xdr:row>583</xdr:row>
      <xdr:rowOff>28575</xdr:rowOff>
    </xdr:from>
    <xdr:ext cx="171450" cy="342900"/>
    <xdr:sp macro="" textlink="">
      <xdr:nvSpPr>
        <xdr:cNvPr id="1271" name="Text Box 16"/>
        <xdr:cNvSpPr txBox="1">
          <a:spLocks noChangeArrowheads="1"/>
        </xdr:cNvSpPr>
      </xdr:nvSpPr>
      <xdr:spPr bwMode="auto">
        <a:xfrm>
          <a:off x="2695575" y="77476350"/>
          <a:ext cx="1714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 y</a:t>
          </a:r>
          <a:r>
            <a:rPr lang="en-GB" sz="7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 editAs="oneCell">
    <xdr:from>
      <xdr:col>6</xdr:col>
      <xdr:colOff>476250</xdr:colOff>
      <xdr:row>584</xdr:row>
      <xdr:rowOff>28575</xdr:rowOff>
    </xdr:from>
    <xdr:to>
      <xdr:col>6</xdr:col>
      <xdr:colOff>552450</xdr:colOff>
      <xdr:row>585</xdr:row>
      <xdr:rowOff>66675</xdr:rowOff>
    </xdr:to>
    <xdr:sp macro="" textlink="">
      <xdr:nvSpPr>
        <xdr:cNvPr id="1272" name="Text Box 18"/>
        <xdr:cNvSpPr txBox="1">
          <a:spLocks noChangeArrowheads="1"/>
        </xdr:cNvSpPr>
      </xdr:nvSpPr>
      <xdr:spPr bwMode="auto">
        <a:xfrm>
          <a:off x="4133850" y="776763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514349</xdr:colOff>
      <xdr:row>583</xdr:row>
      <xdr:rowOff>190500</xdr:rowOff>
    </xdr:from>
    <xdr:ext cx="200025" cy="318036"/>
    <xdr:sp macro="" textlink="">
      <xdr:nvSpPr>
        <xdr:cNvPr id="1273" name="Text Box 19"/>
        <xdr:cNvSpPr txBox="1">
          <a:spLocks noChangeArrowheads="1"/>
        </xdr:cNvSpPr>
      </xdr:nvSpPr>
      <xdr:spPr bwMode="auto">
        <a:xfrm>
          <a:off x="2343149" y="77638275"/>
          <a:ext cx="200025" cy="318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y</a:t>
          </a:r>
          <a:r>
            <a:rPr lang="en-GB" sz="7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7</xdr:col>
      <xdr:colOff>608926</xdr:colOff>
      <xdr:row>579</xdr:row>
      <xdr:rowOff>73080</xdr:rowOff>
    </xdr:from>
    <xdr:to>
      <xdr:col>7</xdr:col>
      <xdr:colOff>608926</xdr:colOff>
      <xdr:row>580</xdr:row>
      <xdr:rowOff>139755</xdr:rowOff>
    </xdr:to>
    <xdr:sp macro="" textlink="">
      <xdr:nvSpPr>
        <xdr:cNvPr id="1274" name="Line 28"/>
        <xdr:cNvSpPr>
          <a:spLocks noChangeShapeType="1"/>
        </xdr:cNvSpPr>
      </xdr:nvSpPr>
      <xdr:spPr bwMode="auto">
        <a:xfrm>
          <a:off x="4952326" y="76835055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2023</xdr:colOff>
      <xdr:row>586</xdr:row>
      <xdr:rowOff>120706</xdr:rowOff>
    </xdr:from>
    <xdr:to>
      <xdr:col>8</xdr:col>
      <xdr:colOff>2023</xdr:colOff>
      <xdr:row>587</xdr:row>
      <xdr:rowOff>139756</xdr:rowOff>
    </xdr:to>
    <xdr:sp macro="" textlink="">
      <xdr:nvSpPr>
        <xdr:cNvPr id="1275" name="Line 29"/>
        <xdr:cNvSpPr>
          <a:spLocks noChangeShapeType="1"/>
        </xdr:cNvSpPr>
      </xdr:nvSpPr>
      <xdr:spPr bwMode="auto">
        <a:xfrm>
          <a:off x="4955023" y="78092356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6</xdr:col>
      <xdr:colOff>409575</xdr:colOff>
      <xdr:row>580</xdr:row>
      <xdr:rowOff>47625</xdr:rowOff>
    </xdr:from>
    <xdr:ext cx="19050" cy="342900"/>
    <xdr:sp macro="" textlink="">
      <xdr:nvSpPr>
        <xdr:cNvPr id="1279" name="Text Box 31"/>
        <xdr:cNvSpPr txBox="1">
          <a:spLocks noChangeArrowheads="1"/>
        </xdr:cNvSpPr>
      </xdr:nvSpPr>
      <xdr:spPr bwMode="auto">
        <a:xfrm>
          <a:off x="4067175" y="7697152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8</xdr:col>
      <xdr:colOff>211138</xdr:colOff>
      <xdr:row>581</xdr:row>
      <xdr:rowOff>65540</xdr:rowOff>
    </xdr:from>
    <xdr:to>
      <xdr:col>8</xdr:col>
      <xdr:colOff>363538</xdr:colOff>
      <xdr:row>581</xdr:row>
      <xdr:rowOff>65540</xdr:rowOff>
    </xdr:to>
    <xdr:sp macro="" textlink="">
      <xdr:nvSpPr>
        <xdr:cNvPr id="1284" name="Line 32"/>
        <xdr:cNvSpPr>
          <a:spLocks noChangeShapeType="1"/>
        </xdr:cNvSpPr>
      </xdr:nvSpPr>
      <xdr:spPr bwMode="auto">
        <a:xfrm>
          <a:off x="5164138" y="7715136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275431</xdr:colOff>
      <xdr:row>581</xdr:row>
      <xdr:rowOff>104774</xdr:rowOff>
    </xdr:from>
    <xdr:to>
      <xdr:col>8</xdr:col>
      <xdr:colOff>304006</xdr:colOff>
      <xdr:row>581</xdr:row>
      <xdr:rowOff>104774</xdr:rowOff>
    </xdr:to>
    <xdr:sp macro="" textlink="">
      <xdr:nvSpPr>
        <xdr:cNvPr id="1285" name="Line 33"/>
        <xdr:cNvSpPr>
          <a:spLocks noChangeShapeType="1"/>
        </xdr:cNvSpPr>
      </xdr:nvSpPr>
      <xdr:spPr bwMode="auto">
        <a:xfrm>
          <a:off x="5228431" y="77190599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113038</xdr:colOff>
      <xdr:row>581</xdr:row>
      <xdr:rowOff>141221</xdr:rowOff>
    </xdr:from>
    <xdr:to>
      <xdr:col>1</xdr:col>
      <xdr:colOff>322588</xdr:colOff>
      <xdr:row>581</xdr:row>
      <xdr:rowOff>141221</xdr:rowOff>
    </xdr:to>
    <xdr:sp macro="" textlink="">
      <xdr:nvSpPr>
        <xdr:cNvPr id="1287" name="Line 34"/>
        <xdr:cNvSpPr>
          <a:spLocks noChangeShapeType="1"/>
        </xdr:cNvSpPr>
      </xdr:nvSpPr>
      <xdr:spPr bwMode="auto">
        <a:xfrm>
          <a:off x="722638" y="77227046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160696</xdr:colOff>
      <xdr:row>581</xdr:row>
      <xdr:rowOff>160874</xdr:rowOff>
    </xdr:from>
    <xdr:to>
      <xdr:col>1</xdr:col>
      <xdr:colOff>236896</xdr:colOff>
      <xdr:row>581</xdr:row>
      <xdr:rowOff>160874</xdr:rowOff>
    </xdr:to>
    <xdr:sp macro="" textlink="">
      <xdr:nvSpPr>
        <xdr:cNvPr id="1289" name="Line 36"/>
        <xdr:cNvSpPr>
          <a:spLocks noChangeShapeType="1"/>
        </xdr:cNvSpPr>
      </xdr:nvSpPr>
      <xdr:spPr bwMode="auto">
        <a:xfrm>
          <a:off x="770296" y="77246699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5</xdr:col>
      <xdr:colOff>552450</xdr:colOff>
      <xdr:row>586</xdr:row>
      <xdr:rowOff>123825</xdr:rowOff>
    </xdr:from>
    <xdr:to>
      <xdr:col>6</xdr:col>
      <xdr:colOff>19050</xdr:colOff>
      <xdr:row>588</xdr:row>
      <xdr:rowOff>0</xdr:rowOff>
    </xdr:to>
    <xdr:sp macro="" textlink="">
      <xdr:nvSpPr>
        <xdr:cNvPr id="1290" name="Text Box 42"/>
        <xdr:cNvSpPr txBox="1">
          <a:spLocks noChangeArrowheads="1"/>
        </xdr:cNvSpPr>
      </xdr:nvSpPr>
      <xdr:spPr bwMode="auto">
        <a:xfrm>
          <a:off x="3600450" y="780954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5</xdr:col>
      <xdr:colOff>552450</xdr:colOff>
      <xdr:row>581</xdr:row>
      <xdr:rowOff>28575</xdr:rowOff>
    </xdr:from>
    <xdr:ext cx="19050" cy="342900"/>
    <xdr:sp macro="" textlink="">
      <xdr:nvSpPr>
        <xdr:cNvPr id="1293" name="Text Box 43"/>
        <xdr:cNvSpPr txBox="1">
          <a:spLocks noChangeArrowheads="1"/>
        </xdr:cNvSpPr>
      </xdr:nvSpPr>
      <xdr:spPr bwMode="auto">
        <a:xfrm>
          <a:off x="3600450" y="77114400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5</xdr:col>
      <xdr:colOff>600075</xdr:colOff>
      <xdr:row>586</xdr:row>
      <xdr:rowOff>104775</xdr:rowOff>
    </xdr:from>
    <xdr:to>
      <xdr:col>5</xdr:col>
      <xdr:colOff>600075</xdr:colOff>
      <xdr:row>587</xdr:row>
      <xdr:rowOff>85725</xdr:rowOff>
    </xdr:to>
    <xdr:sp macro="" textlink="">
      <xdr:nvSpPr>
        <xdr:cNvPr id="1295" name="Line 66"/>
        <xdr:cNvSpPr>
          <a:spLocks noChangeShapeType="1"/>
        </xdr:cNvSpPr>
      </xdr:nvSpPr>
      <xdr:spPr bwMode="auto">
        <a:xfrm>
          <a:off x="3648075" y="780764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6</xdr:col>
      <xdr:colOff>304799</xdr:colOff>
      <xdr:row>585</xdr:row>
      <xdr:rowOff>142875</xdr:rowOff>
    </xdr:from>
    <xdr:ext cx="161924" cy="170560"/>
    <xdr:sp macro="" textlink="">
      <xdr:nvSpPr>
        <xdr:cNvPr id="1297" name="Text Box 69"/>
        <xdr:cNvSpPr txBox="1">
          <a:spLocks noChangeArrowheads="1"/>
        </xdr:cNvSpPr>
      </xdr:nvSpPr>
      <xdr:spPr bwMode="auto">
        <a:xfrm flipH="1">
          <a:off x="3962399" y="77952600"/>
          <a:ext cx="16192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</xdr:col>
      <xdr:colOff>479537</xdr:colOff>
      <xdr:row>586</xdr:row>
      <xdr:rowOff>66675</xdr:rowOff>
    </xdr:from>
    <xdr:to>
      <xdr:col>3</xdr:col>
      <xdr:colOff>479537</xdr:colOff>
      <xdr:row>587</xdr:row>
      <xdr:rowOff>0</xdr:rowOff>
    </xdr:to>
    <xdr:sp macro="" textlink="">
      <xdr:nvSpPr>
        <xdr:cNvPr id="1298" name="Line 2369"/>
        <xdr:cNvSpPr>
          <a:spLocks noChangeShapeType="1"/>
        </xdr:cNvSpPr>
      </xdr:nvSpPr>
      <xdr:spPr bwMode="auto">
        <a:xfrm>
          <a:off x="2308337" y="780383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266700</xdr:colOff>
      <xdr:row>586</xdr:row>
      <xdr:rowOff>66675</xdr:rowOff>
    </xdr:from>
    <xdr:to>
      <xdr:col>4</xdr:col>
      <xdr:colOff>266700</xdr:colOff>
      <xdr:row>586</xdr:row>
      <xdr:rowOff>152400</xdr:rowOff>
    </xdr:to>
    <xdr:sp macro="" textlink="">
      <xdr:nvSpPr>
        <xdr:cNvPr id="1299" name="Line 2370"/>
        <xdr:cNvSpPr>
          <a:spLocks noChangeShapeType="1"/>
        </xdr:cNvSpPr>
      </xdr:nvSpPr>
      <xdr:spPr bwMode="auto">
        <a:xfrm>
          <a:off x="2705100" y="780383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314325</xdr:colOff>
      <xdr:row>586</xdr:row>
      <xdr:rowOff>76200</xdr:rowOff>
    </xdr:from>
    <xdr:ext cx="19050" cy="342900"/>
    <xdr:sp macro="" textlink="">
      <xdr:nvSpPr>
        <xdr:cNvPr id="1300" name="Text Box 2371"/>
        <xdr:cNvSpPr txBox="1">
          <a:spLocks noChangeArrowheads="1"/>
        </xdr:cNvSpPr>
      </xdr:nvSpPr>
      <xdr:spPr bwMode="auto">
        <a:xfrm>
          <a:off x="2752725" y="78047850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4</xdr:col>
      <xdr:colOff>314325</xdr:colOff>
      <xdr:row>587</xdr:row>
      <xdr:rowOff>0</xdr:rowOff>
    </xdr:from>
    <xdr:ext cx="19050" cy="342900"/>
    <xdr:sp macro="" textlink="">
      <xdr:nvSpPr>
        <xdr:cNvPr id="1301" name="Text Box 2372"/>
        <xdr:cNvSpPr txBox="1">
          <a:spLocks noChangeArrowheads="1"/>
        </xdr:cNvSpPr>
      </xdr:nvSpPr>
      <xdr:spPr bwMode="auto">
        <a:xfrm>
          <a:off x="2752725" y="7813357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4</xdr:col>
      <xdr:colOff>314325</xdr:colOff>
      <xdr:row>587</xdr:row>
      <xdr:rowOff>0</xdr:rowOff>
    </xdr:from>
    <xdr:ext cx="19050" cy="342900"/>
    <xdr:sp macro="" textlink="">
      <xdr:nvSpPr>
        <xdr:cNvPr id="1302" name="Text Box 2373"/>
        <xdr:cNvSpPr txBox="1">
          <a:spLocks noChangeArrowheads="1"/>
        </xdr:cNvSpPr>
      </xdr:nvSpPr>
      <xdr:spPr bwMode="auto">
        <a:xfrm>
          <a:off x="2752725" y="78133575"/>
          <a:ext cx="190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 editAs="oneCell">
    <xdr:from>
      <xdr:col>6</xdr:col>
      <xdr:colOff>171450</xdr:colOff>
      <xdr:row>580</xdr:row>
      <xdr:rowOff>95250</xdr:rowOff>
    </xdr:from>
    <xdr:to>
      <xdr:col>6</xdr:col>
      <xdr:colOff>247650</xdr:colOff>
      <xdr:row>581</xdr:row>
      <xdr:rowOff>133350</xdr:rowOff>
    </xdr:to>
    <xdr:sp macro="" textlink="">
      <xdr:nvSpPr>
        <xdr:cNvPr id="1307" name="Text Box 2716"/>
        <xdr:cNvSpPr txBox="1">
          <a:spLocks noChangeArrowheads="1"/>
        </xdr:cNvSpPr>
      </xdr:nvSpPr>
      <xdr:spPr bwMode="auto">
        <a:xfrm>
          <a:off x="3829050" y="770191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499936</xdr:colOff>
      <xdr:row>577</xdr:row>
      <xdr:rowOff>176423</xdr:rowOff>
    </xdr:from>
    <xdr:to>
      <xdr:col>8</xdr:col>
      <xdr:colOff>117419</xdr:colOff>
      <xdr:row>579</xdr:row>
      <xdr:rowOff>69624</xdr:rowOff>
    </xdr:to>
    <xdr:sp macro="" textlink="">
      <xdr:nvSpPr>
        <xdr:cNvPr id="1308" name="Oval 3239"/>
        <xdr:cNvSpPr>
          <a:spLocks noChangeArrowheads="1"/>
        </xdr:cNvSpPr>
      </xdr:nvSpPr>
      <xdr:spPr bwMode="auto">
        <a:xfrm>
          <a:off x="4843336" y="76595498"/>
          <a:ext cx="227083" cy="2361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7</xdr:col>
      <xdr:colOff>499936</xdr:colOff>
      <xdr:row>587</xdr:row>
      <xdr:rowOff>145826</xdr:rowOff>
    </xdr:from>
    <xdr:to>
      <xdr:col>8</xdr:col>
      <xdr:colOff>126944</xdr:colOff>
      <xdr:row>589</xdr:row>
      <xdr:rowOff>23771</xdr:rowOff>
    </xdr:to>
    <xdr:sp macro="" textlink="">
      <xdr:nvSpPr>
        <xdr:cNvPr id="1309" name="Oval 3240"/>
        <xdr:cNvSpPr>
          <a:spLocks noChangeArrowheads="1"/>
        </xdr:cNvSpPr>
      </xdr:nvSpPr>
      <xdr:spPr bwMode="auto">
        <a:xfrm>
          <a:off x="4843336" y="78279401"/>
          <a:ext cx="236608" cy="20179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5</xdr:col>
      <xdr:colOff>241497</xdr:colOff>
      <xdr:row>577</xdr:row>
      <xdr:rowOff>129136</xdr:rowOff>
    </xdr:from>
    <xdr:to>
      <xdr:col>5</xdr:col>
      <xdr:colOff>495216</xdr:colOff>
      <xdr:row>588</xdr:row>
      <xdr:rowOff>117081</xdr:rowOff>
    </xdr:to>
    <xdr:grpSp>
      <xdr:nvGrpSpPr>
        <xdr:cNvPr id="20" name="Group 19"/>
        <xdr:cNvGrpSpPr/>
      </xdr:nvGrpSpPr>
      <xdr:grpSpPr>
        <a:xfrm>
          <a:off x="3289497" y="98484286"/>
          <a:ext cx="253719" cy="1864370"/>
          <a:chOff x="2175072" y="95893486"/>
          <a:chExt cx="253719" cy="1864370"/>
        </a:xfrm>
      </xdr:grpSpPr>
      <xdr:grpSp>
        <xdr:nvGrpSpPr>
          <xdr:cNvPr id="19" name="Group 18"/>
          <xdr:cNvGrpSpPr/>
        </xdr:nvGrpSpPr>
        <xdr:grpSpPr>
          <a:xfrm>
            <a:off x="2175072" y="95893486"/>
            <a:ext cx="238125" cy="1639564"/>
            <a:chOff x="2175072" y="95893486"/>
            <a:chExt cx="238125" cy="1639564"/>
          </a:xfrm>
        </xdr:grpSpPr>
        <xdr:sp macro="" textlink="">
          <xdr:nvSpPr>
            <xdr:cNvPr id="1303" name="Line 2714"/>
            <xdr:cNvSpPr>
              <a:spLocks noChangeShapeType="1"/>
            </xdr:cNvSpPr>
          </xdr:nvSpPr>
          <xdr:spPr bwMode="auto">
            <a:xfrm>
              <a:off x="2307158" y="97352074"/>
              <a:ext cx="0" cy="18097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05" name="Line 2715"/>
            <xdr:cNvSpPr>
              <a:spLocks noChangeShapeType="1"/>
            </xdr:cNvSpPr>
          </xdr:nvSpPr>
          <xdr:spPr bwMode="auto">
            <a:xfrm flipV="1">
              <a:off x="2270322" y="96093511"/>
              <a:ext cx="0" cy="20955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10" name="Oval 3241"/>
            <xdr:cNvSpPr>
              <a:spLocks noChangeArrowheads="1"/>
            </xdr:cNvSpPr>
          </xdr:nvSpPr>
          <xdr:spPr bwMode="auto">
            <a:xfrm>
              <a:off x="2175072" y="95893486"/>
              <a:ext cx="238125" cy="238125"/>
            </a:xfrm>
            <a:prstGeom prst="ellipse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GB" sz="1000" b="1" i="0" strike="noStrike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</a:p>
          </xdr:txBody>
        </xdr:sp>
      </xdr:grpSp>
      <xdr:sp macro="" textlink="">
        <xdr:nvSpPr>
          <xdr:cNvPr id="1314" name="Oval 3242"/>
          <xdr:cNvSpPr>
            <a:spLocks noChangeArrowheads="1"/>
          </xdr:cNvSpPr>
        </xdr:nvSpPr>
        <xdr:spPr bwMode="auto">
          <a:xfrm>
            <a:off x="2200191" y="97540552"/>
            <a:ext cx="228600" cy="217304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GB" sz="1000" b="1" i="0" strike="noStrike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xdr:txBody>
      </xdr:sp>
    </xdr:grpSp>
    <xdr:clientData/>
  </xdr:twoCellAnchor>
  <xdr:oneCellAnchor>
    <xdr:from>
      <xdr:col>4</xdr:col>
      <xdr:colOff>304800</xdr:colOff>
      <xdr:row>586</xdr:row>
      <xdr:rowOff>142875</xdr:rowOff>
    </xdr:from>
    <xdr:ext cx="160941" cy="180036"/>
    <xdr:sp macro="" textlink="">
      <xdr:nvSpPr>
        <xdr:cNvPr id="1315" name="Text Box 3261"/>
        <xdr:cNvSpPr txBox="1">
          <a:spLocks noChangeArrowheads="1"/>
        </xdr:cNvSpPr>
      </xdr:nvSpPr>
      <xdr:spPr bwMode="auto">
        <a:xfrm>
          <a:off x="2743200" y="78114525"/>
          <a:ext cx="160941" cy="180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m.</a:t>
          </a:r>
        </a:p>
      </xdr:txBody>
    </xdr:sp>
    <xdr:clientData/>
  </xdr:oneCellAnchor>
  <xdr:twoCellAnchor>
    <xdr:from>
      <xdr:col>3</xdr:col>
      <xdr:colOff>308087</xdr:colOff>
      <xdr:row>586</xdr:row>
      <xdr:rowOff>114300</xdr:rowOff>
    </xdr:from>
    <xdr:to>
      <xdr:col>3</xdr:col>
      <xdr:colOff>479537</xdr:colOff>
      <xdr:row>586</xdr:row>
      <xdr:rowOff>114300</xdr:rowOff>
    </xdr:to>
    <xdr:sp macro="" textlink="">
      <xdr:nvSpPr>
        <xdr:cNvPr id="1316" name="Line 3262"/>
        <xdr:cNvSpPr>
          <a:spLocks noChangeShapeType="1"/>
        </xdr:cNvSpPr>
      </xdr:nvSpPr>
      <xdr:spPr bwMode="auto">
        <a:xfrm>
          <a:off x="2136887" y="780859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266700</xdr:colOff>
      <xdr:row>586</xdr:row>
      <xdr:rowOff>114300</xdr:rowOff>
    </xdr:from>
    <xdr:to>
      <xdr:col>4</xdr:col>
      <xdr:colOff>466725</xdr:colOff>
      <xdr:row>586</xdr:row>
      <xdr:rowOff>114300</xdr:rowOff>
    </xdr:to>
    <xdr:sp macro="" textlink="">
      <xdr:nvSpPr>
        <xdr:cNvPr id="1317" name="Line 3263"/>
        <xdr:cNvSpPr>
          <a:spLocks noChangeShapeType="1"/>
        </xdr:cNvSpPr>
      </xdr:nvSpPr>
      <xdr:spPr bwMode="auto">
        <a:xfrm flipH="1">
          <a:off x="2705100" y="78085950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oneCellAnchor>
    <xdr:from>
      <xdr:col>8</xdr:col>
      <xdr:colOff>276224</xdr:colOff>
      <xdr:row>584</xdr:row>
      <xdr:rowOff>76200</xdr:rowOff>
    </xdr:from>
    <xdr:ext cx="161924" cy="170560"/>
    <xdr:sp macro="" textlink="">
      <xdr:nvSpPr>
        <xdr:cNvPr id="1318" name="Text Box 69"/>
        <xdr:cNvSpPr txBox="1">
          <a:spLocks noChangeArrowheads="1"/>
        </xdr:cNvSpPr>
      </xdr:nvSpPr>
      <xdr:spPr bwMode="auto">
        <a:xfrm flipH="1">
          <a:off x="5229224" y="77724000"/>
          <a:ext cx="16192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190500</xdr:colOff>
      <xdr:row>584</xdr:row>
      <xdr:rowOff>9525</xdr:rowOff>
    </xdr:from>
    <xdr:to>
      <xdr:col>2</xdr:col>
      <xdr:colOff>466725</xdr:colOff>
      <xdr:row>584</xdr:row>
      <xdr:rowOff>11113</xdr:rowOff>
    </xdr:to>
    <xdr:cxnSp macro="">
      <xdr:nvCxnSpPr>
        <xdr:cNvPr id="1319" name="Straight Connector 3312"/>
        <xdr:cNvCxnSpPr>
          <a:cxnSpLocks noChangeShapeType="1"/>
        </xdr:cNvCxnSpPr>
      </xdr:nvCxnSpPr>
      <xdr:spPr bwMode="auto">
        <a:xfrm>
          <a:off x="1409700" y="77657325"/>
          <a:ext cx="276225" cy="1588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5</xdr:col>
      <xdr:colOff>589756</xdr:colOff>
      <xdr:row>581</xdr:row>
      <xdr:rowOff>794</xdr:rowOff>
    </xdr:from>
    <xdr:to>
      <xdr:col>5</xdr:col>
      <xdr:colOff>591344</xdr:colOff>
      <xdr:row>584</xdr:row>
      <xdr:rowOff>48419</xdr:rowOff>
    </xdr:to>
    <xdr:cxnSp macro="">
      <xdr:nvCxnSpPr>
        <xdr:cNvPr id="1320" name="Straight Arrow Connector 1319"/>
        <xdr:cNvCxnSpPr/>
      </xdr:nvCxnSpPr>
      <xdr:spPr bwMode="auto">
        <a:xfrm rot="5400000">
          <a:off x="3333750" y="77390625"/>
          <a:ext cx="609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 editAs="oneCell">
    <xdr:from>
      <xdr:col>6</xdr:col>
      <xdr:colOff>361950</xdr:colOff>
      <xdr:row>591</xdr:row>
      <xdr:rowOff>123825</xdr:rowOff>
    </xdr:from>
    <xdr:to>
      <xdr:col>6</xdr:col>
      <xdr:colOff>438150</xdr:colOff>
      <xdr:row>592</xdr:row>
      <xdr:rowOff>161636</xdr:rowOff>
    </xdr:to>
    <xdr:sp macro="" textlink="">
      <xdr:nvSpPr>
        <xdr:cNvPr id="1321" name="Text Box 74"/>
        <xdr:cNvSpPr txBox="1">
          <a:spLocks noChangeArrowheads="1"/>
        </xdr:cNvSpPr>
      </xdr:nvSpPr>
      <xdr:spPr bwMode="auto">
        <a:xfrm>
          <a:off x="4705350" y="78905100"/>
          <a:ext cx="76200" cy="1997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390525</xdr:colOff>
      <xdr:row>608</xdr:row>
      <xdr:rowOff>190500</xdr:rowOff>
    </xdr:from>
    <xdr:to>
      <xdr:col>2</xdr:col>
      <xdr:colOff>114300</xdr:colOff>
      <xdr:row>608</xdr:row>
      <xdr:rowOff>192088</xdr:rowOff>
    </xdr:to>
    <xdr:cxnSp macro="">
      <xdr:nvCxnSpPr>
        <xdr:cNvPr id="1322" name="Straight Connector 1321"/>
        <xdr:cNvCxnSpPr/>
      </xdr:nvCxnSpPr>
      <xdr:spPr bwMode="auto">
        <a:xfrm>
          <a:off x="1000125" y="82105500"/>
          <a:ext cx="333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504825</xdr:colOff>
      <xdr:row>584</xdr:row>
      <xdr:rowOff>0</xdr:rowOff>
    </xdr:from>
    <xdr:to>
      <xdr:col>8</xdr:col>
      <xdr:colOff>104775</xdr:colOff>
      <xdr:row>584</xdr:row>
      <xdr:rowOff>2</xdr:rowOff>
    </xdr:to>
    <xdr:cxnSp macro="">
      <xdr:nvCxnSpPr>
        <xdr:cNvPr id="1323" name="Straight Arrow Connector 1322"/>
        <xdr:cNvCxnSpPr/>
      </xdr:nvCxnSpPr>
      <xdr:spPr bwMode="auto">
        <a:xfrm>
          <a:off x="4848225" y="77647800"/>
          <a:ext cx="2095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8734</xdr:colOff>
      <xdr:row>584</xdr:row>
      <xdr:rowOff>797</xdr:rowOff>
    </xdr:from>
    <xdr:to>
      <xdr:col>8</xdr:col>
      <xdr:colOff>10322</xdr:colOff>
      <xdr:row>585</xdr:row>
      <xdr:rowOff>153197</xdr:rowOff>
    </xdr:to>
    <xdr:cxnSp macro="">
      <xdr:nvCxnSpPr>
        <xdr:cNvPr id="1324" name="Straight Arrow Connector 1323"/>
        <xdr:cNvCxnSpPr/>
      </xdr:nvCxnSpPr>
      <xdr:spPr bwMode="auto">
        <a:xfrm rot="16200000" flipH="1">
          <a:off x="4805365" y="77804966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2</xdr:col>
      <xdr:colOff>313532</xdr:colOff>
      <xdr:row>584</xdr:row>
      <xdr:rowOff>12293</xdr:rowOff>
    </xdr:from>
    <xdr:to>
      <xdr:col>2</xdr:col>
      <xdr:colOff>316476</xdr:colOff>
      <xdr:row>586</xdr:row>
      <xdr:rowOff>794</xdr:rowOff>
    </xdr:to>
    <xdr:cxnSp macro="">
      <xdr:nvCxnSpPr>
        <xdr:cNvPr id="1325" name="Straight Arrow Connector 1324"/>
        <xdr:cNvCxnSpPr/>
      </xdr:nvCxnSpPr>
      <xdr:spPr bwMode="auto">
        <a:xfrm rot="5400000">
          <a:off x="1378028" y="77814797"/>
          <a:ext cx="312351" cy="294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0</xdr:col>
      <xdr:colOff>386953</xdr:colOff>
      <xdr:row>581</xdr:row>
      <xdr:rowOff>110133</xdr:rowOff>
    </xdr:from>
    <xdr:to>
      <xdr:col>1</xdr:col>
      <xdr:colOff>369826</xdr:colOff>
      <xdr:row>581</xdr:row>
      <xdr:rowOff>113897</xdr:rowOff>
    </xdr:to>
    <xdr:cxnSp macro="">
      <xdr:nvCxnSpPr>
        <xdr:cNvPr id="1326" name="Straight Connector 1325"/>
        <xdr:cNvCxnSpPr/>
      </xdr:nvCxnSpPr>
      <xdr:spPr bwMode="auto">
        <a:xfrm rot="10800000">
          <a:off x="386953" y="77195958"/>
          <a:ext cx="592473" cy="376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136236</xdr:colOff>
      <xdr:row>581</xdr:row>
      <xdr:rowOff>14629</xdr:rowOff>
    </xdr:from>
    <xdr:to>
      <xdr:col>1</xdr:col>
      <xdr:colOff>221961</xdr:colOff>
      <xdr:row>581</xdr:row>
      <xdr:rowOff>90829</xdr:rowOff>
    </xdr:to>
    <xdr:sp macro="" textlink="">
      <xdr:nvSpPr>
        <xdr:cNvPr id="1327" name="Flowchart: Merge 1326"/>
        <xdr:cNvSpPr/>
      </xdr:nvSpPr>
      <xdr:spPr bwMode="auto">
        <a:xfrm>
          <a:off x="745836" y="77100454"/>
          <a:ext cx="85725" cy="762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210468</xdr:colOff>
      <xdr:row>580</xdr:row>
      <xdr:rowOff>117692</xdr:rowOff>
    </xdr:from>
    <xdr:to>
      <xdr:col>8</xdr:col>
      <xdr:colOff>296193</xdr:colOff>
      <xdr:row>581</xdr:row>
      <xdr:rowOff>27871</xdr:rowOff>
    </xdr:to>
    <xdr:sp macro="" textlink="">
      <xdr:nvSpPr>
        <xdr:cNvPr id="1328" name="Flowchart: Merge 1327"/>
        <xdr:cNvSpPr/>
      </xdr:nvSpPr>
      <xdr:spPr bwMode="auto">
        <a:xfrm>
          <a:off x="5163468" y="77041592"/>
          <a:ext cx="85725" cy="72104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133350</xdr:colOff>
      <xdr:row>595</xdr:row>
      <xdr:rowOff>190500</xdr:rowOff>
    </xdr:from>
    <xdr:to>
      <xdr:col>4</xdr:col>
      <xdr:colOff>428625</xdr:colOff>
      <xdr:row>595</xdr:row>
      <xdr:rowOff>192088</xdr:rowOff>
    </xdr:to>
    <xdr:cxnSp macro="">
      <xdr:nvCxnSpPr>
        <xdr:cNvPr id="1329" name="Straight Connector 1328"/>
        <xdr:cNvCxnSpPr/>
      </xdr:nvCxnSpPr>
      <xdr:spPr bwMode="auto">
        <a:xfrm>
          <a:off x="2571750" y="79457550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318935</xdr:colOff>
      <xdr:row>581</xdr:row>
      <xdr:rowOff>113689</xdr:rowOff>
    </xdr:from>
    <xdr:to>
      <xdr:col>2</xdr:col>
      <xdr:colOff>328766</xdr:colOff>
      <xdr:row>584</xdr:row>
      <xdr:rowOff>12603</xdr:rowOff>
    </xdr:to>
    <xdr:cxnSp macro="">
      <xdr:nvCxnSpPr>
        <xdr:cNvPr id="1331" name="Straight Arrow Connector 1330"/>
        <xdr:cNvCxnSpPr/>
      </xdr:nvCxnSpPr>
      <xdr:spPr bwMode="auto">
        <a:xfrm rot="5400000">
          <a:off x="1312606" y="77425043"/>
          <a:ext cx="460889" cy="98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133350</xdr:colOff>
      <xdr:row>597</xdr:row>
      <xdr:rowOff>190500</xdr:rowOff>
    </xdr:from>
    <xdr:to>
      <xdr:col>4</xdr:col>
      <xdr:colOff>428625</xdr:colOff>
      <xdr:row>597</xdr:row>
      <xdr:rowOff>192088</xdr:rowOff>
    </xdr:to>
    <xdr:cxnSp macro="">
      <xdr:nvCxnSpPr>
        <xdr:cNvPr id="1332" name="Straight Connector 1331"/>
        <xdr:cNvCxnSpPr/>
      </xdr:nvCxnSpPr>
      <xdr:spPr bwMode="auto">
        <a:xfrm>
          <a:off x="2571750" y="79819500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581025</xdr:colOff>
      <xdr:row>587</xdr:row>
      <xdr:rowOff>9525</xdr:rowOff>
    </xdr:from>
    <xdr:to>
      <xdr:col>6</xdr:col>
      <xdr:colOff>457200</xdr:colOff>
      <xdr:row>587</xdr:row>
      <xdr:rowOff>11113</xdr:rowOff>
    </xdr:to>
    <xdr:cxnSp macro="">
      <xdr:nvCxnSpPr>
        <xdr:cNvPr id="1333" name="Straight Arrow Connector 1332"/>
        <xdr:cNvCxnSpPr/>
      </xdr:nvCxnSpPr>
      <xdr:spPr bwMode="auto">
        <a:xfrm>
          <a:off x="3629025" y="7814310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474336</xdr:colOff>
      <xdr:row>583</xdr:row>
      <xdr:rowOff>159684</xdr:rowOff>
    </xdr:from>
    <xdr:to>
      <xdr:col>3</xdr:col>
      <xdr:colOff>476250</xdr:colOff>
      <xdr:row>586</xdr:row>
      <xdr:rowOff>2475</xdr:rowOff>
    </xdr:to>
    <xdr:cxnSp macro="">
      <xdr:nvCxnSpPr>
        <xdr:cNvPr id="1334" name="Straight Connector 1333"/>
        <xdr:cNvCxnSpPr/>
      </xdr:nvCxnSpPr>
      <xdr:spPr bwMode="auto">
        <a:xfrm rot="5400000">
          <a:off x="2120760" y="77789835"/>
          <a:ext cx="366666" cy="191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485775</xdr:colOff>
      <xdr:row>583</xdr:row>
      <xdr:rowOff>123825</xdr:rowOff>
    </xdr:from>
    <xdr:to>
      <xdr:col>4</xdr:col>
      <xdr:colOff>571500</xdr:colOff>
      <xdr:row>584</xdr:row>
      <xdr:rowOff>38100</xdr:rowOff>
    </xdr:to>
    <xdr:sp macro="" textlink="">
      <xdr:nvSpPr>
        <xdr:cNvPr id="1335" name="Flowchart: Merge 1334"/>
        <xdr:cNvSpPr/>
      </xdr:nvSpPr>
      <xdr:spPr bwMode="auto">
        <a:xfrm>
          <a:off x="2924175" y="77571600"/>
          <a:ext cx="85725" cy="114300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10323</xdr:colOff>
      <xdr:row>581</xdr:row>
      <xdr:rowOff>48421</xdr:rowOff>
    </xdr:from>
    <xdr:to>
      <xdr:col>8</xdr:col>
      <xdr:colOff>19053</xdr:colOff>
      <xdr:row>583</xdr:row>
      <xdr:rowOff>152404</xdr:rowOff>
    </xdr:to>
    <xdr:cxnSp macro="">
      <xdr:nvCxnSpPr>
        <xdr:cNvPr id="1336" name="Straight Arrow Connector 1335"/>
        <xdr:cNvCxnSpPr/>
      </xdr:nvCxnSpPr>
      <xdr:spPr bwMode="auto">
        <a:xfrm rot="16200000" flipH="1">
          <a:off x="4734721" y="77362848"/>
          <a:ext cx="465933" cy="873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608806</xdr:colOff>
      <xdr:row>581</xdr:row>
      <xdr:rowOff>105569</xdr:rowOff>
    </xdr:from>
    <xdr:to>
      <xdr:col>1</xdr:col>
      <xdr:colOff>794</xdr:colOff>
      <xdr:row>585</xdr:row>
      <xdr:rowOff>153193</xdr:rowOff>
    </xdr:to>
    <xdr:cxnSp macro="">
      <xdr:nvCxnSpPr>
        <xdr:cNvPr id="1337" name="Straight Arrow Connector 1336"/>
        <xdr:cNvCxnSpPr/>
      </xdr:nvCxnSpPr>
      <xdr:spPr bwMode="auto">
        <a:xfrm rot="5400000">
          <a:off x="223838" y="77576362"/>
          <a:ext cx="771524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578495</xdr:colOff>
      <xdr:row>581</xdr:row>
      <xdr:rowOff>43410</xdr:rowOff>
    </xdr:from>
    <xdr:to>
      <xdr:col>8</xdr:col>
      <xdr:colOff>557928</xdr:colOff>
      <xdr:row>581</xdr:row>
      <xdr:rowOff>44998</xdr:rowOff>
    </xdr:to>
    <xdr:cxnSp macro="">
      <xdr:nvCxnSpPr>
        <xdr:cNvPr id="1339" name="Straight Connector 1338"/>
        <xdr:cNvCxnSpPr/>
      </xdr:nvCxnSpPr>
      <xdr:spPr bwMode="auto">
        <a:xfrm>
          <a:off x="4921895" y="77129235"/>
          <a:ext cx="589033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247650</xdr:colOff>
      <xdr:row>581</xdr:row>
      <xdr:rowOff>88173</xdr:rowOff>
    </xdr:from>
    <xdr:to>
      <xdr:col>8</xdr:col>
      <xdr:colOff>323850</xdr:colOff>
      <xdr:row>581</xdr:row>
      <xdr:rowOff>88173</xdr:rowOff>
    </xdr:to>
    <xdr:sp macro="" textlink="">
      <xdr:nvSpPr>
        <xdr:cNvPr id="1340" name="Line 36"/>
        <xdr:cNvSpPr>
          <a:spLocks noChangeShapeType="1"/>
        </xdr:cNvSpPr>
      </xdr:nvSpPr>
      <xdr:spPr bwMode="auto">
        <a:xfrm>
          <a:off x="5200650" y="77173998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571500</xdr:colOff>
      <xdr:row>584</xdr:row>
      <xdr:rowOff>85725</xdr:rowOff>
    </xdr:from>
    <xdr:to>
      <xdr:col>9</xdr:col>
      <xdr:colOff>447675</xdr:colOff>
      <xdr:row>584</xdr:row>
      <xdr:rowOff>87313</xdr:rowOff>
    </xdr:to>
    <xdr:cxnSp macro="">
      <xdr:nvCxnSpPr>
        <xdr:cNvPr id="1344" name="Straight Arrow Connector 1343"/>
        <xdr:cNvCxnSpPr/>
      </xdr:nvCxnSpPr>
      <xdr:spPr bwMode="auto">
        <a:xfrm>
          <a:off x="5524500" y="777335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</xdr:colOff>
      <xdr:row>586</xdr:row>
      <xdr:rowOff>9525</xdr:rowOff>
    </xdr:from>
    <xdr:to>
      <xdr:col>3</xdr:col>
      <xdr:colOff>476250</xdr:colOff>
      <xdr:row>586</xdr:row>
      <xdr:rowOff>9525</xdr:rowOff>
    </xdr:to>
    <xdr:sp macro="" textlink="">
      <xdr:nvSpPr>
        <xdr:cNvPr id="1345" name="Line 10"/>
        <xdr:cNvSpPr>
          <a:spLocks noChangeShapeType="1"/>
        </xdr:cNvSpPr>
      </xdr:nvSpPr>
      <xdr:spPr bwMode="auto">
        <a:xfrm>
          <a:off x="619125" y="77981175"/>
          <a:ext cx="1685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257735</xdr:colOff>
      <xdr:row>583</xdr:row>
      <xdr:rowOff>56032</xdr:rowOff>
    </xdr:from>
    <xdr:to>
      <xdr:col>4</xdr:col>
      <xdr:colOff>260537</xdr:colOff>
      <xdr:row>584</xdr:row>
      <xdr:rowOff>50431</xdr:rowOff>
    </xdr:to>
    <xdr:cxnSp macro="">
      <xdr:nvCxnSpPr>
        <xdr:cNvPr id="1346" name="Straight Connector 1345"/>
        <xdr:cNvCxnSpPr/>
      </xdr:nvCxnSpPr>
      <xdr:spPr bwMode="auto">
        <a:xfrm rot="5400000">
          <a:off x="2600324" y="77599618"/>
          <a:ext cx="194424" cy="280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459223</xdr:colOff>
      <xdr:row>586</xdr:row>
      <xdr:rowOff>54031</xdr:rowOff>
    </xdr:from>
    <xdr:to>
      <xdr:col>6</xdr:col>
      <xdr:colOff>459223</xdr:colOff>
      <xdr:row>587</xdr:row>
      <xdr:rowOff>73081</xdr:rowOff>
    </xdr:to>
    <xdr:sp macro="" textlink="">
      <xdr:nvSpPr>
        <xdr:cNvPr id="1349" name="Line 29"/>
        <xdr:cNvSpPr>
          <a:spLocks noChangeShapeType="1"/>
        </xdr:cNvSpPr>
      </xdr:nvSpPr>
      <xdr:spPr bwMode="auto">
        <a:xfrm>
          <a:off x="4116823" y="78025681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505743</xdr:colOff>
      <xdr:row>580</xdr:row>
      <xdr:rowOff>70067</xdr:rowOff>
    </xdr:from>
    <xdr:to>
      <xdr:col>4</xdr:col>
      <xdr:colOff>591468</xdr:colOff>
      <xdr:row>580</xdr:row>
      <xdr:rowOff>142171</xdr:rowOff>
    </xdr:to>
    <xdr:sp macro="" textlink="">
      <xdr:nvSpPr>
        <xdr:cNvPr id="1363" name="Flowchart: Merge 1362"/>
        <xdr:cNvSpPr/>
      </xdr:nvSpPr>
      <xdr:spPr bwMode="auto">
        <a:xfrm>
          <a:off x="2944143" y="76993967"/>
          <a:ext cx="85725" cy="72104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321469</xdr:colOff>
      <xdr:row>586</xdr:row>
      <xdr:rowOff>9525</xdr:rowOff>
    </xdr:from>
    <xdr:to>
      <xdr:col>3</xdr:col>
      <xdr:colOff>178594</xdr:colOff>
      <xdr:row>586</xdr:row>
      <xdr:rowOff>9525</xdr:rowOff>
    </xdr:to>
    <xdr:sp macro="" textlink="">
      <xdr:nvSpPr>
        <xdr:cNvPr id="1364" name="Line 10"/>
        <xdr:cNvSpPr>
          <a:spLocks noChangeShapeType="1"/>
        </xdr:cNvSpPr>
      </xdr:nvSpPr>
      <xdr:spPr bwMode="auto">
        <a:xfrm>
          <a:off x="321469" y="77981175"/>
          <a:ext cx="1685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485775</xdr:colOff>
      <xdr:row>686</xdr:row>
      <xdr:rowOff>9525</xdr:rowOff>
    </xdr:from>
    <xdr:to>
      <xdr:col>4</xdr:col>
      <xdr:colOff>0</xdr:colOff>
      <xdr:row>688</xdr:row>
      <xdr:rowOff>9525</xdr:rowOff>
    </xdr:to>
    <xdr:sp macro="" textlink="">
      <xdr:nvSpPr>
        <xdr:cNvPr id="1365" name="Line 2429"/>
        <xdr:cNvSpPr>
          <a:spLocks noChangeShapeType="1"/>
        </xdr:cNvSpPr>
      </xdr:nvSpPr>
      <xdr:spPr bwMode="auto">
        <a:xfrm>
          <a:off x="1095375" y="82867500"/>
          <a:ext cx="13430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514350</xdr:colOff>
      <xdr:row>686</xdr:row>
      <xdr:rowOff>152400</xdr:rowOff>
    </xdr:from>
    <xdr:to>
      <xdr:col>4</xdr:col>
      <xdr:colOff>0</xdr:colOff>
      <xdr:row>686</xdr:row>
      <xdr:rowOff>152400</xdr:rowOff>
    </xdr:to>
    <xdr:sp macro="" textlink="">
      <xdr:nvSpPr>
        <xdr:cNvPr id="1366" name="Line 2431"/>
        <xdr:cNvSpPr>
          <a:spLocks noChangeShapeType="1"/>
        </xdr:cNvSpPr>
      </xdr:nvSpPr>
      <xdr:spPr bwMode="auto">
        <a:xfrm>
          <a:off x="1733550" y="83010375"/>
          <a:ext cx="704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686</xdr:row>
      <xdr:rowOff>152400</xdr:rowOff>
    </xdr:from>
    <xdr:to>
      <xdr:col>4</xdr:col>
      <xdr:colOff>0</xdr:colOff>
      <xdr:row>688</xdr:row>
      <xdr:rowOff>0</xdr:rowOff>
    </xdr:to>
    <xdr:sp macro="" textlink="">
      <xdr:nvSpPr>
        <xdr:cNvPr id="1368" name="Line 2432"/>
        <xdr:cNvSpPr>
          <a:spLocks noChangeShapeType="1"/>
        </xdr:cNvSpPr>
      </xdr:nvSpPr>
      <xdr:spPr bwMode="auto">
        <a:xfrm>
          <a:off x="2438400" y="8301037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689</xdr:row>
      <xdr:rowOff>47625</xdr:rowOff>
    </xdr:from>
    <xdr:to>
      <xdr:col>4</xdr:col>
      <xdr:colOff>0</xdr:colOff>
      <xdr:row>690</xdr:row>
      <xdr:rowOff>28575</xdr:rowOff>
    </xdr:to>
    <xdr:sp macro="" textlink="">
      <xdr:nvSpPr>
        <xdr:cNvPr id="1372" name="Line 2444"/>
        <xdr:cNvSpPr>
          <a:spLocks noChangeShapeType="1"/>
        </xdr:cNvSpPr>
      </xdr:nvSpPr>
      <xdr:spPr bwMode="auto">
        <a:xfrm>
          <a:off x="2438400" y="833913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686</xdr:row>
      <xdr:rowOff>0</xdr:rowOff>
    </xdr:from>
    <xdr:to>
      <xdr:col>4</xdr:col>
      <xdr:colOff>190500</xdr:colOff>
      <xdr:row>686</xdr:row>
      <xdr:rowOff>142875</xdr:rowOff>
    </xdr:to>
    <xdr:sp macro="" textlink="">
      <xdr:nvSpPr>
        <xdr:cNvPr id="1373" name="Line 3289"/>
        <xdr:cNvSpPr>
          <a:spLocks noChangeShapeType="1"/>
        </xdr:cNvSpPr>
      </xdr:nvSpPr>
      <xdr:spPr bwMode="auto">
        <a:xfrm flipV="1">
          <a:off x="2438400" y="82857975"/>
          <a:ext cx="19050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200025</xdr:colOff>
      <xdr:row>686</xdr:row>
      <xdr:rowOff>0</xdr:rowOff>
    </xdr:from>
    <xdr:to>
      <xdr:col>4</xdr:col>
      <xdr:colOff>200025</xdr:colOff>
      <xdr:row>687</xdr:row>
      <xdr:rowOff>38100</xdr:rowOff>
    </xdr:to>
    <xdr:sp macro="" textlink="">
      <xdr:nvSpPr>
        <xdr:cNvPr id="1374" name="Line 3290"/>
        <xdr:cNvSpPr>
          <a:spLocks noChangeShapeType="1"/>
        </xdr:cNvSpPr>
      </xdr:nvSpPr>
      <xdr:spPr bwMode="auto">
        <a:xfrm flipH="1">
          <a:off x="2638425" y="82857975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152400</xdr:colOff>
      <xdr:row>686</xdr:row>
      <xdr:rowOff>0</xdr:rowOff>
    </xdr:from>
    <xdr:to>
      <xdr:col>4</xdr:col>
      <xdr:colOff>180975</xdr:colOff>
      <xdr:row>686</xdr:row>
      <xdr:rowOff>0</xdr:rowOff>
    </xdr:to>
    <xdr:sp macro="" textlink="">
      <xdr:nvSpPr>
        <xdr:cNvPr id="1375" name="Line 3291"/>
        <xdr:cNvSpPr>
          <a:spLocks noChangeShapeType="1"/>
        </xdr:cNvSpPr>
      </xdr:nvSpPr>
      <xdr:spPr bwMode="auto">
        <a:xfrm flipH="1">
          <a:off x="1981200" y="82857975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523875</xdr:colOff>
      <xdr:row>685</xdr:row>
      <xdr:rowOff>142875</xdr:rowOff>
    </xdr:from>
    <xdr:to>
      <xdr:col>3</xdr:col>
      <xdr:colOff>161925</xdr:colOff>
      <xdr:row>686</xdr:row>
      <xdr:rowOff>152400</xdr:rowOff>
    </xdr:to>
    <xdr:sp macro="" textlink="">
      <xdr:nvSpPr>
        <xdr:cNvPr id="1376" name="Line 3292"/>
        <xdr:cNvSpPr>
          <a:spLocks noChangeShapeType="1"/>
        </xdr:cNvSpPr>
      </xdr:nvSpPr>
      <xdr:spPr bwMode="auto">
        <a:xfrm flipH="1">
          <a:off x="1743075" y="82838925"/>
          <a:ext cx="2476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600075</xdr:colOff>
      <xdr:row>687</xdr:row>
      <xdr:rowOff>28574</xdr:rowOff>
    </xdr:from>
    <xdr:to>
      <xdr:col>4</xdr:col>
      <xdr:colOff>209550</xdr:colOff>
      <xdr:row>687</xdr:row>
      <xdr:rowOff>161924</xdr:rowOff>
    </xdr:to>
    <xdr:sp macro="" textlink="">
      <xdr:nvSpPr>
        <xdr:cNvPr id="1377" name="Line 3293"/>
        <xdr:cNvSpPr>
          <a:spLocks noChangeShapeType="1"/>
        </xdr:cNvSpPr>
      </xdr:nvSpPr>
      <xdr:spPr bwMode="auto">
        <a:xfrm flipV="1">
          <a:off x="2428875" y="83048474"/>
          <a:ext cx="21907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552450</xdr:colOff>
      <xdr:row>687</xdr:row>
      <xdr:rowOff>0</xdr:rowOff>
    </xdr:from>
    <xdr:to>
      <xdr:col>2</xdr:col>
      <xdr:colOff>28575</xdr:colOff>
      <xdr:row>687</xdr:row>
      <xdr:rowOff>0</xdr:rowOff>
    </xdr:to>
    <xdr:sp macro="" textlink="">
      <xdr:nvSpPr>
        <xdr:cNvPr id="1378" name="Line 3296"/>
        <xdr:cNvSpPr>
          <a:spLocks noChangeShapeType="1"/>
        </xdr:cNvSpPr>
      </xdr:nvSpPr>
      <xdr:spPr bwMode="auto">
        <a:xfrm>
          <a:off x="1162050" y="8301990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533400</xdr:colOff>
      <xdr:row>688</xdr:row>
      <xdr:rowOff>0</xdr:rowOff>
    </xdr:from>
    <xdr:to>
      <xdr:col>2</xdr:col>
      <xdr:colOff>28575</xdr:colOff>
      <xdr:row>688</xdr:row>
      <xdr:rowOff>0</xdr:rowOff>
    </xdr:to>
    <xdr:sp macro="" textlink="">
      <xdr:nvSpPr>
        <xdr:cNvPr id="1379" name="Line 3297"/>
        <xdr:cNvSpPr>
          <a:spLocks noChangeShapeType="1"/>
        </xdr:cNvSpPr>
      </xdr:nvSpPr>
      <xdr:spPr bwMode="auto">
        <a:xfrm>
          <a:off x="1143000" y="831818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686</xdr:row>
      <xdr:rowOff>152400</xdr:rowOff>
    </xdr:from>
    <xdr:to>
      <xdr:col>2</xdr:col>
      <xdr:colOff>0</xdr:colOff>
      <xdr:row>688</xdr:row>
      <xdr:rowOff>0</xdr:rowOff>
    </xdr:to>
    <xdr:sp macro="" textlink="">
      <xdr:nvSpPr>
        <xdr:cNvPr id="1380" name="Line 3298"/>
        <xdr:cNvSpPr>
          <a:spLocks noChangeShapeType="1"/>
        </xdr:cNvSpPr>
      </xdr:nvSpPr>
      <xdr:spPr bwMode="auto">
        <a:xfrm>
          <a:off x="1219200" y="8301037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</xdr:col>
      <xdr:colOff>9525</xdr:colOff>
      <xdr:row>661</xdr:row>
      <xdr:rowOff>104775</xdr:rowOff>
    </xdr:from>
    <xdr:to>
      <xdr:col>1</xdr:col>
      <xdr:colOff>9525</xdr:colOff>
      <xdr:row>662</xdr:row>
      <xdr:rowOff>152400</xdr:rowOff>
    </xdr:to>
    <xdr:sp macro="" textlink="">
      <xdr:nvSpPr>
        <xdr:cNvPr id="1394" name="Line 3311"/>
        <xdr:cNvSpPr>
          <a:spLocks noChangeShapeType="1"/>
        </xdr:cNvSpPr>
      </xdr:nvSpPr>
      <xdr:spPr bwMode="auto">
        <a:xfrm>
          <a:off x="619125" y="10898505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266701</xdr:colOff>
      <xdr:row>684</xdr:row>
      <xdr:rowOff>142875</xdr:rowOff>
    </xdr:from>
    <xdr:to>
      <xdr:col>3</xdr:col>
      <xdr:colOff>85728</xdr:colOff>
      <xdr:row>685</xdr:row>
      <xdr:rowOff>95250</xdr:rowOff>
    </xdr:to>
    <xdr:cxnSp macro="">
      <xdr:nvCxnSpPr>
        <xdr:cNvPr id="1398" name="Straight Connector 1397"/>
        <xdr:cNvCxnSpPr/>
      </xdr:nvCxnSpPr>
      <xdr:spPr bwMode="auto">
        <a:xfrm rot="10800000">
          <a:off x="1485901" y="82677000"/>
          <a:ext cx="428627" cy="11430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266701</xdr:colOff>
      <xdr:row>685</xdr:row>
      <xdr:rowOff>38100</xdr:rowOff>
    </xdr:from>
    <xdr:to>
      <xdr:col>2</xdr:col>
      <xdr:colOff>438151</xdr:colOff>
      <xdr:row>686</xdr:row>
      <xdr:rowOff>76202</xdr:rowOff>
    </xdr:to>
    <xdr:cxnSp macro="">
      <xdr:nvCxnSpPr>
        <xdr:cNvPr id="1399" name="Straight Arrow Connector 1398"/>
        <xdr:cNvCxnSpPr/>
      </xdr:nvCxnSpPr>
      <xdr:spPr bwMode="auto">
        <a:xfrm rot="5400000" flipH="1" flipV="1">
          <a:off x="1471612" y="82748439"/>
          <a:ext cx="200027" cy="1714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504031</xdr:colOff>
      <xdr:row>688</xdr:row>
      <xdr:rowOff>794</xdr:rowOff>
    </xdr:from>
    <xdr:to>
      <xdr:col>2</xdr:col>
      <xdr:colOff>505619</xdr:colOff>
      <xdr:row>690</xdr:row>
      <xdr:rowOff>794</xdr:rowOff>
    </xdr:to>
    <xdr:cxnSp macro="">
      <xdr:nvCxnSpPr>
        <xdr:cNvPr id="1400" name="Straight Connector 1399"/>
        <xdr:cNvCxnSpPr/>
      </xdr:nvCxnSpPr>
      <xdr:spPr bwMode="auto">
        <a:xfrm rot="5400000">
          <a:off x="1562100" y="83343750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504825</xdr:colOff>
      <xdr:row>689</xdr:row>
      <xdr:rowOff>19050</xdr:rowOff>
    </xdr:from>
    <xdr:to>
      <xdr:col>3</xdr:col>
      <xdr:colOff>542925</xdr:colOff>
      <xdr:row>689</xdr:row>
      <xdr:rowOff>20638</xdr:rowOff>
    </xdr:to>
    <xdr:cxnSp macro="">
      <xdr:nvCxnSpPr>
        <xdr:cNvPr id="1402" name="Straight Arrow Connector 1401"/>
        <xdr:cNvCxnSpPr/>
      </xdr:nvCxnSpPr>
      <xdr:spPr bwMode="auto">
        <a:xfrm>
          <a:off x="1724025" y="83362800"/>
          <a:ext cx="647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608807</xdr:colOff>
      <xdr:row>688</xdr:row>
      <xdr:rowOff>48418</xdr:rowOff>
    </xdr:from>
    <xdr:to>
      <xdr:col>4</xdr:col>
      <xdr:colOff>795</xdr:colOff>
      <xdr:row>689</xdr:row>
      <xdr:rowOff>48418</xdr:rowOff>
    </xdr:to>
    <xdr:cxnSp macro="">
      <xdr:nvCxnSpPr>
        <xdr:cNvPr id="1404" name="Straight Connector 1403"/>
        <xdr:cNvCxnSpPr>
          <a:endCxn id="1372" idx="0"/>
        </xdr:cNvCxnSpPr>
      </xdr:nvCxnSpPr>
      <xdr:spPr bwMode="auto">
        <a:xfrm rot="5400000">
          <a:off x="2357438" y="83310412"/>
          <a:ext cx="1619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</xdr:colOff>
      <xdr:row>688</xdr:row>
      <xdr:rowOff>48418</xdr:rowOff>
    </xdr:from>
    <xdr:to>
      <xdr:col>6</xdr:col>
      <xdr:colOff>797</xdr:colOff>
      <xdr:row>690</xdr:row>
      <xdr:rowOff>133349</xdr:rowOff>
    </xdr:to>
    <xdr:cxnSp macro="">
      <xdr:nvCxnSpPr>
        <xdr:cNvPr id="1408" name="Straight Connector 1407"/>
        <xdr:cNvCxnSpPr/>
      </xdr:nvCxnSpPr>
      <xdr:spPr bwMode="auto">
        <a:xfrm rot="5400000">
          <a:off x="3453608" y="83434236"/>
          <a:ext cx="408781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438150</xdr:colOff>
      <xdr:row>683</xdr:row>
      <xdr:rowOff>9525</xdr:rowOff>
    </xdr:from>
    <xdr:to>
      <xdr:col>6</xdr:col>
      <xdr:colOff>95250</xdr:colOff>
      <xdr:row>685</xdr:row>
      <xdr:rowOff>66677</xdr:rowOff>
    </xdr:to>
    <xdr:cxnSp macro="">
      <xdr:nvCxnSpPr>
        <xdr:cNvPr id="1409" name="Straight Arrow Connector 1408"/>
        <xdr:cNvCxnSpPr/>
      </xdr:nvCxnSpPr>
      <xdr:spPr bwMode="auto">
        <a:xfrm rot="5400000" flipH="1" flipV="1">
          <a:off x="3428999" y="82438876"/>
          <a:ext cx="381002" cy="266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342106</xdr:colOff>
      <xdr:row>688</xdr:row>
      <xdr:rowOff>19844</xdr:rowOff>
    </xdr:from>
    <xdr:to>
      <xdr:col>6</xdr:col>
      <xdr:colOff>343694</xdr:colOff>
      <xdr:row>689</xdr:row>
      <xdr:rowOff>86519</xdr:rowOff>
    </xdr:to>
    <xdr:cxnSp macro="">
      <xdr:nvCxnSpPr>
        <xdr:cNvPr id="1415" name="Straight Connector 1414"/>
        <xdr:cNvCxnSpPr/>
      </xdr:nvCxnSpPr>
      <xdr:spPr bwMode="auto">
        <a:xfrm rot="5400000">
          <a:off x="3886200" y="83315175"/>
          <a:ext cx="228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494507</xdr:colOff>
      <xdr:row>689</xdr:row>
      <xdr:rowOff>794</xdr:rowOff>
    </xdr:from>
    <xdr:to>
      <xdr:col>7</xdr:col>
      <xdr:colOff>496095</xdr:colOff>
      <xdr:row>690</xdr:row>
      <xdr:rowOff>96044</xdr:rowOff>
    </xdr:to>
    <xdr:cxnSp macro="">
      <xdr:nvCxnSpPr>
        <xdr:cNvPr id="1416" name="Straight Connector 1415"/>
        <xdr:cNvCxnSpPr/>
      </xdr:nvCxnSpPr>
      <xdr:spPr bwMode="auto">
        <a:xfrm rot="5400000">
          <a:off x="4710113" y="83472338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257969</xdr:colOff>
      <xdr:row>685</xdr:row>
      <xdr:rowOff>67470</xdr:rowOff>
    </xdr:from>
    <xdr:to>
      <xdr:col>5</xdr:col>
      <xdr:colOff>561975</xdr:colOff>
      <xdr:row>685</xdr:row>
      <xdr:rowOff>76201</xdr:rowOff>
    </xdr:to>
    <xdr:cxnSp macro="">
      <xdr:nvCxnSpPr>
        <xdr:cNvPr id="1417" name="Straight Connector 1416"/>
        <xdr:cNvCxnSpPr/>
      </xdr:nvCxnSpPr>
      <xdr:spPr bwMode="auto">
        <a:xfrm rot="10800000">
          <a:off x="3305969" y="82763520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688</xdr:row>
      <xdr:rowOff>114300</xdr:rowOff>
    </xdr:from>
    <xdr:to>
      <xdr:col>6</xdr:col>
      <xdr:colOff>352425</xdr:colOff>
      <xdr:row>688</xdr:row>
      <xdr:rowOff>123825</xdr:rowOff>
    </xdr:to>
    <xdr:cxnSp macro="">
      <xdr:nvCxnSpPr>
        <xdr:cNvPr id="1418" name="Straight Arrow Connector 1417"/>
        <xdr:cNvCxnSpPr/>
      </xdr:nvCxnSpPr>
      <xdr:spPr bwMode="auto">
        <a:xfrm>
          <a:off x="3648075" y="83296125"/>
          <a:ext cx="3619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5</xdr:col>
      <xdr:colOff>600075</xdr:colOff>
      <xdr:row>687</xdr:row>
      <xdr:rowOff>152400</xdr:rowOff>
    </xdr:from>
    <xdr:to>
      <xdr:col>7</xdr:col>
      <xdr:colOff>504825</xdr:colOff>
      <xdr:row>688</xdr:row>
      <xdr:rowOff>1</xdr:rowOff>
    </xdr:to>
    <xdr:cxnSp macro="">
      <xdr:nvCxnSpPr>
        <xdr:cNvPr id="1424" name="Straight Connector 1423"/>
        <xdr:cNvCxnSpPr/>
      </xdr:nvCxnSpPr>
      <xdr:spPr bwMode="auto">
        <a:xfrm flipV="1">
          <a:off x="3648075" y="83172300"/>
          <a:ext cx="120015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599282</xdr:colOff>
      <xdr:row>685</xdr:row>
      <xdr:rowOff>67468</xdr:rowOff>
    </xdr:from>
    <xdr:to>
      <xdr:col>5</xdr:col>
      <xdr:colOff>600870</xdr:colOff>
      <xdr:row>688</xdr:row>
      <xdr:rowOff>10318</xdr:rowOff>
    </xdr:to>
    <xdr:cxnSp macro="">
      <xdr:nvCxnSpPr>
        <xdr:cNvPr id="1425" name="Straight Connector 1424"/>
        <xdr:cNvCxnSpPr/>
      </xdr:nvCxnSpPr>
      <xdr:spPr bwMode="auto">
        <a:xfrm rot="5400000">
          <a:off x="3433763" y="82977037"/>
          <a:ext cx="428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685</xdr:row>
      <xdr:rowOff>85725</xdr:rowOff>
    </xdr:from>
    <xdr:to>
      <xdr:col>6</xdr:col>
      <xdr:colOff>371475</xdr:colOff>
      <xdr:row>685</xdr:row>
      <xdr:rowOff>95250</xdr:rowOff>
    </xdr:to>
    <xdr:cxnSp macro="">
      <xdr:nvCxnSpPr>
        <xdr:cNvPr id="1426" name="Straight Connector 1425"/>
        <xdr:cNvCxnSpPr/>
      </xdr:nvCxnSpPr>
      <xdr:spPr bwMode="auto">
        <a:xfrm>
          <a:off x="3648075" y="82781775"/>
          <a:ext cx="3810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371475</xdr:colOff>
      <xdr:row>685</xdr:row>
      <xdr:rowOff>95250</xdr:rowOff>
    </xdr:from>
    <xdr:to>
      <xdr:col>7</xdr:col>
      <xdr:colOff>495300</xdr:colOff>
      <xdr:row>687</xdr:row>
      <xdr:rowOff>142875</xdr:rowOff>
    </xdr:to>
    <xdr:cxnSp macro="">
      <xdr:nvCxnSpPr>
        <xdr:cNvPr id="1427" name="Straight Connector 1426"/>
        <xdr:cNvCxnSpPr/>
      </xdr:nvCxnSpPr>
      <xdr:spPr bwMode="auto">
        <a:xfrm>
          <a:off x="4029075" y="82791300"/>
          <a:ext cx="809625" cy="3714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683</xdr:row>
      <xdr:rowOff>19051</xdr:rowOff>
    </xdr:from>
    <xdr:to>
      <xdr:col>6</xdr:col>
      <xdr:colOff>285750</xdr:colOff>
      <xdr:row>685</xdr:row>
      <xdr:rowOff>66676</xdr:rowOff>
    </xdr:to>
    <xdr:cxnSp macro="">
      <xdr:nvCxnSpPr>
        <xdr:cNvPr id="1428" name="Straight Connector 1427"/>
        <xdr:cNvCxnSpPr/>
      </xdr:nvCxnSpPr>
      <xdr:spPr bwMode="auto">
        <a:xfrm rot="5400000" flipH="1" flipV="1">
          <a:off x="3609975" y="82429351"/>
          <a:ext cx="37147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361947</xdr:colOff>
      <xdr:row>683</xdr:row>
      <xdr:rowOff>9526</xdr:rowOff>
    </xdr:from>
    <xdr:to>
      <xdr:col>7</xdr:col>
      <xdr:colOff>38102</xdr:colOff>
      <xdr:row>685</xdr:row>
      <xdr:rowOff>104778</xdr:rowOff>
    </xdr:to>
    <xdr:cxnSp macro="">
      <xdr:nvCxnSpPr>
        <xdr:cNvPr id="1429" name="Straight Connector 1428"/>
        <xdr:cNvCxnSpPr/>
      </xdr:nvCxnSpPr>
      <xdr:spPr bwMode="auto">
        <a:xfrm rot="5400000" flipH="1" flipV="1">
          <a:off x="3990974" y="82410299"/>
          <a:ext cx="419102" cy="3619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</xdr:colOff>
      <xdr:row>683</xdr:row>
      <xdr:rowOff>28575</xdr:rowOff>
    </xdr:from>
    <xdr:to>
      <xdr:col>8</xdr:col>
      <xdr:colOff>161925</xdr:colOff>
      <xdr:row>685</xdr:row>
      <xdr:rowOff>28575</xdr:rowOff>
    </xdr:to>
    <xdr:cxnSp macro="">
      <xdr:nvCxnSpPr>
        <xdr:cNvPr id="1430" name="Straight Connector 1429"/>
        <xdr:cNvCxnSpPr/>
      </xdr:nvCxnSpPr>
      <xdr:spPr bwMode="auto">
        <a:xfrm>
          <a:off x="4371975" y="82400775"/>
          <a:ext cx="742950" cy="3238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285750</xdr:colOff>
      <xdr:row>683</xdr:row>
      <xdr:rowOff>19050</xdr:rowOff>
    </xdr:from>
    <xdr:to>
      <xdr:col>7</xdr:col>
      <xdr:colOff>0</xdr:colOff>
      <xdr:row>683</xdr:row>
      <xdr:rowOff>19051</xdr:rowOff>
    </xdr:to>
    <xdr:cxnSp macro="">
      <xdr:nvCxnSpPr>
        <xdr:cNvPr id="1431" name="Straight Connector 1430"/>
        <xdr:cNvCxnSpPr/>
      </xdr:nvCxnSpPr>
      <xdr:spPr bwMode="auto">
        <a:xfrm flipV="1">
          <a:off x="3943350" y="82391250"/>
          <a:ext cx="40005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504824</xdr:colOff>
      <xdr:row>685</xdr:row>
      <xdr:rowOff>38101</xdr:rowOff>
    </xdr:from>
    <xdr:to>
      <xdr:col>8</xdr:col>
      <xdr:colOff>152399</xdr:colOff>
      <xdr:row>687</xdr:row>
      <xdr:rowOff>152401</xdr:rowOff>
    </xdr:to>
    <xdr:cxnSp macro="">
      <xdr:nvCxnSpPr>
        <xdr:cNvPr id="1432" name="Straight Connector 1431"/>
        <xdr:cNvCxnSpPr/>
      </xdr:nvCxnSpPr>
      <xdr:spPr bwMode="auto">
        <a:xfrm rot="5400000" flipH="1" flipV="1">
          <a:off x="4757737" y="82824638"/>
          <a:ext cx="438150" cy="2571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505619</xdr:colOff>
      <xdr:row>683</xdr:row>
      <xdr:rowOff>795</xdr:rowOff>
    </xdr:from>
    <xdr:to>
      <xdr:col>6</xdr:col>
      <xdr:colOff>200025</xdr:colOff>
      <xdr:row>683</xdr:row>
      <xdr:rowOff>9526</xdr:rowOff>
    </xdr:to>
    <xdr:cxnSp macro="">
      <xdr:nvCxnSpPr>
        <xdr:cNvPr id="1433" name="Straight Connector 1432"/>
        <xdr:cNvCxnSpPr/>
      </xdr:nvCxnSpPr>
      <xdr:spPr bwMode="auto">
        <a:xfrm rot="10800000">
          <a:off x="3553619" y="82372995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248444</xdr:colOff>
      <xdr:row>687</xdr:row>
      <xdr:rowOff>143670</xdr:rowOff>
    </xdr:from>
    <xdr:to>
      <xdr:col>5</xdr:col>
      <xdr:colOff>552450</xdr:colOff>
      <xdr:row>687</xdr:row>
      <xdr:rowOff>152401</xdr:rowOff>
    </xdr:to>
    <xdr:cxnSp macro="">
      <xdr:nvCxnSpPr>
        <xdr:cNvPr id="1434" name="Straight Connector 1433"/>
        <xdr:cNvCxnSpPr/>
      </xdr:nvCxnSpPr>
      <xdr:spPr bwMode="auto">
        <a:xfrm rot="10800000">
          <a:off x="3296444" y="83163570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438154</xdr:colOff>
      <xdr:row>685</xdr:row>
      <xdr:rowOff>66675</xdr:rowOff>
    </xdr:from>
    <xdr:to>
      <xdr:col>5</xdr:col>
      <xdr:colOff>447680</xdr:colOff>
      <xdr:row>688</xdr:row>
      <xdr:rowOff>1</xdr:rowOff>
    </xdr:to>
    <xdr:cxnSp macro="">
      <xdr:nvCxnSpPr>
        <xdr:cNvPr id="1435" name="Straight Arrow Connector 1434"/>
        <xdr:cNvCxnSpPr/>
      </xdr:nvCxnSpPr>
      <xdr:spPr bwMode="auto">
        <a:xfrm rot="5400000" flipH="1" flipV="1">
          <a:off x="3281366" y="82967513"/>
          <a:ext cx="419101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600075</xdr:colOff>
      <xdr:row>689</xdr:row>
      <xdr:rowOff>152400</xdr:rowOff>
    </xdr:from>
    <xdr:to>
      <xdr:col>7</xdr:col>
      <xdr:colOff>495300</xdr:colOff>
      <xdr:row>690</xdr:row>
      <xdr:rowOff>0</xdr:rowOff>
    </xdr:to>
    <xdr:cxnSp macro="">
      <xdr:nvCxnSpPr>
        <xdr:cNvPr id="1436" name="Straight Arrow Connector 1435"/>
        <xdr:cNvCxnSpPr/>
      </xdr:nvCxnSpPr>
      <xdr:spPr bwMode="auto">
        <a:xfrm flipV="1">
          <a:off x="3648075" y="83496150"/>
          <a:ext cx="11906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med"/>
          <a:tailEnd type="triangle" w="sm" len="med"/>
        </a:ln>
        <a:effectLst/>
      </xdr:spPr>
    </xdr:cxnSp>
    <xdr:clientData/>
  </xdr:twoCellAnchor>
  <xdr:twoCellAnchor>
    <xdr:from>
      <xdr:col>7</xdr:col>
      <xdr:colOff>1</xdr:colOff>
      <xdr:row>679</xdr:row>
      <xdr:rowOff>48418</xdr:rowOff>
    </xdr:from>
    <xdr:to>
      <xdr:col>7</xdr:col>
      <xdr:colOff>797</xdr:colOff>
      <xdr:row>681</xdr:row>
      <xdr:rowOff>133349</xdr:rowOff>
    </xdr:to>
    <xdr:cxnSp macro="">
      <xdr:nvCxnSpPr>
        <xdr:cNvPr id="1437" name="Straight Connector 1436"/>
        <xdr:cNvCxnSpPr/>
      </xdr:nvCxnSpPr>
      <xdr:spPr bwMode="auto">
        <a:xfrm rot="5400000">
          <a:off x="4139408" y="81814986"/>
          <a:ext cx="408781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438150</xdr:colOff>
      <xdr:row>674</xdr:row>
      <xdr:rowOff>9525</xdr:rowOff>
    </xdr:from>
    <xdr:to>
      <xdr:col>7</xdr:col>
      <xdr:colOff>95250</xdr:colOff>
      <xdr:row>676</xdr:row>
      <xdr:rowOff>66677</xdr:rowOff>
    </xdr:to>
    <xdr:cxnSp macro="">
      <xdr:nvCxnSpPr>
        <xdr:cNvPr id="1438" name="Straight Arrow Connector 1437"/>
        <xdr:cNvCxnSpPr/>
      </xdr:nvCxnSpPr>
      <xdr:spPr bwMode="auto">
        <a:xfrm rot="5400000" flipH="1" flipV="1">
          <a:off x="3995736" y="80700564"/>
          <a:ext cx="542927" cy="3429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342106</xdr:colOff>
      <xdr:row>679</xdr:row>
      <xdr:rowOff>19844</xdr:rowOff>
    </xdr:from>
    <xdr:to>
      <xdr:col>7</xdr:col>
      <xdr:colOff>343694</xdr:colOff>
      <xdr:row>680</xdr:row>
      <xdr:rowOff>86519</xdr:rowOff>
    </xdr:to>
    <xdr:cxnSp macro="">
      <xdr:nvCxnSpPr>
        <xdr:cNvPr id="1439" name="Straight Connector 1438"/>
        <xdr:cNvCxnSpPr/>
      </xdr:nvCxnSpPr>
      <xdr:spPr bwMode="auto">
        <a:xfrm rot="5400000">
          <a:off x="4572000" y="81695925"/>
          <a:ext cx="228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494507</xdr:colOff>
      <xdr:row>680</xdr:row>
      <xdr:rowOff>794</xdr:rowOff>
    </xdr:from>
    <xdr:to>
      <xdr:col>8</xdr:col>
      <xdr:colOff>496095</xdr:colOff>
      <xdr:row>681</xdr:row>
      <xdr:rowOff>96044</xdr:rowOff>
    </xdr:to>
    <xdr:cxnSp macro="">
      <xdr:nvCxnSpPr>
        <xdr:cNvPr id="1440" name="Straight Connector 1439"/>
        <xdr:cNvCxnSpPr/>
      </xdr:nvCxnSpPr>
      <xdr:spPr bwMode="auto">
        <a:xfrm rot="5400000">
          <a:off x="5319713" y="81853088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257969</xdr:colOff>
      <xdr:row>676</xdr:row>
      <xdr:rowOff>67470</xdr:rowOff>
    </xdr:from>
    <xdr:to>
      <xdr:col>6</xdr:col>
      <xdr:colOff>561975</xdr:colOff>
      <xdr:row>676</xdr:row>
      <xdr:rowOff>76201</xdr:rowOff>
    </xdr:to>
    <xdr:cxnSp macro="">
      <xdr:nvCxnSpPr>
        <xdr:cNvPr id="1441" name="Straight Connector 1440"/>
        <xdr:cNvCxnSpPr/>
      </xdr:nvCxnSpPr>
      <xdr:spPr bwMode="auto">
        <a:xfrm rot="10800000">
          <a:off x="3915569" y="81144270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679</xdr:row>
      <xdr:rowOff>114300</xdr:rowOff>
    </xdr:from>
    <xdr:to>
      <xdr:col>7</xdr:col>
      <xdr:colOff>342900</xdr:colOff>
      <xdr:row>679</xdr:row>
      <xdr:rowOff>115888</xdr:rowOff>
    </xdr:to>
    <xdr:cxnSp macro="">
      <xdr:nvCxnSpPr>
        <xdr:cNvPr id="1442" name="Straight Arrow Connector 1441"/>
        <xdr:cNvCxnSpPr/>
      </xdr:nvCxnSpPr>
      <xdr:spPr bwMode="auto">
        <a:xfrm>
          <a:off x="4352925" y="81676875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6</xdr:col>
      <xdr:colOff>600075</xdr:colOff>
      <xdr:row>678</xdr:row>
      <xdr:rowOff>152400</xdr:rowOff>
    </xdr:from>
    <xdr:to>
      <xdr:col>8</xdr:col>
      <xdr:colOff>504825</xdr:colOff>
      <xdr:row>679</xdr:row>
      <xdr:rowOff>1</xdr:rowOff>
    </xdr:to>
    <xdr:cxnSp macro="">
      <xdr:nvCxnSpPr>
        <xdr:cNvPr id="1443" name="Straight Connector 1442"/>
        <xdr:cNvCxnSpPr/>
      </xdr:nvCxnSpPr>
      <xdr:spPr bwMode="auto">
        <a:xfrm flipV="1">
          <a:off x="4257675" y="81553050"/>
          <a:ext cx="120015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599282</xdr:colOff>
      <xdr:row>676</xdr:row>
      <xdr:rowOff>67468</xdr:rowOff>
    </xdr:from>
    <xdr:to>
      <xdr:col>6</xdr:col>
      <xdr:colOff>600870</xdr:colOff>
      <xdr:row>679</xdr:row>
      <xdr:rowOff>10318</xdr:rowOff>
    </xdr:to>
    <xdr:cxnSp macro="">
      <xdr:nvCxnSpPr>
        <xdr:cNvPr id="1444" name="Straight Connector 1443"/>
        <xdr:cNvCxnSpPr/>
      </xdr:nvCxnSpPr>
      <xdr:spPr bwMode="auto">
        <a:xfrm rot="5400000">
          <a:off x="4043363" y="81357787"/>
          <a:ext cx="428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600075</xdr:colOff>
      <xdr:row>676</xdr:row>
      <xdr:rowOff>85725</xdr:rowOff>
    </xdr:from>
    <xdr:to>
      <xdr:col>7</xdr:col>
      <xdr:colOff>371475</xdr:colOff>
      <xdr:row>676</xdr:row>
      <xdr:rowOff>95250</xdr:rowOff>
    </xdr:to>
    <xdr:cxnSp macro="">
      <xdr:nvCxnSpPr>
        <xdr:cNvPr id="1445" name="Straight Connector 1444"/>
        <xdr:cNvCxnSpPr/>
      </xdr:nvCxnSpPr>
      <xdr:spPr bwMode="auto">
        <a:xfrm>
          <a:off x="4257675" y="81162525"/>
          <a:ext cx="4572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371475</xdr:colOff>
      <xdr:row>676</xdr:row>
      <xdr:rowOff>95250</xdr:rowOff>
    </xdr:from>
    <xdr:to>
      <xdr:col>8</xdr:col>
      <xdr:colOff>495300</xdr:colOff>
      <xdr:row>678</xdr:row>
      <xdr:rowOff>142875</xdr:rowOff>
    </xdr:to>
    <xdr:cxnSp macro="">
      <xdr:nvCxnSpPr>
        <xdr:cNvPr id="1446" name="Straight Connector 1445"/>
        <xdr:cNvCxnSpPr/>
      </xdr:nvCxnSpPr>
      <xdr:spPr bwMode="auto">
        <a:xfrm>
          <a:off x="4714875" y="81172050"/>
          <a:ext cx="733425" cy="3714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600075</xdr:colOff>
      <xdr:row>674</xdr:row>
      <xdr:rowOff>19051</xdr:rowOff>
    </xdr:from>
    <xdr:to>
      <xdr:col>7</xdr:col>
      <xdr:colOff>285750</xdr:colOff>
      <xdr:row>676</xdr:row>
      <xdr:rowOff>66676</xdr:rowOff>
    </xdr:to>
    <xdr:cxnSp macro="">
      <xdr:nvCxnSpPr>
        <xdr:cNvPr id="1447" name="Straight Connector 1446"/>
        <xdr:cNvCxnSpPr/>
      </xdr:nvCxnSpPr>
      <xdr:spPr bwMode="auto">
        <a:xfrm rot="5400000" flipH="1" flipV="1">
          <a:off x="4176713" y="80691038"/>
          <a:ext cx="533400" cy="3714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361947</xdr:colOff>
      <xdr:row>674</xdr:row>
      <xdr:rowOff>9526</xdr:rowOff>
    </xdr:from>
    <xdr:to>
      <xdr:col>8</xdr:col>
      <xdr:colOff>38102</xdr:colOff>
      <xdr:row>676</xdr:row>
      <xdr:rowOff>104778</xdr:rowOff>
    </xdr:to>
    <xdr:cxnSp macro="">
      <xdr:nvCxnSpPr>
        <xdr:cNvPr id="1448" name="Straight Connector 1447"/>
        <xdr:cNvCxnSpPr/>
      </xdr:nvCxnSpPr>
      <xdr:spPr bwMode="auto">
        <a:xfrm rot="5400000" flipH="1" flipV="1">
          <a:off x="4557711" y="80748187"/>
          <a:ext cx="581027" cy="2857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28575</xdr:colOff>
      <xdr:row>674</xdr:row>
      <xdr:rowOff>28575</xdr:rowOff>
    </xdr:from>
    <xdr:to>
      <xdr:col>9</xdr:col>
      <xdr:colOff>200025</xdr:colOff>
      <xdr:row>675</xdr:row>
      <xdr:rowOff>104775</xdr:rowOff>
    </xdr:to>
    <xdr:cxnSp macro="">
      <xdr:nvCxnSpPr>
        <xdr:cNvPr id="1449" name="Straight Connector 1448"/>
        <xdr:cNvCxnSpPr/>
      </xdr:nvCxnSpPr>
      <xdr:spPr bwMode="auto">
        <a:xfrm>
          <a:off x="4981575" y="80619600"/>
          <a:ext cx="781050" cy="400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674</xdr:row>
      <xdr:rowOff>19050</xdr:rowOff>
    </xdr:from>
    <xdr:to>
      <xdr:col>8</xdr:col>
      <xdr:colOff>19050</xdr:colOff>
      <xdr:row>674</xdr:row>
      <xdr:rowOff>19052</xdr:rowOff>
    </xdr:to>
    <xdr:cxnSp macro="">
      <xdr:nvCxnSpPr>
        <xdr:cNvPr id="1450" name="Straight Connector 1449"/>
        <xdr:cNvCxnSpPr/>
      </xdr:nvCxnSpPr>
      <xdr:spPr bwMode="auto">
        <a:xfrm flipV="1">
          <a:off x="4629150" y="80610075"/>
          <a:ext cx="342900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504822</xdr:colOff>
      <xdr:row>675</xdr:row>
      <xdr:rowOff>123826</xdr:rowOff>
    </xdr:from>
    <xdr:to>
      <xdr:col>9</xdr:col>
      <xdr:colOff>180977</xdr:colOff>
      <xdr:row>678</xdr:row>
      <xdr:rowOff>152403</xdr:rowOff>
    </xdr:to>
    <xdr:cxnSp macro="">
      <xdr:nvCxnSpPr>
        <xdr:cNvPr id="1451" name="Straight Connector 1450"/>
        <xdr:cNvCxnSpPr/>
      </xdr:nvCxnSpPr>
      <xdr:spPr bwMode="auto">
        <a:xfrm rot="5400000" flipH="1" flipV="1">
          <a:off x="5343524" y="81152999"/>
          <a:ext cx="514352" cy="2857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505619</xdr:colOff>
      <xdr:row>674</xdr:row>
      <xdr:rowOff>795</xdr:rowOff>
    </xdr:from>
    <xdr:to>
      <xdr:col>7</xdr:col>
      <xdr:colOff>200025</xdr:colOff>
      <xdr:row>674</xdr:row>
      <xdr:rowOff>9526</xdr:rowOff>
    </xdr:to>
    <xdr:cxnSp macro="">
      <xdr:nvCxnSpPr>
        <xdr:cNvPr id="1452" name="Straight Connector 1451"/>
        <xdr:cNvCxnSpPr/>
      </xdr:nvCxnSpPr>
      <xdr:spPr bwMode="auto">
        <a:xfrm rot="10800000">
          <a:off x="4163219" y="80591820"/>
          <a:ext cx="3802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248444</xdr:colOff>
      <xdr:row>678</xdr:row>
      <xdr:rowOff>143670</xdr:rowOff>
    </xdr:from>
    <xdr:to>
      <xdr:col>6</xdr:col>
      <xdr:colOff>552450</xdr:colOff>
      <xdr:row>678</xdr:row>
      <xdr:rowOff>152401</xdr:rowOff>
    </xdr:to>
    <xdr:cxnSp macro="">
      <xdr:nvCxnSpPr>
        <xdr:cNvPr id="1453" name="Straight Connector 1452"/>
        <xdr:cNvCxnSpPr/>
      </xdr:nvCxnSpPr>
      <xdr:spPr bwMode="auto">
        <a:xfrm rot="10800000">
          <a:off x="3906044" y="81544320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438154</xdr:colOff>
      <xdr:row>676</xdr:row>
      <xdr:rowOff>66675</xdr:rowOff>
    </xdr:from>
    <xdr:to>
      <xdr:col>6</xdr:col>
      <xdr:colOff>447680</xdr:colOff>
      <xdr:row>679</xdr:row>
      <xdr:rowOff>1</xdr:rowOff>
    </xdr:to>
    <xdr:cxnSp macro="">
      <xdr:nvCxnSpPr>
        <xdr:cNvPr id="1454" name="Straight Arrow Connector 1453"/>
        <xdr:cNvCxnSpPr/>
      </xdr:nvCxnSpPr>
      <xdr:spPr bwMode="auto">
        <a:xfrm rot="5400000" flipH="1" flipV="1">
          <a:off x="3890966" y="81348263"/>
          <a:ext cx="419101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600075</xdr:colOff>
      <xdr:row>680</xdr:row>
      <xdr:rowOff>152400</xdr:rowOff>
    </xdr:from>
    <xdr:to>
      <xdr:col>8</xdr:col>
      <xdr:colOff>495300</xdr:colOff>
      <xdr:row>681</xdr:row>
      <xdr:rowOff>0</xdr:rowOff>
    </xdr:to>
    <xdr:cxnSp macro="">
      <xdr:nvCxnSpPr>
        <xdr:cNvPr id="1455" name="Straight Arrow Connector 1454"/>
        <xdr:cNvCxnSpPr/>
      </xdr:nvCxnSpPr>
      <xdr:spPr bwMode="auto">
        <a:xfrm flipV="1">
          <a:off x="4257675" y="81876900"/>
          <a:ext cx="11906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med"/>
          <a:tailEnd type="triangle" w="sm" len="med"/>
        </a:ln>
        <a:effectLst/>
      </xdr:spPr>
    </xdr:cxnSp>
    <xdr:clientData/>
  </xdr:twoCellAnchor>
  <xdr:oneCellAnchor>
    <xdr:from>
      <xdr:col>6</xdr:col>
      <xdr:colOff>123825</xdr:colOff>
      <xdr:row>657</xdr:row>
      <xdr:rowOff>0</xdr:rowOff>
    </xdr:from>
    <xdr:ext cx="276225" cy="170560"/>
    <xdr:sp macro="" textlink="">
      <xdr:nvSpPr>
        <xdr:cNvPr id="1456" name="Text Box 24"/>
        <xdr:cNvSpPr txBox="1">
          <a:spLocks noChangeArrowheads="1"/>
        </xdr:cNvSpPr>
      </xdr:nvSpPr>
      <xdr:spPr bwMode="auto">
        <a:xfrm>
          <a:off x="1343025" y="77190600"/>
          <a:ext cx="27622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X=</a:t>
          </a:r>
        </a:p>
      </xdr:txBody>
    </xdr:sp>
    <xdr:clientData/>
  </xdr:oneCellAnchor>
  <xdr:twoCellAnchor>
    <xdr:from>
      <xdr:col>7</xdr:col>
      <xdr:colOff>256382</xdr:colOff>
      <xdr:row>656</xdr:row>
      <xdr:rowOff>67468</xdr:rowOff>
    </xdr:from>
    <xdr:to>
      <xdr:col>7</xdr:col>
      <xdr:colOff>257970</xdr:colOff>
      <xdr:row>662</xdr:row>
      <xdr:rowOff>115093</xdr:rowOff>
    </xdr:to>
    <xdr:cxnSp macro="">
      <xdr:nvCxnSpPr>
        <xdr:cNvPr id="1460" name="Straight Connector 1459"/>
        <xdr:cNvCxnSpPr/>
      </xdr:nvCxnSpPr>
      <xdr:spPr bwMode="auto">
        <a:xfrm rot="5400000">
          <a:off x="4090988" y="108646912"/>
          <a:ext cx="1019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284329</xdr:colOff>
      <xdr:row>652</xdr:row>
      <xdr:rowOff>61903</xdr:rowOff>
    </xdr:from>
    <xdr:to>
      <xdr:col>8</xdr:col>
      <xdr:colOff>378162</xdr:colOff>
      <xdr:row>652</xdr:row>
      <xdr:rowOff>81744</xdr:rowOff>
    </xdr:to>
    <xdr:cxnSp macro="">
      <xdr:nvCxnSpPr>
        <xdr:cNvPr id="1464" name="Straight Connector 1463"/>
        <xdr:cNvCxnSpPr/>
      </xdr:nvCxnSpPr>
      <xdr:spPr bwMode="auto">
        <a:xfrm rot="10800000" flipV="1">
          <a:off x="4638107" y="108248843"/>
          <a:ext cx="705139" cy="198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0</xdr:colOff>
      <xdr:row>654</xdr:row>
      <xdr:rowOff>1</xdr:rowOff>
    </xdr:from>
    <xdr:to>
      <xdr:col>7</xdr:col>
      <xdr:colOff>276225</xdr:colOff>
      <xdr:row>654</xdr:row>
      <xdr:rowOff>9525</xdr:rowOff>
    </xdr:to>
    <xdr:cxnSp macro="">
      <xdr:nvCxnSpPr>
        <xdr:cNvPr id="1466" name="Straight Connector 1465"/>
        <xdr:cNvCxnSpPr/>
      </xdr:nvCxnSpPr>
      <xdr:spPr bwMode="auto">
        <a:xfrm flipV="1">
          <a:off x="609600" y="107746801"/>
          <a:ext cx="4010025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275229</xdr:colOff>
      <xdr:row>651</xdr:row>
      <xdr:rowOff>146429</xdr:rowOff>
    </xdr:from>
    <xdr:to>
      <xdr:col>8</xdr:col>
      <xdr:colOff>600785</xdr:colOff>
      <xdr:row>654</xdr:row>
      <xdr:rowOff>3555</xdr:rowOff>
    </xdr:to>
    <xdr:cxnSp macro="">
      <xdr:nvCxnSpPr>
        <xdr:cNvPr id="1467" name="Straight Connector 1466"/>
        <xdr:cNvCxnSpPr/>
      </xdr:nvCxnSpPr>
      <xdr:spPr bwMode="auto">
        <a:xfrm flipV="1">
          <a:off x="4629007" y="108169880"/>
          <a:ext cx="936862" cy="34759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228600</xdr:colOff>
      <xdr:row>653</xdr:row>
      <xdr:rowOff>142875</xdr:rowOff>
    </xdr:from>
    <xdr:to>
      <xdr:col>8</xdr:col>
      <xdr:colOff>590550</xdr:colOff>
      <xdr:row>656</xdr:row>
      <xdr:rowOff>0</xdr:rowOff>
    </xdr:to>
    <xdr:cxnSp macro="">
      <xdr:nvCxnSpPr>
        <xdr:cNvPr id="1468" name="Straight Connector 1467"/>
        <xdr:cNvCxnSpPr/>
      </xdr:nvCxnSpPr>
      <xdr:spPr bwMode="auto">
        <a:xfrm rot="10800000" flipV="1">
          <a:off x="4572000" y="107727750"/>
          <a:ext cx="971550" cy="3429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1041</xdr:colOff>
      <xdr:row>654</xdr:row>
      <xdr:rowOff>1263</xdr:rowOff>
    </xdr:from>
    <xdr:to>
      <xdr:col>1</xdr:col>
      <xdr:colOff>1041</xdr:colOff>
      <xdr:row>655</xdr:row>
      <xdr:rowOff>154433</xdr:rowOff>
    </xdr:to>
    <xdr:cxnSp macro="">
      <xdr:nvCxnSpPr>
        <xdr:cNvPr id="1469" name="Straight Connector 1468"/>
        <xdr:cNvCxnSpPr/>
      </xdr:nvCxnSpPr>
      <xdr:spPr bwMode="auto">
        <a:xfrm rot="16200000" flipH="1">
          <a:off x="454017" y="108673511"/>
          <a:ext cx="316659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655</xdr:row>
      <xdr:rowOff>152400</xdr:rowOff>
    </xdr:from>
    <xdr:to>
      <xdr:col>1</xdr:col>
      <xdr:colOff>333375</xdr:colOff>
      <xdr:row>655</xdr:row>
      <xdr:rowOff>153988</xdr:rowOff>
    </xdr:to>
    <xdr:cxnSp macro="">
      <xdr:nvCxnSpPr>
        <xdr:cNvPr id="1470" name="Straight Connector 1469"/>
        <xdr:cNvCxnSpPr/>
      </xdr:nvCxnSpPr>
      <xdr:spPr bwMode="auto">
        <a:xfrm>
          <a:off x="6915150" y="107575350"/>
          <a:ext cx="333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331100</xdr:colOff>
      <xdr:row>655</xdr:row>
      <xdr:rowOff>0</xdr:rowOff>
    </xdr:from>
    <xdr:to>
      <xdr:col>2</xdr:col>
      <xdr:colOff>0</xdr:colOff>
      <xdr:row>655</xdr:row>
      <xdr:rowOff>151690</xdr:rowOff>
    </xdr:to>
    <xdr:cxnSp macro="">
      <xdr:nvCxnSpPr>
        <xdr:cNvPr id="1471" name="Straight Connector 1470"/>
        <xdr:cNvCxnSpPr/>
      </xdr:nvCxnSpPr>
      <xdr:spPr bwMode="auto">
        <a:xfrm flipV="1">
          <a:off x="942406" y="108677407"/>
          <a:ext cx="280206" cy="15169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655</xdr:row>
      <xdr:rowOff>0</xdr:rowOff>
    </xdr:from>
    <xdr:to>
      <xdr:col>7</xdr:col>
      <xdr:colOff>228600</xdr:colOff>
      <xdr:row>656</xdr:row>
      <xdr:rowOff>0</xdr:rowOff>
    </xdr:to>
    <xdr:cxnSp macro="">
      <xdr:nvCxnSpPr>
        <xdr:cNvPr id="1472" name="Straight Connector 1471"/>
        <xdr:cNvCxnSpPr/>
      </xdr:nvCxnSpPr>
      <xdr:spPr bwMode="auto">
        <a:xfrm>
          <a:off x="1219200" y="107908725"/>
          <a:ext cx="3352800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599281</xdr:colOff>
      <xdr:row>651</xdr:row>
      <xdr:rowOff>143669</xdr:rowOff>
    </xdr:from>
    <xdr:to>
      <xdr:col>8</xdr:col>
      <xdr:colOff>600869</xdr:colOff>
      <xdr:row>653</xdr:row>
      <xdr:rowOff>143669</xdr:rowOff>
    </xdr:to>
    <xdr:cxnSp macro="">
      <xdr:nvCxnSpPr>
        <xdr:cNvPr id="1473" name="Straight Connector 1472"/>
        <xdr:cNvCxnSpPr/>
      </xdr:nvCxnSpPr>
      <xdr:spPr bwMode="auto">
        <a:xfrm rot="5400000">
          <a:off x="5391150" y="107565825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573142</xdr:colOff>
      <xdr:row>652</xdr:row>
      <xdr:rowOff>106273</xdr:rowOff>
    </xdr:from>
    <xdr:to>
      <xdr:col>2</xdr:col>
      <xdr:colOff>575559</xdr:colOff>
      <xdr:row>654</xdr:row>
      <xdr:rowOff>15144</xdr:rowOff>
    </xdr:to>
    <xdr:cxnSp macro="">
      <xdr:nvCxnSpPr>
        <xdr:cNvPr id="1480" name="Straight Connector 1479"/>
        <xdr:cNvCxnSpPr/>
      </xdr:nvCxnSpPr>
      <xdr:spPr bwMode="auto">
        <a:xfrm rot="16200000" flipH="1">
          <a:off x="1677815" y="106614582"/>
          <a:ext cx="228973" cy="2417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440767</xdr:colOff>
      <xdr:row>652</xdr:row>
      <xdr:rowOff>107556</xdr:rowOff>
    </xdr:from>
    <xdr:to>
      <xdr:col>2</xdr:col>
      <xdr:colOff>572269</xdr:colOff>
      <xdr:row>652</xdr:row>
      <xdr:rowOff>113383</xdr:rowOff>
    </xdr:to>
    <xdr:cxnSp macro="">
      <xdr:nvCxnSpPr>
        <xdr:cNvPr id="1483" name="Straight Connector 1482"/>
        <xdr:cNvCxnSpPr/>
      </xdr:nvCxnSpPr>
      <xdr:spPr bwMode="auto">
        <a:xfrm rot="10800000">
          <a:off x="1658718" y="106502587"/>
          <a:ext cx="131502" cy="5827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7807</xdr:colOff>
      <xdr:row>652</xdr:row>
      <xdr:rowOff>109302</xdr:rowOff>
    </xdr:from>
    <xdr:to>
      <xdr:col>2</xdr:col>
      <xdr:colOff>441117</xdr:colOff>
      <xdr:row>654</xdr:row>
      <xdr:rowOff>7807</xdr:rowOff>
    </xdr:to>
    <xdr:cxnSp macro="">
      <xdr:nvCxnSpPr>
        <xdr:cNvPr id="1485" name="Straight Connector 1484"/>
        <xdr:cNvCxnSpPr/>
      </xdr:nvCxnSpPr>
      <xdr:spPr bwMode="auto">
        <a:xfrm rot="10800000" flipV="1">
          <a:off x="1225758" y="106504333"/>
          <a:ext cx="433310" cy="218607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266700</xdr:colOff>
      <xdr:row>656</xdr:row>
      <xdr:rowOff>123825</xdr:rowOff>
    </xdr:from>
    <xdr:to>
      <xdr:col>5</xdr:col>
      <xdr:colOff>266701</xdr:colOff>
      <xdr:row>659</xdr:row>
      <xdr:rowOff>19054</xdr:rowOff>
    </xdr:to>
    <xdr:cxnSp macro="">
      <xdr:nvCxnSpPr>
        <xdr:cNvPr id="1487" name="Straight Connector 1486"/>
        <xdr:cNvCxnSpPr/>
      </xdr:nvCxnSpPr>
      <xdr:spPr bwMode="auto">
        <a:xfrm rot="5400000">
          <a:off x="3124199" y="108384976"/>
          <a:ext cx="381004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266558</xdr:colOff>
      <xdr:row>652</xdr:row>
      <xdr:rowOff>106623</xdr:rowOff>
    </xdr:from>
    <xdr:to>
      <xdr:col>5</xdr:col>
      <xdr:colOff>266700</xdr:colOff>
      <xdr:row>654</xdr:row>
      <xdr:rowOff>19049</xdr:rowOff>
    </xdr:to>
    <xdr:cxnSp macro="">
      <xdr:nvCxnSpPr>
        <xdr:cNvPr id="1488" name="Straight Connector 1487"/>
        <xdr:cNvCxnSpPr/>
      </xdr:nvCxnSpPr>
      <xdr:spPr bwMode="auto">
        <a:xfrm rot="16200000" flipH="1">
          <a:off x="3203457" y="108413194"/>
          <a:ext cx="239404" cy="14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63976</xdr:colOff>
      <xdr:row>652</xdr:row>
      <xdr:rowOff>106624</xdr:rowOff>
    </xdr:from>
    <xdr:to>
      <xdr:col>5</xdr:col>
      <xdr:colOff>266558</xdr:colOff>
      <xdr:row>652</xdr:row>
      <xdr:rowOff>113733</xdr:rowOff>
    </xdr:to>
    <xdr:cxnSp macro="">
      <xdr:nvCxnSpPr>
        <xdr:cNvPr id="1489" name="Straight Connector 1488"/>
        <xdr:cNvCxnSpPr/>
      </xdr:nvCxnSpPr>
      <xdr:spPr bwMode="auto">
        <a:xfrm rot="10800000">
          <a:off x="3120506" y="108293564"/>
          <a:ext cx="202582" cy="710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363802</xdr:colOff>
      <xdr:row>652</xdr:row>
      <xdr:rowOff>106622</xdr:rowOff>
    </xdr:from>
    <xdr:to>
      <xdr:col>5</xdr:col>
      <xdr:colOff>71083</xdr:colOff>
      <xdr:row>654</xdr:row>
      <xdr:rowOff>2415</xdr:rowOff>
    </xdr:to>
    <xdr:cxnSp macro="">
      <xdr:nvCxnSpPr>
        <xdr:cNvPr id="1490" name="Straight Connector 1489"/>
        <xdr:cNvCxnSpPr/>
      </xdr:nvCxnSpPr>
      <xdr:spPr bwMode="auto">
        <a:xfrm rot="10800000" flipV="1">
          <a:off x="2809026" y="108293562"/>
          <a:ext cx="318587" cy="22277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280774</xdr:colOff>
      <xdr:row>652</xdr:row>
      <xdr:rowOff>85298</xdr:rowOff>
    </xdr:from>
    <xdr:to>
      <xdr:col>7</xdr:col>
      <xdr:colOff>284755</xdr:colOff>
      <xdr:row>654</xdr:row>
      <xdr:rowOff>9523</xdr:rowOff>
    </xdr:to>
    <xdr:cxnSp macro="">
      <xdr:nvCxnSpPr>
        <xdr:cNvPr id="1491" name="Straight Connector 1490"/>
        <xdr:cNvCxnSpPr/>
      </xdr:nvCxnSpPr>
      <xdr:spPr bwMode="auto">
        <a:xfrm rot="16200000" flipH="1">
          <a:off x="4510941" y="108395849"/>
          <a:ext cx="251203" cy="398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581027</xdr:colOff>
      <xdr:row>658</xdr:row>
      <xdr:rowOff>152401</xdr:rowOff>
    </xdr:from>
    <xdr:to>
      <xdr:col>2</xdr:col>
      <xdr:colOff>590550</xdr:colOff>
      <xdr:row>661</xdr:row>
      <xdr:rowOff>28576</xdr:rowOff>
    </xdr:to>
    <xdr:cxnSp macro="">
      <xdr:nvCxnSpPr>
        <xdr:cNvPr id="1521" name="Straight Connector 1520"/>
        <xdr:cNvCxnSpPr/>
      </xdr:nvCxnSpPr>
      <xdr:spPr bwMode="auto">
        <a:xfrm rot="5400000">
          <a:off x="1624014" y="108723114"/>
          <a:ext cx="361950" cy="952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266700</xdr:colOff>
      <xdr:row>658</xdr:row>
      <xdr:rowOff>0</xdr:rowOff>
    </xdr:from>
    <xdr:to>
      <xdr:col>7</xdr:col>
      <xdr:colOff>266700</xdr:colOff>
      <xdr:row>658</xdr:row>
      <xdr:rowOff>1588</xdr:rowOff>
    </xdr:to>
    <xdr:cxnSp macro="">
      <xdr:nvCxnSpPr>
        <xdr:cNvPr id="1523" name="Straight Arrow Connector 1522"/>
        <xdr:cNvCxnSpPr/>
      </xdr:nvCxnSpPr>
      <xdr:spPr bwMode="auto">
        <a:xfrm rot="10800000">
          <a:off x="3314700" y="108394500"/>
          <a:ext cx="1295400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581026</xdr:colOff>
      <xdr:row>660</xdr:row>
      <xdr:rowOff>9525</xdr:rowOff>
    </xdr:from>
    <xdr:to>
      <xdr:col>7</xdr:col>
      <xdr:colOff>266701</xdr:colOff>
      <xdr:row>660</xdr:row>
      <xdr:rowOff>11113</xdr:rowOff>
    </xdr:to>
    <xdr:cxnSp macro="">
      <xdr:nvCxnSpPr>
        <xdr:cNvPr id="1525" name="Straight Arrow Connector 1524"/>
        <xdr:cNvCxnSpPr/>
      </xdr:nvCxnSpPr>
      <xdr:spPr bwMode="auto">
        <a:xfrm rot="10800000">
          <a:off x="1800226" y="108727875"/>
          <a:ext cx="2809875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</xdr:col>
      <xdr:colOff>0</xdr:colOff>
      <xdr:row>662</xdr:row>
      <xdr:rowOff>28574</xdr:rowOff>
    </xdr:from>
    <xdr:to>
      <xdr:col>7</xdr:col>
      <xdr:colOff>266702</xdr:colOff>
      <xdr:row>662</xdr:row>
      <xdr:rowOff>38100</xdr:rowOff>
    </xdr:to>
    <xdr:cxnSp macro="">
      <xdr:nvCxnSpPr>
        <xdr:cNvPr id="1527" name="Straight Arrow Connector 1526"/>
        <xdr:cNvCxnSpPr/>
      </xdr:nvCxnSpPr>
      <xdr:spPr bwMode="auto">
        <a:xfrm rot="10800000" flipV="1">
          <a:off x="609600" y="109070774"/>
          <a:ext cx="4000502" cy="9526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19050</xdr:colOff>
      <xdr:row>195</xdr:row>
      <xdr:rowOff>38100</xdr:rowOff>
    </xdr:from>
    <xdr:to>
      <xdr:col>9</xdr:col>
      <xdr:colOff>38100</xdr:colOff>
      <xdr:row>195</xdr:row>
      <xdr:rowOff>38102</xdr:rowOff>
    </xdr:to>
    <xdr:cxnSp macro="">
      <xdr:nvCxnSpPr>
        <xdr:cNvPr id="1536" name="Straight Arrow Connector 1535"/>
        <xdr:cNvCxnSpPr/>
      </xdr:nvCxnSpPr>
      <xdr:spPr bwMode="auto">
        <a:xfrm rot="10800000" flipV="1">
          <a:off x="4972050" y="30594300"/>
          <a:ext cx="6286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0</xdr:colOff>
      <xdr:row>161</xdr:row>
      <xdr:rowOff>47625</xdr:rowOff>
    </xdr:from>
    <xdr:to>
      <xdr:col>8</xdr:col>
      <xdr:colOff>200025</xdr:colOff>
      <xdr:row>161</xdr:row>
      <xdr:rowOff>49213</xdr:rowOff>
    </xdr:to>
    <xdr:cxnSp macro="">
      <xdr:nvCxnSpPr>
        <xdr:cNvPr id="1537" name="Straight Arrow Connector 1536"/>
        <xdr:cNvCxnSpPr/>
      </xdr:nvCxnSpPr>
      <xdr:spPr bwMode="auto">
        <a:xfrm>
          <a:off x="4343400" y="24717375"/>
          <a:ext cx="8096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123825</xdr:colOff>
      <xdr:row>338</xdr:row>
      <xdr:rowOff>0</xdr:rowOff>
    </xdr:from>
    <xdr:to>
      <xdr:col>1</xdr:col>
      <xdr:colOff>0</xdr:colOff>
      <xdr:row>338</xdr:row>
      <xdr:rowOff>1588</xdr:rowOff>
    </xdr:to>
    <xdr:cxnSp macro="">
      <xdr:nvCxnSpPr>
        <xdr:cNvPr id="1538" name="Straight Arrow Connector 1537"/>
        <xdr:cNvCxnSpPr/>
      </xdr:nvCxnSpPr>
      <xdr:spPr bwMode="auto">
        <a:xfrm>
          <a:off x="123825" y="5549265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76200</xdr:colOff>
      <xdr:row>395</xdr:row>
      <xdr:rowOff>47625</xdr:rowOff>
    </xdr:from>
    <xdr:to>
      <xdr:col>0</xdr:col>
      <xdr:colOff>561975</xdr:colOff>
      <xdr:row>395</xdr:row>
      <xdr:rowOff>49213</xdr:rowOff>
    </xdr:to>
    <xdr:cxnSp macro="">
      <xdr:nvCxnSpPr>
        <xdr:cNvPr id="1539" name="Straight Arrow Connector 1538"/>
        <xdr:cNvCxnSpPr/>
      </xdr:nvCxnSpPr>
      <xdr:spPr bwMode="auto">
        <a:xfrm>
          <a:off x="76200" y="6473190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0</xdr:colOff>
      <xdr:row>340</xdr:row>
      <xdr:rowOff>123825</xdr:rowOff>
    </xdr:from>
    <xdr:to>
      <xdr:col>0</xdr:col>
      <xdr:colOff>485775</xdr:colOff>
      <xdr:row>340</xdr:row>
      <xdr:rowOff>125413</xdr:rowOff>
    </xdr:to>
    <xdr:cxnSp macro="">
      <xdr:nvCxnSpPr>
        <xdr:cNvPr id="1540" name="Straight Arrow Connector 1539"/>
        <xdr:cNvCxnSpPr/>
      </xdr:nvCxnSpPr>
      <xdr:spPr bwMode="auto">
        <a:xfrm>
          <a:off x="0" y="559403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257175</xdr:colOff>
      <xdr:row>585</xdr:row>
      <xdr:rowOff>0</xdr:rowOff>
    </xdr:from>
    <xdr:to>
      <xdr:col>2</xdr:col>
      <xdr:colOff>133350</xdr:colOff>
      <xdr:row>585</xdr:row>
      <xdr:rowOff>1588</xdr:rowOff>
    </xdr:to>
    <xdr:cxnSp macro="">
      <xdr:nvCxnSpPr>
        <xdr:cNvPr id="1541" name="Straight Arrow Connector 1540"/>
        <xdr:cNvCxnSpPr/>
      </xdr:nvCxnSpPr>
      <xdr:spPr bwMode="auto">
        <a:xfrm>
          <a:off x="866775" y="9612630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6</xdr:col>
      <xdr:colOff>428625</xdr:colOff>
      <xdr:row>851</xdr:row>
      <xdr:rowOff>0</xdr:rowOff>
    </xdr:from>
    <xdr:to>
      <xdr:col>7</xdr:col>
      <xdr:colOff>28575</xdr:colOff>
      <xdr:row>851</xdr:row>
      <xdr:rowOff>0</xdr:rowOff>
    </xdr:to>
    <xdr:sp macro="" textlink="">
      <xdr:nvSpPr>
        <xdr:cNvPr id="1542" name="Line 2496"/>
        <xdr:cNvSpPr>
          <a:spLocks noChangeShapeType="1"/>
        </xdr:cNvSpPr>
      </xdr:nvSpPr>
      <xdr:spPr bwMode="auto">
        <a:xfrm>
          <a:off x="4086225" y="13685520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44</xdr:col>
      <xdr:colOff>133350</xdr:colOff>
      <xdr:row>230</xdr:row>
      <xdr:rowOff>190500</xdr:rowOff>
    </xdr:from>
    <xdr:to>
      <xdr:col>44</xdr:col>
      <xdr:colOff>428625</xdr:colOff>
      <xdr:row>230</xdr:row>
      <xdr:rowOff>192088</xdr:rowOff>
    </xdr:to>
    <xdr:cxnSp macro="">
      <xdr:nvCxnSpPr>
        <xdr:cNvPr id="1382" name="Straight Connector 1381"/>
        <xdr:cNvCxnSpPr/>
      </xdr:nvCxnSpPr>
      <xdr:spPr bwMode="auto">
        <a:xfrm>
          <a:off x="8877300" y="37185600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41</xdr:col>
      <xdr:colOff>133350</xdr:colOff>
      <xdr:row>230</xdr:row>
      <xdr:rowOff>190500</xdr:rowOff>
    </xdr:from>
    <xdr:to>
      <xdr:col>41</xdr:col>
      <xdr:colOff>428625</xdr:colOff>
      <xdr:row>230</xdr:row>
      <xdr:rowOff>192088</xdr:rowOff>
    </xdr:to>
    <xdr:cxnSp macro="">
      <xdr:nvCxnSpPr>
        <xdr:cNvPr id="1385" name="Straight Connector 1384"/>
        <xdr:cNvCxnSpPr/>
      </xdr:nvCxnSpPr>
      <xdr:spPr bwMode="auto">
        <a:xfrm>
          <a:off x="7048500" y="37185600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</xdr:col>
      <xdr:colOff>133350</xdr:colOff>
      <xdr:row>346</xdr:row>
      <xdr:rowOff>190500</xdr:rowOff>
    </xdr:from>
    <xdr:to>
      <xdr:col>17</xdr:col>
      <xdr:colOff>428625</xdr:colOff>
      <xdr:row>346</xdr:row>
      <xdr:rowOff>192088</xdr:rowOff>
    </xdr:to>
    <xdr:cxnSp macro="">
      <xdr:nvCxnSpPr>
        <xdr:cNvPr id="1386" name="Straight Connector 1385"/>
        <xdr:cNvCxnSpPr/>
      </xdr:nvCxnSpPr>
      <xdr:spPr bwMode="auto">
        <a:xfrm>
          <a:off x="2571750" y="57788175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</xdr:col>
      <xdr:colOff>133350</xdr:colOff>
      <xdr:row>349</xdr:row>
      <xdr:rowOff>190500</xdr:rowOff>
    </xdr:from>
    <xdr:to>
      <xdr:col>17</xdr:col>
      <xdr:colOff>428625</xdr:colOff>
      <xdr:row>349</xdr:row>
      <xdr:rowOff>192088</xdr:rowOff>
    </xdr:to>
    <xdr:cxnSp macro="">
      <xdr:nvCxnSpPr>
        <xdr:cNvPr id="1387" name="Straight Connector 1386"/>
        <xdr:cNvCxnSpPr/>
      </xdr:nvCxnSpPr>
      <xdr:spPr bwMode="auto">
        <a:xfrm>
          <a:off x="2571750" y="58150125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133350</xdr:colOff>
      <xdr:row>346</xdr:row>
      <xdr:rowOff>190500</xdr:rowOff>
    </xdr:from>
    <xdr:to>
      <xdr:col>14</xdr:col>
      <xdr:colOff>428625</xdr:colOff>
      <xdr:row>346</xdr:row>
      <xdr:rowOff>192088</xdr:rowOff>
    </xdr:to>
    <xdr:cxnSp macro="">
      <xdr:nvCxnSpPr>
        <xdr:cNvPr id="1388" name="Straight Connector 1387"/>
        <xdr:cNvCxnSpPr/>
      </xdr:nvCxnSpPr>
      <xdr:spPr bwMode="auto">
        <a:xfrm>
          <a:off x="742950" y="57788175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133350</xdr:colOff>
      <xdr:row>349</xdr:row>
      <xdr:rowOff>190500</xdr:rowOff>
    </xdr:from>
    <xdr:to>
      <xdr:col>14</xdr:col>
      <xdr:colOff>428625</xdr:colOff>
      <xdr:row>349</xdr:row>
      <xdr:rowOff>192088</xdr:rowOff>
    </xdr:to>
    <xdr:cxnSp macro="">
      <xdr:nvCxnSpPr>
        <xdr:cNvPr id="1390" name="Straight Connector 1389"/>
        <xdr:cNvCxnSpPr/>
      </xdr:nvCxnSpPr>
      <xdr:spPr bwMode="auto">
        <a:xfrm>
          <a:off x="742950" y="58150125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66675</xdr:colOff>
      <xdr:row>146</xdr:row>
      <xdr:rowOff>57150</xdr:rowOff>
    </xdr:from>
    <xdr:to>
      <xdr:col>4</xdr:col>
      <xdr:colOff>133350</xdr:colOff>
      <xdr:row>146</xdr:row>
      <xdr:rowOff>142875</xdr:rowOff>
    </xdr:to>
    <xdr:sp macro="" textlink="">
      <xdr:nvSpPr>
        <xdr:cNvPr id="1257" name="Flowchart: Merge 1256"/>
        <xdr:cNvSpPr/>
      </xdr:nvSpPr>
      <xdr:spPr bwMode="auto">
        <a:xfrm>
          <a:off x="2505075" y="2289810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243567</xdr:colOff>
      <xdr:row>804</xdr:row>
      <xdr:rowOff>95250</xdr:rowOff>
    </xdr:from>
    <xdr:to>
      <xdr:col>5</xdr:col>
      <xdr:colOff>485694</xdr:colOff>
      <xdr:row>805</xdr:row>
      <xdr:rowOff>76200</xdr:rowOff>
    </xdr:to>
    <xdr:sp macro="" textlink="">
      <xdr:nvSpPr>
        <xdr:cNvPr id="1342" name="Line 75"/>
        <xdr:cNvSpPr>
          <a:spLocks noChangeShapeType="1"/>
        </xdr:cNvSpPr>
      </xdr:nvSpPr>
      <xdr:spPr bwMode="auto">
        <a:xfrm>
          <a:off x="2681967" y="135150225"/>
          <a:ext cx="242127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148558</xdr:colOff>
      <xdr:row>805</xdr:row>
      <xdr:rowOff>123825</xdr:rowOff>
    </xdr:from>
    <xdr:to>
      <xdr:col>9</xdr:col>
      <xdr:colOff>152400</xdr:colOff>
      <xdr:row>807</xdr:row>
      <xdr:rowOff>0</xdr:rowOff>
    </xdr:to>
    <xdr:sp macro="" textlink="">
      <xdr:nvSpPr>
        <xdr:cNvPr id="1343" name="Line 77"/>
        <xdr:cNvSpPr>
          <a:spLocks noChangeShapeType="1"/>
        </xdr:cNvSpPr>
      </xdr:nvSpPr>
      <xdr:spPr bwMode="auto">
        <a:xfrm>
          <a:off x="5711158" y="135340725"/>
          <a:ext cx="3842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266700</xdr:colOff>
      <xdr:row>806</xdr:row>
      <xdr:rowOff>28575</xdr:rowOff>
    </xdr:from>
    <xdr:to>
      <xdr:col>0</xdr:col>
      <xdr:colOff>270382</xdr:colOff>
      <xdr:row>807</xdr:row>
      <xdr:rowOff>0</xdr:rowOff>
    </xdr:to>
    <xdr:sp macro="" textlink="">
      <xdr:nvSpPr>
        <xdr:cNvPr id="1391" name="Line 78"/>
        <xdr:cNvSpPr>
          <a:spLocks noChangeShapeType="1"/>
        </xdr:cNvSpPr>
      </xdr:nvSpPr>
      <xdr:spPr bwMode="auto">
        <a:xfrm flipH="1">
          <a:off x="266700" y="135407400"/>
          <a:ext cx="3682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114300</xdr:colOff>
      <xdr:row>799</xdr:row>
      <xdr:rowOff>9525</xdr:rowOff>
    </xdr:from>
    <xdr:to>
      <xdr:col>3</xdr:col>
      <xdr:colOff>390525</xdr:colOff>
      <xdr:row>803</xdr:row>
      <xdr:rowOff>19050</xdr:rowOff>
    </xdr:to>
    <xdr:cxnSp macro="">
      <xdr:nvCxnSpPr>
        <xdr:cNvPr id="1421" name="Straight Connector 1420"/>
        <xdr:cNvCxnSpPr/>
      </xdr:nvCxnSpPr>
      <xdr:spPr bwMode="auto">
        <a:xfrm flipV="1">
          <a:off x="723900" y="134254875"/>
          <a:ext cx="1495425" cy="6572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378038</xdr:colOff>
      <xdr:row>804</xdr:row>
      <xdr:rowOff>95250</xdr:rowOff>
    </xdr:from>
    <xdr:to>
      <xdr:col>5</xdr:col>
      <xdr:colOff>243566</xdr:colOff>
      <xdr:row>804</xdr:row>
      <xdr:rowOff>104776</xdr:rowOff>
    </xdr:to>
    <xdr:cxnSp macro="">
      <xdr:nvCxnSpPr>
        <xdr:cNvPr id="1422" name="Straight Connector 1421"/>
        <xdr:cNvCxnSpPr>
          <a:endCxn id="1342" idx="0"/>
        </xdr:cNvCxnSpPr>
      </xdr:nvCxnSpPr>
      <xdr:spPr bwMode="auto">
        <a:xfrm flipV="1">
          <a:off x="1597238" y="135150225"/>
          <a:ext cx="1084728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209550</xdr:colOff>
      <xdr:row>805</xdr:row>
      <xdr:rowOff>114300</xdr:rowOff>
    </xdr:from>
    <xdr:to>
      <xdr:col>3</xdr:col>
      <xdr:colOff>174652</xdr:colOff>
      <xdr:row>805</xdr:row>
      <xdr:rowOff>123825</xdr:rowOff>
    </xdr:to>
    <xdr:cxnSp macro="">
      <xdr:nvCxnSpPr>
        <xdr:cNvPr id="1423" name="Straight Connector 1422"/>
        <xdr:cNvCxnSpPr/>
      </xdr:nvCxnSpPr>
      <xdr:spPr bwMode="auto">
        <a:xfrm flipV="1">
          <a:off x="209550" y="135331200"/>
          <a:ext cx="1793902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485695</xdr:colOff>
      <xdr:row>805</xdr:row>
      <xdr:rowOff>66675</xdr:rowOff>
    </xdr:from>
    <xdr:to>
      <xdr:col>9</xdr:col>
      <xdr:colOff>228600</xdr:colOff>
      <xdr:row>805</xdr:row>
      <xdr:rowOff>76201</xdr:rowOff>
    </xdr:to>
    <xdr:cxnSp macro="">
      <xdr:nvCxnSpPr>
        <xdr:cNvPr id="1457" name="Straight Connector 1456"/>
        <xdr:cNvCxnSpPr/>
      </xdr:nvCxnSpPr>
      <xdr:spPr bwMode="auto">
        <a:xfrm flipV="1">
          <a:off x="3533695" y="135283575"/>
          <a:ext cx="2257505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387563</xdr:colOff>
      <xdr:row>798</xdr:row>
      <xdr:rowOff>142875</xdr:rowOff>
    </xdr:from>
    <xdr:to>
      <xdr:col>5</xdr:col>
      <xdr:colOff>282148</xdr:colOff>
      <xdr:row>798</xdr:row>
      <xdr:rowOff>152400</xdr:rowOff>
    </xdr:to>
    <xdr:cxnSp macro="">
      <xdr:nvCxnSpPr>
        <xdr:cNvPr id="1458" name="Straight Connector 1457"/>
        <xdr:cNvCxnSpPr/>
      </xdr:nvCxnSpPr>
      <xdr:spPr bwMode="auto">
        <a:xfrm flipV="1">
          <a:off x="2216363" y="134226300"/>
          <a:ext cx="111378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378038</xdr:colOff>
      <xdr:row>801</xdr:row>
      <xdr:rowOff>76200</xdr:rowOff>
    </xdr:from>
    <xdr:to>
      <xdr:col>5</xdr:col>
      <xdr:colOff>295275</xdr:colOff>
      <xdr:row>801</xdr:row>
      <xdr:rowOff>76200</xdr:rowOff>
    </xdr:to>
    <xdr:cxnSp macro="">
      <xdr:nvCxnSpPr>
        <xdr:cNvPr id="1463" name="Straight Connector 1462"/>
        <xdr:cNvCxnSpPr/>
      </xdr:nvCxnSpPr>
      <xdr:spPr bwMode="auto">
        <a:xfrm>
          <a:off x="2206838" y="134645400"/>
          <a:ext cx="1136437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474889</xdr:colOff>
      <xdr:row>799</xdr:row>
      <xdr:rowOff>9525</xdr:rowOff>
    </xdr:from>
    <xdr:to>
      <xdr:col>3</xdr:col>
      <xdr:colOff>495300</xdr:colOff>
      <xdr:row>801</xdr:row>
      <xdr:rowOff>2</xdr:rowOff>
    </xdr:to>
    <xdr:cxnSp macro="">
      <xdr:nvCxnSpPr>
        <xdr:cNvPr id="1465" name="Straight Connector 1464"/>
        <xdr:cNvCxnSpPr/>
      </xdr:nvCxnSpPr>
      <xdr:spPr bwMode="auto">
        <a:xfrm flipV="1">
          <a:off x="2303689" y="134254875"/>
          <a:ext cx="20411" cy="314327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377233</xdr:colOff>
      <xdr:row>799</xdr:row>
      <xdr:rowOff>9525</xdr:rowOff>
    </xdr:from>
    <xdr:to>
      <xdr:col>3</xdr:col>
      <xdr:colOff>400053</xdr:colOff>
      <xdr:row>801</xdr:row>
      <xdr:rowOff>86520</xdr:rowOff>
    </xdr:to>
    <xdr:cxnSp macro="">
      <xdr:nvCxnSpPr>
        <xdr:cNvPr id="1474" name="Straight Connector 1473"/>
        <xdr:cNvCxnSpPr/>
      </xdr:nvCxnSpPr>
      <xdr:spPr bwMode="auto">
        <a:xfrm flipV="1">
          <a:off x="2206033" y="134254875"/>
          <a:ext cx="22820" cy="40084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171450</xdr:colOff>
      <xdr:row>798</xdr:row>
      <xdr:rowOff>152400</xdr:rowOff>
    </xdr:from>
    <xdr:to>
      <xdr:col>5</xdr:col>
      <xdr:colOff>174965</xdr:colOff>
      <xdr:row>801</xdr:row>
      <xdr:rowOff>29373</xdr:rowOff>
    </xdr:to>
    <xdr:cxnSp macro="">
      <xdr:nvCxnSpPr>
        <xdr:cNvPr id="1475" name="Straight Connector 1474"/>
        <xdr:cNvCxnSpPr/>
      </xdr:nvCxnSpPr>
      <xdr:spPr bwMode="auto">
        <a:xfrm flipH="1" flipV="1">
          <a:off x="3219450" y="134235825"/>
          <a:ext cx="3515" cy="36274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243567</xdr:colOff>
      <xdr:row>805</xdr:row>
      <xdr:rowOff>19050</xdr:rowOff>
    </xdr:from>
    <xdr:to>
      <xdr:col>5</xdr:col>
      <xdr:colOff>480852</xdr:colOff>
      <xdr:row>806</xdr:row>
      <xdr:rowOff>0</xdr:rowOff>
    </xdr:to>
    <xdr:sp macro="" textlink="">
      <xdr:nvSpPr>
        <xdr:cNvPr id="1481" name="Line 75"/>
        <xdr:cNvSpPr>
          <a:spLocks noChangeShapeType="1"/>
        </xdr:cNvSpPr>
      </xdr:nvSpPr>
      <xdr:spPr bwMode="auto">
        <a:xfrm>
          <a:off x="2681967" y="135235950"/>
          <a:ext cx="23728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485695</xdr:colOff>
      <xdr:row>805</xdr:row>
      <xdr:rowOff>152400</xdr:rowOff>
    </xdr:from>
    <xdr:to>
      <xdr:col>9</xdr:col>
      <xdr:colOff>219075</xdr:colOff>
      <xdr:row>806</xdr:row>
      <xdr:rowOff>1</xdr:rowOff>
    </xdr:to>
    <xdr:cxnSp macro="">
      <xdr:nvCxnSpPr>
        <xdr:cNvPr id="1484" name="Straight Connector 1483"/>
        <xdr:cNvCxnSpPr/>
      </xdr:nvCxnSpPr>
      <xdr:spPr bwMode="auto">
        <a:xfrm flipV="1">
          <a:off x="3533695" y="135369300"/>
          <a:ext cx="224798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367393</xdr:colOff>
      <xdr:row>803</xdr:row>
      <xdr:rowOff>9525</xdr:rowOff>
    </xdr:from>
    <xdr:to>
      <xdr:col>1</xdr:col>
      <xdr:colOff>87086</xdr:colOff>
      <xdr:row>803</xdr:row>
      <xdr:rowOff>11113</xdr:rowOff>
    </xdr:to>
    <xdr:cxnSp macro="">
      <xdr:nvCxnSpPr>
        <xdr:cNvPr id="1493" name="Straight Connector 1492"/>
        <xdr:cNvCxnSpPr/>
      </xdr:nvCxnSpPr>
      <xdr:spPr bwMode="auto">
        <a:xfrm>
          <a:off x="367393" y="134902575"/>
          <a:ext cx="329293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272623</xdr:colOff>
      <xdr:row>802</xdr:row>
      <xdr:rowOff>104775</xdr:rowOff>
    </xdr:from>
    <xdr:to>
      <xdr:col>8</xdr:col>
      <xdr:colOff>601916</xdr:colOff>
      <xdr:row>802</xdr:row>
      <xdr:rowOff>106363</xdr:rowOff>
    </xdr:to>
    <xdr:cxnSp macro="">
      <xdr:nvCxnSpPr>
        <xdr:cNvPr id="1494" name="Straight Connector 1493"/>
        <xdr:cNvCxnSpPr/>
      </xdr:nvCxnSpPr>
      <xdr:spPr bwMode="auto">
        <a:xfrm>
          <a:off x="5225623" y="134835900"/>
          <a:ext cx="329293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271817</xdr:colOff>
      <xdr:row>798</xdr:row>
      <xdr:rowOff>124620</xdr:rowOff>
    </xdr:from>
    <xdr:to>
      <xdr:col>5</xdr:col>
      <xdr:colOff>273432</xdr:colOff>
      <xdr:row>801</xdr:row>
      <xdr:rowOff>48422</xdr:rowOff>
    </xdr:to>
    <xdr:cxnSp macro="">
      <xdr:nvCxnSpPr>
        <xdr:cNvPr id="1495" name="Straight Connector 1494"/>
        <xdr:cNvCxnSpPr/>
      </xdr:nvCxnSpPr>
      <xdr:spPr bwMode="auto">
        <a:xfrm rot="5400000" flipH="1" flipV="1">
          <a:off x="2506236" y="134412026"/>
          <a:ext cx="409577" cy="161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485775</xdr:colOff>
      <xdr:row>801</xdr:row>
      <xdr:rowOff>19050</xdr:rowOff>
    </xdr:from>
    <xdr:to>
      <xdr:col>5</xdr:col>
      <xdr:colOff>190500</xdr:colOff>
      <xdr:row>801</xdr:row>
      <xdr:rowOff>19050</xdr:rowOff>
    </xdr:to>
    <xdr:cxnSp macro="">
      <xdr:nvCxnSpPr>
        <xdr:cNvPr id="1496" name="Straight Connector 1495"/>
        <xdr:cNvCxnSpPr/>
      </xdr:nvCxnSpPr>
      <xdr:spPr bwMode="auto">
        <a:xfrm>
          <a:off x="2314575" y="134588250"/>
          <a:ext cx="923925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377718</xdr:colOff>
      <xdr:row>805</xdr:row>
      <xdr:rowOff>38100</xdr:rowOff>
    </xdr:from>
    <xdr:to>
      <xdr:col>5</xdr:col>
      <xdr:colOff>243246</xdr:colOff>
      <xdr:row>805</xdr:row>
      <xdr:rowOff>47626</xdr:rowOff>
    </xdr:to>
    <xdr:cxnSp macro="">
      <xdr:nvCxnSpPr>
        <xdr:cNvPr id="1497" name="Straight Connector 1496"/>
        <xdr:cNvCxnSpPr/>
      </xdr:nvCxnSpPr>
      <xdr:spPr bwMode="auto">
        <a:xfrm flipV="1">
          <a:off x="2206518" y="135416925"/>
          <a:ext cx="1084728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295275</xdr:colOff>
      <xdr:row>798</xdr:row>
      <xdr:rowOff>152400</xdr:rowOff>
    </xdr:from>
    <xdr:to>
      <xdr:col>8</xdr:col>
      <xdr:colOff>276225</xdr:colOff>
      <xdr:row>802</xdr:row>
      <xdr:rowOff>95250</xdr:rowOff>
    </xdr:to>
    <xdr:cxnSp macro="">
      <xdr:nvCxnSpPr>
        <xdr:cNvPr id="1498" name="Straight Connector 1497"/>
        <xdr:cNvCxnSpPr/>
      </xdr:nvCxnSpPr>
      <xdr:spPr bwMode="auto">
        <a:xfrm>
          <a:off x="3343275" y="134235825"/>
          <a:ext cx="1885950" cy="5905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180975</xdr:colOff>
      <xdr:row>804</xdr:row>
      <xdr:rowOff>95250</xdr:rowOff>
    </xdr:from>
    <xdr:to>
      <xdr:col>3</xdr:col>
      <xdr:colOff>390525</xdr:colOff>
      <xdr:row>805</xdr:row>
      <xdr:rowOff>104775</xdr:rowOff>
    </xdr:to>
    <xdr:cxnSp macro="">
      <xdr:nvCxnSpPr>
        <xdr:cNvPr id="1499" name="Straight Connector 1498"/>
        <xdr:cNvCxnSpPr/>
      </xdr:nvCxnSpPr>
      <xdr:spPr bwMode="auto">
        <a:xfrm flipH="1">
          <a:off x="2009775" y="135312150"/>
          <a:ext cx="209550" cy="1714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161925</xdr:colOff>
      <xdr:row>805</xdr:row>
      <xdr:rowOff>57150</xdr:rowOff>
    </xdr:from>
    <xdr:to>
      <xdr:col>3</xdr:col>
      <xdr:colOff>371475</xdr:colOff>
      <xdr:row>806</xdr:row>
      <xdr:rowOff>66675</xdr:rowOff>
    </xdr:to>
    <xdr:cxnSp macro="">
      <xdr:nvCxnSpPr>
        <xdr:cNvPr id="1500" name="Straight Connector 1499"/>
        <xdr:cNvCxnSpPr/>
      </xdr:nvCxnSpPr>
      <xdr:spPr bwMode="auto">
        <a:xfrm flipH="1">
          <a:off x="1990725" y="135435975"/>
          <a:ext cx="209550" cy="1714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176213</xdr:colOff>
      <xdr:row>805</xdr:row>
      <xdr:rowOff>142875</xdr:rowOff>
    </xdr:from>
    <xdr:to>
      <xdr:col>0</xdr:col>
      <xdr:colOff>176216</xdr:colOff>
      <xdr:row>806</xdr:row>
      <xdr:rowOff>66677</xdr:rowOff>
    </xdr:to>
    <xdr:cxnSp macro="">
      <xdr:nvCxnSpPr>
        <xdr:cNvPr id="1501" name="Straight Connector 1500"/>
        <xdr:cNvCxnSpPr/>
      </xdr:nvCxnSpPr>
      <xdr:spPr bwMode="auto">
        <a:xfrm rot="16200000" flipH="1">
          <a:off x="133351" y="135564562"/>
          <a:ext cx="85727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361950</xdr:colOff>
      <xdr:row>800</xdr:row>
      <xdr:rowOff>0</xdr:rowOff>
    </xdr:from>
    <xdr:to>
      <xdr:col>6</xdr:col>
      <xdr:colOff>285750</xdr:colOff>
      <xdr:row>803</xdr:row>
      <xdr:rowOff>123825</xdr:rowOff>
    </xdr:to>
    <xdr:sp macro="" textlink="">
      <xdr:nvSpPr>
        <xdr:cNvPr id="1502" name="Line 87"/>
        <xdr:cNvSpPr>
          <a:spLocks noChangeShapeType="1"/>
        </xdr:cNvSpPr>
      </xdr:nvSpPr>
      <xdr:spPr bwMode="auto">
        <a:xfrm flipH="1">
          <a:off x="361950" y="134407275"/>
          <a:ext cx="3581400" cy="60960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6</xdr:col>
      <xdr:colOff>342900</xdr:colOff>
      <xdr:row>800</xdr:row>
      <xdr:rowOff>9525</xdr:rowOff>
    </xdr:from>
    <xdr:to>
      <xdr:col>7</xdr:col>
      <xdr:colOff>476250</xdr:colOff>
      <xdr:row>800</xdr:row>
      <xdr:rowOff>9525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4000500" y="134416800"/>
          <a:ext cx="819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798</xdr:row>
      <xdr:rowOff>57150</xdr:rowOff>
    </xdr:from>
    <xdr:to>
      <xdr:col>4</xdr:col>
      <xdr:colOff>161925</xdr:colOff>
      <xdr:row>798</xdr:row>
      <xdr:rowOff>133350</xdr:rowOff>
    </xdr:to>
    <xdr:sp macro="" textlink="">
      <xdr:nvSpPr>
        <xdr:cNvPr id="1504" name="AutoShape 83"/>
        <xdr:cNvSpPr>
          <a:spLocks noChangeArrowheads="1"/>
        </xdr:cNvSpPr>
      </xdr:nvSpPr>
      <xdr:spPr bwMode="auto">
        <a:xfrm>
          <a:off x="2524125" y="134140575"/>
          <a:ext cx="76200" cy="762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806</xdr:row>
      <xdr:rowOff>66675</xdr:rowOff>
    </xdr:from>
    <xdr:to>
      <xdr:col>3</xdr:col>
      <xdr:colOff>165127</xdr:colOff>
      <xdr:row>806</xdr:row>
      <xdr:rowOff>76200</xdr:rowOff>
    </xdr:to>
    <xdr:cxnSp macro="">
      <xdr:nvCxnSpPr>
        <xdr:cNvPr id="1505" name="Straight Connector 1504"/>
        <xdr:cNvCxnSpPr/>
      </xdr:nvCxnSpPr>
      <xdr:spPr bwMode="auto">
        <a:xfrm flipV="1">
          <a:off x="200025" y="135445500"/>
          <a:ext cx="1793902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223838</xdr:colOff>
      <xdr:row>805</xdr:row>
      <xdr:rowOff>76200</xdr:rowOff>
    </xdr:from>
    <xdr:to>
      <xdr:col>9</xdr:col>
      <xdr:colOff>223841</xdr:colOff>
      <xdr:row>806</xdr:row>
      <xdr:rowOff>2</xdr:rowOff>
    </xdr:to>
    <xdr:cxnSp macro="">
      <xdr:nvCxnSpPr>
        <xdr:cNvPr id="1506" name="Straight Connector 1505"/>
        <xdr:cNvCxnSpPr/>
      </xdr:nvCxnSpPr>
      <xdr:spPr bwMode="auto">
        <a:xfrm rot="16200000" flipH="1">
          <a:off x="5743576" y="135335962"/>
          <a:ext cx="85727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21051</xdr:colOff>
      <xdr:row>802</xdr:row>
      <xdr:rowOff>95250</xdr:rowOff>
    </xdr:from>
    <xdr:to>
      <xdr:col>9</xdr:col>
      <xdr:colOff>21051</xdr:colOff>
      <xdr:row>806</xdr:row>
      <xdr:rowOff>0</xdr:rowOff>
    </xdr:to>
    <xdr:sp macro="" textlink="">
      <xdr:nvSpPr>
        <xdr:cNvPr id="1507" name="Line 110"/>
        <xdr:cNvSpPr>
          <a:spLocks noChangeShapeType="1"/>
        </xdr:cNvSpPr>
      </xdr:nvSpPr>
      <xdr:spPr bwMode="auto">
        <a:xfrm>
          <a:off x="5583651" y="134826375"/>
          <a:ext cx="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357708</xdr:colOff>
      <xdr:row>803</xdr:row>
      <xdr:rowOff>19050</xdr:rowOff>
    </xdr:from>
    <xdr:to>
      <xdr:col>0</xdr:col>
      <xdr:colOff>357708</xdr:colOff>
      <xdr:row>805</xdr:row>
      <xdr:rowOff>104775</xdr:rowOff>
    </xdr:to>
    <xdr:sp macro="" textlink="">
      <xdr:nvSpPr>
        <xdr:cNvPr id="1508" name="Line 148"/>
        <xdr:cNvSpPr>
          <a:spLocks noChangeShapeType="1"/>
        </xdr:cNvSpPr>
      </xdr:nvSpPr>
      <xdr:spPr bwMode="auto">
        <a:xfrm>
          <a:off x="357708" y="134912100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361950</xdr:colOff>
      <xdr:row>800</xdr:row>
      <xdr:rowOff>152400</xdr:rowOff>
    </xdr:from>
    <xdr:to>
      <xdr:col>5</xdr:col>
      <xdr:colOff>542925</xdr:colOff>
      <xdr:row>801</xdr:row>
      <xdr:rowOff>28577</xdr:rowOff>
    </xdr:to>
    <xdr:cxnSp macro="">
      <xdr:nvCxnSpPr>
        <xdr:cNvPr id="1509" name="Straight Arrow Connector 1508"/>
        <xdr:cNvCxnSpPr/>
      </xdr:nvCxnSpPr>
      <xdr:spPr bwMode="auto">
        <a:xfrm flipH="1">
          <a:off x="3409950" y="134559675"/>
          <a:ext cx="180975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552450</xdr:colOff>
      <xdr:row>801</xdr:row>
      <xdr:rowOff>38100</xdr:rowOff>
    </xdr:from>
    <xdr:to>
      <xdr:col>5</xdr:col>
      <xdr:colOff>123825</xdr:colOff>
      <xdr:row>801</xdr:row>
      <xdr:rowOff>76202</xdr:rowOff>
    </xdr:to>
    <xdr:cxnSp macro="">
      <xdr:nvCxnSpPr>
        <xdr:cNvPr id="1510" name="Straight Arrow Connector 1509"/>
        <xdr:cNvCxnSpPr/>
      </xdr:nvCxnSpPr>
      <xdr:spPr bwMode="auto">
        <a:xfrm flipH="1">
          <a:off x="2990850" y="134607300"/>
          <a:ext cx="180975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152400</xdr:colOff>
      <xdr:row>801</xdr:row>
      <xdr:rowOff>104775</xdr:rowOff>
    </xdr:from>
    <xdr:to>
      <xdr:col>4</xdr:col>
      <xdr:colOff>333375</xdr:colOff>
      <xdr:row>801</xdr:row>
      <xdr:rowOff>142877</xdr:rowOff>
    </xdr:to>
    <xdr:cxnSp macro="">
      <xdr:nvCxnSpPr>
        <xdr:cNvPr id="1511" name="Straight Arrow Connector 1510"/>
        <xdr:cNvCxnSpPr/>
      </xdr:nvCxnSpPr>
      <xdr:spPr bwMode="auto">
        <a:xfrm flipH="1">
          <a:off x="2590800" y="134673975"/>
          <a:ext cx="180975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304800</xdr:colOff>
      <xdr:row>802</xdr:row>
      <xdr:rowOff>28575</xdr:rowOff>
    </xdr:from>
    <xdr:to>
      <xdr:col>3</xdr:col>
      <xdr:colOff>485775</xdr:colOff>
      <xdr:row>802</xdr:row>
      <xdr:rowOff>66677</xdr:rowOff>
    </xdr:to>
    <xdr:cxnSp macro="">
      <xdr:nvCxnSpPr>
        <xdr:cNvPr id="1512" name="Straight Arrow Connector 1511"/>
        <xdr:cNvCxnSpPr/>
      </xdr:nvCxnSpPr>
      <xdr:spPr bwMode="auto">
        <a:xfrm flipH="1">
          <a:off x="2133600" y="134759700"/>
          <a:ext cx="180975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495300</xdr:colOff>
      <xdr:row>802</xdr:row>
      <xdr:rowOff>123825</xdr:rowOff>
    </xdr:from>
    <xdr:to>
      <xdr:col>3</xdr:col>
      <xdr:colOff>66675</xdr:colOff>
      <xdr:row>803</xdr:row>
      <xdr:rowOff>2</xdr:rowOff>
    </xdr:to>
    <xdr:cxnSp macro="">
      <xdr:nvCxnSpPr>
        <xdr:cNvPr id="1513" name="Straight Arrow Connector 1512"/>
        <xdr:cNvCxnSpPr/>
      </xdr:nvCxnSpPr>
      <xdr:spPr bwMode="auto">
        <a:xfrm flipH="1">
          <a:off x="1714500" y="134854950"/>
          <a:ext cx="180975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600075</xdr:colOff>
      <xdr:row>803</xdr:row>
      <xdr:rowOff>9525</xdr:rowOff>
    </xdr:from>
    <xdr:to>
      <xdr:col>2</xdr:col>
      <xdr:colOff>171450</xdr:colOff>
      <xdr:row>803</xdr:row>
      <xdr:rowOff>47627</xdr:rowOff>
    </xdr:to>
    <xdr:cxnSp macro="">
      <xdr:nvCxnSpPr>
        <xdr:cNvPr id="1514" name="Straight Arrow Connector 1513"/>
        <xdr:cNvCxnSpPr/>
      </xdr:nvCxnSpPr>
      <xdr:spPr bwMode="auto">
        <a:xfrm flipH="1">
          <a:off x="1209675" y="134902575"/>
          <a:ext cx="180975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114300</xdr:colOff>
      <xdr:row>803</xdr:row>
      <xdr:rowOff>123825</xdr:rowOff>
    </xdr:from>
    <xdr:to>
      <xdr:col>1</xdr:col>
      <xdr:colOff>295275</xdr:colOff>
      <xdr:row>804</xdr:row>
      <xdr:rowOff>2</xdr:rowOff>
    </xdr:to>
    <xdr:cxnSp macro="">
      <xdr:nvCxnSpPr>
        <xdr:cNvPr id="1515" name="Straight Arrow Connector 1514"/>
        <xdr:cNvCxnSpPr/>
      </xdr:nvCxnSpPr>
      <xdr:spPr bwMode="auto">
        <a:xfrm flipH="1">
          <a:off x="723900" y="135016875"/>
          <a:ext cx="180975" cy="3810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514350</xdr:colOff>
      <xdr:row>799</xdr:row>
      <xdr:rowOff>66675</xdr:rowOff>
    </xdr:from>
    <xdr:to>
      <xdr:col>6</xdr:col>
      <xdr:colOff>590550</xdr:colOff>
      <xdr:row>799</xdr:row>
      <xdr:rowOff>142875</xdr:rowOff>
    </xdr:to>
    <xdr:sp macro="" textlink="">
      <xdr:nvSpPr>
        <xdr:cNvPr id="1516" name="AutoShape 83"/>
        <xdr:cNvSpPr>
          <a:spLocks noChangeArrowheads="1"/>
        </xdr:cNvSpPr>
      </xdr:nvSpPr>
      <xdr:spPr bwMode="auto">
        <a:xfrm>
          <a:off x="4171950" y="134312025"/>
          <a:ext cx="76200" cy="762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466725</xdr:colOff>
      <xdr:row>809</xdr:row>
      <xdr:rowOff>38101</xdr:rowOff>
    </xdr:from>
    <xdr:to>
      <xdr:col>6</xdr:col>
      <xdr:colOff>9525</xdr:colOff>
      <xdr:row>809</xdr:row>
      <xdr:rowOff>47626</xdr:rowOff>
    </xdr:to>
    <xdr:cxnSp macro="">
      <xdr:nvCxnSpPr>
        <xdr:cNvPr id="1517" name="Straight Arrow Connector 1516"/>
        <xdr:cNvCxnSpPr/>
      </xdr:nvCxnSpPr>
      <xdr:spPr bwMode="auto">
        <a:xfrm rot="10800000">
          <a:off x="3514725" y="135940801"/>
          <a:ext cx="1524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85725</xdr:colOff>
      <xdr:row>809</xdr:row>
      <xdr:rowOff>76201</xdr:rowOff>
    </xdr:from>
    <xdr:to>
      <xdr:col>6</xdr:col>
      <xdr:colOff>238125</xdr:colOff>
      <xdr:row>809</xdr:row>
      <xdr:rowOff>85726</xdr:rowOff>
    </xdr:to>
    <xdr:cxnSp macro="">
      <xdr:nvCxnSpPr>
        <xdr:cNvPr id="1518" name="Straight Arrow Connector 1517"/>
        <xdr:cNvCxnSpPr/>
      </xdr:nvCxnSpPr>
      <xdr:spPr bwMode="auto">
        <a:xfrm rot="10800000">
          <a:off x="3743325" y="135978901"/>
          <a:ext cx="1524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0</xdr:colOff>
      <xdr:row>803</xdr:row>
      <xdr:rowOff>123825</xdr:rowOff>
    </xdr:from>
    <xdr:to>
      <xdr:col>0</xdr:col>
      <xdr:colOff>323850</xdr:colOff>
      <xdr:row>803</xdr:row>
      <xdr:rowOff>123825</xdr:rowOff>
    </xdr:to>
    <xdr:sp macro="" textlink="">
      <xdr:nvSpPr>
        <xdr:cNvPr id="1522" name="Line 82"/>
        <xdr:cNvSpPr>
          <a:spLocks noChangeShapeType="1"/>
        </xdr:cNvSpPr>
      </xdr:nvSpPr>
      <xdr:spPr bwMode="auto">
        <a:xfrm>
          <a:off x="0" y="1351788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28575</xdr:colOff>
      <xdr:row>803</xdr:row>
      <xdr:rowOff>19050</xdr:rowOff>
    </xdr:from>
    <xdr:to>
      <xdr:col>0</xdr:col>
      <xdr:colOff>104775</xdr:colOff>
      <xdr:row>803</xdr:row>
      <xdr:rowOff>95250</xdr:rowOff>
    </xdr:to>
    <xdr:sp macro="" textlink="">
      <xdr:nvSpPr>
        <xdr:cNvPr id="1524" name="AutoShape 83"/>
        <xdr:cNvSpPr>
          <a:spLocks noChangeArrowheads="1"/>
        </xdr:cNvSpPr>
      </xdr:nvSpPr>
      <xdr:spPr bwMode="auto">
        <a:xfrm>
          <a:off x="28575" y="135074025"/>
          <a:ext cx="76200" cy="762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190500</xdr:colOff>
      <xdr:row>3</xdr:row>
      <xdr:rowOff>9525</xdr:rowOff>
    </xdr:from>
    <xdr:to>
      <xdr:col>18</xdr:col>
      <xdr:colOff>323850</xdr:colOff>
      <xdr:row>9</xdr:row>
      <xdr:rowOff>95250</xdr:rowOff>
    </xdr:to>
    <xdr:sp macro="" textlink="">
      <xdr:nvSpPr>
        <xdr:cNvPr id="21" name="Rectangle 20"/>
        <xdr:cNvSpPr/>
      </xdr:nvSpPr>
      <xdr:spPr bwMode="auto">
        <a:xfrm>
          <a:off x="9544050" y="1666875"/>
          <a:ext cx="742950" cy="1057275"/>
        </a:xfrm>
        <a:prstGeom prst="rect">
          <a:avLst/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161925</xdr:colOff>
      <xdr:row>3</xdr:row>
      <xdr:rowOff>9525</xdr:rowOff>
    </xdr:from>
    <xdr:to>
      <xdr:col>20</xdr:col>
      <xdr:colOff>295275</xdr:colOff>
      <xdr:row>9</xdr:row>
      <xdr:rowOff>95250</xdr:rowOff>
    </xdr:to>
    <xdr:sp macro="" textlink="">
      <xdr:nvSpPr>
        <xdr:cNvPr id="1258" name="Rectangle 1257"/>
        <xdr:cNvSpPr/>
      </xdr:nvSpPr>
      <xdr:spPr bwMode="auto">
        <a:xfrm>
          <a:off x="10734675" y="1666875"/>
          <a:ext cx="742950" cy="1057275"/>
        </a:xfrm>
        <a:prstGeom prst="rect">
          <a:avLst/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247650</xdr:colOff>
      <xdr:row>12</xdr:row>
      <xdr:rowOff>9525</xdr:rowOff>
    </xdr:from>
    <xdr:to>
      <xdr:col>20</xdr:col>
      <xdr:colOff>381000</xdr:colOff>
      <xdr:row>18</xdr:row>
      <xdr:rowOff>38100</xdr:rowOff>
    </xdr:to>
    <xdr:sp macro="" textlink="">
      <xdr:nvSpPr>
        <xdr:cNvPr id="1392" name="Rectangle 1391"/>
        <xdr:cNvSpPr/>
      </xdr:nvSpPr>
      <xdr:spPr bwMode="auto">
        <a:xfrm>
          <a:off x="10820400" y="3124200"/>
          <a:ext cx="742950" cy="1057275"/>
        </a:xfrm>
        <a:prstGeom prst="rect">
          <a:avLst/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190500</xdr:colOff>
      <xdr:row>12</xdr:row>
      <xdr:rowOff>19050</xdr:rowOff>
    </xdr:from>
    <xdr:to>
      <xdr:col>18</xdr:col>
      <xdr:colOff>323850</xdr:colOff>
      <xdr:row>18</xdr:row>
      <xdr:rowOff>47625</xdr:rowOff>
    </xdr:to>
    <xdr:sp macro="" textlink="">
      <xdr:nvSpPr>
        <xdr:cNvPr id="1393" name="Rectangle 1392"/>
        <xdr:cNvSpPr/>
      </xdr:nvSpPr>
      <xdr:spPr bwMode="auto">
        <a:xfrm>
          <a:off x="9544050" y="3133725"/>
          <a:ext cx="742950" cy="1057275"/>
        </a:xfrm>
        <a:prstGeom prst="rect">
          <a:avLst/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514350</xdr:colOff>
      <xdr:row>5</xdr:row>
      <xdr:rowOff>28575</xdr:rowOff>
    </xdr:from>
    <xdr:to>
      <xdr:col>19</xdr:col>
      <xdr:colOff>57150</xdr:colOff>
      <xdr:row>11</xdr:row>
      <xdr:rowOff>35433</xdr:rowOff>
    </xdr:to>
    <xdr:sp macro="" textlink="">
      <xdr:nvSpPr>
        <xdr:cNvPr id="24" name="Down Arrow 23"/>
        <xdr:cNvSpPr/>
      </xdr:nvSpPr>
      <xdr:spPr bwMode="auto">
        <a:xfrm>
          <a:off x="10477500" y="2009775"/>
          <a:ext cx="152400" cy="978408"/>
        </a:xfrm>
        <a:prstGeom prst="down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</xdr:row>
      <xdr:rowOff>85725</xdr:rowOff>
    </xdr:from>
    <xdr:to>
      <xdr:col>18</xdr:col>
      <xdr:colOff>95250</xdr:colOff>
      <xdr:row>1</xdr:row>
      <xdr:rowOff>85725</xdr:rowOff>
    </xdr:to>
    <xdr:cxnSp macro="">
      <xdr:nvCxnSpPr>
        <xdr:cNvPr id="31" name="Straight Arrow Connector 30"/>
        <xdr:cNvCxnSpPr/>
      </xdr:nvCxnSpPr>
      <xdr:spPr bwMode="auto">
        <a:xfrm flipH="1">
          <a:off x="9353550" y="1419225"/>
          <a:ext cx="70485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19</xdr:col>
      <xdr:colOff>200025</xdr:colOff>
      <xdr:row>1</xdr:row>
      <xdr:rowOff>95250</xdr:rowOff>
    </xdr:from>
    <xdr:to>
      <xdr:col>21</xdr:col>
      <xdr:colOff>0</xdr:colOff>
      <xdr:row>1</xdr:row>
      <xdr:rowOff>95250</xdr:rowOff>
    </xdr:to>
    <xdr:cxnSp macro="">
      <xdr:nvCxnSpPr>
        <xdr:cNvPr id="1396" name="Straight Arrow Connector 1395"/>
        <xdr:cNvCxnSpPr/>
      </xdr:nvCxnSpPr>
      <xdr:spPr bwMode="auto">
        <a:xfrm>
          <a:off x="10772775" y="1428750"/>
          <a:ext cx="101917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20</xdr:col>
      <xdr:colOff>447675</xdr:colOff>
      <xdr:row>1</xdr:row>
      <xdr:rowOff>9525</xdr:rowOff>
    </xdr:from>
    <xdr:to>
      <xdr:col>20</xdr:col>
      <xdr:colOff>457200</xdr:colOff>
      <xdr:row>9</xdr:row>
      <xdr:rowOff>142875</xdr:rowOff>
    </xdr:to>
    <xdr:cxnSp macro="">
      <xdr:nvCxnSpPr>
        <xdr:cNvPr id="32" name="Straight Arrow Connector 31"/>
        <xdr:cNvCxnSpPr/>
      </xdr:nvCxnSpPr>
      <xdr:spPr bwMode="auto">
        <a:xfrm flipV="1">
          <a:off x="11630025" y="1343025"/>
          <a:ext cx="9525" cy="14287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20</xdr:col>
      <xdr:colOff>476250</xdr:colOff>
      <xdr:row>10</xdr:row>
      <xdr:rowOff>152400</xdr:rowOff>
    </xdr:from>
    <xdr:to>
      <xdr:col>20</xdr:col>
      <xdr:colOff>485775</xdr:colOff>
      <xdr:row>20</xdr:row>
      <xdr:rowOff>0</xdr:rowOff>
    </xdr:to>
    <xdr:cxnSp macro="">
      <xdr:nvCxnSpPr>
        <xdr:cNvPr id="1419" name="Straight Arrow Connector 1418"/>
        <xdr:cNvCxnSpPr/>
      </xdr:nvCxnSpPr>
      <xdr:spPr bwMode="auto">
        <a:xfrm>
          <a:off x="11658600" y="2943225"/>
          <a:ext cx="9525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17</xdr:col>
      <xdr:colOff>428625</xdr:colOff>
      <xdr:row>3</xdr:row>
      <xdr:rowOff>9525</xdr:rowOff>
    </xdr:from>
    <xdr:to>
      <xdr:col>17</xdr:col>
      <xdr:colOff>428625</xdr:colOff>
      <xdr:row>5</xdr:row>
      <xdr:rowOff>152400</xdr:rowOff>
    </xdr:to>
    <xdr:cxnSp macro="">
      <xdr:nvCxnSpPr>
        <xdr:cNvPr id="1420" name="Straight Arrow Connector 1419"/>
        <xdr:cNvCxnSpPr/>
      </xdr:nvCxnSpPr>
      <xdr:spPr bwMode="auto">
        <a:xfrm flipV="1">
          <a:off x="10391775" y="533400"/>
          <a:ext cx="0" cy="4667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17</xdr:col>
      <xdr:colOff>438150</xdr:colOff>
      <xdr:row>7</xdr:row>
      <xdr:rowOff>38100</xdr:rowOff>
    </xdr:from>
    <xdr:to>
      <xdr:col>17</xdr:col>
      <xdr:colOff>438150</xdr:colOff>
      <xdr:row>9</xdr:row>
      <xdr:rowOff>95250</xdr:rowOff>
    </xdr:to>
    <xdr:cxnSp macro="">
      <xdr:nvCxnSpPr>
        <xdr:cNvPr id="1459" name="Straight Arrow Connector 1458"/>
        <xdr:cNvCxnSpPr/>
      </xdr:nvCxnSpPr>
      <xdr:spPr bwMode="auto">
        <a:xfrm>
          <a:off x="10401300" y="1209675"/>
          <a:ext cx="0" cy="381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0</xdr:rowOff>
    </xdr:from>
    <xdr:to>
      <xdr:col>4</xdr:col>
      <xdr:colOff>0</xdr:colOff>
      <xdr:row>16</xdr:row>
      <xdr:rowOff>47625</xdr:rowOff>
    </xdr:to>
    <xdr:sp macro="" textlink="">
      <xdr:nvSpPr>
        <xdr:cNvPr id="416804" name="Line 45"/>
        <xdr:cNvSpPr>
          <a:spLocks noChangeShapeType="1"/>
        </xdr:cNvSpPr>
      </xdr:nvSpPr>
      <xdr:spPr bwMode="auto">
        <a:xfrm>
          <a:off x="1219200" y="2926080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50</xdr:row>
      <xdr:rowOff>0</xdr:rowOff>
    </xdr:from>
    <xdr:to>
      <xdr:col>6</xdr:col>
      <xdr:colOff>600075</xdr:colOff>
      <xdr:row>59</xdr:row>
      <xdr:rowOff>0</xdr:rowOff>
    </xdr:to>
    <xdr:sp macro="" textlink="">
      <xdr:nvSpPr>
        <xdr:cNvPr id="116" name="Line 111"/>
        <xdr:cNvSpPr>
          <a:spLocks noChangeShapeType="1"/>
        </xdr:cNvSpPr>
      </xdr:nvSpPr>
      <xdr:spPr bwMode="auto">
        <a:xfrm>
          <a:off x="600075" y="14668500"/>
          <a:ext cx="0" cy="1943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590550</xdr:colOff>
      <xdr:row>59</xdr:row>
      <xdr:rowOff>0</xdr:rowOff>
    </xdr:from>
    <xdr:to>
      <xdr:col>8</xdr:col>
      <xdr:colOff>9525</xdr:colOff>
      <xdr:row>59</xdr:row>
      <xdr:rowOff>0</xdr:rowOff>
    </xdr:to>
    <xdr:sp macro="" textlink="">
      <xdr:nvSpPr>
        <xdr:cNvPr id="117" name="Line 112"/>
        <xdr:cNvSpPr>
          <a:spLocks noChangeShapeType="1"/>
        </xdr:cNvSpPr>
      </xdr:nvSpPr>
      <xdr:spPr bwMode="auto">
        <a:xfrm flipV="1">
          <a:off x="590550" y="16611600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50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118" name="Line 113"/>
        <xdr:cNvSpPr>
          <a:spLocks noChangeShapeType="1"/>
        </xdr:cNvSpPr>
      </xdr:nvSpPr>
      <xdr:spPr bwMode="auto">
        <a:xfrm>
          <a:off x="600075" y="1466850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50</xdr:row>
      <xdr:rowOff>0</xdr:rowOff>
    </xdr:from>
    <xdr:to>
      <xdr:col>7</xdr:col>
      <xdr:colOff>600075</xdr:colOff>
      <xdr:row>59</xdr:row>
      <xdr:rowOff>9525</xdr:rowOff>
    </xdr:to>
    <xdr:sp macro="" textlink="">
      <xdr:nvSpPr>
        <xdr:cNvPr id="119" name="Line 114"/>
        <xdr:cNvSpPr>
          <a:spLocks noChangeShapeType="1"/>
        </xdr:cNvSpPr>
      </xdr:nvSpPr>
      <xdr:spPr bwMode="auto">
        <a:xfrm>
          <a:off x="1209675" y="14668500"/>
          <a:ext cx="0" cy="1952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50</xdr:row>
      <xdr:rowOff>0</xdr:rowOff>
    </xdr:from>
    <xdr:to>
      <xdr:col>6</xdr:col>
      <xdr:colOff>600075</xdr:colOff>
      <xdr:row>50</xdr:row>
      <xdr:rowOff>66675</xdr:rowOff>
    </xdr:to>
    <xdr:sp macro="" textlink="">
      <xdr:nvSpPr>
        <xdr:cNvPr id="120" name="Line 115"/>
        <xdr:cNvSpPr>
          <a:spLocks noChangeShapeType="1"/>
        </xdr:cNvSpPr>
      </xdr:nvSpPr>
      <xdr:spPr bwMode="auto">
        <a:xfrm flipH="1">
          <a:off x="561975" y="146685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50</xdr:row>
      <xdr:rowOff>85725</xdr:rowOff>
    </xdr:from>
    <xdr:to>
      <xdr:col>6</xdr:col>
      <xdr:colOff>600075</xdr:colOff>
      <xdr:row>50</xdr:row>
      <xdr:rowOff>152400</xdr:rowOff>
    </xdr:to>
    <xdr:sp macro="" textlink="">
      <xdr:nvSpPr>
        <xdr:cNvPr id="121" name="Line 116"/>
        <xdr:cNvSpPr>
          <a:spLocks noChangeShapeType="1"/>
        </xdr:cNvSpPr>
      </xdr:nvSpPr>
      <xdr:spPr bwMode="auto">
        <a:xfrm flipH="1">
          <a:off x="571500" y="147542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53</xdr:row>
      <xdr:rowOff>0</xdr:rowOff>
    </xdr:from>
    <xdr:to>
      <xdr:col>6</xdr:col>
      <xdr:colOff>600075</xdr:colOff>
      <xdr:row>53</xdr:row>
      <xdr:rowOff>66675</xdr:rowOff>
    </xdr:to>
    <xdr:sp macro="" textlink="">
      <xdr:nvSpPr>
        <xdr:cNvPr id="126" name="Line 121"/>
        <xdr:cNvSpPr>
          <a:spLocks noChangeShapeType="1"/>
        </xdr:cNvSpPr>
      </xdr:nvSpPr>
      <xdr:spPr bwMode="auto">
        <a:xfrm flipH="1">
          <a:off x="561975" y="154781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53</xdr:row>
      <xdr:rowOff>85725</xdr:rowOff>
    </xdr:from>
    <xdr:to>
      <xdr:col>6</xdr:col>
      <xdr:colOff>600075</xdr:colOff>
      <xdr:row>53</xdr:row>
      <xdr:rowOff>152400</xdr:rowOff>
    </xdr:to>
    <xdr:sp macro="" textlink="">
      <xdr:nvSpPr>
        <xdr:cNvPr id="127" name="Line 122"/>
        <xdr:cNvSpPr>
          <a:spLocks noChangeShapeType="1"/>
        </xdr:cNvSpPr>
      </xdr:nvSpPr>
      <xdr:spPr bwMode="auto">
        <a:xfrm flipH="1">
          <a:off x="571500" y="155638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54</xdr:row>
      <xdr:rowOff>0</xdr:rowOff>
    </xdr:from>
    <xdr:to>
      <xdr:col>6</xdr:col>
      <xdr:colOff>600075</xdr:colOff>
      <xdr:row>54</xdr:row>
      <xdr:rowOff>66675</xdr:rowOff>
    </xdr:to>
    <xdr:sp macro="" textlink="">
      <xdr:nvSpPr>
        <xdr:cNvPr id="128" name="Line 123"/>
        <xdr:cNvSpPr>
          <a:spLocks noChangeShapeType="1"/>
        </xdr:cNvSpPr>
      </xdr:nvSpPr>
      <xdr:spPr bwMode="auto">
        <a:xfrm flipH="1">
          <a:off x="561975" y="156400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54</xdr:row>
      <xdr:rowOff>85725</xdr:rowOff>
    </xdr:from>
    <xdr:to>
      <xdr:col>6</xdr:col>
      <xdr:colOff>600075</xdr:colOff>
      <xdr:row>54</xdr:row>
      <xdr:rowOff>152400</xdr:rowOff>
    </xdr:to>
    <xdr:sp macro="" textlink="">
      <xdr:nvSpPr>
        <xdr:cNvPr id="129" name="Line 124"/>
        <xdr:cNvSpPr>
          <a:spLocks noChangeShapeType="1"/>
        </xdr:cNvSpPr>
      </xdr:nvSpPr>
      <xdr:spPr bwMode="auto">
        <a:xfrm flipH="1">
          <a:off x="571500" y="157257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55</xdr:row>
      <xdr:rowOff>0</xdr:rowOff>
    </xdr:from>
    <xdr:to>
      <xdr:col>6</xdr:col>
      <xdr:colOff>600075</xdr:colOff>
      <xdr:row>55</xdr:row>
      <xdr:rowOff>66675</xdr:rowOff>
    </xdr:to>
    <xdr:sp macro="" textlink="">
      <xdr:nvSpPr>
        <xdr:cNvPr id="130" name="Line 125"/>
        <xdr:cNvSpPr>
          <a:spLocks noChangeShapeType="1"/>
        </xdr:cNvSpPr>
      </xdr:nvSpPr>
      <xdr:spPr bwMode="auto">
        <a:xfrm flipH="1">
          <a:off x="561975" y="158019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55</xdr:row>
      <xdr:rowOff>85725</xdr:rowOff>
    </xdr:from>
    <xdr:to>
      <xdr:col>6</xdr:col>
      <xdr:colOff>600075</xdr:colOff>
      <xdr:row>55</xdr:row>
      <xdr:rowOff>152400</xdr:rowOff>
    </xdr:to>
    <xdr:sp macro="" textlink="">
      <xdr:nvSpPr>
        <xdr:cNvPr id="131" name="Line 126"/>
        <xdr:cNvSpPr>
          <a:spLocks noChangeShapeType="1"/>
        </xdr:cNvSpPr>
      </xdr:nvSpPr>
      <xdr:spPr bwMode="auto">
        <a:xfrm flipH="1">
          <a:off x="571500" y="158877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56</xdr:row>
      <xdr:rowOff>0</xdr:rowOff>
    </xdr:from>
    <xdr:to>
      <xdr:col>6</xdr:col>
      <xdr:colOff>600075</xdr:colOff>
      <xdr:row>56</xdr:row>
      <xdr:rowOff>66675</xdr:rowOff>
    </xdr:to>
    <xdr:sp macro="" textlink="">
      <xdr:nvSpPr>
        <xdr:cNvPr id="132" name="Line 127"/>
        <xdr:cNvSpPr>
          <a:spLocks noChangeShapeType="1"/>
        </xdr:cNvSpPr>
      </xdr:nvSpPr>
      <xdr:spPr bwMode="auto">
        <a:xfrm flipH="1">
          <a:off x="561975" y="161258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56</xdr:row>
      <xdr:rowOff>85725</xdr:rowOff>
    </xdr:from>
    <xdr:to>
      <xdr:col>6</xdr:col>
      <xdr:colOff>600075</xdr:colOff>
      <xdr:row>56</xdr:row>
      <xdr:rowOff>152400</xdr:rowOff>
    </xdr:to>
    <xdr:sp macro="" textlink="">
      <xdr:nvSpPr>
        <xdr:cNvPr id="133" name="Line 128"/>
        <xdr:cNvSpPr>
          <a:spLocks noChangeShapeType="1"/>
        </xdr:cNvSpPr>
      </xdr:nvSpPr>
      <xdr:spPr bwMode="auto">
        <a:xfrm flipH="1">
          <a:off x="571500" y="162115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57</xdr:row>
      <xdr:rowOff>0</xdr:rowOff>
    </xdr:from>
    <xdr:to>
      <xdr:col>6</xdr:col>
      <xdr:colOff>600075</xdr:colOff>
      <xdr:row>57</xdr:row>
      <xdr:rowOff>66675</xdr:rowOff>
    </xdr:to>
    <xdr:sp macro="" textlink="">
      <xdr:nvSpPr>
        <xdr:cNvPr id="134" name="Line 129"/>
        <xdr:cNvSpPr>
          <a:spLocks noChangeShapeType="1"/>
        </xdr:cNvSpPr>
      </xdr:nvSpPr>
      <xdr:spPr bwMode="auto">
        <a:xfrm flipH="1">
          <a:off x="561975" y="162877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57</xdr:row>
      <xdr:rowOff>85725</xdr:rowOff>
    </xdr:from>
    <xdr:to>
      <xdr:col>6</xdr:col>
      <xdr:colOff>600075</xdr:colOff>
      <xdr:row>57</xdr:row>
      <xdr:rowOff>152400</xdr:rowOff>
    </xdr:to>
    <xdr:sp macro="" textlink="">
      <xdr:nvSpPr>
        <xdr:cNvPr id="135" name="Line 130"/>
        <xdr:cNvSpPr>
          <a:spLocks noChangeShapeType="1"/>
        </xdr:cNvSpPr>
      </xdr:nvSpPr>
      <xdr:spPr bwMode="auto">
        <a:xfrm flipH="1">
          <a:off x="571500" y="163734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58</xdr:row>
      <xdr:rowOff>0</xdr:rowOff>
    </xdr:from>
    <xdr:to>
      <xdr:col>6</xdr:col>
      <xdr:colOff>600075</xdr:colOff>
      <xdr:row>58</xdr:row>
      <xdr:rowOff>66675</xdr:rowOff>
    </xdr:to>
    <xdr:sp macro="" textlink="">
      <xdr:nvSpPr>
        <xdr:cNvPr id="136" name="Line 131"/>
        <xdr:cNvSpPr>
          <a:spLocks noChangeShapeType="1"/>
        </xdr:cNvSpPr>
      </xdr:nvSpPr>
      <xdr:spPr bwMode="auto">
        <a:xfrm flipH="1">
          <a:off x="561975" y="164496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58</xdr:row>
      <xdr:rowOff>85725</xdr:rowOff>
    </xdr:from>
    <xdr:to>
      <xdr:col>6</xdr:col>
      <xdr:colOff>600075</xdr:colOff>
      <xdr:row>58</xdr:row>
      <xdr:rowOff>152400</xdr:rowOff>
    </xdr:to>
    <xdr:sp macro="" textlink="">
      <xdr:nvSpPr>
        <xdr:cNvPr id="137" name="Line 132"/>
        <xdr:cNvSpPr>
          <a:spLocks noChangeShapeType="1"/>
        </xdr:cNvSpPr>
      </xdr:nvSpPr>
      <xdr:spPr bwMode="auto">
        <a:xfrm flipH="1">
          <a:off x="571500" y="165354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58</xdr:row>
      <xdr:rowOff>0</xdr:rowOff>
    </xdr:from>
    <xdr:to>
      <xdr:col>6</xdr:col>
      <xdr:colOff>600075</xdr:colOff>
      <xdr:row>58</xdr:row>
      <xdr:rowOff>66675</xdr:rowOff>
    </xdr:to>
    <xdr:sp macro="" textlink="">
      <xdr:nvSpPr>
        <xdr:cNvPr id="138" name="Line 133"/>
        <xdr:cNvSpPr>
          <a:spLocks noChangeShapeType="1"/>
        </xdr:cNvSpPr>
      </xdr:nvSpPr>
      <xdr:spPr bwMode="auto">
        <a:xfrm flipH="1">
          <a:off x="561975" y="164496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58</xdr:row>
      <xdr:rowOff>85725</xdr:rowOff>
    </xdr:from>
    <xdr:to>
      <xdr:col>6</xdr:col>
      <xdr:colOff>600075</xdr:colOff>
      <xdr:row>58</xdr:row>
      <xdr:rowOff>152400</xdr:rowOff>
    </xdr:to>
    <xdr:sp macro="" textlink="">
      <xdr:nvSpPr>
        <xdr:cNvPr id="139" name="Line 134"/>
        <xdr:cNvSpPr>
          <a:spLocks noChangeShapeType="1"/>
        </xdr:cNvSpPr>
      </xdr:nvSpPr>
      <xdr:spPr bwMode="auto">
        <a:xfrm flipH="1">
          <a:off x="571500" y="165354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59</xdr:row>
      <xdr:rowOff>0</xdr:rowOff>
    </xdr:from>
    <xdr:to>
      <xdr:col>7</xdr:col>
      <xdr:colOff>47625</xdr:colOff>
      <xdr:row>59</xdr:row>
      <xdr:rowOff>38100</xdr:rowOff>
    </xdr:to>
    <xdr:sp macro="" textlink="">
      <xdr:nvSpPr>
        <xdr:cNvPr id="140" name="Line 135"/>
        <xdr:cNvSpPr>
          <a:spLocks noChangeShapeType="1"/>
        </xdr:cNvSpPr>
      </xdr:nvSpPr>
      <xdr:spPr bwMode="auto">
        <a:xfrm flipH="1">
          <a:off x="600075" y="16611600"/>
          <a:ext cx="5715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542925</xdr:colOff>
      <xdr:row>59</xdr:row>
      <xdr:rowOff>0</xdr:rowOff>
    </xdr:from>
    <xdr:to>
      <xdr:col>7</xdr:col>
      <xdr:colOff>581025</xdr:colOff>
      <xdr:row>59</xdr:row>
      <xdr:rowOff>47625</xdr:rowOff>
    </xdr:to>
    <xdr:sp macro="" textlink="">
      <xdr:nvSpPr>
        <xdr:cNvPr id="141" name="Line 136"/>
        <xdr:cNvSpPr>
          <a:spLocks noChangeShapeType="1"/>
        </xdr:cNvSpPr>
      </xdr:nvSpPr>
      <xdr:spPr bwMode="auto">
        <a:xfrm flipH="1">
          <a:off x="1152525" y="16611600"/>
          <a:ext cx="381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59</xdr:row>
      <xdr:rowOff>9525</xdr:rowOff>
    </xdr:from>
    <xdr:to>
      <xdr:col>7</xdr:col>
      <xdr:colOff>104775</xdr:colOff>
      <xdr:row>59</xdr:row>
      <xdr:rowOff>38100</xdr:rowOff>
    </xdr:to>
    <xdr:sp macro="" textlink="">
      <xdr:nvSpPr>
        <xdr:cNvPr id="142" name="Line 137"/>
        <xdr:cNvSpPr>
          <a:spLocks noChangeShapeType="1"/>
        </xdr:cNvSpPr>
      </xdr:nvSpPr>
      <xdr:spPr bwMode="auto">
        <a:xfrm flipH="1">
          <a:off x="647700" y="16621125"/>
          <a:ext cx="6667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123825</xdr:colOff>
      <xdr:row>59</xdr:row>
      <xdr:rowOff>0</xdr:rowOff>
    </xdr:from>
    <xdr:to>
      <xdr:col>7</xdr:col>
      <xdr:colOff>200025</xdr:colOff>
      <xdr:row>59</xdr:row>
      <xdr:rowOff>38100</xdr:rowOff>
    </xdr:to>
    <xdr:sp macro="" textlink="">
      <xdr:nvSpPr>
        <xdr:cNvPr id="143" name="Line 138"/>
        <xdr:cNvSpPr>
          <a:spLocks noChangeShapeType="1"/>
        </xdr:cNvSpPr>
      </xdr:nvSpPr>
      <xdr:spPr bwMode="auto">
        <a:xfrm flipH="1">
          <a:off x="733425" y="16611600"/>
          <a:ext cx="7620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219075</xdr:colOff>
      <xdr:row>58</xdr:row>
      <xdr:rowOff>152400</xdr:rowOff>
    </xdr:from>
    <xdr:to>
      <xdr:col>7</xdr:col>
      <xdr:colOff>304800</xdr:colOff>
      <xdr:row>59</xdr:row>
      <xdr:rowOff>38100</xdr:rowOff>
    </xdr:to>
    <xdr:sp macro="" textlink="">
      <xdr:nvSpPr>
        <xdr:cNvPr id="144" name="Line 139"/>
        <xdr:cNvSpPr>
          <a:spLocks noChangeShapeType="1"/>
        </xdr:cNvSpPr>
      </xdr:nvSpPr>
      <xdr:spPr bwMode="auto">
        <a:xfrm flipH="1">
          <a:off x="828675" y="16602075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295275</xdr:colOff>
      <xdr:row>59</xdr:row>
      <xdr:rowOff>0</xdr:rowOff>
    </xdr:from>
    <xdr:to>
      <xdr:col>7</xdr:col>
      <xdr:colOff>361950</xdr:colOff>
      <xdr:row>59</xdr:row>
      <xdr:rowOff>38100</xdr:rowOff>
    </xdr:to>
    <xdr:sp macro="" textlink="">
      <xdr:nvSpPr>
        <xdr:cNvPr id="145" name="Line 140"/>
        <xdr:cNvSpPr>
          <a:spLocks noChangeShapeType="1"/>
        </xdr:cNvSpPr>
      </xdr:nvSpPr>
      <xdr:spPr bwMode="auto">
        <a:xfrm flipH="1">
          <a:off x="904875" y="16611600"/>
          <a:ext cx="66675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361950</xdr:colOff>
      <xdr:row>59</xdr:row>
      <xdr:rowOff>0</xdr:rowOff>
    </xdr:from>
    <xdr:to>
      <xdr:col>7</xdr:col>
      <xdr:colOff>438150</xdr:colOff>
      <xdr:row>59</xdr:row>
      <xdr:rowOff>47625</xdr:rowOff>
    </xdr:to>
    <xdr:sp macro="" textlink="">
      <xdr:nvSpPr>
        <xdr:cNvPr id="146" name="Line 141"/>
        <xdr:cNvSpPr>
          <a:spLocks noChangeShapeType="1"/>
        </xdr:cNvSpPr>
      </xdr:nvSpPr>
      <xdr:spPr bwMode="auto">
        <a:xfrm flipH="1">
          <a:off x="971550" y="16611600"/>
          <a:ext cx="762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438150</xdr:colOff>
      <xdr:row>59</xdr:row>
      <xdr:rowOff>0</xdr:rowOff>
    </xdr:from>
    <xdr:to>
      <xdr:col>7</xdr:col>
      <xdr:colOff>514350</xdr:colOff>
      <xdr:row>59</xdr:row>
      <xdr:rowOff>57150</xdr:rowOff>
    </xdr:to>
    <xdr:sp macro="" textlink="">
      <xdr:nvSpPr>
        <xdr:cNvPr id="147" name="Line 142"/>
        <xdr:cNvSpPr>
          <a:spLocks noChangeShapeType="1"/>
        </xdr:cNvSpPr>
      </xdr:nvSpPr>
      <xdr:spPr bwMode="auto">
        <a:xfrm flipH="1">
          <a:off x="1047750" y="16611600"/>
          <a:ext cx="7620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190500</xdr:colOff>
      <xdr:row>50</xdr:row>
      <xdr:rowOff>0</xdr:rowOff>
    </xdr:from>
    <xdr:to>
      <xdr:col>6</xdr:col>
      <xdr:colOff>514350</xdr:colOff>
      <xdr:row>50</xdr:row>
      <xdr:rowOff>0</xdr:rowOff>
    </xdr:to>
    <xdr:sp macro="" textlink="">
      <xdr:nvSpPr>
        <xdr:cNvPr id="148" name="Line 143"/>
        <xdr:cNvSpPr>
          <a:spLocks noChangeShapeType="1"/>
        </xdr:cNvSpPr>
      </xdr:nvSpPr>
      <xdr:spPr bwMode="auto">
        <a:xfrm>
          <a:off x="190500" y="146685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228600</xdr:colOff>
      <xdr:row>59</xdr:row>
      <xdr:rowOff>0</xdr:rowOff>
    </xdr:from>
    <xdr:to>
      <xdr:col>6</xdr:col>
      <xdr:colOff>504825</xdr:colOff>
      <xdr:row>59</xdr:row>
      <xdr:rowOff>0</xdr:rowOff>
    </xdr:to>
    <xdr:sp macro="" textlink="">
      <xdr:nvSpPr>
        <xdr:cNvPr id="149" name="Line 144"/>
        <xdr:cNvSpPr>
          <a:spLocks noChangeShapeType="1"/>
        </xdr:cNvSpPr>
      </xdr:nvSpPr>
      <xdr:spPr bwMode="auto">
        <a:xfrm>
          <a:off x="228600" y="1661160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447675</xdr:colOff>
      <xdr:row>50</xdr:row>
      <xdr:rowOff>0</xdr:rowOff>
    </xdr:from>
    <xdr:to>
      <xdr:col>6</xdr:col>
      <xdr:colOff>447675</xdr:colOff>
      <xdr:row>59</xdr:row>
      <xdr:rowOff>19050</xdr:rowOff>
    </xdr:to>
    <xdr:sp macro="" textlink="">
      <xdr:nvSpPr>
        <xdr:cNvPr id="150" name="Line 145"/>
        <xdr:cNvSpPr>
          <a:spLocks noChangeShapeType="1"/>
        </xdr:cNvSpPr>
      </xdr:nvSpPr>
      <xdr:spPr bwMode="auto">
        <a:xfrm>
          <a:off x="447675" y="14668500"/>
          <a:ext cx="0" cy="1962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7</xdr:col>
      <xdr:colOff>0</xdr:colOff>
      <xdr:row>60</xdr:row>
      <xdr:rowOff>104775</xdr:rowOff>
    </xdr:from>
    <xdr:to>
      <xdr:col>7</xdr:col>
      <xdr:colOff>0</xdr:colOff>
      <xdr:row>61</xdr:row>
      <xdr:rowOff>47625</xdr:rowOff>
    </xdr:to>
    <xdr:sp macro="" textlink="">
      <xdr:nvSpPr>
        <xdr:cNvPr id="151" name="Line 146"/>
        <xdr:cNvSpPr>
          <a:spLocks noChangeShapeType="1"/>
        </xdr:cNvSpPr>
      </xdr:nvSpPr>
      <xdr:spPr bwMode="auto">
        <a:xfrm>
          <a:off x="609600" y="168783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60</xdr:row>
      <xdr:rowOff>133350</xdr:rowOff>
    </xdr:from>
    <xdr:to>
      <xdr:col>8</xdr:col>
      <xdr:colOff>0</xdr:colOff>
      <xdr:row>60</xdr:row>
      <xdr:rowOff>133350</xdr:rowOff>
    </xdr:to>
    <xdr:sp macro="" textlink="">
      <xdr:nvSpPr>
        <xdr:cNvPr id="152" name="Line 148"/>
        <xdr:cNvSpPr>
          <a:spLocks noChangeShapeType="1"/>
        </xdr:cNvSpPr>
      </xdr:nvSpPr>
      <xdr:spPr bwMode="auto">
        <a:xfrm>
          <a:off x="609600" y="16906875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314325</xdr:colOff>
      <xdr:row>50</xdr:row>
      <xdr:rowOff>9526</xdr:rowOff>
    </xdr:from>
    <xdr:to>
      <xdr:col>5</xdr:col>
      <xdr:colOff>323850</xdr:colOff>
      <xdr:row>59</xdr:row>
      <xdr:rowOff>1</xdr:rowOff>
    </xdr:to>
    <xdr:cxnSp macro="">
      <xdr:nvCxnSpPr>
        <xdr:cNvPr id="158" name="Straight Connector 157"/>
        <xdr:cNvCxnSpPr/>
      </xdr:nvCxnSpPr>
      <xdr:spPr bwMode="auto">
        <a:xfrm rot="5400000">
          <a:off x="3328988" y="7234238"/>
          <a:ext cx="14859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323850</xdr:colOff>
      <xdr:row>50</xdr:row>
      <xdr:rowOff>19049</xdr:rowOff>
    </xdr:from>
    <xdr:to>
      <xdr:col>5</xdr:col>
      <xdr:colOff>600075</xdr:colOff>
      <xdr:row>59</xdr:row>
      <xdr:rowOff>19049</xdr:rowOff>
    </xdr:to>
    <xdr:cxnSp macro="">
      <xdr:nvCxnSpPr>
        <xdr:cNvPr id="160" name="Straight Connector 159"/>
        <xdr:cNvCxnSpPr/>
      </xdr:nvCxnSpPr>
      <xdr:spPr bwMode="auto">
        <a:xfrm rot="16200000" flipH="1">
          <a:off x="3467100" y="7115174"/>
          <a:ext cx="1495425" cy="2762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314326</xdr:colOff>
      <xdr:row>59</xdr:row>
      <xdr:rowOff>0</xdr:rowOff>
    </xdr:from>
    <xdr:to>
      <xdr:col>6</xdr:col>
      <xdr:colOff>19051</xdr:colOff>
      <xdr:row>59</xdr:row>
      <xdr:rowOff>1588</xdr:rowOff>
    </xdr:to>
    <xdr:cxnSp macro="">
      <xdr:nvCxnSpPr>
        <xdr:cNvPr id="162" name="Straight Connector 161"/>
        <xdr:cNvCxnSpPr/>
      </xdr:nvCxnSpPr>
      <xdr:spPr bwMode="auto">
        <a:xfrm rot="10800000">
          <a:off x="4067176" y="7981950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161131</xdr:colOff>
      <xdr:row>51</xdr:row>
      <xdr:rowOff>153194</xdr:rowOff>
    </xdr:from>
    <xdr:to>
      <xdr:col>7</xdr:col>
      <xdr:colOff>162719</xdr:colOff>
      <xdr:row>54</xdr:row>
      <xdr:rowOff>10319</xdr:rowOff>
    </xdr:to>
    <xdr:cxnSp macro="">
      <xdr:nvCxnSpPr>
        <xdr:cNvPr id="164" name="Straight Arrow Connector 163"/>
        <xdr:cNvCxnSpPr/>
      </xdr:nvCxnSpPr>
      <xdr:spPr bwMode="auto">
        <a:xfrm rot="5400000" flipH="1" flipV="1">
          <a:off x="4962525" y="7010400"/>
          <a:ext cx="3429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161925</xdr:colOff>
      <xdr:row>54</xdr:row>
      <xdr:rowOff>9525</xdr:rowOff>
    </xdr:from>
    <xdr:to>
      <xdr:col>7</xdr:col>
      <xdr:colOff>466725</xdr:colOff>
      <xdr:row>54</xdr:row>
      <xdr:rowOff>11113</xdr:rowOff>
    </xdr:to>
    <xdr:cxnSp macro="">
      <xdr:nvCxnSpPr>
        <xdr:cNvPr id="166" name="Straight Arrow Connector 165"/>
        <xdr:cNvCxnSpPr/>
      </xdr:nvCxnSpPr>
      <xdr:spPr bwMode="auto">
        <a:xfrm>
          <a:off x="5133975" y="7181850"/>
          <a:ext cx="3048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314325</xdr:colOff>
      <xdr:row>63</xdr:row>
      <xdr:rowOff>9526</xdr:rowOff>
    </xdr:from>
    <xdr:to>
      <xdr:col>6</xdr:col>
      <xdr:colOff>323850</xdr:colOff>
      <xdr:row>72</xdr:row>
      <xdr:rowOff>1</xdr:rowOff>
    </xdr:to>
    <xdr:cxnSp macro="">
      <xdr:nvCxnSpPr>
        <xdr:cNvPr id="44" name="Straight Connector 43"/>
        <xdr:cNvCxnSpPr/>
      </xdr:nvCxnSpPr>
      <xdr:spPr bwMode="auto">
        <a:xfrm rot="5400000">
          <a:off x="2738438" y="8758238"/>
          <a:ext cx="14478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323850</xdr:colOff>
      <xdr:row>66</xdr:row>
      <xdr:rowOff>152399</xdr:rowOff>
    </xdr:from>
    <xdr:to>
      <xdr:col>6</xdr:col>
      <xdr:colOff>600075</xdr:colOff>
      <xdr:row>72</xdr:row>
      <xdr:rowOff>19048</xdr:rowOff>
    </xdr:to>
    <xdr:cxnSp macro="">
      <xdr:nvCxnSpPr>
        <xdr:cNvPr id="45" name="Straight Connector 44"/>
        <xdr:cNvCxnSpPr/>
      </xdr:nvCxnSpPr>
      <xdr:spPr bwMode="auto">
        <a:xfrm rot="16200000" flipH="1">
          <a:off x="3186113" y="11053761"/>
          <a:ext cx="838199" cy="2762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314326</xdr:colOff>
      <xdr:row>72</xdr:row>
      <xdr:rowOff>0</xdr:rowOff>
    </xdr:from>
    <xdr:to>
      <xdr:col>7</xdr:col>
      <xdr:colOff>19051</xdr:colOff>
      <xdr:row>72</xdr:row>
      <xdr:rowOff>1588</xdr:rowOff>
    </xdr:to>
    <xdr:cxnSp macro="">
      <xdr:nvCxnSpPr>
        <xdr:cNvPr id="46" name="Straight Connector 45"/>
        <xdr:cNvCxnSpPr/>
      </xdr:nvCxnSpPr>
      <xdr:spPr bwMode="auto">
        <a:xfrm rot="10800000">
          <a:off x="3457576" y="9486900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314325</xdr:colOff>
      <xdr:row>75</xdr:row>
      <xdr:rowOff>9526</xdr:rowOff>
    </xdr:from>
    <xdr:to>
      <xdr:col>6</xdr:col>
      <xdr:colOff>323850</xdr:colOff>
      <xdr:row>84</xdr:row>
      <xdr:rowOff>1</xdr:rowOff>
    </xdr:to>
    <xdr:cxnSp macro="">
      <xdr:nvCxnSpPr>
        <xdr:cNvPr id="48" name="Straight Connector 47"/>
        <xdr:cNvCxnSpPr/>
      </xdr:nvCxnSpPr>
      <xdr:spPr bwMode="auto">
        <a:xfrm rot="5400000">
          <a:off x="3348038" y="11025188"/>
          <a:ext cx="14478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323850</xdr:colOff>
      <xdr:row>80</xdr:row>
      <xdr:rowOff>66674</xdr:rowOff>
    </xdr:from>
    <xdr:to>
      <xdr:col>6</xdr:col>
      <xdr:colOff>600075</xdr:colOff>
      <xdr:row>84</xdr:row>
      <xdr:rowOff>19047</xdr:rowOff>
    </xdr:to>
    <xdr:cxnSp macro="">
      <xdr:nvCxnSpPr>
        <xdr:cNvPr id="49" name="Straight Connector 48"/>
        <xdr:cNvCxnSpPr/>
      </xdr:nvCxnSpPr>
      <xdr:spPr bwMode="auto">
        <a:xfrm rot="16200000" flipH="1">
          <a:off x="3914776" y="13277848"/>
          <a:ext cx="600073" cy="2762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314326</xdr:colOff>
      <xdr:row>84</xdr:row>
      <xdr:rowOff>0</xdr:rowOff>
    </xdr:from>
    <xdr:to>
      <xdr:col>7</xdr:col>
      <xdr:colOff>19051</xdr:colOff>
      <xdr:row>84</xdr:row>
      <xdr:rowOff>1588</xdr:rowOff>
    </xdr:to>
    <xdr:cxnSp macro="">
      <xdr:nvCxnSpPr>
        <xdr:cNvPr id="50" name="Straight Connector 49"/>
        <xdr:cNvCxnSpPr/>
      </xdr:nvCxnSpPr>
      <xdr:spPr bwMode="auto">
        <a:xfrm rot="10800000">
          <a:off x="4067176" y="11753850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314325</xdr:colOff>
      <xdr:row>87</xdr:row>
      <xdr:rowOff>9526</xdr:rowOff>
    </xdr:from>
    <xdr:to>
      <xdr:col>6</xdr:col>
      <xdr:colOff>323850</xdr:colOff>
      <xdr:row>97</xdr:row>
      <xdr:rowOff>1</xdr:rowOff>
    </xdr:to>
    <xdr:cxnSp macro="">
      <xdr:nvCxnSpPr>
        <xdr:cNvPr id="52" name="Straight Connector 51"/>
        <xdr:cNvCxnSpPr/>
      </xdr:nvCxnSpPr>
      <xdr:spPr bwMode="auto">
        <a:xfrm rot="5400000">
          <a:off x="3348038" y="12968288"/>
          <a:ext cx="14478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314327</xdr:colOff>
      <xdr:row>94</xdr:row>
      <xdr:rowOff>47628</xdr:rowOff>
    </xdr:from>
    <xdr:to>
      <xdr:col>6</xdr:col>
      <xdr:colOff>600074</xdr:colOff>
      <xdr:row>97</xdr:row>
      <xdr:rowOff>19047</xdr:rowOff>
    </xdr:to>
    <xdr:cxnSp macro="">
      <xdr:nvCxnSpPr>
        <xdr:cNvPr id="53" name="Straight Connector 52"/>
        <xdr:cNvCxnSpPr/>
      </xdr:nvCxnSpPr>
      <xdr:spPr bwMode="auto">
        <a:xfrm rot="16200000" flipH="1">
          <a:off x="3981454" y="15449551"/>
          <a:ext cx="457194" cy="28574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314326</xdr:colOff>
      <xdr:row>97</xdr:row>
      <xdr:rowOff>0</xdr:rowOff>
    </xdr:from>
    <xdr:to>
      <xdr:col>7</xdr:col>
      <xdr:colOff>19051</xdr:colOff>
      <xdr:row>97</xdr:row>
      <xdr:rowOff>1588</xdr:rowOff>
    </xdr:to>
    <xdr:cxnSp macro="">
      <xdr:nvCxnSpPr>
        <xdr:cNvPr id="54" name="Straight Connector 53"/>
        <xdr:cNvCxnSpPr/>
      </xdr:nvCxnSpPr>
      <xdr:spPr bwMode="auto">
        <a:xfrm rot="10800000">
          <a:off x="4067176" y="13696950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48</xdr:row>
      <xdr:rowOff>9525</xdr:rowOff>
    </xdr:from>
    <xdr:to>
      <xdr:col>3</xdr:col>
      <xdr:colOff>0</xdr:colOff>
      <xdr:row>54</xdr:row>
      <xdr:rowOff>0</xdr:rowOff>
    </xdr:to>
    <xdr:sp macro="" textlink="">
      <xdr:nvSpPr>
        <xdr:cNvPr id="408584" name="Line 4"/>
        <xdr:cNvSpPr>
          <a:spLocks noChangeShapeType="1"/>
        </xdr:cNvSpPr>
      </xdr:nvSpPr>
      <xdr:spPr bwMode="auto">
        <a:xfrm>
          <a:off x="1924050" y="2962275"/>
          <a:ext cx="0" cy="962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53</xdr:row>
      <xdr:rowOff>152400</xdr:rowOff>
    </xdr:from>
    <xdr:to>
      <xdr:col>6</xdr:col>
      <xdr:colOff>9525</xdr:colOff>
      <xdr:row>53</xdr:row>
      <xdr:rowOff>152400</xdr:rowOff>
    </xdr:to>
    <xdr:sp macro="" textlink="">
      <xdr:nvSpPr>
        <xdr:cNvPr id="408585" name="Line 5"/>
        <xdr:cNvSpPr>
          <a:spLocks noChangeShapeType="1"/>
        </xdr:cNvSpPr>
      </xdr:nvSpPr>
      <xdr:spPr bwMode="auto">
        <a:xfrm>
          <a:off x="1924050" y="3914775"/>
          <a:ext cx="18383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48</xdr:row>
      <xdr:rowOff>9525</xdr:rowOff>
    </xdr:from>
    <xdr:to>
      <xdr:col>6</xdr:col>
      <xdr:colOff>0</xdr:colOff>
      <xdr:row>53</xdr:row>
      <xdr:rowOff>152400</xdr:rowOff>
    </xdr:to>
    <xdr:sp macro="" textlink="">
      <xdr:nvSpPr>
        <xdr:cNvPr id="408586" name="Line 7"/>
        <xdr:cNvSpPr>
          <a:spLocks noChangeShapeType="1"/>
        </xdr:cNvSpPr>
      </xdr:nvSpPr>
      <xdr:spPr bwMode="auto">
        <a:xfrm flipV="1">
          <a:off x="3752850" y="2962275"/>
          <a:ext cx="0" cy="952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114300</xdr:colOff>
      <xdr:row>48</xdr:row>
      <xdr:rowOff>0</xdr:rowOff>
    </xdr:from>
    <xdr:to>
      <xdr:col>3</xdr:col>
      <xdr:colOff>114300</xdr:colOff>
      <xdr:row>53</xdr:row>
      <xdr:rowOff>0</xdr:rowOff>
    </xdr:to>
    <xdr:sp macro="" textlink="">
      <xdr:nvSpPr>
        <xdr:cNvPr id="408587" name="Line 9"/>
        <xdr:cNvSpPr>
          <a:spLocks noChangeShapeType="1"/>
        </xdr:cNvSpPr>
      </xdr:nvSpPr>
      <xdr:spPr bwMode="auto">
        <a:xfrm>
          <a:off x="2038350" y="2952750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48</xdr:row>
      <xdr:rowOff>0</xdr:rowOff>
    </xdr:from>
    <xdr:to>
      <xdr:col>5</xdr:col>
      <xdr:colOff>495300</xdr:colOff>
      <xdr:row>53</xdr:row>
      <xdr:rowOff>0</xdr:rowOff>
    </xdr:to>
    <xdr:sp macro="" textlink="">
      <xdr:nvSpPr>
        <xdr:cNvPr id="408588" name="Line 11"/>
        <xdr:cNvSpPr>
          <a:spLocks noChangeShapeType="1"/>
        </xdr:cNvSpPr>
      </xdr:nvSpPr>
      <xdr:spPr bwMode="auto">
        <a:xfrm>
          <a:off x="3638550" y="2952750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53</xdr:row>
      <xdr:rowOff>0</xdr:rowOff>
    </xdr:from>
    <xdr:to>
      <xdr:col>5</xdr:col>
      <xdr:colOff>495300</xdr:colOff>
      <xdr:row>53</xdr:row>
      <xdr:rowOff>0</xdr:rowOff>
    </xdr:to>
    <xdr:sp macro="" textlink="">
      <xdr:nvSpPr>
        <xdr:cNvPr id="408589" name="Line 12"/>
        <xdr:cNvSpPr>
          <a:spLocks noChangeShapeType="1"/>
        </xdr:cNvSpPr>
      </xdr:nvSpPr>
      <xdr:spPr bwMode="auto">
        <a:xfrm flipH="1">
          <a:off x="2028825" y="3762375"/>
          <a:ext cx="1609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47</xdr:row>
      <xdr:rowOff>152400</xdr:rowOff>
    </xdr:from>
    <xdr:to>
      <xdr:col>7</xdr:col>
      <xdr:colOff>0</xdr:colOff>
      <xdr:row>47</xdr:row>
      <xdr:rowOff>152400</xdr:rowOff>
    </xdr:to>
    <xdr:sp macro="" textlink="">
      <xdr:nvSpPr>
        <xdr:cNvPr id="408590" name="Line 13"/>
        <xdr:cNvSpPr>
          <a:spLocks noChangeShapeType="1"/>
        </xdr:cNvSpPr>
      </xdr:nvSpPr>
      <xdr:spPr bwMode="auto">
        <a:xfrm>
          <a:off x="1219200" y="2943225"/>
          <a:ext cx="3143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47</xdr:row>
      <xdr:rowOff>152400</xdr:rowOff>
    </xdr:from>
    <xdr:to>
      <xdr:col>2</xdr:col>
      <xdr:colOff>0</xdr:colOff>
      <xdr:row>57</xdr:row>
      <xdr:rowOff>0</xdr:rowOff>
    </xdr:to>
    <xdr:sp macro="" textlink="">
      <xdr:nvSpPr>
        <xdr:cNvPr id="408591" name="Line 14"/>
        <xdr:cNvSpPr>
          <a:spLocks noChangeShapeType="1"/>
        </xdr:cNvSpPr>
      </xdr:nvSpPr>
      <xdr:spPr bwMode="auto">
        <a:xfrm>
          <a:off x="1219200" y="2943225"/>
          <a:ext cx="0" cy="1466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47</xdr:row>
      <xdr:rowOff>152400</xdr:rowOff>
    </xdr:from>
    <xdr:to>
      <xdr:col>6</xdr:col>
      <xdr:colOff>600075</xdr:colOff>
      <xdr:row>57</xdr:row>
      <xdr:rowOff>9525</xdr:rowOff>
    </xdr:to>
    <xdr:sp macro="" textlink="">
      <xdr:nvSpPr>
        <xdr:cNvPr id="408592" name="Line 15"/>
        <xdr:cNvSpPr>
          <a:spLocks noChangeShapeType="1"/>
        </xdr:cNvSpPr>
      </xdr:nvSpPr>
      <xdr:spPr bwMode="auto">
        <a:xfrm>
          <a:off x="4352925" y="2943225"/>
          <a:ext cx="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46</xdr:row>
      <xdr:rowOff>0</xdr:rowOff>
    </xdr:from>
    <xdr:to>
      <xdr:col>4</xdr:col>
      <xdr:colOff>600075</xdr:colOff>
      <xdr:row>46</xdr:row>
      <xdr:rowOff>0</xdr:rowOff>
    </xdr:to>
    <xdr:sp macro="" textlink="">
      <xdr:nvSpPr>
        <xdr:cNvPr id="408594" name="Line 17"/>
        <xdr:cNvSpPr>
          <a:spLocks noChangeShapeType="1"/>
        </xdr:cNvSpPr>
      </xdr:nvSpPr>
      <xdr:spPr bwMode="auto">
        <a:xfrm>
          <a:off x="2543175" y="2628900"/>
          <a:ext cx="590550" cy="0"/>
        </a:xfrm>
        <a:prstGeom prst="line">
          <a:avLst/>
        </a:prstGeom>
        <a:noFill/>
        <a:ln w="9525">
          <a:solidFill>
            <a:srgbClr val="FFFF00"/>
          </a:solidFill>
          <a:round/>
          <a:headEnd/>
          <a:tailEnd/>
        </a:ln>
      </xdr:spPr>
    </xdr:sp>
    <xdr:clientData/>
  </xdr:twoCellAnchor>
  <xdr:twoCellAnchor>
    <xdr:from>
      <xdr:col>3</xdr:col>
      <xdr:colOff>123825</xdr:colOff>
      <xdr:row>46</xdr:row>
      <xdr:rowOff>9525</xdr:rowOff>
    </xdr:from>
    <xdr:to>
      <xdr:col>3</xdr:col>
      <xdr:colOff>600075</xdr:colOff>
      <xdr:row>48</xdr:row>
      <xdr:rowOff>9525</xdr:rowOff>
    </xdr:to>
    <xdr:sp macro="" textlink="">
      <xdr:nvSpPr>
        <xdr:cNvPr id="408595" name="Line 18"/>
        <xdr:cNvSpPr>
          <a:spLocks noChangeShapeType="1"/>
        </xdr:cNvSpPr>
      </xdr:nvSpPr>
      <xdr:spPr bwMode="auto">
        <a:xfrm flipH="1">
          <a:off x="2047875" y="2638425"/>
          <a:ext cx="476250" cy="323850"/>
        </a:xfrm>
        <a:prstGeom prst="line">
          <a:avLst/>
        </a:prstGeom>
        <a:noFill/>
        <a:ln w="9525">
          <a:solidFill>
            <a:srgbClr val="FFFF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46</xdr:row>
      <xdr:rowOff>9525</xdr:rowOff>
    </xdr:from>
    <xdr:to>
      <xdr:col>5</xdr:col>
      <xdr:colOff>485775</xdr:colOff>
      <xdr:row>47</xdr:row>
      <xdr:rowOff>152400</xdr:rowOff>
    </xdr:to>
    <xdr:sp macro="" textlink="">
      <xdr:nvSpPr>
        <xdr:cNvPr id="408596" name="Line 19"/>
        <xdr:cNvSpPr>
          <a:spLocks noChangeShapeType="1"/>
        </xdr:cNvSpPr>
      </xdr:nvSpPr>
      <xdr:spPr bwMode="auto">
        <a:xfrm>
          <a:off x="3143250" y="2638425"/>
          <a:ext cx="485775" cy="304800"/>
        </a:xfrm>
        <a:prstGeom prst="line">
          <a:avLst/>
        </a:prstGeom>
        <a:noFill/>
        <a:ln w="9525">
          <a:solidFill>
            <a:srgbClr val="FFFF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57</xdr:row>
      <xdr:rowOff>0</xdr:rowOff>
    </xdr:from>
    <xdr:to>
      <xdr:col>2</xdr:col>
      <xdr:colOff>0</xdr:colOff>
      <xdr:row>58</xdr:row>
      <xdr:rowOff>152400</xdr:rowOff>
    </xdr:to>
    <xdr:sp macro="" textlink="">
      <xdr:nvSpPr>
        <xdr:cNvPr id="408598" name="Line 21"/>
        <xdr:cNvSpPr>
          <a:spLocks noChangeShapeType="1"/>
        </xdr:cNvSpPr>
      </xdr:nvSpPr>
      <xdr:spPr bwMode="auto">
        <a:xfrm flipV="1">
          <a:off x="1219200" y="4410075"/>
          <a:ext cx="0" cy="314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57</xdr:row>
      <xdr:rowOff>19050</xdr:rowOff>
    </xdr:from>
    <xdr:to>
      <xdr:col>6</xdr:col>
      <xdr:colOff>600075</xdr:colOff>
      <xdr:row>59</xdr:row>
      <xdr:rowOff>9525</xdr:rowOff>
    </xdr:to>
    <xdr:sp macro="" textlink="">
      <xdr:nvSpPr>
        <xdr:cNvPr id="408599" name="Line 23"/>
        <xdr:cNvSpPr>
          <a:spLocks noChangeShapeType="1"/>
        </xdr:cNvSpPr>
      </xdr:nvSpPr>
      <xdr:spPr bwMode="auto">
        <a:xfrm>
          <a:off x="4352925" y="17630775"/>
          <a:ext cx="0" cy="314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28575</xdr:colOff>
      <xdr:row>50</xdr:row>
      <xdr:rowOff>0</xdr:rowOff>
    </xdr:from>
    <xdr:to>
      <xdr:col>8</xdr:col>
      <xdr:colOff>390525</xdr:colOff>
      <xdr:row>50</xdr:row>
      <xdr:rowOff>0</xdr:rowOff>
    </xdr:to>
    <xdr:sp macro="" textlink="">
      <xdr:nvSpPr>
        <xdr:cNvPr id="408600" name="Line 24"/>
        <xdr:cNvSpPr>
          <a:spLocks noChangeShapeType="1"/>
        </xdr:cNvSpPr>
      </xdr:nvSpPr>
      <xdr:spPr bwMode="auto">
        <a:xfrm>
          <a:off x="4391025" y="3276600"/>
          <a:ext cx="971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52</xdr:row>
      <xdr:rowOff>76200</xdr:rowOff>
    </xdr:from>
    <xdr:to>
      <xdr:col>1</xdr:col>
      <xdr:colOff>581025</xdr:colOff>
      <xdr:row>52</xdr:row>
      <xdr:rowOff>76200</xdr:rowOff>
    </xdr:to>
    <xdr:sp macro="" textlink="">
      <xdr:nvSpPr>
        <xdr:cNvPr id="408601" name="Line 27"/>
        <xdr:cNvSpPr>
          <a:spLocks noChangeShapeType="1"/>
        </xdr:cNvSpPr>
      </xdr:nvSpPr>
      <xdr:spPr bwMode="auto">
        <a:xfrm>
          <a:off x="828675" y="3676650"/>
          <a:ext cx="36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171450</xdr:colOff>
      <xdr:row>49</xdr:row>
      <xdr:rowOff>76200</xdr:rowOff>
    </xdr:from>
    <xdr:to>
      <xdr:col>7</xdr:col>
      <xdr:colOff>257175</xdr:colOff>
      <xdr:row>49</xdr:row>
      <xdr:rowOff>152400</xdr:rowOff>
    </xdr:to>
    <xdr:sp macro="" textlink="">
      <xdr:nvSpPr>
        <xdr:cNvPr id="408602" name="AutoShape 28"/>
        <xdr:cNvSpPr>
          <a:spLocks noChangeArrowheads="1"/>
        </xdr:cNvSpPr>
      </xdr:nvSpPr>
      <xdr:spPr bwMode="auto">
        <a:xfrm>
          <a:off x="4533900" y="16059150"/>
          <a:ext cx="85725" cy="762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504825</xdr:colOff>
      <xdr:row>52</xdr:row>
      <xdr:rowOff>0</xdr:rowOff>
    </xdr:from>
    <xdr:to>
      <xdr:col>1</xdr:col>
      <xdr:colOff>581025</xdr:colOff>
      <xdr:row>52</xdr:row>
      <xdr:rowOff>76200</xdr:rowOff>
    </xdr:to>
    <xdr:sp macro="" textlink="">
      <xdr:nvSpPr>
        <xdr:cNvPr id="408603" name="AutoShape 29"/>
        <xdr:cNvSpPr>
          <a:spLocks noChangeArrowheads="1"/>
        </xdr:cNvSpPr>
      </xdr:nvSpPr>
      <xdr:spPr bwMode="auto">
        <a:xfrm>
          <a:off x="1114425" y="3600450"/>
          <a:ext cx="76200" cy="762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133350</xdr:colOff>
      <xdr:row>50</xdr:row>
      <xdr:rowOff>19050</xdr:rowOff>
    </xdr:from>
    <xdr:to>
      <xdr:col>7</xdr:col>
      <xdr:colOff>228600</xdr:colOff>
      <xdr:row>50</xdr:row>
      <xdr:rowOff>19050</xdr:rowOff>
    </xdr:to>
    <xdr:sp macro="" textlink="">
      <xdr:nvSpPr>
        <xdr:cNvPr id="408604" name="Line 30"/>
        <xdr:cNvSpPr>
          <a:spLocks noChangeShapeType="1"/>
        </xdr:cNvSpPr>
      </xdr:nvSpPr>
      <xdr:spPr bwMode="auto">
        <a:xfrm>
          <a:off x="4495800" y="32956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152400</xdr:colOff>
      <xdr:row>50</xdr:row>
      <xdr:rowOff>38100</xdr:rowOff>
    </xdr:from>
    <xdr:to>
      <xdr:col>7</xdr:col>
      <xdr:colOff>209550</xdr:colOff>
      <xdr:row>50</xdr:row>
      <xdr:rowOff>38100</xdr:rowOff>
    </xdr:to>
    <xdr:sp macro="" textlink="">
      <xdr:nvSpPr>
        <xdr:cNvPr id="408605" name="Line 32"/>
        <xdr:cNvSpPr>
          <a:spLocks noChangeShapeType="1"/>
        </xdr:cNvSpPr>
      </xdr:nvSpPr>
      <xdr:spPr bwMode="auto">
        <a:xfrm>
          <a:off x="4514850" y="3314700"/>
          <a:ext cx="57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495300</xdr:colOff>
      <xdr:row>52</xdr:row>
      <xdr:rowOff>95250</xdr:rowOff>
    </xdr:from>
    <xdr:to>
      <xdr:col>1</xdr:col>
      <xdr:colOff>571500</xdr:colOff>
      <xdr:row>52</xdr:row>
      <xdr:rowOff>95250</xdr:rowOff>
    </xdr:to>
    <xdr:sp macro="" textlink="">
      <xdr:nvSpPr>
        <xdr:cNvPr id="408606" name="Line 33"/>
        <xdr:cNvSpPr>
          <a:spLocks noChangeShapeType="1"/>
        </xdr:cNvSpPr>
      </xdr:nvSpPr>
      <xdr:spPr bwMode="auto">
        <a:xfrm>
          <a:off x="1104900" y="3695700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523875</xdr:colOff>
      <xdr:row>52</xdr:row>
      <xdr:rowOff>123825</xdr:rowOff>
    </xdr:from>
    <xdr:to>
      <xdr:col>1</xdr:col>
      <xdr:colOff>561975</xdr:colOff>
      <xdr:row>52</xdr:row>
      <xdr:rowOff>123825</xdr:rowOff>
    </xdr:to>
    <xdr:sp macro="" textlink="">
      <xdr:nvSpPr>
        <xdr:cNvPr id="408607" name="Line 35"/>
        <xdr:cNvSpPr>
          <a:spLocks noChangeShapeType="1"/>
        </xdr:cNvSpPr>
      </xdr:nvSpPr>
      <xdr:spPr bwMode="auto">
        <a:xfrm flipH="1">
          <a:off x="1133475" y="3724275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49</xdr:row>
      <xdr:rowOff>104775</xdr:rowOff>
    </xdr:from>
    <xdr:to>
      <xdr:col>7</xdr:col>
      <xdr:colOff>352425</xdr:colOff>
      <xdr:row>57</xdr:row>
      <xdr:rowOff>66675</xdr:rowOff>
    </xdr:to>
    <xdr:sp macro="" textlink="">
      <xdr:nvSpPr>
        <xdr:cNvPr id="408608" name="Line 36"/>
        <xdr:cNvSpPr>
          <a:spLocks noChangeShapeType="1"/>
        </xdr:cNvSpPr>
      </xdr:nvSpPr>
      <xdr:spPr bwMode="auto">
        <a:xfrm>
          <a:off x="4352925" y="16421100"/>
          <a:ext cx="361950" cy="1257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56</xdr:row>
      <xdr:rowOff>0</xdr:rowOff>
    </xdr:from>
    <xdr:to>
      <xdr:col>7</xdr:col>
      <xdr:colOff>276225</xdr:colOff>
      <xdr:row>56</xdr:row>
      <xdr:rowOff>0</xdr:rowOff>
    </xdr:to>
    <xdr:sp macro="" textlink="">
      <xdr:nvSpPr>
        <xdr:cNvPr id="408609" name="Line 38"/>
        <xdr:cNvSpPr>
          <a:spLocks noChangeShapeType="1"/>
        </xdr:cNvSpPr>
      </xdr:nvSpPr>
      <xdr:spPr bwMode="auto">
        <a:xfrm flipH="1">
          <a:off x="4352925" y="424815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7</xdr:col>
      <xdr:colOff>228600</xdr:colOff>
      <xdr:row>55</xdr:row>
      <xdr:rowOff>0</xdr:rowOff>
    </xdr:to>
    <xdr:sp macro="" textlink="">
      <xdr:nvSpPr>
        <xdr:cNvPr id="408610" name="Line 39"/>
        <xdr:cNvSpPr>
          <a:spLocks noChangeShapeType="1"/>
        </xdr:cNvSpPr>
      </xdr:nvSpPr>
      <xdr:spPr bwMode="auto">
        <a:xfrm flipH="1">
          <a:off x="4362450" y="40862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600075</xdr:colOff>
      <xdr:row>54</xdr:row>
      <xdr:rowOff>0</xdr:rowOff>
    </xdr:from>
    <xdr:to>
      <xdr:col>7</xdr:col>
      <xdr:colOff>190500</xdr:colOff>
      <xdr:row>54</xdr:row>
      <xdr:rowOff>0</xdr:rowOff>
    </xdr:to>
    <xdr:sp macro="" textlink="">
      <xdr:nvSpPr>
        <xdr:cNvPr id="408611" name="Line 40"/>
        <xdr:cNvSpPr>
          <a:spLocks noChangeShapeType="1"/>
        </xdr:cNvSpPr>
      </xdr:nvSpPr>
      <xdr:spPr bwMode="auto">
        <a:xfrm flipH="1">
          <a:off x="4352925" y="3924300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0</xdr:colOff>
      <xdr:row>53</xdr:row>
      <xdr:rowOff>0</xdr:rowOff>
    </xdr:from>
    <xdr:to>
      <xdr:col>7</xdr:col>
      <xdr:colOff>133350</xdr:colOff>
      <xdr:row>53</xdr:row>
      <xdr:rowOff>0</xdr:rowOff>
    </xdr:to>
    <xdr:sp macro="" textlink="">
      <xdr:nvSpPr>
        <xdr:cNvPr id="408612" name="Line 41"/>
        <xdr:cNvSpPr>
          <a:spLocks noChangeShapeType="1"/>
        </xdr:cNvSpPr>
      </xdr:nvSpPr>
      <xdr:spPr bwMode="auto">
        <a:xfrm flipH="1">
          <a:off x="4362450" y="37623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590550</xdr:colOff>
      <xdr:row>52</xdr:row>
      <xdr:rowOff>0</xdr:rowOff>
    </xdr:from>
    <xdr:to>
      <xdr:col>7</xdr:col>
      <xdr:colOff>85725</xdr:colOff>
      <xdr:row>52</xdr:row>
      <xdr:rowOff>9525</xdr:rowOff>
    </xdr:to>
    <xdr:sp macro="" textlink="">
      <xdr:nvSpPr>
        <xdr:cNvPr id="408613" name="Line 42"/>
        <xdr:cNvSpPr>
          <a:spLocks noChangeShapeType="1"/>
        </xdr:cNvSpPr>
      </xdr:nvSpPr>
      <xdr:spPr bwMode="auto">
        <a:xfrm flipH="1">
          <a:off x="4343400" y="3600450"/>
          <a:ext cx="1047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600075</xdr:colOff>
      <xdr:row>51</xdr:row>
      <xdr:rowOff>0</xdr:rowOff>
    </xdr:from>
    <xdr:to>
      <xdr:col>7</xdr:col>
      <xdr:colOff>47625</xdr:colOff>
      <xdr:row>51</xdr:row>
      <xdr:rowOff>0</xdr:rowOff>
    </xdr:to>
    <xdr:sp macro="" textlink="">
      <xdr:nvSpPr>
        <xdr:cNvPr id="408614" name="Line 43"/>
        <xdr:cNvSpPr>
          <a:spLocks noChangeShapeType="1"/>
        </xdr:cNvSpPr>
      </xdr:nvSpPr>
      <xdr:spPr bwMode="auto">
        <a:xfrm flipH="1">
          <a:off x="4352925" y="3438525"/>
          <a:ext cx="5715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600075</xdr:colOff>
      <xdr:row>57</xdr:row>
      <xdr:rowOff>66675</xdr:rowOff>
    </xdr:from>
    <xdr:to>
      <xdr:col>7</xdr:col>
      <xdr:colOff>323850</xdr:colOff>
      <xdr:row>57</xdr:row>
      <xdr:rowOff>66675</xdr:rowOff>
    </xdr:to>
    <xdr:sp macro="" textlink="">
      <xdr:nvSpPr>
        <xdr:cNvPr id="408615" name="Line 45"/>
        <xdr:cNvSpPr>
          <a:spLocks noChangeShapeType="1"/>
        </xdr:cNvSpPr>
      </xdr:nvSpPr>
      <xdr:spPr bwMode="auto">
        <a:xfrm flipH="1">
          <a:off x="4352925" y="1767840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428625</xdr:colOff>
      <xdr:row>52</xdr:row>
      <xdr:rowOff>76200</xdr:rowOff>
    </xdr:from>
    <xdr:to>
      <xdr:col>1</xdr:col>
      <xdr:colOff>600075</xdr:colOff>
      <xdr:row>57</xdr:row>
      <xdr:rowOff>0</xdr:rowOff>
    </xdr:to>
    <xdr:sp macro="" textlink="">
      <xdr:nvSpPr>
        <xdr:cNvPr id="408616" name="Line 46"/>
        <xdr:cNvSpPr>
          <a:spLocks noChangeShapeType="1"/>
        </xdr:cNvSpPr>
      </xdr:nvSpPr>
      <xdr:spPr bwMode="auto">
        <a:xfrm flipH="1">
          <a:off x="1038225" y="3676650"/>
          <a:ext cx="171450" cy="733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438150</xdr:colOff>
      <xdr:row>57</xdr:row>
      <xdr:rowOff>0</xdr:rowOff>
    </xdr:from>
    <xdr:to>
      <xdr:col>2</xdr:col>
      <xdr:colOff>0</xdr:colOff>
      <xdr:row>57</xdr:row>
      <xdr:rowOff>0</xdr:rowOff>
    </xdr:to>
    <xdr:sp macro="" textlink="">
      <xdr:nvSpPr>
        <xdr:cNvPr id="408617" name="Line 47"/>
        <xdr:cNvSpPr>
          <a:spLocks noChangeShapeType="1"/>
        </xdr:cNvSpPr>
      </xdr:nvSpPr>
      <xdr:spPr bwMode="auto">
        <a:xfrm>
          <a:off x="1047750" y="44100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476250</xdr:colOff>
      <xdr:row>56</xdr:row>
      <xdr:rowOff>0</xdr:rowOff>
    </xdr:from>
    <xdr:to>
      <xdr:col>1</xdr:col>
      <xdr:colOff>600075</xdr:colOff>
      <xdr:row>56</xdr:row>
      <xdr:rowOff>0</xdr:rowOff>
    </xdr:to>
    <xdr:sp macro="" textlink="">
      <xdr:nvSpPr>
        <xdr:cNvPr id="408618" name="Line 48"/>
        <xdr:cNvSpPr>
          <a:spLocks noChangeShapeType="1"/>
        </xdr:cNvSpPr>
      </xdr:nvSpPr>
      <xdr:spPr bwMode="auto">
        <a:xfrm>
          <a:off x="1085850" y="4248150"/>
          <a:ext cx="1238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504825</xdr:colOff>
      <xdr:row>54</xdr:row>
      <xdr:rowOff>152400</xdr:rowOff>
    </xdr:from>
    <xdr:to>
      <xdr:col>1</xdr:col>
      <xdr:colOff>600075</xdr:colOff>
      <xdr:row>54</xdr:row>
      <xdr:rowOff>152400</xdr:rowOff>
    </xdr:to>
    <xdr:sp macro="" textlink="">
      <xdr:nvSpPr>
        <xdr:cNvPr id="408619" name="Line 49"/>
        <xdr:cNvSpPr>
          <a:spLocks noChangeShapeType="1"/>
        </xdr:cNvSpPr>
      </xdr:nvSpPr>
      <xdr:spPr bwMode="auto">
        <a:xfrm>
          <a:off x="1114425" y="4076700"/>
          <a:ext cx="952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542925</xdr:colOff>
      <xdr:row>54</xdr:row>
      <xdr:rowOff>0</xdr:rowOff>
    </xdr:from>
    <xdr:to>
      <xdr:col>2</xdr:col>
      <xdr:colOff>0</xdr:colOff>
      <xdr:row>54</xdr:row>
      <xdr:rowOff>0</xdr:rowOff>
    </xdr:to>
    <xdr:sp macro="" textlink="">
      <xdr:nvSpPr>
        <xdr:cNvPr id="408620" name="Line 50"/>
        <xdr:cNvSpPr>
          <a:spLocks noChangeShapeType="1"/>
        </xdr:cNvSpPr>
      </xdr:nvSpPr>
      <xdr:spPr bwMode="auto">
        <a:xfrm>
          <a:off x="1152525" y="3924300"/>
          <a:ext cx="6667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600075</xdr:colOff>
      <xdr:row>51</xdr:row>
      <xdr:rowOff>66675</xdr:rowOff>
    </xdr:from>
    <xdr:to>
      <xdr:col>6</xdr:col>
      <xdr:colOff>581025</xdr:colOff>
      <xdr:row>52</xdr:row>
      <xdr:rowOff>28575</xdr:rowOff>
    </xdr:to>
    <xdr:sp macro="" textlink="">
      <xdr:nvSpPr>
        <xdr:cNvPr id="408621" name="Line 51"/>
        <xdr:cNvSpPr>
          <a:spLocks noChangeShapeType="1"/>
        </xdr:cNvSpPr>
      </xdr:nvSpPr>
      <xdr:spPr bwMode="auto">
        <a:xfrm flipV="1">
          <a:off x="1209675" y="17697450"/>
          <a:ext cx="3124200" cy="123825"/>
        </a:xfrm>
        <a:prstGeom prst="line">
          <a:avLst/>
        </a:prstGeom>
        <a:noFill/>
        <a:ln w="6350">
          <a:solidFill>
            <a:srgbClr val="FF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0</xdr:colOff>
      <xdr:row>54</xdr:row>
      <xdr:rowOff>0</xdr:rowOff>
    </xdr:from>
    <xdr:to>
      <xdr:col>4</xdr:col>
      <xdr:colOff>0</xdr:colOff>
      <xdr:row>57</xdr:row>
      <xdr:rowOff>0</xdr:rowOff>
    </xdr:to>
    <xdr:sp macro="" textlink="">
      <xdr:nvSpPr>
        <xdr:cNvPr id="408622" name="Line 52"/>
        <xdr:cNvSpPr>
          <a:spLocks noChangeShapeType="1"/>
        </xdr:cNvSpPr>
      </xdr:nvSpPr>
      <xdr:spPr bwMode="auto">
        <a:xfrm>
          <a:off x="2533650" y="3924300"/>
          <a:ext cx="0" cy="48577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19050</xdr:colOff>
      <xdr:row>56</xdr:row>
      <xdr:rowOff>152400</xdr:rowOff>
    </xdr:from>
    <xdr:to>
      <xdr:col>4</xdr:col>
      <xdr:colOff>19050</xdr:colOff>
      <xdr:row>58</xdr:row>
      <xdr:rowOff>47625</xdr:rowOff>
    </xdr:to>
    <xdr:sp macro="" textlink="">
      <xdr:nvSpPr>
        <xdr:cNvPr id="408624" name="Line 54"/>
        <xdr:cNvSpPr>
          <a:spLocks noChangeShapeType="1"/>
        </xdr:cNvSpPr>
      </xdr:nvSpPr>
      <xdr:spPr bwMode="auto">
        <a:xfrm>
          <a:off x="2552700" y="4400550"/>
          <a:ext cx="0" cy="21907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 editAs="oneCell">
    <xdr:from>
      <xdr:col>4</xdr:col>
      <xdr:colOff>66675</xdr:colOff>
      <xdr:row>57</xdr:row>
      <xdr:rowOff>0</xdr:rowOff>
    </xdr:from>
    <xdr:to>
      <xdr:col>4</xdr:col>
      <xdr:colOff>142875</xdr:colOff>
      <xdr:row>58</xdr:row>
      <xdr:rowOff>38100</xdr:rowOff>
    </xdr:to>
    <xdr:sp macro="" textlink="">
      <xdr:nvSpPr>
        <xdr:cNvPr id="408625" name="Text Box 55"/>
        <xdr:cNvSpPr txBox="1">
          <a:spLocks noChangeArrowheads="1"/>
        </xdr:cNvSpPr>
      </xdr:nvSpPr>
      <xdr:spPr bwMode="auto">
        <a:xfrm>
          <a:off x="2600325" y="44100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53</xdr:row>
      <xdr:rowOff>0</xdr:rowOff>
    </xdr:from>
    <xdr:to>
      <xdr:col>4</xdr:col>
      <xdr:colOff>0</xdr:colOff>
      <xdr:row>53</xdr:row>
      <xdr:rowOff>152400</xdr:rowOff>
    </xdr:to>
    <xdr:sp macro="" textlink="">
      <xdr:nvSpPr>
        <xdr:cNvPr id="408626" name="Line 56"/>
        <xdr:cNvSpPr>
          <a:spLocks noChangeShapeType="1"/>
        </xdr:cNvSpPr>
      </xdr:nvSpPr>
      <xdr:spPr bwMode="auto">
        <a:xfrm>
          <a:off x="2533650" y="3762375"/>
          <a:ext cx="0" cy="152400"/>
        </a:xfrm>
        <a:prstGeom prst="line">
          <a:avLst/>
        </a:prstGeom>
        <a:noFill/>
        <a:ln w="6350">
          <a:solidFill>
            <a:sysClr val="windowText" lastClr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7</xdr:col>
      <xdr:colOff>466725</xdr:colOff>
      <xdr:row>57</xdr:row>
      <xdr:rowOff>85725</xdr:rowOff>
    </xdr:from>
    <xdr:to>
      <xdr:col>7</xdr:col>
      <xdr:colOff>590550</xdr:colOff>
      <xdr:row>57</xdr:row>
      <xdr:rowOff>85725</xdr:rowOff>
    </xdr:to>
    <xdr:sp macro="" textlink="">
      <xdr:nvSpPr>
        <xdr:cNvPr id="408628" name="Line 60"/>
        <xdr:cNvSpPr>
          <a:spLocks noChangeShapeType="1"/>
        </xdr:cNvSpPr>
      </xdr:nvSpPr>
      <xdr:spPr bwMode="auto">
        <a:xfrm>
          <a:off x="4829175" y="1769745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8</xdr:col>
      <xdr:colOff>352425</xdr:colOff>
      <xdr:row>53</xdr:row>
      <xdr:rowOff>9525</xdr:rowOff>
    </xdr:from>
    <xdr:to>
      <xdr:col>8</xdr:col>
      <xdr:colOff>428625</xdr:colOff>
      <xdr:row>54</xdr:row>
      <xdr:rowOff>47625</xdr:rowOff>
    </xdr:to>
    <xdr:sp macro="" textlink="">
      <xdr:nvSpPr>
        <xdr:cNvPr id="408629" name="Text Box 61"/>
        <xdr:cNvSpPr txBox="1">
          <a:spLocks noChangeArrowheads="1"/>
        </xdr:cNvSpPr>
      </xdr:nvSpPr>
      <xdr:spPr bwMode="auto">
        <a:xfrm>
          <a:off x="5324475" y="37719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4</xdr:col>
      <xdr:colOff>0</xdr:colOff>
      <xdr:row>53</xdr:row>
      <xdr:rowOff>0</xdr:rowOff>
    </xdr:to>
    <xdr:sp macro="" textlink="">
      <xdr:nvSpPr>
        <xdr:cNvPr id="408630" name="Line 62"/>
        <xdr:cNvSpPr>
          <a:spLocks noChangeShapeType="1"/>
        </xdr:cNvSpPr>
      </xdr:nvSpPr>
      <xdr:spPr bwMode="auto">
        <a:xfrm>
          <a:off x="2533650" y="2952750"/>
          <a:ext cx="0" cy="8096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228600</xdr:colOff>
      <xdr:row>47</xdr:row>
      <xdr:rowOff>152400</xdr:rowOff>
    </xdr:from>
    <xdr:to>
      <xdr:col>3</xdr:col>
      <xdr:colOff>314325</xdr:colOff>
      <xdr:row>48</xdr:row>
      <xdr:rowOff>47625</xdr:rowOff>
    </xdr:to>
    <xdr:sp macro="" textlink="">
      <xdr:nvSpPr>
        <xdr:cNvPr id="408631" name="Line 63"/>
        <xdr:cNvSpPr>
          <a:spLocks noChangeShapeType="1"/>
        </xdr:cNvSpPr>
      </xdr:nvSpPr>
      <xdr:spPr bwMode="auto">
        <a:xfrm flipH="1">
          <a:off x="2152650" y="2943225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323850</xdr:colOff>
      <xdr:row>47</xdr:row>
      <xdr:rowOff>152400</xdr:rowOff>
    </xdr:from>
    <xdr:to>
      <xdr:col>3</xdr:col>
      <xdr:colOff>390525</xdr:colOff>
      <xdr:row>48</xdr:row>
      <xdr:rowOff>66675</xdr:rowOff>
    </xdr:to>
    <xdr:sp macro="" textlink="">
      <xdr:nvSpPr>
        <xdr:cNvPr id="408632" name="Line 64"/>
        <xdr:cNvSpPr>
          <a:spLocks noChangeShapeType="1"/>
        </xdr:cNvSpPr>
      </xdr:nvSpPr>
      <xdr:spPr bwMode="auto">
        <a:xfrm>
          <a:off x="2247900" y="2943225"/>
          <a:ext cx="666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47</xdr:row>
      <xdr:rowOff>152400</xdr:rowOff>
    </xdr:from>
    <xdr:to>
      <xdr:col>3</xdr:col>
      <xdr:colOff>371475</xdr:colOff>
      <xdr:row>48</xdr:row>
      <xdr:rowOff>38100</xdr:rowOff>
    </xdr:to>
    <xdr:sp macro="" textlink="">
      <xdr:nvSpPr>
        <xdr:cNvPr id="408633" name="Line 65"/>
        <xdr:cNvSpPr>
          <a:spLocks noChangeShapeType="1"/>
        </xdr:cNvSpPr>
      </xdr:nvSpPr>
      <xdr:spPr bwMode="auto">
        <a:xfrm flipH="1">
          <a:off x="2209800" y="2943225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47</xdr:row>
      <xdr:rowOff>152400</xdr:rowOff>
    </xdr:from>
    <xdr:to>
      <xdr:col>3</xdr:col>
      <xdr:colOff>438150</xdr:colOff>
      <xdr:row>48</xdr:row>
      <xdr:rowOff>57150</xdr:rowOff>
    </xdr:to>
    <xdr:sp macro="" textlink="">
      <xdr:nvSpPr>
        <xdr:cNvPr id="408634" name="Line 66"/>
        <xdr:cNvSpPr>
          <a:spLocks noChangeShapeType="1"/>
        </xdr:cNvSpPr>
      </xdr:nvSpPr>
      <xdr:spPr bwMode="auto">
        <a:xfrm>
          <a:off x="2295525" y="2943225"/>
          <a:ext cx="666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47</xdr:row>
      <xdr:rowOff>152400</xdr:rowOff>
    </xdr:from>
    <xdr:to>
      <xdr:col>4</xdr:col>
      <xdr:colOff>447675</xdr:colOff>
      <xdr:row>48</xdr:row>
      <xdr:rowOff>47625</xdr:rowOff>
    </xdr:to>
    <xdr:sp macro="" textlink="">
      <xdr:nvSpPr>
        <xdr:cNvPr id="408635" name="Line 67"/>
        <xdr:cNvSpPr>
          <a:spLocks noChangeShapeType="1"/>
        </xdr:cNvSpPr>
      </xdr:nvSpPr>
      <xdr:spPr bwMode="auto">
        <a:xfrm flipH="1">
          <a:off x="2886075" y="2943225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47</xdr:row>
      <xdr:rowOff>152400</xdr:rowOff>
    </xdr:from>
    <xdr:to>
      <xdr:col>4</xdr:col>
      <xdr:colOff>466725</xdr:colOff>
      <xdr:row>48</xdr:row>
      <xdr:rowOff>47625</xdr:rowOff>
    </xdr:to>
    <xdr:sp macro="" textlink="">
      <xdr:nvSpPr>
        <xdr:cNvPr id="408636" name="Line 68"/>
        <xdr:cNvSpPr>
          <a:spLocks noChangeShapeType="1"/>
        </xdr:cNvSpPr>
      </xdr:nvSpPr>
      <xdr:spPr bwMode="auto">
        <a:xfrm>
          <a:off x="2971800" y="2943225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47</xdr:row>
      <xdr:rowOff>152400</xdr:rowOff>
    </xdr:from>
    <xdr:to>
      <xdr:col>4</xdr:col>
      <xdr:colOff>514350</xdr:colOff>
      <xdr:row>48</xdr:row>
      <xdr:rowOff>38100</xdr:rowOff>
    </xdr:to>
    <xdr:sp macro="" textlink="">
      <xdr:nvSpPr>
        <xdr:cNvPr id="408637" name="Line 69"/>
        <xdr:cNvSpPr>
          <a:spLocks noChangeShapeType="1"/>
        </xdr:cNvSpPr>
      </xdr:nvSpPr>
      <xdr:spPr bwMode="auto">
        <a:xfrm flipV="1">
          <a:off x="2952750" y="2943225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47</xdr:row>
      <xdr:rowOff>152400</xdr:rowOff>
    </xdr:from>
    <xdr:to>
      <xdr:col>4</xdr:col>
      <xdr:colOff>542925</xdr:colOff>
      <xdr:row>48</xdr:row>
      <xdr:rowOff>57150</xdr:rowOff>
    </xdr:to>
    <xdr:sp macro="" textlink="">
      <xdr:nvSpPr>
        <xdr:cNvPr id="408638" name="Line 70"/>
        <xdr:cNvSpPr>
          <a:spLocks noChangeShapeType="1"/>
        </xdr:cNvSpPr>
      </xdr:nvSpPr>
      <xdr:spPr bwMode="auto">
        <a:xfrm>
          <a:off x="3028950" y="2943225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45</xdr:row>
      <xdr:rowOff>57150</xdr:rowOff>
    </xdr:from>
    <xdr:to>
      <xdr:col>7</xdr:col>
      <xdr:colOff>0</xdr:colOff>
      <xdr:row>45</xdr:row>
      <xdr:rowOff>57150</xdr:rowOff>
    </xdr:to>
    <xdr:sp macro="" textlink="">
      <xdr:nvSpPr>
        <xdr:cNvPr id="408639" name="Line 71"/>
        <xdr:cNvSpPr>
          <a:spLocks noChangeShapeType="1"/>
        </xdr:cNvSpPr>
      </xdr:nvSpPr>
      <xdr:spPr bwMode="auto">
        <a:xfrm>
          <a:off x="3752850" y="17002125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600075</xdr:colOff>
      <xdr:row>44</xdr:row>
      <xdr:rowOff>142875</xdr:rowOff>
    </xdr:from>
    <xdr:to>
      <xdr:col>5</xdr:col>
      <xdr:colOff>600075</xdr:colOff>
      <xdr:row>45</xdr:row>
      <xdr:rowOff>142875</xdr:rowOff>
    </xdr:to>
    <xdr:sp macro="" textlink="">
      <xdr:nvSpPr>
        <xdr:cNvPr id="408640" name="Line 72"/>
        <xdr:cNvSpPr>
          <a:spLocks noChangeShapeType="1"/>
        </xdr:cNvSpPr>
      </xdr:nvSpPr>
      <xdr:spPr bwMode="auto">
        <a:xfrm>
          <a:off x="3743325" y="169259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44</xdr:row>
      <xdr:rowOff>114300</xdr:rowOff>
    </xdr:from>
    <xdr:to>
      <xdr:col>7</xdr:col>
      <xdr:colOff>0</xdr:colOff>
      <xdr:row>45</xdr:row>
      <xdr:rowOff>85725</xdr:rowOff>
    </xdr:to>
    <xdr:sp macro="" textlink="">
      <xdr:nvSpPr>
        <xdr:cNvPr id="408641" name="Line 73"/>
        <xdr:cNvSpPr>
          <a:spLocks noChangeShapeType="1"/>
        </xdr:cNvSpPr>
      </xdr:nvSpPr>
      <xdr:spPr bwMode="auto">
        <a:xfrm>
          <a:off x="4362450" y="16897350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466725</xdr:colOff>
      <xdr:row>44</xdr:row>
      <xdr:rowOff>142875</xdr:rowOff>
    </xdr:from>
    <xdr:to>
      <xdr:col>5</xdr:col>
      <xdr:colOff>466725</xdr:colOff>
      <xdr:row>45</xdr:row>
      <xdr:rowOff>104775</xdr:rowOff>
    </xdr:to>
    <xdr:sp macro="" textlink="">
      <xdr:nvSpPr>
        <xdr:cNvPr id="408642" name="Line 74"/>
        <xdr:cNvSpPr>
          <a:spLocks noChangeShapeType="1"/>
        </xdr:cNvSpPr>
      </xdr:nvSpPr>
      <xdr:spPr bwMode="auto">
        <a:xfrm>
          <a:off x="3609975" y="1692592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44</xdr:row>
      <xdr:rowOff>114300</xdr:rowOff>
    </xdr:from>
    <xdr:to>
      <xdr:col>3</xdr:col>
      <xdr:colOff>104775</xdr:colOff>
      <xdr:row>45</xdr:row>
      <xdr:rowOff>95250</xdr:rowOff>
    </xdr:to>
    <xdr:sp macro="" textlink="">
      <xdr:nvSpPr>
        <xdr:cNvPr id="408643" name="Line 75"/>
        <xdr:cNvSpPr>
          <a:spLocks noChangeShapeType="1"/>
        </xdr:cNvSpPr>
      </xdr:nvSpPr>
      <xdr:spPr bwMode="auto">
        <a:xfrm>
          <a:off x="2028825" y="1689735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695325</xdr:colOff>
      <xdr:row>44</xdr:row>
      <xdr:rowOff>104775</xdr:rowOff>
    </xdr:from>
    <xdr:to>
      <xdr:col>2</xdr:col>
      <xdr:colOff>695325</xdr:colOff>
      <xdr:row>45</xdr:row>
      <xdr:rowOff>104775</xdr:rowOff>
    </xdr:to>
    <xdr:sp macro="" textlink="">
      <xdr:nvSpPr>
        <xdr:cNvPr id="408644" name="Line 76"/>
        <xdr:cNvSpPr>
          <a:spLocks noChangeShapeType="1"/>
        </xdr:cNvSpPr>
      </xdr:nvSpPr>
      <xdr:spPr bwMode="auto">
        <a:xfrm>
          <a:off x="1914525" y="168878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45</xdr:row>
      <xdr:rowOff>0</xdr:rowOff>
    </xdr:from>
    <xdr:to>
      <xdr:col>2</xdr:col>
      <xdr:colOff>0</xdr:colOff>
      <xdr:row>45</xdr:row>
      <xdr:rowOff>114300</xdr:rowOff>
    </xdr:to>
    <xdr:sp macro="" textlink="">
      <xdr:nvSpPr>
        <xdr:cNvPr id="408645" name="Line 77"/>
        <xdr:cNvSpPr>
          <a:spLocks noChangeShapeType="1"/>
        </xdr:cNvSpPr>
      </xdr:nvSpPr>
      <xdr:spPr bwMode="auto">
        <a:xfrm>
          <a:off x="1219200" y="169449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45</xdr:row>
      <xdr:rowOff>57150</xdr:rowOff>
    </xdr:from>
    <xdr:to>
      <xdr:col>3</xdr:col>
      <xdr:colOff>0</xdr:colOff>
      <xdr:row>45</xdr:row>
      <xdr:rowOff>57150</xdr:rowOff>
    </xdr:to>
    <xdr:sp macro="" textlink="">
      <xdr:nvSpPr>
        <xdr:cNvPr id="408646" name="Line 78"/>
        <xdr:cNvSpPr>
          <a:spLocks noChangeShapeType="1"/>
        </xdr:cNvSpPr>
      </xdr:nvSpPr>
      <xdr:spPr bwMode="auto">
        <a:xfrm>
          <a:off x="1219200" y="17002125"/>
          <a:ext cx="70485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85725</xdr:colOff>
      <xdr:row>45</xdr:row>
      <xdr:rowOff>57150</xdr:rowOff>
    </xdr:from>
    <xdr:to>
      <xdr:col>5</xdr:col>
      <xdr:colOff>466725</xdr:colOff>
      <xdr:row>45</xdr:row>
      <xdr:rowOff>57150</xdr:rowOff>
    </xdr:to>
    <xdr:sp macro="" textlink="">
      <xdr:nvSpPr>
        <xdr:cNvPr id="408647" name="Line 80"/>
        <xdr:cNvSpPr>
          <a:spLocks noChangeShapeType="1"/>
        </xdr:cNvSpPr>
      </xdr:nvSpPr>
      <xdr:spPr bwMode="auto">
        <a:xfrm>
          <a:off x="2009775" y="17002125"/>
          <a:ext cx="16002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0</xdr:colOff>
      <xdr:row>41</xdr:row>
      <xdr:rowOff>123825</xdr:rowOff>
    </xdr:from>
    <xdr:to>
      <xdr:col>4</xdr:col>
      <xdr:colOff>0</xdr:colOff>
      <xdr:row>42</xdr:row>
      <xdr:rowOff>85725</xdr:rowOff>
    </xdr:to>
    <xdr:sp macro="" textlink="">
      <xdr:nvSpPr>
        <xdr:cNvPr id="408648" name="Line 81"/>
        <xdr:cNvSpPr>
          <a:spLocks noChangeShapeType="1"/>
        </xdr:cNvSpPr>
      </xdr:nvSpPr>
      <xdr:spPr bwMode="auto">
        <a:xfrm>
          <a:off x="2533650" y="24288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41</xdr:row>
      <xdr:rowOff>133350</xdr:rowOff>
    </xdr:from>
    <xdr:to>
      <xdr:col>5</xdr:col>
      <xdr:colOff>0</xdr:colOff>
      <xdr:row>42</xdr:row>
      <xdr:rowOff>76200</xdr:rowOff>
    </xdr:to>
    <xdr:sp macro="" textlink="">
      <xdr:nvSpPr>
        <xdr:cNvPr id="408649" name="Line 82"/>
        <xdr:cNvSpPr>
          <a:spLocks noChangeShapeType="1"/>
        </xdr:cNvSpPr>
      </xdr:nvSpPr>
      <xdr:spPr bwMode="auto">
        <a:xfrm>
          <a:off x="3143250" y="24384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42</xdr:row>
      <xdr:rowOff>38100</xdr:rowOff>
    </xdr:from>
    <xdr:to>
      <xdr:col>5</xdr:col>
      <xdr:colOff>0</xdr:colOff>
      <xdr:row>42</xdr:row>
      <xdr:rowOff>38100</xdr:rowOff>
    </xdr:to>
    <xdr:sp macro="" textlink="">
      <xdr:nvSpPr>
        <xdr:cNvPr id="408653" name="Line 86"/>
        <xdr:cNvSpPr>
          <a:spLocks noChangeShapeType="1"/>
        </xdr:cNvSpPr>
      </xdr:nvSpPr>
      <xdr:spPr bwMode="auto">
        <a:xfrm>
          <a:off x="2533650" y="16497300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46</xdr:row>
      <xdr:rowOff>0</xdr:rowOff>
    </xdr:from>
    <xdr:to>
      <xdr:col>6</xdr:col>
      <xdr:colOff>0</xdr:colOff>
      <xdr:row>47</xdr:row>
      <xdr:rowOff>152400</xdr:rowOff>
    </xdr:to>
    <xdr:sp macro="" textlink="">
      <xdr:nvSpPr>
        <xdr:cNvPr id="408655" name="Line 89"/>
        <xdr:cNvSpPr>
          <a:spLocks noChangeShapeType="1"/>
        </xdr:cNvSpPr>
      </xdr:nvSpPr>
      <xdr:spPr bwMode="auto">
        <a:xfrm>
          <a:off x="3752850" y="2628900"/>
          <a:ext cx="0" cy="3143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581025</xdr:colOff>
      <xdr:row>46</xdr:row>
      <xdr:rowOff>0</xdr:rowOff>
    </xdr:from>
    <xdr:to>
      <xdr:col>6</xdr:col>
      <xdr:colOff>38100</xdr:colOff>
      <xdr:row>46</xdr:row>
      <xdr:rowOff>0</xdr:rowOff>
    </xdr:to>
    <xdr:sp macro="" textlink="">
      <xdr:nvSpPr>
        <xdr:cNvPr id="408656" name="Line 90"/>
        <xdr:cNvSpPr>
          <a:spLocks noChangeShapeType="1"/>
        </xdr:cNvSpPr>
      </xdr:nvSpPr>
      <xdr:spPr bwMode="auto">
        <a:xfrm>
          <a:off x="3724275" y="262890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66</xdr:row>
      <xdr:rowOff>0</xdr:rowOff>
    </xdr:from>
    <xdr:to>
      <xdr:col>7</xdr:col>
      <xdr:colOff>9525</xdr:colOff>
      <xdr:row>66</xdr:row>
      <xdr:rowOff>0</xdr:rowOff>
    </xdr:to>
    <xdr:sp macro="" textlink="">
      <xdr:nvSpPr>
        <xdr:cNvPr id="408657" name="Line 91"/>
        <xdr:cNvSpPr>
          <a:spLocks noChangeShapeType="1"/>
        </xdr:cNvSpPr>
      </xdr:nvSpPr>
      <xdr:spPr bwMode="auto">
        <a:xfrm>
          <a:off x="1219200" y="5867400"/>
          <a:ext cx="3152775" cy="0"/>
        </a:xfrm>
        <a:prstGeom prst="line">
          <a:avLst/>
        </a:prstGeom>
        <a:noFill/>
        <a:ln w="635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590550</xdr:colOff>
      <xdr:row>66</xdr:row>
      <xdr:rowOff>152400</xdr:rowOff>
    </xdr:from>
    <xdr:to>
      <xdr:col>5</xdr:col>
      <xdr:colOff>590550</xdr:colOff>
      <xdr:row>67</xdr:row>
      <xdr:rowOff>0</xdr:rowOff>
    </xdr:to>
    <xdr:sp macro="" textlink="">
      <xdr:nvSpPr>
        <xdr:cNvPr id="408658" name="Line 92"/>
        <xdr:cNvSpPr>
          <a:spLocks noChangeShapeType="1"/>
        </xdr:cNvSpPr>
      </xdr:nvSpPr>
      <xdr:spPr bwMode="auto">
        <a:xfrm>
          <a:off x="1809750" y="6019800"/>
          <a:ext cx="1924050" cy="9525"/>
        </a:xfrm>
        <a:prstGeom prst="line">
          <a:avLst/>
        </a:prstGeom>
        <a:noFill/>
        <a:ln w="635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685800</xdr:colOff>
      <xdr:row>69</xdr:row>
      <xdr:rowOff>152400</xdr:rowOff>
    </xdr:from>
    <xdr:to>
      <xdr:col>6</xdr:col>
      <xdr:colOff>66675</xdr:colOff>
      <xdr:row>70</xdr:row>
      <xdr:rowOff>0</xdr:rowOff>
    </xdr:to>
    <xdr:sp macro="" textlink="">
      <xdr:nvSpPr>
        <xdr:cNvPr id="408659" name="Line 93"/>
        <xdr:cNvSpPr>
          <a:spLocks noChangeShapeType="1"/>
        </xdr:cNvSpPr>
      </xdr:nvSpPr>
      <xdr:spPr bwMode="auto">
        <a:xfrm flipV="1">
          <a:off x="1905000" y="11439525"/>
          <a:ext cx="1914525" cy="9525"/>
        </a:xfrm>
        <a:prstGeom prst="line">
          <a:avLst/>
        </a:prstGeom>
        <a:noFill/>
        <a:ln w="635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0</xdr:colOff>
      <xdr:row>71</xdr:row>
      <xdr:rowOff>0</xdr:rowOff>
    </xdr:from>
    <xdr:to>
      <xdr:col>5</xdr:col>
      <xdr:colOff>581025</xdr:colOff>
      <xdr:row>71</xdr:row>
      <xdr:rowOff>0</xdr:rowOff>
    </xdr:to>
    <xdr:sp macro="" textlink="">
      <xdr:nvSpPr>
        <xdr:cNvPr id="408660" name="Line 94"/>
        <xdr:cNvSpPr>
          <a:spLocks noChangeShapeType="1"/>
        </xdr:cNvSpPr>
      </xdr:nvSpPr>
      <xdr:spPr bwMode="auto">
        <a:xfrm flipV="1">
          <a:off x="1924050" y="6677025"/>
          <a:ext cx="1800225" cy="0"/>
        </a:xfrm>
        <a:prstGeom prst="line">
          <a:avLst/>
        </a:prstGeom>
        <a:noFill/>
        <a:ln w="635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590550</xdr:colOff>
      <xdr:row>75</xdr:row>
      <xdr:rowOff>0</xdr:rowOff>
    </xdr:from>
    <xdr:to>
      <xdr:col>5</xdr:col>
      <xdr:colOff>600075</xdr:colOff>
      <xdr:row>75</xdr:row>
      <xdr:rowOff>9525</xdr:rowOff>
    </xdr:to>
    <xdr:sp macro="" textlink="">
      <xdr:nvSpPr>
        <xdr:cNvPr id="408661" name="Line 96"/>
        <xdr:cNvSpPr>
          <a:spLocks noChangeShapeType="1"/>
        </xdr:cNvSpPr>
      </xdr:nvSpPr>
      <xdr:spPr bwMode="auto">
        <a:xfrm>
          <a:off x="1809750" y="7324725"/>
          <a:ext cx="1933575" cy="9525"/>
        </a:xfrm>
        <a:prstGeom prst="line">
          <a:avLst/>
        </a:prstGeom>
        <a:noFill/>
        <a:ln w="635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9525</xdr:colOff>
      <xdr:row>73</xdr:row>
      <xdr:rowOff>152400</xdr:rowOff>
    </xdr:from>
    <xdr:to>
      <xdr:col>5</xdr:col>
      <xdr:colOff>590550</xdr:colOff>
      <xdr:row>74</xdr:row>
      <xdr:rowOff>0</xdr:rowOff>
    </xdr:to>
    <xdr:sp macro="" textlink="">
      <xdr:nvSpPr>
        <xdr:cNvPr id="408662" name="Line 97"/>
        <xdr:cNvSpPr>
          <a:spLocks noChangeShapeType="1"/>
        </xdr:cNvSpPr>
      </xdr:nvSpPr>
      <xdr:spPr bwMode="auto">
        <a:xfrm>
          <a:off x="1933575" y="7153275"/>
          <a:ext cx="1800225" cy="9525"/>
        </a:xfrm>
        <a:prstGeom prst="line">
          <a:avLst/>
        </a:prstGeom>
        <a:noFill/>
        <a:ln w="635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590550</xdr:colOff>
      <xdr:row>78</xdr:row>
      <xdr:rowOff>0</xdr:rowOff>
    </xdr:from>
    <xdr:to>
      <xdr:col>5</xdr:col>
      <xdr:colOff>600075</xdr:colOff>
      <xdr:row>78</xdr:row>
      <xdr:rowOff>9525</xdr:rowOff>
    </xdr:to>
    <xdr:sp macro="" textlink="">
      <xdr:nvSpPr>
        <xdr:cNvPr id="408663" name="Line 98"/>
        <xdr:cNvSpPr>
          <a:spLocks noChangeShapeType="1"/>
        </xdr:cNvSpPr>
      </xdr:nvSpPr>
      <xdr:spPr bwMode="auto">
        <a:xfrm>
          <a:off x="1809750" y="7810500"/>
          <a:ext cx="1933575" cy="9525"/>
        </a:xfrm>
        <a:prstGeom prst="line">
          <a:avLst/>
        </a:prstGeom>
        <a:noFill/>
        <a:ln w="635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79</xdr:row>
      <xdr:rowOff>0</xdr:rowOff>
    </xdr:from>
    <xdr:to>
      <xdr:col>7</xdr:col>
      <xdr:colOff>0</xdr:colOff>
      <xdr:row>79</xdr:row>
      <xdr:rowOff>0</xdr:rowOff>
    </xdr:to>
    <xdr:sp macro="" textlink="">
      <xdr:nvSpPr>
        <xdr:cNvPr id="408664" name="Line 99"/>
        <xdr:cNvSpPr>
          <a:spLocks noChangeShapeType="1"/>
        </xdr:cNvSpPr>
      </xdr:nvSpPr>
      <xdr:spPr bwMode="auto">
        <a:xfrm>
          <a:off x="1219200" y="7972425"/>
          <a:ext cx="3143250" cy="0"/>
        </a:xfrm>
        <a:prstGeom prst="line">
          <a:avLst/>
        </a:prstGeom>
        <a:noFill/>
        <a:ln w="6350">
          <a:solidFill>
            <a:sysClr val="windowText" lastClr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9525</xdr:colOff>
      <xdr:row>66</xdr:row>
      <xdr:rowOff>142875</xdr:rowOff>
    </xdr:from>
    <xdr:to>
      <xdr:col>3</xdr:col>
      <xdr:colOff>9525</xdr:colOff>
      <xdr:row>72</xdr:row>
      <xdr:rowOff>152400</xdr:rowOff>
    </xdr:to>
    <xdr:sp macro="" textlink="">
      <xdr:nvSpPr>
        <xdr:cNvPr id="408665" name="Line 100"/>
        <xdr:cNvSpPr>
          <a:spLocks noChangeShapeType="1"/>
        </xdr:cNvSpPr>
      </xdr:nvSpPr>
      <xdr:spPr bwMode="auto">
        <a:xfrm>
          <a:off x="1933575" y="11096625"/>
          <a:ext cx="0" cy="9810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3</xdr:col>
      <xdr:colOff>123825</xdr:colOff>
      <xdr:row>66</xdr:row>
      <xdr:rowOff>152400</xdr:rowOff>
    </xdr:from>
    <xdr:to>
      <xdr:col>3</xdr:col>
      <xdr:colOff>123825</xdr:colOff>
      <xdr:row>72</xdr:row>
      <xdr:rowOff>142875</xdr:rowOff>
    </xdr:to>
    <xdr:sp macro="" textlink="">
      <xdr:nvSpPr>
        <xdr:cNvPr id="408666" name="Line 102"/>
        <xdr:cNvSpPr>
          <a:spLocks noChangeShapeType="1"/>
        </xdr:cNvSpPr>
      </xdr:nvSpPr>
      <xdr:spPr bwMode="auto">
        <a:xfrm>
          <a:off x="2047875" y="11106150"/>
          <a:ext cx="0" cy="9620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6</xdr:col>
      <xdr:colOff>0</xdr:colOff>
      <xdr:row>66</xdr:row>
      <xdr:rowOff>142875</xdr:rowOff>
    </xdr:from>
    <xdr:to>
      <xdr:col>6</xdr:col>
      <xdr:colOff>0</xdr:colOff>
      <xdr:row>73</xdr:row>
      <xdr:rowOff>9525</xdr:rowOff>
    </xdr:to>
    <xdr:sp macro="" textlink="">
      <xdr:nvSpPr>
        <xdr:cNvPr id="408667" name="Line 103"/>
        <xdr:cNvSpPr>
          <a:spLocks noChangeShapeType="1"/>
        </xdr:cNvSpPr>
      </xdr:nvSpPr>
      <xdr:spPr bwMode="auto">
        <a:xfrm>
          <a:off x="3752850" y="11096625"/>
          <a:ext cx="0" cy="10001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476250</xdr:colOff>
      <xdr:row>66</xdr:row>
      <xdr:rowOff>152400</xdr:rowOff>
    </xdr:from>
    <xdr:to>
      <xdr:col>5</xdr:col>
      <xdr:colOff>476250</xdr:colOff>
      <xdr:row>73</xdr:row>
      <xdr:rowOff>0</xdr:rowOff>
    </xdr:to>
    <xdr:sp macro="" textlink="">
      <xdr:nvSpPr>
        <xdr:cNvPr id="408668" name="Line 104"/>
        <xdr:cNvSpPr>
          <a:spLocks noChangeShapeType="1"/>
        </xdr:cNvSpPr>
      </xdr:nvSpPr>
      <xdr:spPr bwMode="auto">
        <a:xfrm>
          <a:off x="3619500" y="11106150"/>
          <a:ext cx="0" cy="9810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6</xdr:col>
      <xdr:colOff>0</xdr:colOff>
      <xdr:row>69</xdr:row>
      <xdr:rowOff>142875</xdr:rowOff>
    </xdr:from>
    <xdr:to>
      <xdr:col>7</xdr:col>
      <xdr:colOff>0</xdr:colOff>
      <xdr:row>69</xdr:row>
      <xdr:rowOff>142875</xdr:rowOff>
    </xdr:to>
    <xdr:sp macro="" textlink="">
      <xdr:nvSpPr>
        <xdr:cNvPr id="408669" name="Line 105"/>
        <xdr:cNvSpPr>
          <a:spLocks noChangeShapeType="1"/>
        </xdr:cNvSpPr>
      </xdr:nvSpPr>
      <xdr:spPr bwMode="auto">
        <a:xfrm flipV="1">
          <a:off x="3752850" y="11430000"/>
          <a:ext cx="609600" cy="0"/>
        </a:xfrm>
        <a:prstGeom prst="line">
          <a:avLst/>
        </a:prstGeom>
        <a:noFill/>
        <a:ln w="635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28575</xdr:colOff>
      <xdr:row>71</xdr:row>
      <xdr:rowOff>9525</xdr:rowOff>
    </xdr:from>
    <xdr:to>
      <xdr:col>7</xdr:col>
      <xdr:colOff>19050</xdr:colOff>
      <xdr:row>71</xdr:row>
      <xdr:rowOff>9525</xdr:rowOff>
    </xdr:to>
    <xdr:sp macro="" textlink="">
      <xdr:nvSpPr>
        <xdr:cNvPr id="408671" name="Line 107"/>
        <xdr:cNvSpPr>
          <a:spLocks noChangeShapeType="1"/>
        </xdr:cNvSpPr>
      </xdr:nvSpPr>
      <xdr:spPr bwMode="auto">
        <a:xfrm>
          <a:off x="3781425" y="11620500"/>
          <a:ext cx="600075" cy="0"/>
        </a:xfrm>
        <a:prstGeom prst="line">
          <a:avLst/>
        </a:prstGeom>
        <a:noFill/>
        <a:ln w="635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19050</xdr:colOff>
      <xdr:row>73</xdr:row>
      <xdr:rowOff>142875</xdr:rowOff>
    </xdr:from>
    <xdr:to>
      <xdr:col>7</xdr:col>
      <xdr:colOff>19050</xdr:colOff>
      <xdr:row>73</xdr:row>
      <xdr:rowOff>142875</xdr:rowOff>
    </xdr:to>
    <xdr:sp macro="" textlink="">
      <xdr:nvSpPr>
        <xdr:cNvPr id="408672" name="Line 108"/>
        <xdr:cNvSpPr>
          <a:spLocks noChangeShapeType="1"/>
        </xdr:cNvSpPr>
      </xdr:nvSpPr>
      <xdr:spPr bwMode="auto">
        <a:xfrm>
          <a:off x="3771900" y="12077700"/>
          <a:ext cx="6096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75</xdr:row>
      <xdr:rowOff>28575</xdr:rowOff>
    </xdr:from>
    <xdr:to>
      <xdr:col>6</xdr:col>
      <xdr:colOff>600075</xdr:colOff>
      <xdr:row>75</xdr:row>
      <xdr:rowOff>28575</xdr:rowOff>
    </xdr:to>
    <xdr:sp macro="" textlink="">
      <xdr:nvSpPr>
        <xdr:cNvPr id="408673" name="Line 109"/>
        <xdr:cNvSpPr>
          <a:spLocks noChangeShapeType="1"/>
        </xdr:cNvSpPr>
      </xdr:nvSpPr>
      <xdr:spPr bwMode="auto">
        <a:xfrm>
          <a:off x="3762375" y="12287250"/>
          <a:ext cx="5905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78</xdr:row>
      <xdr:rowOff>9525</xdr:rowOff>
    </xdr:from>
    <xdr:to>
      <xdr:col>7</xdr:col>
      <xdr:colOff>0</xdr:colOff>
      <xdr:row>78</xdr:row>
      <xdr:rowOff>9525</xdr:rowOff>
    </xdr:to>
    <xdr:sp macro="" textlink="">
      <xdr:nvSpPr>
        <xdr:cNvPr id="408674" name="Line 110"/>
        <xdr:cNvSpPr>
          <a:spLocks noChangeShapeType="1"/>
        </xdr:cNvSpPr>
      </xdr:nvSpPr>
      <xdr:spPr bwMode="auto">
        <a:xfrm>
          <a:off x="3752850" y="7820025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590550</xdr:colOff>
      <xdr:row>75</xdr:row>
      <xdr:rowOff>0</xdr:rowOff>
    </xdr:from>
    <xdr:to>
      <xdr:col>2</xdr:col>
      <xdr:colOff>561975</xdr:colOff>
      <xdr:row>75</xdr:row>
      <xdr:rowOff>0</xdr:rowOff>
    </xdr:to>
    <xdr:sp macro="" textlink="">
      <xdr:nvSpPr>
        <xdr:cNvPr id="408677" name="Line 113"/>
        <xdr:cNvSpPr>
          <a:spLocks noChangeShapeType="1"/>
        </xdr:cNvSpPr>
      </xdr:nvSpPr>
      <xdr:spPr bwMode="auto">
        <a:xfrm>
          <a:off x="1200150" y="12258675"/>
          <a:ext cx="581025" cy="0"/>
        </a:xfrm>
        <a:prstGeom prst="line">
          <a:avLst/>
        </a:prstGeom>
        <a:noFill/>
        <a:ln w="635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1</xdr:col>
      <xdr:colOff>600075</xdr:colOff>
      <xdr:row>78</xdr:row>
      <xdr:rowOff>9525</xdr:rowOff>
    </xdr:from>
    <xdr:to>
      <xdr:col>3</xdr:col>
      <xdr:colOff>0</xdr:colOff>
      <xdr:row>78</xdr:row>
      <xdr:rowOff>9525</xdr:rowOff>
    </xdr:to>
    <xdr:sp macro="" textlink="">
      <xdr:nvSpPr>
        <xdr:cNvPr id="408678" name="Line 114"/>
        <xdr:cNvSpPr>
          <a:spLocks noChangeShapeType="1"/>
        </xdr:cNvSpPr>
      </xdr:nvSpPr>
      <xdr:spPr bwMode="auto">
        <a:xfrm>
          <a:off x="1209675" y="7820025"/>
          <a:ext cx="714375" cy="0"/>
        </a:xfrm>
        <a:prstGeom prst="line">
          <a:avLst/>
        </a:prstGeom>
        <a:noFill/>
        <a:ln w="635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9525</xdr:colOff>
      <xdr:row>67</xdr:row>
      <xdr:rowOff>0</xdr:rowOff>
    </xdr:from>
    <xdr:to>
      <xdr:col>2</xdr:col>
      <xdr:colOff>600075</xdr:colOff>
      <xdr:row>67</xdr:row>
      <xdr:rowOff>0</xdr:rowOff>
    </xdr:to>
    <xdr:sp macro="" textlink="">
      <xdr:nvSpPr>
        <xdr:cNvPr id="408679" name="Line 115"/>
        <xdr:cNvSpPr>
          <a:spLocks noChangeShapeType="1"/>
        </xdr:cNvSpPr>
      </xdr:nvSpPr>
      <xdr:spPr bwMode="auto">
        <a:xfrm>
          <a:off x="1228725" y="6029325"/>
          <a:ext cx="590550" cy="0"/>
        </a:xfrm>
        <a:prstGeom prst="line">
          <a:avLst/>
        </a:prstGeom>
        <a:noFill/>
        <a:ln w="635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9525</xdr:colOff>
      <xdr:row>67</xdr:row>
      <xdr:rowOff>0</xdr:rowOff>
    </xdr:from>
    <xdr:to>
      <xdr:col>6</xdr:col>
      <xdr:colOff>600075</xdr:colOff>
      <xdr:row>67</xdr:row>
      <xdr:rowOff>0</xdr:rowOff>
    </xdr:to>
    <xdr:sp macro="" textlink="">
      <xdr:nvSpPr>
        <xdr:cNvPr id="408680" name="Line 116"/>
        <xdr:cNvSpPr>
          <a:spLocks noChangeShapeType="1"/>
        </xdr:cNvSpPr>
      </xdr:nvSpPr>
      <xdr:spPr bwMode="auto">
        <a:xfrm>
          <a:off x="3762375" y="6029325"/>
          <a:ext cx="590550" cy="0"/>
        </a:xfrm>
        <a:prstGeom prst="line">
          <a:avLst/>
        </a:prstGeom>
        <a:noFill/>
        <a:ln w="6350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7</xdr:col>
      <xdr:colOff>0</xdr:colOff>
      <xdr:row>66</xdr:row>
      <xdr:rowOff>9525</xdr:rowOff>
    </xdr:from>
    <xdr:to>
      <xdr:col>7</xdr:col>
      <xdr:colOff>0</xdr:colOff>
      <xdr:row>67</xdr:row>
      <xdr:rowOff>9525</xdr:rowOff>
    </xdr:to>
    <xdr:sp macro="" textlink="">
      <xdr:nvSpPr>
        <xdr:cNvPr id="408681" name="Line 117"/>
        <xdr:cNvSpPr>
          <a:spLocks noChangeShapeType="1"/>
        </xdr:cNvSpPr>
      </xdr:nvSpPr>
      <xdr:spPr bwMode="auto">
        <a:xfrm flipH="1">
          <a:off x="4362450" y="58769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73</xdr:row>
      <xdr:rowOff>142875</xdr:rowOff>
    </xdr:from>
    <xdr:to>
      <xdr:col>7</xdr:col>
      <xdr:colOff>0</xdr:colOff>
      <xdr:row>75</xdr:row>
      <xdr:rowOff>9525</xdr:rowOff>
    </xdr:to>
    <xdr:sp macro="" textlink="">
      <xdr:nvSpPr>
        <xdr:cNvPr id="408682" name="Line 118"/>
        <xdr:cNvSpPr>
          <a:spLocks noChangeShapeType="1"/>
        </xdr:cNvSpPr>
      </xdr:nvSpPr>
      <xdr:spPr bwMode="auto">
        <a:xfrm>
          <a:off x="4362450" y="714375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9525</xdr:colOff>
      <xdr:row>78</xdr:row>
      <xdr:rowOff>9525</xdr:rowOff>
    </xdr:from>
    <xdr:to>
      <xdr:col>7</xdr:col>
      <xdr:colOff>9525</xdr:colOff>
      <xdr:row>78</xdr:row>
      <xdr:rowOff>152400</xdr:rowOff>
    </xdr:to>
    <xdr:sp macro="" textlink="">
      <xdr:nvSpPr>
        <xdr:cNvPr id="408683" name="Line 119"/>
        <xdr:cNvSpPr>
          <a:spLocks noChangeShapeType="1"/>
        </xdr:cNvSpPr>
      </xdr:nvSpPr>
      <xdr:spPr bwMode="auto">
        <a:xfrm>
          <a:off x="4371975" y="78200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69</xdr:row>
      <xdr:rowOff>152400</xdr:rowOff>
    </xdr:from>
    <xdr:to>
      <xdr:col>7</xdr:col>
      <xdr:colOff>0</xdr:colOff>
      <xdr:row>71</xdr:row>
      <xdr:rowOff>9525</xdr:rowOff>
    </xdr:to>
    <xdr:sp macro="" textlink="">
      <xdr:nvSpPr>
        <xdr:cNvPr id="408684" name="Line 120"/>
        <xdr:cNvSpPr>
          <a:spLocks noChangeShapeType="1"/>
        </xdr:cNvSpPr>
      </xdr:nvSpPr>
      <xdr:spPr bwMode="auto">
        <a:xfrm>
          <a:off x="4362450" y="65055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65</xdr:row>
      <xdr:rowOff>152400</xdr:rowOff>
    </xdr:from>
    <xdr:to>
      <xdr:col>2</xdr:col>
      <xdr:colOff>0</xdr:colOff>
      <xdr:row>67</xdr:row>
      <xdr:rowOff>0</xdr:rowOff>
    </xdr:to>
    <xdr:sp macro="" textlink="">
      <xdr:nvSpPr>
        <xdr:cNvPr id="408685" name="Line 121"/>
        <xdr:cNvSpPr>
          <a:spLocks noChangeShapeType="1"/>
        </xdr:cNvSpPr>
      </xdr:nvSpPr>
      <xdr:spPr bwMode="auto">
        <a:xfrm>
          <a:off x="1219200" y="585787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70</xdr:row>
      <xdr:rowOff>0</xdr:rowOff>
    </xdr:from>
    <xdr:to>
      <xdr:col>2</xdr:col>
      <xdr:colOff>0</xdr:colOff>
      <xdr:row>71</xdr:row>
      <xdr:rowOff>0</xdr:rowOff>
    </xdr:to>
    <xdr:sp macro="" textlink="">
      <xdr:nvSpPr>
        <xdr:cNvPr id="408686" name="Line 122"/>
        <xdr:cNvSpPr>
          <a:spLocks noChangeShapeType="1"/>
        </xdr:cNvSpPr>
      </xdr:nvSpPr>
      <xdr:spPr bwMode="auto">
        <a:xfrm>
          <a:off x="1219200" y="65151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74</xdr:row>
      <xdr:rowOff>0</xdr:rowOff>
    </xdr:from>
    <xdr:to>
      <xdr:col>2</xdr:col>
      <xdr:colOff>0</xdr:colOff>
      <xdr:row>75</xdr:row>
      <xdr:rowOff>0</xdr:rowOff>
    </xdr:to>
    <xdr:sp macro="" textlink="">
      <xdr:nvSpPr>
        <xdr:cNvPr id="408687" name="Line 123"/>
        <xdr:cNvSpPr>
          <a:spLocks noChangeShapeType="1"/>
        </xdr:cNvSpPr>
      </xdr:nvSpPr>
      <xdr:spPr bwMode="auto">
        <a:xfrm>
          <a:off x="1219200" y="71628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78</xdr:row>
      <xdr:rowOff>9525</xdr:rowOff>
    </xdr:from>
    <xdr:to>
      <xdr:col>1</xdr:col>
      <xdr:colOff>600075</xdr:colOff>
      <xdr:row>78</xdr:row>
      <xdr:rowOff>152400</xdr:rowOff>
    </xdr:to>
    <xdr:sp macro="" textlink="">
      <xdr:nvSpPr>
        <xdr:cNvPr id="408688" name="Line 124"/>
        <xdr:cNvSpPr>
          <a:spLocks noChangeShapeType="1"/>
        </xdr:cNvSpPr>
      </xdr:nvSpPr>
      <xdr:spPr bwMode="auto">
        <a:xfrm flipH="1">
          <a:off x="1209675" y="78200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276225</xdr:colOff>
      <xdr:row>69</xdr:row>
      <xdr:rowOff>0</xdr:rowOff>
    </xdr:from>
    <xdr:to>
      <xdr:col>7</xdr:col>
      <xdr:colOff>276225</xdr:colOff>
      <xdr:row>70</xdr:row>
      <xdr:rowOff>9525</xdr:rowOff>
    </xdr:to>
    <xdr:sp macro="" textlink="">
      <xdr:nvSpPr>
        <xdr:cNvPr id="408689" name="Line 125"/>
        <xdr:cNvSpPr>
          <a:spLocks noChangeShapeType="1"/>
        </xdr:cNvSpPr>
      </xdr:nvSpPr>
      <xdr:spPr bwMode="auto">
        <a:xfrm>
          <a:off x="4638675" y="635317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276225</xdr:colOff>
      <xdr:row>70</xdr:row>
      <xdr:rowOff>152400</xdr:rowOff>
    </xdr:from>
    <xdr:to>
      <xdr:col>7</xdr:col>
      <xdr:colOff>276225</xdr:colOff>
      <xdr:row>72</xdr:row>
      <xdr:rowOff>9525</xdr:rowOff>
    </xdr:to>
    <xdr:sp macro="" textlink="">
      <xdr:nvSpPr>
        <xdr:cNvPr id="408690" name="Line 126"/>
        <xdr:cNvSpPr>
          <a:spLocks noChangeShapeType="1"/>
        </xdr:cNvSpPr>
      </xdr:nvSpPr>
      <xdr:spPr bwMode="auto">
        <a:xfrm flipV="1">
          <a:off x="4638675" y="666750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276225</xdr:colOff>
      <xdr:row>73</xdr:row>
      <xdr:rowOff>47625</xdr:rowOff>
    </xdr:from>
    <xdr:to>
      <xdr:col>7</xdr:col>
      <xdr:colOff>276225</xdr:colOff>
      <xdr:row>74</xdr:row>
      <xdr:rowOff>9525</xdr:rowOff>
    </xdr:to>
    <xdr:sp macro="" textlink="">
      <xdr:nvSpPr>
        <xdr:cNvPr id="408691" name="Line 127"/>
        <xdr:cNvSpPr>
          <a:spLocks noChangeShapeType="1"/>
        </xdr:cNvSpPr>
      </xdr:nvSpPr>
      <xdr:spPr bwMode="auto">
        <a:xfrm>
          <a:off x="4638675" y="70485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276225</xdr:colOff>
      <xdr:row>75</xdr:row>
      <xdr:rowOff>9525</xdr:rowOff>
    </xdr:from>
    <xdr:to>
      <xdr:col>7</xdr:col>
      <xdr:colOff>285750</xdr:colOff>
      <xdr:row>75</xdr:row>
      <xdr:rowOff>142875</xdr:rowOff>
    </xdr:to>
    <xdr:sp macro="" textlink="">
      <xdr:nvSpPr>
        <xdr:cNvPr id="408692" name="Line 128"/>
        <xdr:cNvSpPr>
          <a:spLocks noChangeShapeType="1"/>
        </xdr:cNvSpPr>
      </xdr:nvSpPr>
      <xdr:spPr bwMode="auto">
        <a:xfrm flipH="1" flipV="1">
          <a:off x="4638675" y="7334250"/>
          <a:ext cx="952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276225</xdr:colOff>
      <xdr:row>77</xdr:row>
      <xdr:rowOff>9525</xdr:rowOff>
    </xdr:from>
    <xdr:to>
      <xdr:col>7</xdr:col>
      <xdr:colOff>285750</xdr:colOff>
      <xdr:row>78</xdr:row>
      <xdr:rowOff>9525</xdr:rowOff>
    </xdr:to>
    <xdr:sp macro="" textlink="">
      <xdr:nvSpPr>
        <xdr:cNvPr id="408693" name="Line 129"/>
        <xdr:cNvSpPr>
          <a:spLocks noChangeShapeType="1"/>
        </xdr:cNvSpPr>
      </xdr:nvSpPr>
      <xdr:spPr bwMode="auto">
        <a:xfrm flipH="1">
          <a:off x="4638675" y="7658100"/>
          <a:ext cx="952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276225</xdr:colOff>
      <xdr:row>79</xdr:row>
      <xdr:rowOff>0</xdr:rowOff>
    </xdr:from>
    <xdr:to>
      <xdr:col>7</xdr:col>
      <xdr:colOff>276225</xdr:colOff>
      <xdr:row>80</xdr:row>
      <xdr:rowOff>0</xdr:rowOff>
    </xdr:to>
    <xdr:sp macro="" textlink="">
      <xdr:nvSpPr>
        <xdr:cNvPr id="408694" name="Line 130"/>
        <xdr:cNvSpPr>
          <a:spLocks noChangeShapeType="1"/>
        </xdr:cNvSpPr>
      </xdr:nvSpPr>
      <xdr:spPr bwMode="auto">
        <a:xfrm flipV="1">
          <a:off x="4638675" y="79724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266700</xdr:colOff>
      <xdr:row>65</xdr:row>
      <xdr:rowOff>0</xdr:rowOff>
    </xdr:from>
    <xdr:to>
      <xdr:col>7</xdr:col>
      <xdr:colOff>266700</xdr:colOff>
      <xdr:row>65</xdr:row>
      <xdr:rowOff>152400</xdr:rowOff>
    </xdr:to>
    <xdr:sp macro="" textlink="">
      <xdr:nvSpPr>
        <xdr:cNvPr id="408695" name="Line 131"/>
        <xdr:cNvSpPr>
          <a:spLocks noChangeShapeType="1"/>
        </xdr:cNvSpPr>
      </xdr:nvSpPr>
      <xdr:spPr bwMode="auto">
        <a:xfrm>
          <a:off x="4629150" y="57054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276225</xdr:colOff>
      <xdr:row>67</xdr:row>
      <xdr:rowOff>0</xdr:rowOff>
    </xdr:from>
    <xdr:to>
      <xdr:col>7</xdr:col>
      <xdr:colOff>276225</xdr:colOff>
      <xdr:row>67</xdr:row>
      <xdr:rowOff>114300</xdr:rowOff>
    </xdr:to>
    <xdr:sp macro="" textlink="">
      <xdr:nvSpPr>
        <xdr:cNvPr id="408696" name="Line 132"/>
        <xdr:cNvSpPr>
          <a:spLocks noChangeShapeType="1"/>
        </xdr:cNvSpPr>
      </xdr:nvSpPr>
      <xdr:spPr bwMode="auto">
        <a:xfrm flipV="1">
          <a:off x="4638675" y="60293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209550</xdr:colOff>
      <xdr:row>66</xdr:row>
      <xdr:rowOff>0</xdr:rowOff>
    </xdr:from>
    <xdr:to>
      <xdr:col>7</xdr:col>
      <xdr:colOff>342900</xdr:colOff>
      <xdr:row>66</xdr:row>
      <xdr:rowOff>0</xdr:rowOff>
    </xdr:to>
    <xdr:sp macro="" textlink="">
      <xdr:nvSpPr>
        <xdr:cNvPr id="408697" name="Line 133"/>
        <xdr:cNvSpPr>
          <a:spLocks noChangeShapeType="1"/>
        </xdr:cNvSpPr>
      </xdr:nvSpPr>
      <xdr:spPr bwMode="auto">
        <a:xfrm>
          <a:off x="4572000" y="58674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219075</xdr:colOff>
      <xdr:row>67</xdr:row>
      <xdr:rowOff>0</xdr:rowOff>
    </xdr:from>
    <xdr:to>
      <xdr:col>7</xdr:col>
      <xdr:colOff>352425</xdr:colOff>
      <xdr:row>67</xdr:row>
      <xdr:rowOff>9525</xdr:rowOff>
    </xdr:to>
    <xdr:sp macro="" textlink="">
      <xdr:nvSpPr>
        <xdr:cNvPr id="408698" name="Line 134"/>
        <xdr:cNvSpPr>
          <a:spLocks noChangeShapeType="1"/>
        </xdr:cNvSpPr>
      </xdr:nvSpPr>
      <xdr:spPr bwMode="auto">
        <a:xfrm>
          <a:off x="4581525" y="6029325"/>
          <a:ext cx="1333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209550</xdr:colOff>
      <xdr:row>70</xdr:row>
      <xdr:rowOff>0</xdr:rowOff>
    </xdr:from>
    <xdr:to>
      <xdr:col>7</xdr:col>
      <xdr:colOff>333375</xdr:colOff>
      <xdr:row>70</xdr:row>
      <xdr:rowOff>0</xdr:rowOff>
    </xdr:to>
    <xdr:sp macro="" textlink="">
      <xdr:nvSpPr>
        <xdr:cNvPr id="408699" name="Line 135"/>
        <xdr:cNvSpPr>
          <a:spLocks noChangeShapeType="1"/>
        </xdr:cNvSpPr>
      </xdr:nvSpPr>
      <xdr:spPr bwMode="auto">
        <a:xfrm>
          <a:off x="4572000" y="651510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219075</xdr:colOff>
      <xdr:row>71</xdr:row>
      <xdr:rowOff>0</xdr:rowOff>
    </xdr:from>
    <xdr:to>
      <xdr:col>7</xdr:col>
      <xdr:colOff>361950</xdr:colOff>
      <xdr:row>71</xdr:row>
      <xdr:rowOff>0</xdr:rowOff>
    </xdr:to>
    <xdr:sp macro="" textlink="">
      <xdr:nvSpPr>
        <xdr:cNvPr id="408700" name="Line 136"/>
        <xdr:cNvSpPr>
          <a:spLocks noChangeShapeType="1"/>
        </xdr:cNvSpPr>
      </xdr:nvSpPr>
      <xdr:spPr bwMode="auto">
        <a:xfrm>
          <a:off x="4581525" y="66770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219075</xdr:colOff>
      <xdr:row>73</xdr:row>
      <xdr:rowOff>152400</xdr:rowOff>
    </xdr:from>
    <xdr:to>
      <xdr:col>7</xdr:col>
      <xdr:colOff>361950</xdr:colOff>
      <xdr:row>74</xdr:row>
      <xdr:rowOff>0</xdr:rowOff>
    </xdr:to>
    <xdr:sp macro="" textlink="">
      <xdr:nvSpPr>
        <xdr:cNvPr id="408701" name="Line 137"/>
        <xdr:cNvSpPr>
          <a:spLocks noChangeShapeType="1"/>
        </xdr:cNvSpPr>
      </xdr:nvSpPr>
      <xdr:spPr bwMode="auto">
        <a:xfrm flipV="1">
          <a:off x="4581525" y="7153275"/>
          <a:ext cx="1428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209550</xdr:colOff>
      <xdr:row>75</xdr:row>
      <xdr:rowOff>0</xdr:rowOff>
    </xdr:from>
    <xdr:to>
      <xdr:col>7</xdr:col>
      <xdr:colOff>361950</xdr:colOff>
      <xdr:row>75</xdr:row>
      <xdr:rowOff>0</xdr:rowOff>
    </xdr:to>
    <xdr:sp macro="" textlink="">
      <xdr:nvSpPr>
        <xdr:cNvPr id="408702" name="Line 138"/>
        <xdr:cNvSpPr>
          <a:spLocks noChangeShapeType="1"/>
        </xdr:cNvSpPr>
      </xdr:nvSpPr>
      <xdr:spPr bwMode="auto">
        <a:xfrm>
          <a:off x="4572000" y="73247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200025</xdr:colOff>
      <xdr:row>77</xdr:row>
      <xdr:rowOff>152400</xdr:rowOff>
    </xdr:from>
    <xdr:to>
      <xdr:col>7</xdr:col>
      <xdr:colOff>333375</xdr:colOff>
      <xdr:row>78</xdr:row>
      <xdr:rowOff>0</xdr:rowOff>
    </xdr:to>
    <xdr:sp macro="" textlink="">
      <xdr:nvSpPr>
        <xdr:cNvPr id="408703" name="Line 139"/>
        <xdr:cNvSpPr>
          <a:spLocks noChangeShapeType="1"/>
        </xdr:cNvSpPr>
      </xdr:nvSpPr>
      <xdr:spPr bwMode="auto">
        <a:xfrm>
          <a:off x="4562475" y="7800975"/>
          <a:ext cx="1333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200025</xdr:colOff>
      <xdr:row>79</xdr:row>
      <xdr:rowOff>9525</xdr:rowOff>
    </xdr:from>
    <xdr:to>
      <xdr:col>7</xdr:col>
      <xdr:colOff>371475</xdr:colOff>
      <xdr:row>79</xdr:row>
      <xdr:rowOff>9525</xdr:rowOff>
    </xdr:to>
    <xdr:sp macro="" textlink="">
      <xdr:nvSpPr>
        <xdr:cNvPr id="408704" name="Line 140"/>
        <xdr:cNvSpPr>
          <a:spLocks noChangeShapeType="1"/>
        </xdr:cNvSpPr>
      </xdr:nvSpPr>
      <xdr:spPr bwMode="auto">
        <a:xfrm flipV="1">
          <a:off x="4562475" y="79819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78</xdr:row>
      <xdr:rowOff>9525</xdr:rowOff>
    </xdr:from>
    <xdr:to>
      <xdr:col>4</xdr:col>
      <xdr:colOff>9525</xdr:colOff>
      <xdr:row>78</xdr:row>
      <xdr:rowOff>152400</xdr:rowOff>
    </xdr:to>
    <xdr:sp macro="" textlink="">
      <xdr:nvSpPr>
        <xdr:cNvPr id="408705" name="Line 141"/>
        <xdr:cNvSpPr>
          <a:spLocks noChangeShapeType="1"/>
        </xdr:cNvSpPr>
      </xdr:nvSpPr>
      <xdr:spPr bwMode="auto">
        <a:xfrm>
          <a:off x="2543175" y="78200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276225</xdr:colOff>
      <xdr:row>69</xdr:row>
      <xdr:rowOff>0</xdr:rowOff>
    </xdr:from>
    <xdr:to>
      <xdr:col>4</xdr:col>
      <xdr:colOff>276225</xdr:colOff>
      <xdr:row>70</xdr:row>
      <xdr:rowOff>9525</xdr:rowOff>
    </xdr:to>
    <xdr:sp macro="" textlink="">
      <xdr:nvSpPr>
        <xdr:cNvPr id="408706" name="Line 142"/>
        <xdr:cNvSpPr>
          <a:spLocks noChangeShapeType="1"/>
        </xdr:cNvSpPr>
      </xdr:nvSpPr>
      <xdr:spPr bwMode="auto">
        <a:xfrm>
          <a:off x="2809875" y="635317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276225</xdr:colOff>
      <xdr:row>70</xdr:row>
      <xdr:rowOff>152400</xdr:rowOff>
    </xdr:from>
    <xdr:to>
      <xdr:col>4</xdr:col>
      <xdr:colOff>276225</xdr:colOff>
      <xdr:row>72</xdr:row>
      <xdr:rowOff>9525</xdr:rowOff>
    </xdr:to>
    <xdr:sp macro="" textlink="">
      <xdr:nvSpPr>
        <xdr:cNvPr id="408707" name="Line 143"/>
        <xdr:cNvSpPr>
          <a:spLocks noChangeShapeType="1"/>
        </xdr:cNvSpPr>
      </xdr:nvSpPr>
      <xdr:spPr bwMode="auto">
        <a:xfrm flipV="1">
          <a:off x="2809875" y="666750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276225</xdr:colOff>
      <xdr:row>73</xdr:row>
      <xdr:rowOff>47625</xdr:rowOff>
    </xdr:from>
    <xdr:to>
      <xdr:col>4</xdr:col>
      <xdr:colOff>276225</xdr:colOff>
      <xdr:row>74</xdr:row>
      <xdr:rowOff>9525</xdr:rowOff>
    </xdr:to>
    <xdr:sp macro="" textlink="">
      <xdr:nvSpPr>
        <xdr:cNvPr id="408708" name="Line 144"/>
        <xdr:cNvSpPr>
          <a:spLocks noChangeShapeType="1"/>
        </xdr:cNvSpPr>
      </xdr:nvSpPr>
      <xdr:spPr bwMode="auto">
        <a:xfrm>
          <a:off x="2809875" y="70485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276225</xdr:colOff>
      <xdr:row>75</xdr:row>
      <xdr:rowOff>9525</xdr:rowOff>
    </xdr:from>
    <xdr:to>
      <xdr:col>4</xdr:col>
      <xdr:colOff>285750</xdr:colOff>
      <xdr:row>75</xdr:row>
      <xdr:rowOff>142875</xdr:rowOff>
    </xdr:to>
    <xdr:sp macro="" textlink="">
      <xdr:nvSpPr>
        <xdr:cNvPr id="408709" name="Line 145"/>
        <xdr:cNvSpPr>
          <a:spLocks noChangeShapeType="1"/>
        </xdr:cNvSpPr>
      </xdr:nvSpPr>
      <xdr:spPr bwMode="auto">
        <a:xfrm flipH="1" flipV="1">
          <a:off x="2809875" y="7334250"/>
          <a:ext cx="952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276225</xdr:colOff>
      <xdr:row>77</xdr:row>
      <xdr:rowOff>9525</xdr:rowOff>
    </xdr:from>
    <xdr:to>
      <xdr:col>4</xdr:col>
      <xdr:colOff>285750</xdr:colOff>
      <xdr:row>78</xdr:row>
      <xdr:rowOff>9525</xdr:rowOff>
    </xdr:to>
    <xdr:sp macro="" textlink="">
      <xdr:nvSpPr>
        <xdr:cNvPr id="408710" name="Line 146"/>
        <xdr:cNvSpPr>
          <a:spLocks noChangeShapeType="1"/>
        </xdr:cNvSpPr>
      </xdr:nvSpPr>
      <xdr:spPr bwMode="auto">
        <a:xfrm flipH="1">
          <a:off x="2809875" y="7658100"/>
          <a:ext cx="952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276225</xdr:colOff>
      <xdr:row>79</xdr:row>
      <xdr:rowOff>0</xdr:rowOff>
    </xdr:from>
    <xdr:to>
      <xdr:col>4</xdr:col>
      <xdr:colOff>276225</xdr:colOff>
      <xdr:row>80</xdr:row>
      <xdr:rowOff>0</xdr:rowOff>
    </xdr:to>
    <xdr:sp macro="" textlink="">
      <xdr:nvSpPr>
        <xdr:cNvPr id="408711" name="Line 147"/>
        <xdr:cNvSpPr>
          <a:spLocks noChangeShapeType="1"/>
        </xdr:cNvSpPr>
      </xdr:nvSpPr>
      <xdr:spPr bwMode="auto">
        <a:xfrm flipV="1">
          <a:off x="2809875" y="79724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266700</xdr:colOff>
      <xdr:row>65</xdr:row>
      <xdr:rowOff>0</xdr:rowOff>
    </xdr:from>
    <xdr:to>
      <xdr:col>4</xdr:col>
      <xdr:colOff>266700</xdr:colOff>
      <xdr:row>65</xdr:row>
      <xdr:rowOff>152400</xdr:rowOff>
    </xdr:to>
    <xdr:sp macro="" textlink="">
      <xdr:nvSpPr>
        <xdr:cNvPr id="408712" name="Line 148"/>
        <xdr:cNvSpPr>
          <a:spLocks noChangeShapeType="1"/>
        </xdr:cNvSpPr>
      </xdr:nvSpPr>
      <xdr:spPr bwMode="auto">
        <a:xfrm>
          <a:off x="2800350" y="57054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276225</xdr:colOff>
      <xdr:row>67</xdr:row>
      <xdr:rowOff>0</xdr:rowOff>
    </xdr:from>
    <xdr:to>
      <xdr:col>4</xdr:col>
      <xdr:colOff>276225</xdr:colOff>
      <xdr:row>67</xdr:row>
      <xdr:rowOff>114300</xdr:rowOff>
    </xdr:to>
    <xdr:sp macro="" textlink="">
      <xdr:nvSpPr>
        <xdr:cNvPr id="408713" name="Line 149"/>
        <xdr:cNvSpPr>
          <a:spLocks noChangeShapeType="1"/>
        </xdr:cNvSpPr>
      </xdr:nvSpPr>
      <xdr:spPr bwMode="auto">
        <a:xfrm flipV="1">
          <a:off x="2809875" y="60293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209550</xdr:colOff>
      <xdr:row>66</xdr:row>
      <xdr:rowOff>0</xdr:rowOff>
    </xdr:from>
    <xdr:to>
      <xdr:col>4</xdr:col>
      <xdr:colOff>342900</xdr:colOff>
      <xdr:row>66</xdr:row>
      <xdr:rowOff>0</xdr:rowOff>
    </xdr:to>
    <xdr:sp macro="" textlink="">
      <xdr:nvSpPr>
        <xdr:cNvPr id="408714" name="Line 150"/>
        <xdr:cNvSpPr>
          <a:spLocks noChangeShapeType="1"/>
        </xdr:cNvSpPr>
      </xdr:nvSpPr>
      <xdr:spPr bwMode="auto">
        <a:xfrm>
          <a:off x="2743200" y="58674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67</xdr:row>
      <xdr:rowOff>0</xdr:rowOff>
    </xdr:from>
    <xdr:to>
      <xdr:col>4</xdr:col>
      <xdr:colOff>352425</xdr:colOff>
      <xdr:row>67</xdr:row>
      <xdr:rowOff>9525</xdr:rowOff>
    </xdr:to>
    <xdr:sp macro="" textlink="">
      <xdr:nvSpPr>
        <xdr:cNvPr id="408715" name="Line 151"/>
        <xdr:cNvSpPr>
          <a:spLocks noChangeShapeType="1"/>
        </xdr:cNvSpPr>
      </xdr:nvSpPr>
      <xdr:spPr bwMode="auto">
        <a:xfrm>
          <a:off x="2752725" y="6029325"/>
          <a:ext cx="1333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209550</xdr:colOff>
      <xdr:row>70</xdr:row>
      <xdr:rowOff>0</xdr:rowOff>
    </xdr:from>
    <xdr:to>
      <xdr:col>4</xdr:col>
      <xdr:colOff>333375</xdr:colOff>
      <xdr:row>70</xdr:row>
      <xdr:rowOff>0</xdr:rowOff>
    </xdr:to>
    <xdr:sp macro="" textlink="">
      <xdr:nvSpPr>
        <xdr:cNvPr id="408716" name="Line 152"/>
        <xdr:cNvSpPr>
          <a:spLocks noChangeShapeType="1"/>
        </xdr:cNvSpPr>
      </xdr:nvSpPr>
      <xdr:spPr bwMode="auto">
        <a:xfrm>
          <a:off x="2743200" y="651510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71</xdr:row>
      <xdr:rowOff>0</xdr:rowOff>
    </xdr:from>
    <xdr:to>
      <xdr:col>4</xdr:col>
      <xdr:colOff>361950</xdr:colOff>
      <xdr:row>71</xdr:row>
      <xdr:rowOff>0</xdr:rowOff>
    </xdr:to>
    <xdr:sp macro="" textlink="">
      <xdr:nvSpPr>
        <xdr:cNvPr id="408717" name="Line 153"/>
        <xdr:cNvSpPr>
          <a:spLocks noChangeShapeType="1"/>
        </xdr:cNvSpPr>
      </xdr:nvSpPr>
      <xdr:spPr bwMode="auto">
        <a:xfrm>
          <a:off x="2752725" y="66770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73</xdr:row>
      <xdr:rowOff>152400</xdr:rowOff>
    </xdr:from>
    <xdr:to>
      <xdr:col>4</xdr:col>
      <xdr:colOff>361950</xdr:colOff>
      <xdr:row>74</xdr:row>
      <xdr:rowOff>0</xdr:rowOff>
    </xdr:to>
    <xdr:sp macro="" textlink="">
      <xdr:nvSpPr>
        <xdr:cNvPr id="408718" name="Line 154"/>
        <xdr:cNvSpPr>
          <a:spLocks noChangeShapeType="1"/>
        </xdr:cNvSpPr>
      </xdr:nvSpPr>
      <xdr:spPr bwMode="auto">
        <a:xfrm flipV="1">
          <a:off x="2752725" y="7153275"/>
          <a:ext cx="1428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209550</xdr:colOff>
      <xdr:row>75</xdr:row>
      <xdr:rowOff>0</xdr:rowOff>
    </xdr:from>
    <xdr:to>
      <xdr:col>4</xdr:col>
      <xdr:colOff>361950</xdr:colOff>
      <xdr:row>75</xdr:row>
      <xdr:rowOff>0</xdr:rowOff>
    </xdr:to>
    <xdr:sp macro="" textlink="">
      <xdr:nvSpPr>
        <xdr:cNvPr id="408719" name="Line 155"/>
        <xdr:cNvSpPr>
          <a:spLocks noChangeShapeType="1"/>
        </xdr:cNvSpPr>
      </xdr:nvSpPr>
      <xdr:spPr bwMode="auto">
        <a:xfrm>
          <a:off x="2743200" y="73247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200025</xdr:colOff>
      <xdr:row>77</xdr:row>
      <xdr:rowOff>152400</xdr:rowOff>
    </xdr:from>
    <xdr:to>
      <xdr:col>4</xdr:col>
      <xdr:colOff>333375</xdr:colOff>
      <xdr:row>78</xdr:row>
      <xdr:rowOff>0</xdr:rowOff>
    </xdr:to>
    <xdr:sp macro="" textlink="">
      <xdr:nvSpPr>
        <xdr:cNvPr id="408720" name="Line 156"/>
        <xdr:cNvSpPr>
          <a:spLocks noChangeShapeType="1"/>
        </xdr:cNvSpPr>
      </xdr:nvSpPr>
      <xdr:spPr bwMode="auto">
        <a:xfrm>
          <a:off x="2733675" y="7800975"/>
          <a:ext cx="1333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200025</xdr:colOff>
      <xdr:row>79</xdr:row>
      <xdr:rowOff>9525</xdr:rowOff>
    </xdr:from>
    <xdr:to>
      <xdr:col>4</xdr:col>
      <xdr:colOff>371475</xdr:colOff>
      <xdr:row>79</xdr:row>
      <xdr:rowOff>9525</xdr:rowOff>
    </xdr:to>
    <xdr:sp macro="" textlink="">
      <xdr:nvSpPr>
        <xdr:cNvPr id="408721" name="Line 157"/>
        <xdr:cNvSpPr>
          <a:spLocks noChangeShapeType="1"/>
        </xdr:cNvSpPr>
      </xdr:nvSpPr>
      <xdr:spPr bwMode="auto">
        <a:xfrm flipV="1">
          <a:off x="2733675" y="79819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276225</xdr:colOff>
      <xdr:row>69</xdr:row>
      <xdr:rowOff>0</xdr:rowOff>
    </xdr:from>
    <xdr:to>
      <xdr:col>1</xdr:col>
      <xdr:colOff>276225</xdr:colOff>
      <xdr:row>70</xdr:row>
      <xdr:rowOff>9525</xdr:rowOff>
    </xdr:to>
    <xdr:sp macro="" textlink="">
      <xdr:nvSpPr>
        <xdr:cNvPr id="408722" name="Line 159"/>
        <xdr:cNvSpPr>
          <a:spLocks noChangeShapeType="1"/>
        </xdr:cNvSpPr>
      </xdr:nvSpPr>
      <xdr:spPr bwMode="auto">
        <a:xfrm>
          <a:off x="885825" y="635317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70</xdr:row>
      <xdr:rowOff>152400</xdr:rowOff>
    </xdr:from>
    <xdr:to>
      <xdr:col>1</xdr:col>
      <xdr:colOff>276225</xdr:colOff>
      <xdr:row>72</xdr:row>
      <xdr:rowOff>9525</xdr:rowOff>
    </xdr:to>
    <xdr:sp macro="" textlink="">
      <xdr:nvSpPr>
        <xdr:cNvPr id="408723" name="Line 160"/>
        <xdr:cNvSpPr>
          <a:spLocks noChangeShapeType="1"/>
        </xdr:cNvSpPr>
      </xdr:nvSpPr>
      <xdr:spPr bwMode="auto">
        <a:xfrm flipV="1">
          <a:off x="885825" y="666750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73</xdr:row>
      <xdr:rowOff>47625</xdr:rowOff>
    </xdr:from>
    <xdr:to>
      <xdr:col>1</xdr:col>
      <xdr:colOff>276225</xdr:colOff>
      <xdr:row>74</xdr:row>
      <xdr:rowOff>9525</xdr:rowOff>
    </xdr:to>
    <xdr:sp macro="" textlink="">
      <xdr:nvSpPr>
        <xdr:cNvPr id="408724" name="Line 161"/>
        <xdr:cNvSpPr>
          <a:spLocks noChangeShapeType="1"/>
        </xdr:cNvSpPr>
      </xdr:nvSpPr>
      <xdr:spPr bwMode="auto">
        <a:xfrm>
          <a:off x="885825" y="70485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75</xdr:row>
      <xdr:rowOff>9525</xdr:rowOff>
    </xdr:from>
    <xdr:to>
      <xdr:col>1</xdr:col>
      <xdr:colOff>285750</xdr:colOff>
      <xdr:row>75</xdr:row>
      <xdr:rowOff>142875</xdr:rowOff>
    </xdr:to>
    <xdr:sp macro="" textlink="">
      <xdr:nvSpPr>
        <xdr:cNvPr id="408725" name="Line 162"/>
        <xdr:cNvSpPr>
          <a:spLocks noChangeShapeType="1"/>
        </xdr:cNvSpPr>
      </xdr:nvSpPr>
      <xdr:spPr bwMode="auto">
        <a:xfrm flipH="1" flipV="1">
          <a:off x="885825" y="7334250"/>
          <a:ext cx="952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77</xdr:row>
      <xdr:rowOff>9525</xdr:rowOff>
    </xdr:from>
    <xdr:to>
      <xdr:col>1</xdr:col>
      <xdr:colOff>285750</xdr:colOff>
      <xdr:row>78</xdr:row>
      <xdr:rowOff>9525</xdr:rowOff>
    </xdr:to>
    <xdr:sp macro="" textlink="">
      <xdr:nvSpPr>
        <xdr:cNvPr id="408726" name="Line 163"/>
        <xdr:cNvSpPr>
          <a:spLocks noChangeShapeType="1"/>
        </xdr:cNvSpPr>
      </xdr:nvSpPr>
      <xdr:spPr bwMode="auto">
        <a:xfrm flipH="1">
          <a:off x="885825" y="7658100"/>
          <a:ext cx="952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79</xdr:row>
      <xdr:rowOff>0</xdr:rowOff>
    </xdr:from>
    <xdr:to>
      <xdr:col>1</xdr:col>
      <xdr:colOff>276225</xdr:colOff>
      <xdr:row>80</xdr:row>
      <xdr:rowOff>0</xdr:rowOff>
    </xdr:to>
    <xdr:sp macro="" textlink="">
      <xdr:nvSpPr>
        <xdr:cNvPr id="408727" name="Line 164"/>
        <xdr:cNvSpPr>
          <a:spLocks noChangeShapeType="1"/>
        </xdr:cNvSpPr>
      </xdr:nvSpPr>
      <xdr:spPr bwMode="auto">
        <a:xfrm flipV="1">
          <a:off x="885825" y="79724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266700</xdr:colOff>
      <xdr:row>65</xdr:row>
      <xdr:rowOff>0</xdr:rowOff>
    </xdr:from>
    <xdr:to>
      <xdr:col>1</xdr:col>
      <xdr:colOff>266700</xdr:colOff>
      <xdr:row>65</xdr:row>
      <xdr:rowOff>152400</xdr:rowOff>
    </xdr:to>
    <xdr:sp macro="" textlink="">
      <xdr:nvSpPr>
        <xdr:cNvPr id="408728" name="Line 165"/>
        <xdr:cNvSpPr>
          <a:spLocks noChangeShapeType="1"/>
        </xdr:cNvSpPr>
      </xdr:nvSpPr>
      <xdr:spPr bwMode="auto">
        <a:xfrm>
          <a:off x="876300" y="57054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67</xdr:row>
      <xdr:rowOff>0</xdr:rowOff>
    </xdr:from>
    <xdr:to>
      <xdr:col>1</xdr:col>
      <xdr:colOff>276225</xdr:colOff>
      <xdr:row>67</xdr:row>
      <xdr:rowOff>114300</xdr:rowOff>
    </xdr:to>
    <xdr:sp macro="" textlink="">
      <xdr:nvSpPr>
        <xdr:cNvPr id="408729" name="Line 166"/>
        <xdr:cNvSpPr>
          <a:spLocks noChangeShapeType="1"/>
        </xdr:cNvSpPr>
      </xdr:nvSpPr>
      <xdr:spPr bwMode="auto">
        <a:xfrm flipV="1">
          <a:off x="885825" y="60293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209550</xdr:colOff>
      <xdr:row>66</xdr:row>
      <xdr:rowOff>0</xdr:rowOff>
    </xdr:from>
    <xdr:to>
      <xdr:col>1</xdr:col>
      <xdr:colOff>342900</xdr:colOff>
      <xdr:row>66</xdr:row>
      <xdr:rowOff>0</xdr:rowOff>
    </xdr:to>
    <xdr:sp macro="" textlink="">
      <xdr:nvSpPr>
        <xdr:cNvPr id="408730" name="Line 167"/>
        <xdr:cNvSpPr>
          <a:spLocks noChangeShapeType="1"/>
        </xdr:cNvSpPr>
      </xdr:nvSpPr>
      <xdr:spPr bwMode="auto">
        <a:xfrm>
          <a:off x="819150" y="58674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67</xdr:row>
      <xdr:rowOff>0</xdr:rowOff>
    </xdr:from>
    <xdr:to>
      <xdr:col>1</xdr:col>
      <xdr:colOff>352425</xdr:colOff>
      <xdr:row>67</xdr:row>
      <xdr:rowOff>9525</xdr:rowOff>
    </xdr:to>
    <xdr:sp macro="" textlink="">
      <xdr:nvSpPr>
        <xdr:cNvPr id="408731" name="Line 168"/>
        <xdr:cNvSpPr>
          <a:spLocks noChangeShapeType="1"/>
        </xdr:cNvSpPr>
      </xdr:nvSpPr>
      <xdr:spPr bwMode="auto">
        <a:xfrm>
          <a:off x="828675" y="6029325"/>
          <a:ext cx="1333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209550</xdr:colOff>
      <xdr:row>70</xdr:row>
      <xdr:rowOff>0</xdr:rowOff>
    </xdr:from>
    <xdr:to>
      <xdr:col>1</xdr:col>
      <xdr:colOff>333375</xdr:colOff>
      <xdr:row>70</xdr:row>
      <xdr:rowOff>0</xdr:rowOff>
    </xdr:to>
    <xdr:sp macro="" textlink="">
      <xdr:nvSpPr>
        <xdr:cNvPr id="408732" name="Line 169"/>
        <xdr:cNvSpPr>
          <a:spLocks noChangeShapeType="1"/>
        </xdr:cNvSpPr>
      </xdr:nvSpPr>
      <xdr:spPr bwMode="auto">
        <a:xfrm>
          <a:off x="819150" y="651510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71</xdr:row>
      <xdr:rowOff>0</xdr:rowOff>
    </xdr:from>
    <xdr:to>
      <xdr:col>1</xdr:col>
      <xdr:colOff>361950</xdr:colOff>
      <xdr:row>71</xdr:row>
      <xdr:rowOff>0</xdr:rowOff>
    </xdr:to>
    <xdr:sp macro="" textlink="">
      <xdr:nvSpPr>
        <xdr:cNvPr id="408733" name="Line 170"/>
        <xdr:cNvSpPr>
          <a:spLocks noChangeShapeType="1"/>
        </xdr:cNvSpPr>
      </xdr:nvSpPr>
      <xdr:spPr bwMode="auto">
        <a:xfrm>
          <a:off x="828675" y="66770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73</xdr:row>
      <xdr:rowOff>152400</xdr:rowOff>
    </xdr:from>
    <xdr:to>
      <xdr:col>1</xdr:col>
      <xdr:colOff>361950</xdr:colOff>
      <xdr:row>74</xdr:row>
      <xdr:rowOff>0</xdr:rowOff>
    </xdr:to>
    <xdr:sp macro="" textlink="">
      <xdr:nvSpPr>
        <xdr:cNvPr id="408734" name="Line 171"/>
        <xdr:cNvSpPr>
          <a:spLocks noChangeShapeType="1"/>
        </xdr:cNvSpPr>
      </xdr:nvSpPr>
      <xdr:spPr bwMode="auto">
        <a:xfrm flipV="1">
          <a:off x="828675" y="7153275"/>
          <a:ext cx="1428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209550</xdr:colOff>
      <xdr:row>75</xdr:row>
      <xdr:rowOff>0</xdr:rowOff>
    </xdr:from>
    <xdr:to>
      <xdr:col>1</xdr:col>
      <xdr:colOff>361950</xdr:colOff>
      <xdr:row>75</xdr:row>
      <xdr:rowOff>0</xdr:rowOff>
    </xdr:to>
    <xdr:sp macro="" textlink="">
      <xdr:nvSpPr>
        <xdr:cNvPr id="408735" name="Line 172"/>
        <xdr:cNvSpPr>
          <a:spLocks noChangeShapeType="1"/>
        </xdr:cNvSpPr>
      </xdr:nvSpPr>
      <xdr:spPr bwMode="auto">
        <a:xfrm>
          <a:off x="819150" y="73247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200025</xdr:colOff>
      <xdr:row>77</xdr:row>
      <xdr:rowOff>152400</xdr:rowOff>
    </xdr:from>
    <xdr:to>
      <xdr:col>1</xdr:col>
      <xdr:colOff>333375</xdr:colOff>
      <xdr:row>78</xdr:row>
      <xdr:rowOff>0</xdr:rowOff>
    </xdr:to>
    <xdr:sp macro="" textlink="">
      <xdr:nvSpPr>
        <xdr:cNvPr id="408736" name="Line 173"/>
        <xdr:cNvSpPr>
          <a:spLocks noChangeShapeType="1"/>
        </xdr:cNvSpPr>
      </xdr:nvSpPr>
      <xdr:spPr bwMode="auto">
        <a:xfrm>
          <a:off x="809625" y="7800975"/>
          <a:ext cx="1333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200025</xdr:colOff>
      <xdr:row>79</xdr:row>
      <xdr:rowOff>9525</xdr:rowOff>
    </xdr:from>
    <xdr:to>
      <xdr:col>1</xdr:col>
      <xdr:colOff>371475</xdr:colOff>
      <xdr:row>79</xdr:row>
      <xdr:rowOff>9525</xdr:rowOff>
    </xdr:to>
    <xdr:sp macro="" textlink="">
      <xdr:nvSpPr>
        <xdr:cNvPr id="408737" name="Line 174"/>
        <xdr:cNvSpPr>
          <a:spLocks noChangeShapeType="1"/>
        </xdr:cNvSpPr>
      </xdr:nvSpPr>
      <xdr:spPr bwMode="auto">
        <a:xfrm flipV="1">
          <a:off x="809625" y="79819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276225</xdr:colOff>
      <xdr:row>69</xdr:row>
      <xdr:rowOff>0</xdr:rowOff>
    </xdr:from>
    <xdr:to>
      <xdr:col>1</xdr:col>
      <xdr:colOff>276225</xdr:colOff>
      <xdr:row>70</xdr:row>
      <xdr:rowOff>9525</xdr:rowOff>
    </xdr:to>
    <xdr:sp macro="" textlink="">
      <xdr:nvSpPr>
        <xdr:cNvPr id="408738" name="Line 176"/>
        <xdr:cNvSpPr>
          <a:spLocks noChangeShapeType="1"/>
        </xdr:cNvSpPr>
      </xdr:nvSpPr>
      <xdr:spPr bwMode="auto">
        <a:xfrm>
          <a:off x="885825" y="635317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70</xdr:row>
      <xdr:rowOff>152400</xdr:rowOff>
    </xdr:from>
    <xdr:to>
      <xdr:col>1</xdr:col>
      <xdr:colOff>276225</xdr:colOff>
      <xdr:row>72</xdr:row>
      <xdr:rowOff>9525</xdr:rowOff>
    </xdr:to>
    <xdr:sp macro="" textlink="">
      <xdr:nvSpPr>
        <xdr:cNvPr id="408739" name="Line 177"/>
        <xdr:cNvSpPr>
          <a:spLocks noChangeShapeType="1"/>
        </xdr:cNvSpPr>
      </xdr:nvSpPr>
      <xdr:spPr bwMode="auto">
        <a:xfrm flipV="1">
          <a:off x="885825" y="666750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73</xdr:row>
      <xdr:rowOff>47625</xdr:rowOff>
    </xdr:from>
    <xdr:to>
      <xdr:col>1</xdr:col>
      <xdr:colOff>276225</xdr:colOff>
      <xdr:row>74</xdr:row>
      <xdr:rowOff>9525</xdr:rowOff>
    </xdr:to>
    <xdr:sp macro="" textlink="">
      <xdr:nvSpPr>
        <xdr:cNvPr id="408740" name="Line 178"/>
        <xdr:cNvSpPr>
          <a:spLocks noChangeShapeType="1"/>
        </xdr:cNvSpPr>
      </xdr:nvSpPr>
      <xdr:spPr bwMode="auto">
        <a:xfrm>
          <a:off x="885825" y="70485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75</xdr:row>
      <xdr:rowOff>9525</xdr:rowOff>
    </xdr:from>
    <xdr:to>
      <xdr:col>1</xdr:col>
      <xdr:colOff>285750</xdr:colOff>
      <xdr:row>75</xdr:row>
      <xdr:rowOff>142875</xdr:rowOff>
    </xdr:to>
    <xdr:sp macro="" textlink="">
      <xdr:nvSpPr>
        <xdr:cNvPr id="408741" name="Line 179"/>
        <xdr:cNvSpPr>
          <a:spLocks noChangeShapeType="1"/>
        </xdr:cNvSpPr>
      </xdr:nvSpPr>
      <xdr:spPr bwMode="auto">
        <a:xfrm flipH="1" flipV="1">
          <a:off x="885825" y="7334250"/>
          <a:ext cx="952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77</xdr:row>
      <xdr:rowOff>9525</xdr:rowOff>
    </xdr:from>
    <xdr:to>
      <xdr:col>1</xdr:col>
      <xdr:colOff>285750</xdr:colOff>
      <xdr:row>78</xdr:row>
      <xdr:rowOff>9525</xdr:rowOff>
    </xdr:to>
    <xdr:sp macro="" textlink="">
      <xdr:nvSpPr>
        <xdr:cNvPr id="408742" name="Line 180"/>
        <xdr:cNvSpPr>
          <a:spLocks noChangeShapeType="1"/>
        </xdr:cNvSpPr>
      </xdr:nvSpPr>
      <xdr:spPr bwMode="auto">
        <a:xfrm flipH="1">
          <a:off x="885825" y="7658100"/>
          <a:ext cx="952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79</xdr:row>
      <xdr:rowOff>0</xdr:rowOff>
    </xdr:from>
    <xdr:to>
      <xdr:col>1</xdr:col>
      <xdr:colOff>276225</xdr:colOff>
      <xdr:row>80</xdr:row>
      <xdr:rowOff>0</xdr:rowOff>
    </xdr:to>
    <xdr:sp macro="" textlink="">
      <xdr:nvSpPr>
        <xdr:cNvPr id="408743" name="Line 181"/>
        <xdr:cNvSpPr>
          <a:spLocks noChangeShapeType="1"/>
        </xdr:cNvSpPr>
      </xdr:nvSpPr>
      <xdr:spPr bwMode="auto">
        <a:xfrm flipV="1">
          <a:off x="885825" y="79724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266700</xdr:colOff>
      <xdr:row>65</xdr:row>
      <xdr:rowOff>0</xdr:rowOff>
    </xdr:from>
    <xdr:to>
      <xdr:col>1</xdr:col>
      <xdr:colOff>266700</xdr:colOff>
      <xdr:row>65</xdr:row>
      <xdr:rowOff>152400</xdr:rowOff>
    </xdr:to>
    <xdr:sp macro="" textlink="">
      <xdr:nvSpPr>
        <xdr:cNvPr id="408744" name="Line 182"/>
        <xdr:cNvSpPr>
          <a:spLocks noChangeShapeType="1"/>
        </xdr:cNvSpPr>
      </xdr:nvSpPr>
      <xdr:spPr bwMode="auto">
        <a:xfrm>
          <a:off x="876300" y="57054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276225</xdr:colOff>
      <xdr:row>67</xdr:row>
      <xdr:rowOff>0</xdr:rowOff>
    </xdr:from>
    <xdr:to>
      <xdr:col>1</xdr:col>
      <xdr:colOff>276225</xdr:colOff>
      <xdr:row>67</xdr:row>
      <xdr:rowOff>114300</xdr:rowOff>
    </xdr:to>
    <xdr:sp macro="" textlink="">
      <xdr:nvSpPr>
        <xdr:cNvPr id="408745" name="Line 183"/>
        <xdr:cNvSpPr>
          <a:spLocks noChangeShapeType="1"/>
        </xdr:cNvSpPr>
      </xdr:nvSpPr>
      <xdr:spPr bwMode="auto">
        <a:xfrm flipV="1">
          <a:off x="885825" y="60293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209550</xdr:colOff>
      <xdr:row>66</xdr:row>
      <xdr:rowOff>0</xdr:rowOff>
    </xdr:from>
    <xdr:to>
      <xdr:col>1</xdr:col>
      <xdr:colOff>342900</xdr:colOff>
      <xdr:row>66</xdr:row>
      <xdr:rowOff>0</xdr:rowOff>
    </xdr:to>
    <xdr:sp macro="" textlink="">
      <xdr:nvSpPr>
        <xdr:cNvPr id="408746" name="Line 184"/>
        <xdr:cNvSpPr>
          <a:spLocks noChangeShapeType="1"/>
        </xdr:cNvSpPr>
      </xdr:nvSpPr>
      <xdr:spPr bwMode="auto">
        <a:xfrm>
          <a:off x="819150" y="58674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67</xdr:row>
      <xdr:rowOff>0</xdr:rowOff>
    </xdr:from>
    <xdr:to>
      <xdr:col>1</xdr:col>
      <xdr:colOff>352425</xdr:colOff>
      <xdr:row>67</xdr:row>
      <xdr:rowOff>9525</xdr:rowOff>
    </xdr:to>
    <xdr:sp macro="" textlink="">
      <xdr:nvSpPr>
        <xdr:cNvPr id="408747" name="Line 185"/>
        <xdr:cNvSpPr>
          <a:spLocks noChangeShapeType="1"/>
        </xdr:cNvSpPr>
      </xdr:nvSpPr>
      <xdr:spPr bwMode="auto">
        <a:xfrm>
          <a:off x="828675" y="6029325"/>
          <a:ext cx="1333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209550</xdr:colOff>
      <xdr:row>70</xdr:row>
      <xdr:rowOff>0</xdr:rowOff>
    </xdr:from>
    <xdr:to>
      <xdr:col>1</xdr:col>
      <xdr:colOff>333375</xdr:colOff>
      <xdr:row>70</xdr:row>
      <xdr:rowOff>0</xdr:rowOff>
    </xdr:to>
    <xdr:sp macro="" textlink="">
      <xdr:nvSpPr>
        <xdr:cNvPr id="408748" name="Line 186"/>
        <xdr:cNvSpPr>
          <a:spLocks noChangeShapeType="1"/>
        </xdr:cNvSpPr>
      </xdr:nvSpPr>
      <xdr:spPr bwMode="auto">
        <a:xfrm>
          <a:off x="819150" y="651510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71</xdr:row>
      <xdr:rowOff>0</xdr:rowOff>
    </xdr:from>
    <xdr:to>
      <xdr:col>1</xdr:col>
      <xdr:colOff>361950</xdr:colOff>
      <xdr:row>71</xdr:row>
      <xdr:rowOff>0</xdr:rowOff>
    </xdr:to>
    <xdr:sp macro="" textlink="">
      <xdr:nvSpPr>
        <xdr:cNvPr id="408749" name="Line 187"/>
        <xdr:cNvSpPr>
          <a:spLocks noChangeShapeType="1"/>
        </xdr:cNvSpPr>
      </xdr:nvSpPr>
      <xdr:spPr bwMode="auto">
        <a:xfrm>
          <a:off x="828675" y="66770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73</xdr:row>
      <xdr:rowOff>152400</xdr:rowOff>
    </xdr:from>
    <xdr:to>
      <xdr:col>1</xdr:col>
      <xdr:colOff>361950</xdr:colOff>
      <xdr:row>74</xdr:row>
      <xdr:rowOff>0</xdr:rowOff>
    </xdr:to>
    <xdr:sp macro="" textlink="">
      <xdr:nvSpPr>
        <xdr:cNvPr id="408750" name="Line 188"/>
        <xdr:cNvSpPr>
          <a:spLocks noChangeShapeType="1"/>
        </xdr:cNvSpPr>
      </xdr:nvSpPr>
      <xdr:spPr bwMode="auto">
        <a:xfrm flipV="1">
          <a:off x="828675" y="7153275"/>
          <a:ext cx="1428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209550</xdr:colOff>
      <xdr:row>75</xdr:row>
      <xdr:rowOff>0</xdr:rowOff>
    </xdr:from>
    <xdr:to>
      <xdr:col>1</xdr:col>
      <xdr:colOff>361950</xdr:colOff>
      <xdr:row>75</xdr:row>
      <xdr:rowOff>0</xdr:rowOff>
    </xdr:to>
    <xdr:sp macro="" textlink="">
      <xdr:nvSpPr>
        <xdr:cNvPr id="408751" name="Line 189"/>
        <xdr:cNvSpPr>
          <a:spLocks noChangeShapeType="1"/>
        </xdr:cNvSpPr>
      </xdr:nvSpPr>
      <xdr:spPr bwMode="auto">
        <a:xfrm>
          <a:off x="819150" y="73247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200025</xdr:colOff>
      <xdr:row>77</xdr:row>
      <xdr:rowOff>152400</xdr:rowOff>
    </xdr:from>
    <xdr:to>
      <xdr:col>1</xdr:col>
      <xdr:colOff>333375</xdr:colOff>
      <xdr:row>78</xdr:row>
      <xdr:rowOff>0</xdr:rowOff>
    </xdr:to>
    <xdr:sp macro="" textlink="">
      <xdr:nvSpPr>
        <xdr:cNvPr id="408752" name="Line 190"/>
        <xdr:cNvSpPr>
          <a:spLocks noChangeShapeType="1"/>
        </xdr:cNvSpPr>
      </xdr:nvSpPr>
      <xdr:spPr bwMode="auto">
        <a:xfrm>
          <a:off x="809625" y="7800975"/>
          <a:ext cx="1333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200025</xdr:colOff>
      <xdr:row>79</xdr:row>
      <xdr:rowOff>9525</xdr:rowOff>
    </xdr:from>
    <xdr:to>
      <xdr:col>1</xdr:col>
      <xdr:colOff>371475</xdr:colOff>
      <xdr:row>79</xdr:row>
      <xdr:rowOff>9525</xdr:rowOff>
    </xdr:to>
    <xdr:sp macro="" textlink="">
      <xdr:nvSpPr>
        <xdr:cNvPr id="408753" name="Line 191"/>
        <xdr:cNvSpPr>
          <a:spLocks noChangeShapeType="1"/>
        </xdr:cNvSpPr>
      </xdr:nvSpPr>
      <xdr:spPr bwMode="auto">
        <a:xfrm flipV="1">
          <a:off x="809625" y="79819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295275</xdr:colOff>
      <xdr:row>75</xdr:row>
      <xdr:rowOff>9525</xdr:rowOff>
    </xdr:from>
    <xdr:to>
      <xdr:col>3</xdr:col>
      <xdr:colOff>295275</xdr:colOff>
      <xdr:row>78</xdr:row>
      <xdr:rowOff>0</xdr:rowOff>
    </xdr:to>
    <xdr:sp macro="" textlink="">
      <xdr:nvSpPr>
        <xdr:cNvPr id="408754" name="Line 192"/>
        <xdr:cNvSpPr>
          <a:spLocks noChangeShapeType="1"/>
        </xdr:cNvSpPr>
      </xdr:nvSpPr>
      <xdr:spPr bwMode="auto">
        <a:xfrm>
          <a:off x="2219325" y="73342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295275</xdr:colOff>
      <xdr:row>71</xdr:row>
      <xdr:rowOff>9525</xdr:rowOff>
    </xdr:from>
    <xdr:to>
      <xdr:col>3</xdr:col>
      <xdr:colOff>295275</xdr:colOff>
      <xdr:row>74</xdr:row>
      <xdr:rowOff>0</xdr:rowOff>
    </xdr:to>
    <xdr:sp macro="" textlink="">
      <xdr:nvSpPr>
        <xdr:cNvPr id="408755" name="Line 193"/>
        <xdr:cNvSpPr>
          <a:spLocks noChangeShapeType="1"/>
        </xdr:cNvSpPr>
      </xdr:nvSpPr>
      <xdr:spPr bwMode="auto">
        <a:xfrm>
          <a:off x="2219325" y="66865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295275</xdr:colOff>
      <xdr:row>67</xdr:row>
      <xdr:rowOff>9525</xdr:rowOff>
    </xdr:from>
    <xdr:to>
      <xdr:col>3</xdr:col>
      <xdr:colOff>295275</xdr:colOff>
      <xdr:row>70</xdr:row>
      <xdr:rowOff>0</xdr:rowOff>
    </xdr:to>
    <xdr:sp macro="" textlink="">
      <xdr:nvSpPr>
        <xdr:cNvPr id="408756" name="Line 194"/>
        <xdr:cNvSpPr>
          <a:spLocks noChangeShapeType="1"/>
        </xdr:cNvSpPr>
      </xdr:nvSpPr>
      <xdr:spPr bwMode="auto">
        <a:xfrm>
          <a:off x="2219325" y="60388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295275</xdr:colOff>
      <xdr:row>67</xdr:row>
      <xdr:rowOff>9525</xdr:rowOff>
    </xdr:from>
    <xdr:to>
      <xdr:col>3</xdr:col>
      <xdr:colOff>295275</xdr:colOff>
      <xdr:row>70</xdr:row>
      <xdr:rowOff>0</xdr:rowOff>
    </xdr:to>
    <xdr:sp macro="" textlink="">
      <xdr:nvSpPr>
        <xdr:cNvPr id="408757" name="Line 195"/>
        <xdr:cNvSpPr>
          <a:spLocks noChangeShapeType="1"/>
        </xdr:cNvSpPr>
      </xdr:nvSpPr>
      <xdr:spPr bwMode="auto">
        <a:xfrm>
          <a:off x="2219325" y="60388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352425</xdr:colOff>
      <xdr:row>45</xdr:row>
      <xdr:rowOff>152400</xdr:rowOff>
    </xdr:from>
    <xdr:to>
      <xdr:col>4</xdr:col>
      <xdr:colOff>447675</xdr:colOff>
      <xdr:row>46</xdr:row>
      <xdr:rowOff>47625</xdr:rowOff>
    </xdr:to>
    <xdr:sp macro="" textlink="">
      <xdr:nvSpPr>
        <xdr:cNvPr id="408758" name="Line 196"/>
        <xdr:cNvSpPr>
          <a:spLocks noChangeShapeType="1"/>
        </xdr:cNvSpPr>
      </xdr:nvSpPr>
      <xdr:spPr bwMode="auto">
        <a:xfrm flipH="1">
          <a:off x="2886075" y="2619375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45</xdr:row>
      <xdr:rowOff>152400</xdr:rowOff>
    </xdr:from>
    <xdr:to>
      <xdr:col>4</xdr:col>
      <xdr:colOff>466725</xdr:colOff>
      <xdr:row>46</xdr:row>
      <xdr:rowOff>47625</xdr:rowOff>
    </xdr:to>
    <xdr:sp macro="" textlink="">
      <xdr:nvSpPr>
        <xdr:cNvPr id="408759" name="Line 197"/>
        <xdr:cNvSpPr>
          <a:spLocks noChangeShapeType="1"/>
        </xdr:cNvSpPr>
      </xdr:nvSpPr>
      <xdr:spPr bwMode="auto">
        <a:xfrm>
          <a:off x="2971800" y="2619375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45</xdr:row>
      <xdr:rowOff>152400</xdr:rowOff>
    </xdr:from>
    <xdr:to>
      <xdr:col>4</xdr:col>
      <xdr:colOff>514350</xdr:colOff>
      <xdr:row>46</xdr:row>
      <xdr:rowOff>38100</xdr:rowOff>
    </xdr:to>
    <xdr:sp macro="" textlink="">
      <xdr:nvSpPr>
        <xdr:cNvPr id="408760" name="Line 198"/>
        <xdr:cNvSpPr>
          <a:spLocks noChangeShapeType="1"/>
        </xdr:cNvSpPr>
      </xdr:nvSpPr>
      <xdr:spPr bwMode="auto">
        <a:xfrm flipV="1">
          <a:off x="2952750" y="2619375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45</xdr:row>
      <xdr:rowOff>152400</xdr:rowOff>
    </xdr:from>
    <xdr:to>
      <xdr:col>4</xdr:col>
      <xdr:colOff>542925</xdr:colOff>
      <xdr:row>46</xdr:row>
      <xdr:rowOff>57150</xdr:rowOff>
    </xdr:to>
    <xdr:sp macro="" textlink="">
      <xdr:nvSpPr>
        <xdr:cNvPr id="408761" name="Line 199"/>
        <xdr:cNvSpPr>
          <a:spLocks noChangeShapeType="1"/>
        </xdr:cNvSpPr>
      </xdr:nvSpPr>
      <xdr:spPr bwMode="auto">
        <a:xfrm>
          <a:off x="3028950" y="2619375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45</xdr:row>
      <xdr:rowOff>152400</xdr:rowOff>
    </xdr:from>
    <xdr:to>
      <xdr:col>4</xdr:col>
      <xdr:colOff>447675</xdr:colOff>
      <xdr:row>46</xdr:row>
      <xdr:rowOff>47625</xdr:rowOff>
    </xdr:to>
    <xdr:sp macro="" textlink="">
      <xdr:nvSpPr>
        <xdr:cNvPr id="408762" name="Line 200"/>
        <xdr:cNvSpPr>
          <a:spLocks noChangeShapeType="1"/>
        </xdr:cNvSpPr>
      </xdr:nvSpPr>
      <xdr:spPr bwMode="auto">
        <a:xfrm flipH="1">
          <a:off x="2886075" y="2619375"/>
          <a:ext cx="95250" cy="57150"/>
        </a:xfrm>
        <a:prstGeom prst="line">
          <a:avLst/>
        </a:prstGeom>
        <a:noFill/>
        <a:ln w="9525">
          <a:solidFill>
            <a:srgbClr val="FFFF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45</xdr:row>
      <xdr:rowOff>152400</xdr:rowOff>
    </xdr:from>
    <xdr:to>
      <xdr:col>4</xdr:col>
      <xdr:colOff>466725</xdr:colOff>
      <xdr:row>46</xdr:row>
      <xdr:rowOff>47625</xdr:rowOff>
    </xdr:to>
    <xdr:sp macro="" textlink="">
      <xdr:nvSpPr>
        <xdr:cNvPr id="408763" name="Line 201"/>
        <xdr:cNvSpPr>
          <a:spLocks noChangeShapeType="1"/>
        </xdr:cNvSpPr>
      </xdr:nvSpPr>
      <xdr:spPr bwMode="auto">
        <a:xfrm>
          <a:off x="2971800" y="2619375"/>
          <a:ext cx="28575" cy="57150"/>
        </a:xfrm>
        <a:prstGeom prst="line">
          <a:avLst/>
        </a:prstGeom>
        <a:noFill/>
        <a:ln w="9525">
          <a:solidFill>
            <a:srgbClr val="FFFF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45</xdr:row>
      <xdr:rowOff>152400</xdr:rowOff>
    </xdr:from>
    <xdr:to>
      <xdr:col>4</xdr:col>
      <xdr:colOff>514350</xdr:colOff>
      <xdr:row>46</xdr:row>
      <xdr:rowOff>38100</xdr:rowOff>
    </xdr:to>
    <xdr:sp macro="" textlink="">
      <xdr:nvSpPr>
        <xdr:cNvPr id="408764" name="Line 202"/>
        <xdr:cNvSpPr>
          <a:spLocks noChangeShapeType="1"/>
        </xdr:cNvSpPr>
      </xdr:nvSpPr>
      <xdr:spPr bwMode="auto">
        <a:xfrm flipV="1">
          <a:off x="2952750" y="2619375"/>
          <a:ext cx="95250" cy="47625"/>
        </a:xfrm>
        <a:prstGeom prst="line">
          <a:avLst/>
        </a:prstGeom>
        <a:noFill/>
        <a:ln w="9525">
          <a:solidFill>
            <a:srgbClr val="FFFF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45</xdr:row>
      <xdr:rowOff>152400</xdr:rowOff>
    </xdr:from>
    <xdr:to>
      <xdr:col>4</xdr:col>
      <xdr:colOff>542925</xdr:colOff>
      <xdr:row>46</xdr:row>
      <xdr:rowOff>57150</xdr:rowOff>
    </xdr:to>
    <xdr:sp macro="" textlink="">
      <xdr:nvSpPr>
        <xdr:cNvPr id="408765" name="Line 203"/>
        <xdr:cNvSpPr>
          <a:spLocks noChangeShapeType="1"/>
        </xdr:cNvSpPr>
      </xdr:nvSpPr>
      <xdr:spPr bwMode="auto">
        <a:xfrm>
          <a:off x="3028950" y="2619375"/>
          <a:ext cx="47625" cy="66675"/>
        </a:xfrm>
        <a:prstGeom prst="line">
          <a:avLst/>
        </a:prstGeom>
        <a:noFill/>
        <a:ln w="9525">
          <a:solidFill>
            <a:srgbClr val="FFFF00"/>
          </a:solidFill>
          <a:round/>
          <a:headEnd/>
          <a:tailEnd/>
        </a:ln>
      </xdr:spPr>
    </xdr:sp>
    <xdr:clientData/>
  </xdr:twoCellAnchor>
  <xdr:twoCellAnchor>
    <xdr:from>
      <xdr:col>6</xdr:col>
      <xdr:colOff>180975</xdr:colOff>
      <xdr:row>56</xdr:row>
      <xdr:rowOff>47625</xdr:rowOff>
    </xdr:from>
    <xdr:to>
      <xdr:col>6</xdr:col>
      <xdr:colOff>180975</xdr:colOff>
      <xdr:row>56</xdr:row>
      <xdr:rowOff>152400</xdr:rowOff>
    </xdr:to>
    <xdr:sp macro="" textlink="">
      <xdr:nvSpPr>
        <xdr:cNvPr id="408773" name="Line 212"/>
        <xdr:cNvSpPr>
          <a:spLocks noChangeShapeType="1"/>
        </xdr:cNvSpPr>
      </xdr:nvSpPr>
      <xdr:spPr bwMode="auto">
        <a:xfrm>
          <a:off x="3933825" y="174974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685800</xdr:colOff>
      <xdr:row>60</xdr:row>
      <xdr:rowOff>57150</xdr:rowOff>
    </xdr:from>
    <xdr:to>
      <xdr:col>3</xdr:col>
      <xdr:colOff>171450</xdr:colOff>
      <xdr:row>60</xdr:row>
      <xdr:rowOff>57150</xdr:rowOff>
    </xdr:to>
    <xdr:sp macro="" textlink="">
      <xdr:nvSpPr>
        <xdr:cNvPr id="408781" name="Line 225"/>
        <xdr:cNvSpPr>
          <a:spLocks noChangeShapeType="1"/>
        </xdr:cNvSpPr>
      </xdr:nvSpPr>
      <xdr:spPr bwMode="auto">
        <a:xfrm flipV="1">
          <a:off x="1905000" y="18154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7</xdr:col>
      <xdr:colOff>466725</xdr:colOff>
      <xdr:row>59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408782" name="Line 226"/>
        <xdr:cNvSpPr>
          <a:spLocks noChangeShapeType="1"/>
        </xdr:cNvSpPr>
      </xdr:nvSpPr>
      <xdr:spPr bwMode="auto">
        <a:xfrm>
          <a:off x="4829175" y="47339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323850</xdr:colOff>
      <xdr:row>57</xdr:row>
      <xdr:rowOff>0</xdr:rowOff>
    </xdr:from>
    <xdr:to>
      <xdr:col>1</xdr:col>
      <xdr:colOff>323850</xdr:colOff>
      <xdr:row>59</xdr:row>
      <xdr:rowOff>9525</xdr:rowOff>
    </xdr:to>
    <xdr:sp macro="" textlink="">
      <xdr:nvSpPr>
        <xdr:cNvPr id="408784" name="Line 229"/>
        <xdr:cNvSpPr>
          <a:spLocks noChangeShapeType="1"/>
        </xdr:cNvSpPr>
      </xdr:nvSpPr>
      <xdr:spPr bwMode="auto">
        <a:xfrm flipH="1">
          <a:off x="933450" y="4410075"/>
          <a:ext cx="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276225</xdr:colOff>
      <xdr:row>57</xdr:row>
      <xdr:rowOff>0</xdr:rowOff>
    </xdr:from>
    <xdr:to>
      <xdr:col>1</xdr:col>
      <xdr:colOff>352425</xdr:colOff>
      <xdr:row>57</xdr:row>
      <xdr:rowOff>9525</xdr:rowOff>
    </xdr:to>
    <xdr:sp macro="" textlink="">
      <xdr:nvSpPr>
        <xdr:cNvPr id="408785" name="Line 230"/>
        <xdr:cNvSpPr>
          <a:spLocks noChangeShapeType="1"/>
        </xdr:cNvSpPr>
      </xdr:nvSpPr>
      <xdr:spPr bwMode="auto">
        <a:xfrm>
          <a:off x="885825" y="4410075"/>
          <a:ext cx="762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58</xdr:row>
      <xdr:rowOff>152400</xdr:rowOff>
    </xdr:from>
    <xdr:to>
      <xdr:col>1</xdr:col>
      <xdr:colOff>352425</xdr:colOff>
      <xdr:row>58</xdr:row>
      <xdr:rowOff>152400</xdr:rowOff>
    </xdr:to>
    <xdr:sp macro="" textlink="">
      <xdr:nvSpPr>
        <xdr:cNvPr id="408786" name="Line 231"/>
        <xdr:cNvSpPr>
          <a:spLocks noChangeShapeType="1"/>
        </xdr:cNvSpPr>
      </xdr:nvSpPr>
      <xdr:spPr bwMode="auto">
        <a:xfrm>
          <a:off x="904875" y="4724400"/>
          <a:ext cx="57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504825</xdr:colOff>
      <xdr:row>66</xdr:row>
      <xdr:rowOff>0</xdr:rowOff>
    </xdr:from>
    <xdr:to>
      <xdr:col>8</xdr:col>
      <xdr:colOff>85725</xdr:colOff>
      <xdr:row>66</xdr:row>
      <xdr:rowOff>0</xdr:rowOff>
    </xdr:to>
    <xdr:sp macro="" textlink="">
      <xdr:nvSpPr>
        <xdr:cNvPr id="408787" name="Line 232"/>
        <xdr:cNvSpPr>
          <a:spLocks noChangeShapeType="1"/>
        </xdr:cNvSpPr>
      </xdr:nvSpPr>
      <xdr:spPr bwMode="auto">
        <a:xfrm>
          <a:off x="4867275" y="586740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542925</xdr:colOff>
      <xdr:row>79</xdr:row>
      <xdr:rowOff>0</xdr:rowOff>
    </xdr:from>
    <xdr:to>
      <xdr:col>8</xdr:col>
      <xdr:colOff>76200</xdr:colOff>
      <xdr:row>79</xdr:row>
      <xdr:rowOff>0</xdr:rowOff>
    </xdr:to>
    <xdr:sp macro="" textlink="">
      <xdr:nvSpPr>
        <xdr:cNvPr id="408788" name="Line 233"/>
        <xdr:cNvSpPr>
          <a:spLocks noChangeShapeType="1"/>
        </xdr:cNvSpPr>
      </xdr:nvSpPr>
      <xdr:spPr bwMode="auto">
        <a:xfrm>
          <a:off x="4905375" y="79724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408789" name="Line 234"/>
        <xdr:cNvSpPr>
          <a:spLocks noChangeShapeType="1"/>
        </xdr:cNvSpPr>
      </xdr:nvSpPr>
      <xdr:spPr bwMode="auto">
        <a:xfrm>
          <a:off x="4972050" y="5867400"/>
          <a:ext cx="0" cy="2105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295275</xdr:colOff>
      <xdr:row>75</xdr:row>
      <xdr:rowOff>9525</xdr:rowOff>
    </xdr:from>
    <xdr:to>
      <xdr:col>6</xdr:col>
      <xdr:colOff>295275</xdr:colOff>
      <xdr:row>78</xdr:row>
      <xdr:rowOff>0</xdr:rowOff>
    </xdr:to>
    <xdr:sp macro="" textlink="">
      <xdr:nvSpPr>
        <xdr:cNvPr id="408790" name="Line 236"/>
        <xdr:cNvSpPr>
          <a:spLocks noChangeShapeType="1"/>
        </xdr:cNvSpPr>
      </xdr:nvSpPr>
      <xdr:spPr bwMode="auto">
        <a:xfrm>
          <a:off x="4048125" y="73342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295275</xdr:colOff>
      <xdr:row>71</xdr:row>
      <xdr:rowOff>9525</xdr:rowOff>
    </xdr:from>
    <xdr:to>
      <xdr:col>6</xdr:col>
      <xdr:colOff>295275</xdr:colOff>
      <xdr:row>74</xdr:row>
      <xdr:rowOff>0</xdr:rowOff>
    </xdr:to>
    <xdr:sp macro="" textlink="">
      <xdr:nvSpPr>
        <xdr:cNvPr id="408791" name="Line 237"/>
        <xdr:cNvSpPr>
          <a:spLocks noChangeShapeType="1"/>
        </xdr:cNvSpPr>
      </xdr:nvSpPr>
      <xdr:spPr bwMode="auto">
        <a:xfrm>
          <a:off x="4048125" y="66865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295275</xdr:colOff>
      <xdr:row>67</xdr:row>
      <xdr:rowOff>9525</xdr:rowOff>
    </xdr:from>
    <xdr:to>
      <xdr:col>6</xdr:col>
      <xdr:colOff>295275</xdr:colOff>
      <xdr:row>70</xdr:row>
      <xdr:rowOff>0</xdr:rowOff>
    </xdr:to>
    <xdr:sp macro="" textlink="">
      <xdr:nvSpPr>
        <xdr:cNvPr id="408792" name="Line 238"/>
        <xdr:cNvSpPr>
          <a:spLocks noChangeShapeType="1"/>
        </xdr:cNvSpPr>
      </xdr:nvSpPr>
      <xdr:spPr bwMode="auto">
        <a:xfrm>
          <a:off x="4048125" y="60388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295275</xdr:colOff>
      <xdr:row>67</xdr:row>
      <xdr:rowOff>9525</xdr:rowOff>
    </xdr:from>
    <xdr:to>
      <xdr:col>6</xdr:col>
      <xdr:colOff>295275</xdr:colOff>
      <xdr:row>70</xdr:row>
      <xdr:rowOff>0</xdr:rowOff>
    </xdr:to>
    <xdr:sp macro="" textlink="">
      <xdr:nvSpPr>
        <xdr:cNvPr id="408793" name="Line 239"/>
        <xdr:cNvSpPr>
          <a:spLocks noChangeShapeType="1"/>
        </xdr:cNvSpPr>
      </xdr:nvSpPr>
      <xdr:spPr bwMode="auto">
        <a:xfrm>
          <a:off x="4048125" y="60388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295275</xdr:colOff>
      <xdr:row>75</xdr:row>
      <xdr:rowOff>9525</xdr:rowOff>
    </xdr:from>
    <xdr:to>
      <xdr:col>6</xdr:col>
      <xdr:colOff>295275</xdr:colOff>
      <xdr:row>78</xdr:row>
      <xdr:rowOff>0</xdr:rowOff>
    </xdr:to>
    <xdr:sp macro="" textlink="">
      <xdr:nvSpPr>
        <xdr:cNvPr id="408794" name="Line 241"/>
        <xdr:cNvSpPr>
          <a:spLocks noChangeShapeType="1"/>
        </xdr:cNvSpPr>
      </xdr:nvSpPr>
      <xdr:spPr bwMode="auto">
        <a:xfrm>
          <a:off x="4048125" y="73342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295275</xdr:colOff>
      <xdr:row>71</xdr:row>
      <xdr:rowOff>9525</xdr:rowOff>
    </xdr:from>
    <xdr:to>
      <xdr:col>6</xdr:col>
      <xdr:colOff>295275</xdr:colOff>
      <xdr:row>74</xdr:row>
      <xdr:rowOff>0</xdr:rowOff>
    </xdr:to>
    <xdr:sp macro="" textlink="">
      <xdr:nvSpPr>
        <xdr:cNvPr id="408795" name="Line 242"/>
        <xdr:cNvSpPr>
          <a:spLocks noChangeShapeType="1"/>
        </xdr:cNvSpPr>
      </xdr:nvSpPr>
      <xdr:spPr bwMode="auto">
        <a:xfrm>
          <a:off x="4048125" y="66865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295275</xdr:colOff>
      <xdr:row>67</xdr:row>
      <xdr:rowOff>9525</xdr:rowOff>
    </xdr:from>
    <xdr:to>
      <xdr:col>6</xdr:col>
      <xdr:colOff>295275</xdr:colOff>
      <xdr:row>70</xdr:row>
      <xdr:rowOff>0</xdr:rowOff>
    </xdr:to>
    <xdr:sp macro="" textlink="">
      <xdr:nvSpPr>
        <xdr:cNvPr id="408796" name="Line 243"/>
        <xdr:cNvSpPr>
          <a:spLocks noChangeShapeType="1"/>
        </xdr:cNvSpPr>
      </xdr:nvSpPr>
      <xdr:spPr bwMode="auto">
        <a:xfrm>
          <a:off x="4048125" y="60388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295275</xdr:colOff>
      <xdr:row>67</xdr:row>
      <xdr:rowOff>9525</xdr:rowOff>
    </xdr:from>
    <xdr:to>
      <xdr:col>6</xdr:col>
      <xdr:colOff>295275</xdr:colOff>
      <xdr:row>70</xdr:row>
      <xdr:rowOff>0</xdr:rowOff>
    </xdr:to>
    <xdr:sp macro="" textlink="">
      <xdr:nvSpPr>
        <xdr:cNvPr id="408797" name="Line 244"/>
        <xdr:cNvSpPr>
          <a:spLocks noChangeShapeType="1"/>
        </xdr:cNvSpPr>
      </xdr:nvSpPr>
      <xdr:spPr bwMode="auto">
        <a:xfrm>
          <a:off x="4048125" y="60388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295275</xdr:colOff>
      <xdr:row>75</xdr:row>
      <xdr:rowOff>9525</xdr:rowOff>
    </xdr:from>
    <xdr:to>
      <xdr:col>2</xdr:col>
      <xdr:colOff>295275</xdr:colOff>
      <xdr:row>78</xdr:row>
      <xdr:rowOff>0</xdr:rowOff>
    </xdr:to>
    <xdr:sp macro="" textlink="">
      <xdr:nvSpPr>
        <xdr:cNvPr id="408798" name="Line 246"/>
        <xdr:cNvSpPr>
          <a:spLocks noChangeShapeType="1"/>
        </xdr:cNvSpPr>
      </xdr:nvSpPr>
      <xdr:spPr bwMode="auto">
        <a:xfrm>
          <a:off x="1514475" y="73342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295275</xdr:colOff>
      <xdr:row>71</xdr:row>
      <xdr:rowOff>9525</xdr:rowOff>
    </xdr:from>
    <xdr:to>
      <xdr:col>2</xdr:col>
      <xdr:colOff>295275</xdr:colOff>
      <xdr:row>74</xdr:row>
      <xdr:rowOff>0</xdr:rowOff>
    </xdr:to>
    <xdr:sp macro="" textlink="">
      <xdr:nvSpPr>
        <xdr:cNvPr id="408799" name="Line 247"/>
        <xdr:cNvSpPr>
          <a:spLocks noChangeShapeType="1"/>
        </xdr:cNvSpPr>
      </xdr:nvSpPr>
      <xdr:spPr bwMode="auto">
        <a:xfrm>
          <a:off x="1514475" y="66865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295275</xdr:colOff>
      <xdr:row>67</xdr:row>
      <xdr:rowOff>9525</xdr:rowOff>
    </xdr:from>
    <xdr:to>
      <xdr:col>2</xdr:col>
      <xdr:colOff>295275</xdr:colOff>
      <xdr:row>70</xdr:row>
      <xdr:rowOff>0</xdr:rowOff>
    </xdr:to>
    <xdr:sp macro="" textlink="">
      <xdr:nvSpPr>
        <xdr:cNvPr id="408800" name="Line 248"/>
        <xdr:cNvSpPr>
          <a:spLocks noChangeShapeType="1"/>
        </xdr:cNvSpPr>
      </xdr:nvSpPr>
      <xdr:spPr bwMode="auto">
        <a:xfrm>
          <a:off x="1514475" y="60388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295275</xdr:colOff>
      <xdr:row>67</xdr:row>
      <xdr:rowOff>9525</xdr:rowOff>
    </xdr:from>
    <xdr:to>
      <xdr:col>2</xdr:col>
      <xdr:colOff>295275</xdr:colOff>
      <xdr:row>70</xdr:row>
      <xdr:rowOff>0</xdr:rowOff>
    </xdr:to>
    <xdr:sp macro="" textlink="">
      <xdr:nvSpPr>
        <xdr:cNvPr id="408801" name="Line 249"/>
        <xdr:cNvSpPr>
          <a:spLocks noChangeShapeType="1"/>
        </xdr:cNvSpPr>
      </xdr:nvSpPr>
      <xdr:spPr bwMode="auto">
        <a:xfrm>
          <a:off x="1514475" y="60388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295275</xdr:colOff>
      <xdr:row>75</xdr:row>
      <xdr:rowOff>9525</xdr:rowOff>
    </xdr:from>
    <xdr:to>
      <xdr:col>2</xdr:col>
      <xdr:colOff>295275</xdr:colOff>
      <xdr:row>78</xdr:row>
      <xdr:rowOff>0</xdr:rowOff>
    </xdr:to>
    <xdr:sp macro="" textlink="">
      <xdr:nvSpPr>
        <xdr:cNvPr id="408802" name="Line 251"/>
        <xdr:cNvSpPr>
          <a:spLocks noChangeShapeType="1"/>
        </xdr:cNvSpPr>
      </xdr:nvSpPr>
      <xdr:spPr bwMode="auto">
        <a:xfrm>
          <a:off x="1514475" y="73342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295275</xdr:colOff>
      <xdr:row>71</xdr:row>
      <xdr:rowOff>9525</xdr:rowOff>
    </xdr:from>
    <xdr:to>
      <xdr:col>2</xdr:col>
      <xdr:colOff>295275</xdr:colOff>
      <xdr:row>74</xdr:row>
      <xdr:rowOff>0</xdr:rowOff>
    </xdr:to>
    <xdr:sp macro="" textlink="">
      <xdr:nvSpPr>
        <xdr:cNvPr id="408803" name="Line 252"/>
        <xdr:cNvSpPr>
          <a:spLocks noChangeShapeType="1"/>
        </xdr:cNvSpPr>
      </xdr:nvSpPr>
      <xdr:spPr bwMode="auto">
        <a:xfrm>
          <a:off x="1514475" y="66865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295275</xdr:colOff>
      <xdr:row>67</xdr:row>
      <xdr:rowOff>9525</xdr:rowOff>
    </xdr:from>
    <xdr:to>
      <xdr:col>2</xdr:col>
      <xdr:colOff>295275</xdr:colOff>
      <xdr:row>70</xdr:row>
      <xdr:rowOff>0</xdr:rowOff>
    </xdr:to>
    <xdr:sp macro="" textlink="">
      <xdr:nvSpPr>
        <xdr:cNvPr id="408804" name="Line 253"/>
        <xdr:cNvSpPr>
          <a:spLocks noChangeShapeType="1"/>
        </xdr:cNvSpPr>
      </xdr:nvSpPr>
      <xdr:spPr bwMode="auto">
        <a:xfrm>
          <a:off x="1514475" y="60388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295275</xdr:colOff>
      <xdr:row>67</xdr:row>
      <xdr:rowOff>9525</xdr:rowOff>
    </xdr:from>
    <xdr:to>
      <xdr:col>2</xdr:col>
      <xdr:colOff>295275</xdr:colOff>
      <xdr:row>70</xdr:row>
      <xdr:rowOff>0</xdr:rowOff>
    </xdr:to>
    <xdr:sp macro="" textlink="">
      <xdr:nvSpPr>
        <xdr:cNvPr id="408805" name="Line 254"/>
        <xdr:cNvSpPr>
          <a:spLocks noChangeShapeType="1"/>
        </xdr:cNvSpPr>
      </xdr:nvSpPr>
      <xdr:spPr bwMode="auto">
        <a:xfrm>
          <a:off x="1514475" y="60388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9525</xdr:colOff>
      <xdr:row>66</xdr:row>
      <xdr:rowOff>0</xdr:rowOff>
    </xdr:from>
    <xdr:to>
      <xdr:col>1</xdr:col>
      <xdr:colOff>9525</xdr:colOff>
      <xdr:row>79</xdr:row>
      <xdr:rowOff>9525</xdr:rowOff>
    </xdr:to>
    <xdr:sp macro="" textlink="">
      <xdr:nvSpPr>
        <xdr:cNvPr id="408806" name="Line 255"/>
        <xdr:cNvSpPr>
          <a:spLocks noChangeShapeType="1"/>
        </xdr:cNvSpPr>
      </xdr:nvSpPr>
      <xdr:spPr bwMode="auto">
        <a:xfrm>
          <a:off x="619125" y="5867400"/>
          <a:ext cx="0" cy="21145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0</xdr:col>
      <xdr:colOff>533400</xdr:colOff>
      <xdr:row>66</xdr:row>
      <xdr:rowOff>0</xdr:rowOff>
    </xdr:from>
    <xdr:to>
      <xdr:col>1</xdr:col>
      <xdr:colOff>57150</xdr:colOff>
      <xdr:row>66</xdr:row>
      <xdr:rowOff>0</xdr:rowOff>
    </xdr:to>
    <xdr:sp macro="" textlink="">
      <xdr:nvSpPr>
        <xdr:cNvPr id="408807" name="Line 256"/>
        <xdr:cNvSpPr>
          <a:spLocks noChangeShapeType="1"/>
        </xdr:cNvSpPr>
      </xdr:nvSpPr>
      <xdr:spPr bwMode="auto">
        <a:xfrm>
          <a:off x="533400" y="58674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533400</xdr:colOff>
      <xdr:row>79</xdr:row>
      <xdr:rowOff>0</xdr:rowOff>
    </xdr:from>
    <xdr:to>
      <xdr:col>1</xdr:col>
      <xdr:colOff>47625</xdr:colOff>
      <xdr:row>79</xdr:row>
      <xdr:rowOff>0</xdr:rowOff>
    </xdr:to>
    <xdr:sp macro="" textlink="">
      <xdr:nvSpPr>
        <xdr:cNvPr id="408808" name="Line 257"/>
        <xdr:cNvSpPr>
          <a:spLocks noChangeShapeType="1"/>
        </xdr:cNvSpPr>
      </xdr:nvSpPr>
      <xdr:spPr bwMode="auto">
        <a:xfrm>
          <a:off x="533400" y="7972425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66</xdr:row>
      <xdr:rowOff>0</xdr:rowOff>
    </xdr:from>
    <xdr:to>
      <xdr:col>5</xdr:col>
      <xdr:colOff>0</xdr:colOff>
      <xdr:row>78</xdr:row>
      <xdr:rowOff>152400</xdr:rowOff>
    </xdr:to>
    <xdr:sp macro="" textlink="">
      <xdr:nvSpPr>
        <xdr:cNvPr id="408809" name="Line 258"/>
        <xdr:cNvSpPr>
          <a:spLocks noChangeShapeType="1"/>
        </xdr:cNvSpPr>
      </xdr:nvSpPr>
      <xdr:spPr bwMode="auto">
        <a:xfrm>
          <a:off x="3143250" y="5867400"/>
          <a:ext cx="0" cy="2095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9525</xdr:colOff>
      <xdr:row>41</xdr:row>
      <xdr:rowOff>142875</xdr:rowOff>
    </xdr:from>
    <xdr:to>
      <xdr:col>3</xdr:col>
      <xdr:colOff>9525</xdr:colOff>
      <xdr:row>42</xdr:row>
      <xdr:rowOff>123825</xdr:rowOff>
    </xdr:to>
    <xdr:sp macro="" textlink="">
      <xdr:nvSpPr>
        <xdr:cNvPr id="408811" name="Line 260"/>
        <xdr:cNvSpPr>
          <a:spLocks noChangeShapeType="1"/>
        </xdr:cNvSpPr>
      </xdr:nvSpPr>
      <xdr:spPr bwMode="auto">
        <a:xfrm>
          <a:off x="1933575" y="1644015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600075</xdr:colOff>
      <xdr:row>41</xdr:row>
      <xdr:rowOff>104775</xdr:rowOff>
    </xdr:from>
    <xdr:to>
      <xdr:col>5</xdr:col>
      <xdr:colOff>600075</xdr:colOff>
      <xdr:row>42</xdr:row>
      <xdr:rowOff>57150</xdr:rowOff>
    </xdr:to>
    <xdr:sp macro="" textlink="">
      <xdr:nvSpPr>
        <xdr:cNvPr id="408812" name="Line 261"/>
        <xdr:cNvSpPr>
          <a:spLocks noChangeShapeType="1"/>
        </xdr:cNvSpPr>
      </xdr:nvSpPr>
      <xdr:spPr bwMode="auto">
        <a:xfrm>
          <a:off x="3743325" y="164020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66675</xdr:colOff>
      <xdr:row>43</xdr:row>
      <xdr:rowOff>66675</xdr:rowOff>
    </xdr:from>
    <xdr:to>
      <xdr:col>3</xdr:col>
      <xdr:colOff>228600</xdr:colOff>
      <xdr:row>43</xdr:row>
      <xdr:rowOff>66675</xdr:rowOff>
    </xdr:to>
    <xdr:sp macro="" textlink="">
      <xdr:nvSpPr>
        <xdr:cNvPr id="408814" name="Line 265"/>
        <xdr:cNvSpPr>
          <a:spLocks noChangeShapeType="1"/>
        </xdr:cNvSpPr>
      </xdr:nvSpPr>
      <xdr:spPr bwMode="auto">
        <a:xfrm>
          <a:off x="1990725" y="1668780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none" w="med" len="med"/>
        </a:ln>
      </xdr:spPr>
    </xdr:sp>
    <xdr:clientData/>
  </xdr:twoCellAnchor>
  <xdr:twoCellAnchor>
    <xdr:from>
      <xdr:col>3</xdr:col>
      <xdr:colOff>19050</xdr:colOff>
      <xdr:row>43</xdr:row>
      <xdr:rowOff>66675</xdr:rowOff>
    </xdr:from>
    <xdr:to>
      <xdr:col>3</xdr:col>
      <xdr:colOff>64769</xdr:colOff>
      <xdr:row>45</xdr:row>
      <xdr:rowOff>7619</xdr:rowOff>
    </xdr:to>
    <xdr:sp macro="" textlink="">
      <xdr:nvSpPr>
        <xdr:cNvPr id="408815" name="Line 266"/>
        <xdr:cNvSpPr>
          <a:spLocks noChangeShapeType="1"/>
        </xdr:cNvSpPr>
      </xdr:nvSpPr>
      <xdr:spPr bwMode="auto">
        <a:xfrm flipH="1">
          <a:off x="1943100" y="16687800"/>
          <a:ext cx="45719" cy="26479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9525</xdr:colOff>
      <xdr:row>62</xdr:row>
      <xdr:rowOff>0</xdr:rowOff>
    </xdr:from>
    <xdr:to>
      <xdr:col>7</xdr:col>
      <xdr:colOff>0</xdr:colOff>
      <xdr:row>62</xdr:row>
      <xdr:rowOff>0</xdr:rowOff>
    </xdr:to>
    <xdr:sp macro="" textlink="">
      <xdr:nvSpPr>
        <xdr:cNvPr id="408820" name="Line 271"/>
        <xdr:cNvSpPr>
          <a:spLocks noChangeShapeType="1"/>
        </xdr:cNvSpPr>
      </xdr:nvSpPr>
      <xdr:spPr bwMode="auto">
        <a:xfrm>
          <a:off x="1228725" y="5219700"/>
          <a:ext cx="3133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9525</xdr:colOff>
      <xdr:row>61</xdr:row>
      <xdr:rowOff>0</xdr:rowOff>
    </xdr:from>
    <xdr:to>
      <xdr:col>6</xdr:col>
      <xdr:colOff>0</xdr:colOff>
      <xdr:row>61</xdr:row>
      <xdr:rowOff>0</xdr:rowOff>
    </xdr:to>
    <xdr:sp macro="" textlink="">
      <xdr:nvSpPr>
        <xdr:cNvPr id="408823" name="Line 274"/>
        <xdr:cNvSpPr>
          <a:spLocks noChangeShapeType="1"/>
        </xdr:cNvSpPr>
      </xdr:nvSpPr>
      <xdr:spPr bwMode="auto">
        <a:xfrm>
          <a:off x="1933575" y="5057775"/>
          <a:ext cx="1819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171450</xdr:colOff>
      <xdr:row>59</xdr:row>
      <xdr:rowOff>152400</xdr:rowOff>
    </xdr:from>
    <xdr:to>
      <xdr:col>3</xdr:col>
      <xdr:colOff>171450</xdr:colOff>
      <xdr:row>60</xdr:row>
      <xdr:rowOff>85725</xdr:rowOff>
    </xdr:to>
    <xdr:sp macro="" textlink="">
      <xdr:nvSpPr>
        <xdr:cNvPr id="408827" name="Line 278"/>
        <xdr:cNvSpPr>
          <a:spLocks noChangeShapeType="1"/>
        </xdr:cNvSpPr>
      </xdr:nvSpPr>
      <xdr:spPr bwMode="auto">
        <a:xfrm>
          <a:off x="2095500" y="180879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381000</xdr:colOff>
      <xdr:row>60</xdr:row>
      <xdr:rowOff>47625</xdr:rowOff>
    </xdr:from>
    <xdr:to>
      <xdr:col>5</xdr:col>
      <xdr:colOff>381000</xdr:colOff>
      <xdr:row>60</xdr:row>
      <xdr:rowOff>133350</xdr:rowOff>
    </xdr:to>
    <xdr:sp macro="" textlink="">
      <xdr:nvSpPr>
        <xdr:cNvPr id="408828" name="Line 279"/>
        <xdr:cNvSpPr>
          <a:spLocks noChangeShapeType="1"/>
        </xdr:cNvSpPr>
      </xdr:nvSpPr>
      <xdr:spPr bwMode="auto">
        <a:xfrm>
          <a:off x="3524250" y="181451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390525</xdr:colOff>
      <xdr:row>60</xdr:row>
      <xdr:rowOff>76200</xdr:rowOff>
    </xdr:from>
    <xdr:to>
      <xdr:col>6</xdr:col>
      <xdr:colOff>0</xdr:colOff>
      <xdr:row>60</xdr:row>
      <xdr:rowOff>76200</xdr:rowOff>
    </xdr:to>
    <xdr:sp macro="" textlink="">
      <xdr:nvSpPr>
        <xdr:cNvPr id="408831" name="Line 282"/>
        <xdr:cNvSpPr>
          <a:spLocks noChangeShapeType="1"/>
        </xdr:cNvSpPr>
      </xdr:nvSpPr>
      <xdr:spPr bwMode="auto">
        <a:xfrm>
          <a:off x="3533775" y="1817370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9525</xdr:colOff>
      <xdr:row>81</xdr:row>
      <xdr:rowOff>85725</xdr:rowOff>
    </xdr:from>
    <xdr:to>
      <xdr:col>2</xdr:col>
      <xdr:colOff>9525</xdr:colOff>
      <xdr:row>82</xdr:row>
      <xdr:rowOff>76200</xdr:rowOff>
    </xdr:to>
    <xdr:sp macro="" textlink="">
      <xdr:nvSpPr>
        <xdr:cNvPr id="408838" name="Line 290"/>
        <xdr:cNvSpPr>
          <a:spLocks noChangeShapeType="1"/>
        </xdr:cNvSpPr>
      </xdr:nvSpPr>
      <xdr:spPr bwMode="auto">
        <a:xfrm>
          <a:off x="1228725" y="83820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81</xdr:row>
      <xdr:rowOff>95250</xdr:rowOff>
    </xdr:from>
    <xdr:to>
      <xdr:col>7</xdr:col>
      <xdr:colOff>0</xdr:colOff>
      <xdr:row>82</xdr:row>
      <xdr:rowOff>66675</xdr:rowOff>
    </xdr:to>
    <xdr:sp macro="" textlink="">
      <xdr:nvSpPr>
        <xdr:cNvPr id="408839" name="Line 291"/>
        <xdr:cNvSpPr>
          <a:spLocks noChangeShapeType="1"/>
        </xdr:cNvSpPr>
      </xdr:nvSpPr>
      <xdr:spPr bwMode="auto">
        <a:xfrm>
          <a:off x="4362450" y="83915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</xdr:colOff>
      <xdr:row>82</xdr:row>
      <xdr:rowOff>9525</xdr:rowOff>
    </xdr:from>
    <xdr:to>
      <xdr:col>7</xdr:col>
      <xdr:colOff>0</xdr:colOff>
      <xdr:row>82</xdr:row>
      <xdr:rowOff>9525</xdr:rowOff>
    </xdr:to>
    <xdr:sp macro="" textlink="">
      <xdr:nvSpPr>
        <xdr:cNvPr id="408840" name="Line 292"/>
        <xdr:cNvSpPr>
          <a:spLocks noChangeShapeType="1"/>
        </xdr:cNvSpPr>
      </xdr:nvSpPr>
      <xdr:spPr bwMode="auto">
        <a:xfrm>
          <a:off x="1238250" y="8467725"/>
          <a:ext cx="3124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323850</xdr:colOff>
      <xdr:row>52</xdr:row>
      <xdr:rowOff>85725</xdr:rowOff>
    </xdr:from>
    <xdr:to>
      <xdr:col>1</xdr:col>
      <xdr:colOff>323850</xdr:colOff>
      <xdr:row>57</xdr:row>
      <xdr:rowOff>19050</xdr:rowOff>
    </xdr:to>
    <xdr:sp macro="" textlink="">
      <xdr:nvSpPr>
        <xdr:cNvPr id="408841" name="Line 293"/>
        <xdr:cNvSpPr>
          <a:spLocks noChangeShapeType="1"/>
        </xdr:cNvSpPr>
      </xdr:nvSpPr>
      <xdr:spPr bwMode="auto">
        <a:xfrm>
          <a:off x="933450" y="3686175"/>
          <a:ext cx="0" cy="7429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7</xdr:col>
      <xdr:colOff>123824</xdr:colOff>
      <xdr:row>57</xdr:row>
      <xdr:rowOff>95250</xdr:rowOff>
    </xdr:from>
    <xdr:to>
      <xdr:col>7</xdr:col>
      <xdr:colOff>180975</xdr:colOff>
      <xdr:row>62</xdr:row>
      <xdr:rowOff>95249</xdr:rowOff>
    </xdr:to>
    <xdr:sp macro="" textlink="">
      <xdr:nvSpPr>
        <xdr:cNvPr id="408842" name="Line 296"/>
        <xdr:cNvSpPr>
          <a:spLocks noChangeShapeType="1"/>
        </xdr:cNvSpPr>
      </xdr:nvSpPr>
      <xdr:spPr bwMode="auto">
        <a:xfrm flipV="1">
          <a:off x="4486274" y="17706975"/>
          <a:ext cx="57151" cy="80962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123825</xdr:colOff>
      <xdr:row>62</xdr:row>
      <xdr:rowOff>95250</xdr:rowOff>
    </xdr:from>
    <xdr:to>
      <xdr:col>7</xdr:col>
      <xdr:colOff>228600</xdr:colOff>
      <xdr:row>62</xdr:row>
      <xdr:rowOff>95250</xdr:rowOff>
    </xdr:to>
    <xdr:sp macro="" textlink="">
      <xdr:nvSpPr>
        <xdr:cNvPr id="408843" name="Line 302"/>
        <xdr:cNvSpPr>
          <a:spLocks noChangeShapeType="1"/>
        </xdr:cNvSpPr>
      </xdr:nvSpPr>
      <xdr:spPr bwMode="auto">
        <a:xfrm>
          <a:off x="4486275" y="53149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495300</xdr:colOff>
      <xdr:row>56</xdr:row>
      <xdr:rowOff>152400</xdr:rowOff>
    </xdr:from>
    <xdr:to>
      <xdr:col>1</xdr:col>
      <xdr:colOff>552450</xdr:colOff>
      <xdr:row>62</xdr:row>
      <xdr:rowOff>76200</xdr:rowOff>
    </xdr:to>
    <xdr:sp macro="" textlink="">
      <xdr:nvSpPr>
        <xdr:cNvPr id="408844" name="Line 303"/>
        <xdr:cNvSpPr>
          <a:spLocks noChangeShapeType="1"/>
        </xdr:cNvSpPr>
      </xdr:nvSpPr>
      <xdr:spPr bwMode="auto">
        <a:xfrm flipH="1" flipV="1">
          <a:off x="1104900" y="4400550"/>
          <a:ext cx="57150" cy="895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447675</xdr:colOff>
      <xdr:row>62</xdr:row>
      <xdr:rowOff>66675</xdr:rowOff>
    </xdr:from>
    <xdr:to>
      <xdr:col>1</xdr:col>
      <xdr:colOff>542925</xdr:colOff>
      <xdr:row>62</xdr:row>
      <xdr:rowOff>66675</xdr:rowOff>
    </xdr:to>
    <xdr:sp macro="" textlink="">
      <xdr:nvSpPr>
        <xdr:cNvPr id="408845" name="Line 304"/>
        <xdr:cNvSpPr>
          <a:spLocks noChangeShapeType="1"/>
        </xdr:cNvSpPr>
      </xdr:nvSpPr>
      <xdr:spPr bwMode="auto">
        <a:xfrm flipH="1">
          <a:off x="1057275" y="52863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72</xdr:row>
      <xdr:rowOff>142875</xdr:rowOff>
    </xdr:from>
    <xdr:to>
      <xdr:col>3</xdr:col>
      <xdr:colOff>0</xdr:colOff>
      <xdr:row>79</xdr:row>
      <xdr:rowOff>0</xdr:rowOff>
    </xdr:to>
    <xdr:sp macro="" textlink="">
      <xdr:nvSpPr>
        <xdr:cNvPr id="408862" name="Line 322"/>
        <xdr:cNvSpPr>
          <a:spLocks noChangeShapeType="1"/>
        </xdr:cNvSpPr>
      </xdr:nvSpPr>
      <xdr:spPr bwMode="auto">
        <a:xfrm>
          <a:off x="1924050" y="6981825"/>
          <a:ext cx="0" cy="99060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3</xdr:col>
      <xdr:colOff>123825</xdr:colOff>
      <xdr:row>72</xdr:row>
      <xdr:rowOff>152400</xdr:rowOff>
    </xdr:from>
    <xdr:to>
      <xdr:col>3</xdr:col>
      <xdr:colOff>123825</xdr:colOff>
      <xdr:row>79</xdr:row>
      <xdr:rowOff>19050</xdr:rowOff>
    </xdr:to>
    <xdr:sp macro="" textlink="">
      <xdr:nvSpPr>
        <xdr:cNvPr id="408863" name="Line 323"/>
        <xdr:cNvSpPr>
          <a:spLocks noChangeShapeType="1"/>
        </xdr:cNvSpPr>
      </xdr:nvSpPr>
      <xdr:spPr bwMode="auto">
        <a:xfrm>
          <a:off x="2047875" y="6991350"/>
          <a:ext cx="0" cy="10001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476250</xdr:colOff>
      <xdr:row>73</xdr:row>
      <xdr:rowOff>0</xdr:rowOff>
    </xdr:from>
    <xdr:to>
      <xdr:col>5</xdr:col>
      <xdr:colOff>476250</xdr:colOff>
      <xdr:row>79</xdr:row>
      <xdr:rowOff>28575</xdr:rowOff>
    </xdr:to>
    <xdr:sp macro="" textlink="">
      <xdr:nvSpPr>
        <xdr:cNvPr id="408864" name="Line 324"/>
        <xdr:cNvSpPr>
          <a:spLocks noChangeShapeType="1"/>
        </xdr:cNvSpPr>
      </xdr:nvSpPr>
      <xdr:spPr bwMode="auto">
        <a:xfrm>
          <a:off x="3619500" y="7000875"/>
          <a:ext cx="0" cy="10001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6</xdr:col>
      <xdr:colOff>0</xdr:colOff>
      <xdr:row>73</xdr:row>
      <xdr:rowOff>9525</xdr:rowOff>
    </xdr:from>
    <xdr:to>
      <xdr:col>6</xdr:col>
      <xdr:colOff>0</xdr:colOff>
      <xdr:row>79</xdr:row>
      <xdr:rowOff>0</xdr:rowOff>
    </xdr:to>
    <xdr:sp macro="" textlink="">
      <xdr:nvSpPr>
        <xdr:cNvPr id="408865" name="Line 325"/>
        <xdr:cNvSpPr>
          <a:spLocks noChangeShapeType="1"/>
        </xdr:cNvSpPr>
      </xdr:nvSpPr>
      <xdr:spPr bwMode="auto">
        <a:xfrm>
          <a:off x="3752850" y="7010400"/>
          <a:ext cx="0" cy="9620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2</xdr:col>
      <xdr:colOff>0</xdr:colOff>
      <xdr:row>66</xdr:row>
      <xdr:rowOff>47625</xdr:rowOff>
    </xdr:from>
    <xdr:to>
      <xdr:col>2</xdr:col>
      <xdr:colOff>628650</xdr:colOff>
      <xdr:row>66</xdr:row>
      <xdr:rowOff>47625</xdr:rowOff>
    </xdr:to>
    <xdr:sp macro="" textlink="">
      <xdr:nvSpPr>
        <xdr:cNvPr id="408866" name="Line 326"/>
        <xdr:cNvSpPr>
          <a:spLocks noChangeShapeType="1"/>
        </xdr:cNvSpPr>
      </xdr:nvSpPr>
      <xdr:spPr bwMode="auto">
        <a:xfrm>
          <a:off x="1219200" y="5915025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66</xdr:row>
      <xdr:rowOff>47625</xdr:rowOff>
    </xdr:from>
    <xdr:to>
      <xdr:col>6</xdr:col>
      <xdr:colOff>600075</xdr:colOff>
      <xdr:row>66</xdr:row>
      <xdr:rowOff>47625</xdr:rowOff>
    </xdr:to>
    <xdr:sp macro="" textlink="">
      <xdr:nvSpPr>
        <xdr:cNvPr id="408867" name="Line 327"/>
        <xdr:cNvSpPr>
          <a:spLocks noChangeShapeType="1"/>
        </xdr:cNvSpPr>
      </xdr:nvSpPr>
      <xdr:spPr bwMode="auto">
        <a:xfrm>
          <a:off x="3752850" y="11001375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78</xdr:row>
      <xdr:rowOff>114300</xdr:rowOff>
    </xdr:from>
    <xdr:to>
      <xdr:col>3</xdr:col>
      <xdr:colOff>0</xdr:colOff>
      <xdr:row>78</xdr:row>
      <xdr:rowOff>114300</xdr:rowOff>
    </xdr:to>
    <xdr:sp macro="" textlink="">
      <xdr:nvSpPr>
        <xdr:cNvPr id="408868" name="Line 328"/>
        <xdr:cNvSpPr>
          <a:spLocks noChangeShapeType="1"/>
        </xdr:cNvSpPr>
      </xdr:nvSpPr>
      <xdr:spPr bwMode="auto">
        <a:xfrm>
          <a:off x="1219200" y="7924800"/>
          <a:ext cx="704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78</xdr:row>
      <xdr:rowOff>104775</xdr:rowOff>
    </xdr:from>
    <xdr:to>
      <xdr:col>7</xdr:col>
      <xdr:colOff>0</xdr:colOff>
      <xdr:row>78</xdr:row>
      <xdr:rowOff>104775</xdr:rowOff>
    </xdr:to>
    <xdr:sp macro="" textlink="">
      <xdr:nvSpPr>
        <xdr:cNvPr id="408869" name="Line 329"/>
        <xdr:cNvSpPr>
          <a:spLocks noChangeShapeType="1"/>
        </xdr:cNvSpPr>
      </xdr:nvSpPr>
      <xdr:spPr bwMode="auto">
        <a:xfrm>
          <a:off x="3762375" y="7915275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190500</xdr:colOff>
      <xdr:row>66</xdr:row>
      <xdr:rowOff>38100</xdr:rowOff>
    </xdr:from>
    <xdr:to>
      <xdr:col>8</xdr:col>
      <xdr:colOff>323850</xdr:colOff>
      <xdr:row>66</xdr:row>
      <xdr:rowOff>38100</xdr:rowOff>
    </xdr:to>
    <xdr:sp macro="" textlink="">
      <xdr:nvSpPr>
        <xdr:cNvPr id="408874" name="Line 335"/>
        <xdr:cNvSpPr>
          <a:spLocks noChangeShapeType="1"/>
        </xdr:cNvSpPr>
      </xdr:nvSpPr>
      <xdr:spPr bwMode="auto">
        <a:xfrm>
          <a:off x="5162550" y="59055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190500</xdr:colOff>
      <xdr:row>67</xdr:row>
      <xdr:rowOff>0</xdr:rowOff>
    </xdr:from>
    <xdr:to>
      <xdr:col>8</xdr:col>
      <xdr:colOff>333375</xdr:colOff>
      <xdr:row>67</xdr:row>
      <xdr:rowOff>0</xdr:rowOff>
    </xdr:to>
    <xdr:sp macro="" textlink="">
      <xdr:nvSpPr>
        <xdr:cNvPr id="408875" name="Line 336"/>
        <xdr:cNvSpPr>
          <a:spLocks noChangeShapeType="1"/>
        </xdr:cNvSpPr>
      </xdr:nvSpPr>
      <xdr:spPr bwMode="auto">
        <a:xfrm>
          <a:off x="5162550" y="60293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247650</xdr:colOff>
      <xdr:row>65</xdr:row>
      <xdr:rowOff>47625</xdr:rowOff>
    </xdr:from>
    <xdr:to>
      <xdr:col>8</xdr:col>
      <xdr:colOff>247650</xdr:colOff>
      <xdr:row>66</xdr:row>
      <xdr:rowOff>47625</xdr:rowOff>
    </xdr:to>
    <xdr:sp macro="" textlink="">
      <xdr:nvSpPr>
        <xdr:cNvPr id="408876" name="Line 337"/>
        <xdr:cNvSpPr>
          <a:spLocks noChangeShapeType="1"/>
        </xdr:cNvSpPr>
      </xdr:nvSpPr>
      <xdr:spPr bwMode="auto">
        <a:xfrm>
          <a:off x="5219700" y="57531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266700</xdr:colOff>
      <xdr:row>67</xdr:row>
      <xdr:rowOff>0</xdr:rowOff>
    </xdr:from>
    <xdr:to>
      <xdr:col>8</xdr:col>
      <xdr:colOff>266700</xdr:colOff>
      <xdr:row>67</xdr:row>
      <xdr:rowOff>152400</xdr:rowOff>
    </xdr:to>
    <xdr:sp macro="" textlink="">
      <xdr:nvSpPr>
        <xdr:cNvPr id="408877" name="Line 338"/>
        <xdr:cNvSpPr>
          <a:spLocks noChangeShapeType="1"/>
        </xdr:cNvSpPr>
      </xdr:nvSpPr>
      <xdr:spPr bwMode="auto">
        <a:xfrm flipV="1">
          <a:off x="5238750" y="60293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19050</xdr:colOff>
      <xdr:row>50</xdr:row>
      <xdr:rowOff>95250</xdr:rowOff>
    </xdr:from>
    <xdr:to>
      <xdr:col>1</xdr:col>
      <xdr:colOff>390525</xdr:colOff>
      <xdr:row>52</xdr:row>
      <xdr:rowOff>66675</xdr:rowOff>
    </xdr:to>
    <xdr:sp macro="" textlink="">
      <xdr:nvSpPr>
        <xdr:cNvPr id="408878" name="Line 340"/>
        <xdr:cNvSpPr>
          <a:spLocks noChangeShapeType="1"/>
        </xdr:cNvSpPr>
      </xdr:nvSpPr>
      <xdr:spPr bwMode="auto">
        <a:xfrm>
          <a:off x="628650" y="16240125"/>
          <a:ext cx="371475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4</xdr:col>
      <xdr:colOff>342898</xdr:colOff>
      <xdr:row>49</xdr:row>
      <xdr:rowOff>66673</xdr:rowOff>
    </xdr:from>
    <xdr:to>
      <xdr:col>5</xdr:col>
      <xdr:colOff>133349</xdr:colOff>
      <xdr:row>51</xdr:row>
      <xdr:rowOff>104774</xdr:rowOff>
    </xdr:to>
    <xdr:sp macro="" textlink="">
      <xdr:nvSpPr>
        <xdr:cNvPr id="408879" name="Line 341"/>
        <xdr:cNvSpPr>
          <a:spLocks noChangeShapeType="1"/>
        </xdr:cNvSpPr>
      </xdr:nvSpPr>
      <xdr:spPr bwMode="auto">
        <a:xfrm>
          <a:off x="2876548" y="8115298"/>
          <a:ext cx="400051" cy="36195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  <xdr:txBody>
        <a:bodyPr/>
        <a:lstStyle/>
        <a:p>
          <a:r>
            <a:rPr lang="en-US"/>
            <a:t>`</a:t>
          </a:r>
        </a:p>
      </xdr:txBody>
    </xdr:sp>
    <xdr:clientData/>
  </xdr:twoCellAnchor>
  <xdr:twoCellAnchor>
    <xdr:from>
      <xdr:col>4</xdr:col>
      <xdr:colOff>333375</xdr:colOff>
      <xdr:row>49</xdr:row>
      <xdr:rowOff>66675</xdr:rowOff>
    </xdr:from>
    <xdr:to>
      <xdr:col>5</xdr:col>
      <xdr:colOff>9525</xdr:colOff>
      <xdr:row>49</xdr:row>
      <xdr:rowOff>66675</xdr:rowOff>
    </xdr:to>
    <xdr:sp macro="" textlink="">
      <xdr:nvSpPr>
        <xdr:cNvPr id="408880" name="Line 342"/>
        <xdr:cNvSpPr>
          <a:spLocks noChangeShapeType="1"/>
        </xdr:cNvSpPr>
      </xdr:nvSpPr>
      <xdr:spPr bwMode="auto">
        <a:xfrm>
          <a:off x="2867025" y="811530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238125</xdr:colOff>
      <xdr:row>55</xdr:row>
      <xdr:rowOff>95250</xdr:rowOff>
    </xdr:from>
    <xdr:to>
      <xdr:col>2</xdr:col>
      <xdr:colOff>304800</xdr:colOff>
      <xdr:row>55</xdr:row>
      <xdr:rowOff>95250</xdr:rowOff>
    </xdr:to>
    <xdr:sp macro="" textlink="">
      <xdr:nvSpPr>
        <xdr:cNvPr id="408884" name="Line 346"/>
        <xdr:cNvSpPr>
          <a:spLocks noChangeShapeType="1"/>
        </xdr:cNvSpPr>
      </xdr:nvSpPr>
      <xdr:spPr bwMode="auto">
        <a:xfrm flipH="1">
          <a:off x="1457325" y="911542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180975</xdr:colOff>
      <xdr:row>99</xdr:row>
      <xdr:rowOff>152400</xdr:rowOff>
    </xdr:from>
    <xdr:to>
      <xdr:col>1</xdr:col>
      <xdr:colOff>190500</xdr:colOff>
      <xdr:row>99</xdr:row>
      <xdr:rowOff>152400</xdr:rowOff>
    </xdr:to>
    <xdr:sp macro="" textlink="">
      <xdr:nvSpPr>
        <xdr:cNvPr id="352" name="Line 50"/>
        <xdr:cNvSpPr>
          <a:spLocks noChangeShapeType="1"/>
        </xdr:cNvSpPr>
      </xdr:nvSpPr>
      <xdr:spPr bwMode="auto">
        <a:xfrm>
          <a:off x="180975" y="1548765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171450</xdr:colOff>
      <xdr:row>99</xdr:row>
      <xdr:rowOff>57150</xdr:rowOff>
    </xdr:from>
    <xdr:to>
      <xdr:col>0</xdr:col>
      <xdr:colOff>247650</xdr:colOff>
      <xdr:row>99</xdr:row>
      <xdr:rowOff>152400</xdr:rowOff>
    </xdr:to>
    <xdr:sp macro="" textlink="">
      <xdr:nvSpPr>
        <xdr:cNvPr id="353" name="AutoShape 51"/>
        <xdr:cNvSpPr>
          <a:spLocks noChangeArrowheads="1"/>
        </xdr:cNvSpPr>
      </xdr:nvSpPr>
      <xdr:spPr bwMode="auto">
        <a:xfrm>
          <a:off x="781050" y="6858000"/>
          <a:ext cx="76200" cy="9525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542925</xdr:colOff>
      <xdr:row>105</xdr:row>
      <xdr:rowOff>38100</xdr:rowOff>
    </xdr:from>
    <xdr:to>
      <xdr:col>1</xdr:col>
      <xdr:colOff>9525</xdr:colOff>
      <xdr:row>106</xdr:row>
      <xdr:rowOff>76200</xdr:rowOff>
    </xdr:to>
    <xdr:sp macro="" textlink="">
      <xdr:nvSpPr>
        <xdr:cNvPr id="355" name="Text Box 53"/>
        <xdr:cNvSpPr txBox="1">
          <a:spLocks noChangeArrowheads="1"/>
        </xdr:cNvSpPr>
      </xdr:nvSpPr>
      <xdr:spPr bwMode="auto">
        <a:xfrm>
          <a:off x="542925" y="76485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371473</xdr:colOff>
      <xdr:row>97</xdr:row>
      <xdr:rowOff>66675</xdr:rowOff>
    </xdr:from>
    <xdr:to>
      <xdr:col>1</xdr:col>
      <xdr:colOff>523874</xdr:colOff>
      <xdr:row>101</xdr:row>
      <xdr:rowOff>66675</xdr:rowOff>
    </xdr:to>
    <xdr:sp macro="" textlink="">
      <xdr:nvSpPr>
        <xdr:cNvPr id="356" name="Line 54"/>
        <xdr:cNvSpPr>
          <a:spLocks noChangeShapeType="1"/>
        </xdr:cNvSpPr>
      </xdr:nvSpPr>
      <xdr:spPr bwMode="auto">
        <a:xfrm>
          <a:off x="981073" y="15078075"/>
          <a:ext cx="152401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390525</xdr:colOff>
      <xdr:row>97</xdr:row>
      <xdr:rowOff>76200</xdr:rowOff>
    </xdr:from>
    <xdr:to>
      <xdr:col>2</xdr:col>
      <xdr:colOff>114300</xdr:colOff>
      <xdr:row>97</xdr:row>
      <xdr:rowOff>76200</xdr:rowOff>
    </xdr:to>
    <xdr:sp macro="" textlink="">
      <xdr:nvSpPr>
        <xdr:cNvPr id="357" name="Line 55"/>
        <xdr:cNvSpPr>
          <a:spLocks noChangeShapeType="1"/>
        </xdr:cNvSpPr>
      </xdr:nvSpPr>
      <xdr:spPr bwMode="auto">
        <a:xfrm flipH="1">
          <a:off x="1000125" y="811530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180975</xdr:colOff>
      <xdr:row>112</xdr:row>
      <xdr:rowOff>85725</xdr:rowOff>
    </xdr:from>
    <xdr:to>
      <xdr:col>1</xdr:col>
      <xdr:colOff>180975</xdr:colOff>
      <xdr:row>114</xdr:row>
      <xdr:rowOff>0</xdr:rowOff>
    </xdr:to>
    <xdr:sp macro="" textlink="">
      <xdr:nvSpPr>
        <xdr:cNvPr id="358" name="Line 56"/>
        <xdr:cNvSpPr>
          <a:spLocks noChangeShapeType="1"/>
        </xdr:cNvSpPr>
      </xdr:nvSpPr>
      <xdr:spPr bwMode="auto">
        <a:xfrm>
          <a:off x="790575" y="866775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533400</xdr:colOff>
      <xdr:row>112</xdr:row>
      <xdr:rowOff>85725</xdr:rowOff>
    </xdr:from>
    <xdr:to>
      <xdr:col>7</xdr:col>
      <xdr:colOff>533400</xdr:colOff>
      <xdr:row>113</xdr:row>
      <xdr:rowOff>104775</xdr:rowOff>
    </xdr:to>
    <xdr:sp macro="" textlink="">
      <xdr:nvSpPr>
        <xdr:cNvPr id="359" name="Line 57"/>
        <xdr:cNvSpPr>
          <a:spLocks noChangeShapeType="1"/>
        </xdr:cNvSpPr>
      </xdr:nvSpPr>
      <xdr:spPr bwMode="auto">
        <a:xfrm>
          <a:off x="4800600" y="866775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190500</xdr:colOff>
      <xdr:row>113</xdr:row>
      <xdr:rowOff>0</xdr:rowOff>
    </xdr:from>
    <xdr:to>
      <xdr:col>7</xdr:col>
      <xdr:colOff>533400</xdr:colOff>
      <xdr:row>113</xdr:row>
      <xdr:rowOff>0</xdr:rowOff>
    </xdr:to>
    <xdr:sp macro="" textlink="">
      <xdr:nvSpPr>
        <xdr:cNvPr id="360" name="Line 58"/>
        <xdr:cNvSpPr>
          <a:spLocks noChangeShapeType="1"/>
        </xdr:cNvSpPr>
      </xdr:nvSpPr>
      <xdr:spPr bwMode="auto">
        <a:xfrm>
          <a:off x="800100" y="8743950"/>
          <a:ext cx="400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114300</xdr:colOff>
      <xdr:row>110</xdr:row>
      <xdr:rowOff>28575</xdr:rowOff>
    </xdr:from>
    <xdr:to>
      <xdr:col>5</xdr:col>
      <xdr:colOff>114300</xdr:colOff>
      <xdr:row>111</xdr:row>
      <xdr:rowOff>123825</xdr:rowOff>
    </xdr:to>
    <xdr:sp macro="" textlink="">
      <xdr:nvSpPr>
        <xdr:cNvPr id="368" name="Line 66"/>
        <xdr:cNvSpPr>
          <a:spLocks noChangeShapeType="1"/>
        </xdr:cNvSpPr>
      </xdr:nvSpPr>
      <xdr:spPr bwMode="auto">
        <a:xfrm>
          <a:off x="3257550" y="16983075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314325</xdr:colOff>
      <xdr:row>109</xdr:row>
      <xdr:rowOff>152400</xdr:rowOff>
    </xdr:from>
    <xdr:ext cx="123825" cy="180975"/>
    <xdr:sp macro="" textlink="">
      <xdr:nvSpPr>
        <xdr:cNvPr id="371" name="Text Box 71"/>
        <xdr:cNvSpPr txBox="1">
          <a:spLocks noChangeArrowheads="1"/>
        </xdr:cNvSpPr>
      </xdr:nvSpPr>
      <xdr:spPr bwMode="auto">
        <a:xfrm>
          <a:off x="1533525" y="82486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704849</xdr:colOff>
      <xdr:row>103</xdr:row>
      <xdr:rowOff>157163</xdr:rowOff>
    </xdr:from>
    <xdr:to>
      <xdr:col>3</xdr:col>
      <xdr:colOff>219074</xdr:colOff>
      <xdr:row>105</xdr:row>
      <xdr:rowOff>9524</xdr:rowOff>
    </xdr:to>
    <xdr:sp macro="" textlink="">
      <xdr:nvSpPr>
        <xdr:cNvPr id="373" name="Line 73"/>
        <xdr:cNvSpPr>
          <a:spLocks noChangeShapeType="1"/>
        </xdr:cNvSpPr>
      </xdr:nvSpPr>
      <xdr:spPr bwMode="auto">
        <a:xfrm flipV="1">
          <a:off x="1924049" y="16625888"/>
          <a:ext cx="219075" cy="17621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57150</xdr:colOff>
      <xdr:row>103</xdr:row>
      <xdr:rowOff>152400</xdr:rowOff>
    </xdr:from>
    <xdr:to>
      <xdr:col>5</xdr:col>
      <xdr:colOff>319088</xdr:colOff>
      <xdr:row>104</xdr:row>
      <xdr:rowOff>152400</xdr:rowOff>
    </xdr:to>
    <xdr:sp macro="" textlink="">
      <xdr:nvSpPr>
        <xdr:cNvPr id="375" name="Line 75"/>
        <xdr:cNvSpPr>
          <a:spLocks noChangeShapeType="1"/>
        </xdr:cNvSpPr>
      </xdr:nvSpPr>
      <xdr:spPr bwMode="auto">
        <a:xfrm>
          <a:off x="3200400" y="16621125"/>
          <a:ext cx="261938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533400</xdr:colOff>
      <xdr:row>105</xdr:row>
      <xdr:rowOff>0</xdr:rowOff>
    </xdr:from>
    <xdr:to>
      <xdr:col>9</xdr:col>
      <xdr:colOff>57150</xdr:colOff>
      <xdr:row>105</xdr:row>
      <xdr:rowOff>0</xdr:rowOff>
    </xdr:to>
    <xdr:sp macro="" textlink="">
      <xdr:nvSpPr>
        <xdr:cNvPr id="382" name="Line 82"/>
        <xdr:cNvSpPr>
          <a:spLocks noChangeShapeType="1"/>
        </xdr:cNvSpPr>
      </xdr:nvSpPr>
      <xdr:spPr bwMode="auto">
        <a:xfrm>
          <a:off x="4895850" y="16306800"/>
          <a:ext cx="742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57150</xdr:colOff>
      <xdr:row>104</xdr:row>
      <xdr:rowOff>66675</xdr:rowOff>
    </xdr:from>
    <xdr:to>
      <xdr:col>8</xdr:col>
      <xdr:colOff>133350</xdr:colOff>
      <xdr:row>104</xdr:row>
      <xdr:rowOff>142875</xdr:rowOff>
    </xdr:to>
    <xdr:sp macro="" textlink="">
      <xdr:nvSpPr>
        <xdr:cNvPr id="383" name="AutoShape 83"/>
        <xdr:cNvSpPr>
          <a:spLocks noChangeArrowheads="1"/>
        </xdr:cNvSpPr>
      </xdr:nvSpPr>
      <xdr:spPr bwMode="auto">
        <a:xfrm>
          <a:off x="5029200" y="5848350"/>
          <a:ext cx="76200" cy="762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171450</xdr:colOff>
      <xdr:row>99</xdr:row>
      <xdr:rowOff>57150</xdr:rowOff>
    </xdr:from>
    <xdr:to>
      <xdr:col>0</xdr:col>
      <xdr:colOff>247650</xdr:colOff>
      <xdr:row>99</xdr:row>
      <xdr:rowOff>152400</xdr:rowOff>
    </xdr:to>
    <xdr:sp macro="" textlink="">
      <xdr:nvSpPr>
        <xdr:cNvPr id="384" name="AutoShape 84"/>
        <xdr:cNvSpPr>
          <a:spLocks noChangeArrowheads="1"/>
        </xdr:cNvSpPr>
      </xdr:nvSpPr>
      <xdr:spPr bwMode="auto">
        <a:xfrm>
          <a:off x="781050" y="6858000"/>
          <a:ext cx="76200" cy="9525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7</xdr:col>
      <xdr:colOff>257175</xdr:colOff>
      <xdr:row>105</xdr:row>
      <xdr:rowOff>142875</xdr:rowOff>
    </xdr:from>
    <xdr:ext cx="171450" cy="180975"/>
    <xdr:sp macro="" textlink="">
      <xdr:nvSpPr>
        <xdr:cNvPr id="385" name="Text Box 85"/>
        <xdr:cNvSpPr txBox="1">
          <a:spLocks noChangeArrowheads="1"/>
        </xdr:cNvSpPr>
      </xdr:nvSpPr>
      <xdr:spPr bwMode="auto">
        <a:xfrm>
          <a:off x="4619625" y="16935450"/>
          <a:ext cx="17145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E2</a:t>
          </a:r>
        </a:p>
      </xdr:txBody>
    </xdr:sp>
    <xdr:clientData/>
  </xdr:oneCellAnchor>
  <xdr:twoCellAnchor>
    <xdr:from>
      <xdr:col>1</xdr:col>
      <xdr:colOff>190500</xdr:colOff>
      <xdr:row>101</xdr:row>
      <xdr:rowOff>47625</xdr:rowOff>
    </xdr:from>
    <xdr:to>
      <xdr:col>7</xdr:col>
      <xdr:colOff>533400</xdr:colOff>
      <xdr:row>102</xdr:row>
      <xdr:rowOff>9525</xdr:rowOff>
    </xdr:to>
    <xdr:sp macro="" textlink="">
      <xdr:nvSpPr>
        <xdr:cNvPr id="387" name="Line 87"/>
        <xdr:cNvSpPr>
          <a:spLocks noChangeShapeType="1"/>
        </xdr:cNvSpPr>
      </xdr:nvSpPr>
      <xdr:spPr bwMode="auto">
        <a:xfrm flipH="1" flipV="1">
          <a:off x="800100" y="15706725"/>
          <a:ext cx="4095750" cy="12382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1</xdr:col>
      <xdr:colOff>180975</xdr:colOff>
      <xdr:row>112</xdr:row>
      <xdr:rowOff>85725</xdr:rowOff>
    </xdr:from>
    <xdr:to>
      <xdr:col>1</xdr:col>
      <xdr:colOff>180975</xdr:colOff>
      <xdr:row>114</xdr:row>
      <xdr:rowOff>0</xdr:rowOff>
    </xdr:to>
    <xdr:sp macro="" textlink="">
      <xdr:nvSpPr>
        <xdr:cNvPr id="388" name="Line 88"/>
        <xdr:cNvSpPr>
          <a:spLocks noChangeShapeType="1"/>
        </xdr:cNvSpPr>
      </xdr:nvSpPr>
      <xdr:spPr bwMode="auto">
        <a:xfrm>
          <a:off x="790575" y="866775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533400</xdr:colOff>
      <xdr:row>112</xdr:row>
      <xdr:rowOff>85725</xdr:rowOff>
    </xdr:from>
    <xdr:to>
      <xdr:col>7</xdr:col>
      <xdr:colOff>533400</xdr:colOff>
      <xdr:row>113</xdr:row>
      <xdr:rowOff>104775</xdr:rowOff>
    </xdr:to>
    <xdr:sp macro="" textlink="">
      <xdr:nvSpPr>
        <xdr:cNvPr id="389" name="Line 89"/>
        <xdr:cNvSpPr>
          <a:spLocks noChangeShapeType="1"/>
        </xdr:cNvSpPr>
      </xdr:nvSpPr>
      <xdr:spPr bwMode="auto">
        <a:xfrm>
          <a:off x="4800600" y="866775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190500</xdr:colOff>
      <xdr:row>113</xdr:row>
      <xdr:rowOff>0</xdr:rowOff>
    </xdr:from>
    <xdr:to>
      <xdr:col>7</xdr:col>
      <xdr:colOff>533400</xdr:colOff>
      <xdr:row>113</xdr:row>
      <xdr:rowOff>0</xdr:rowOff>
    </xdr:to>
    <xdr:sp macro="" textlink="">
      <xdr:nvSpPr>
        <xdr:cNvPr id="390" name="Line 90"/>
        <xdr:cNvSpPr>
          <a:spLocks noChangeShapeType="1"/>
        </xdr:cNvSpPr>
      </xdr:nvSpPr>
      <xdr:spPr bwMode="auto">
        <a:xfrm>
          <a:off x="800100" y="8743950"/>
          <a:ext cx="400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285750</xdr:colOff>
      <xdr:row>110</xdr:row>
      <xdr:rowOff>28575</xdr:rowOff>
    </xdr:from>
    <xdr:to>
      <xdr:col>3</xdr:col>
      <xdr:colOff>285750</xdr:colOff>
      <xdr:row>111</xdr:row>
      <xdr:rowOff>133350</xdr:rowOff>
    </xdr:to>
    <xdr:sp macro="" textlink="">
      <xdr:nvSpPr>
        <xdr:cNvPr id="396" name="Line 96"/>
        <xdr:cNvSpPr>
          <a:spLocks noChangeShapeType="1"/>
        </xdr:cNvSpPr>
      </xdr:nvSpPr>
      <xdr:spPr bwMode="auto">
        <a:xfrm>
          <a:off x="2209800" y="1698307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110</xdr:row>
      <xdr:rowOff>47625</xdr:rowOff>
    </xdr:from>
    <xdr:to>
      <xdr:col>1</xdr:col>
      <xdr:colOff>9525</xdr:colOff>
      <xdr:row>111</xdr:row>
      <xdr:rowOff>123825</xdr:rowOff>
    </xdr:to>
    <xdr:sp macro="" textlink="">
      <xdr:nvSpPr>
        <xdr:cNvPr id="397" name="Line 97"/>
        <xdr:cNvSpPr>
          <a:spLocks noChangeShapeType="1"/>
        </xdr:cNvSpPr>
      </xdr:nvSpPr>
      <xdr:spPr bwMode="auto">
        <a:xfrm>
          <a:off x="619125" y="17002125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90487</xdr:colOff>
      <xdr:row>110</xdr:row>
      <xdr:rowOff>114300</xdr:rowOff>
    </xdr:from>
    <xdr:to>
      <xdr:col>8</xdr:col>
      <xdr:colOff>90487</xdr:colOff>
      <xdr:row>111</xdr:row>
      <xdr:rowOff>142875</xdr:rowOff>
    </xdr:to>
    <xdr:sp macro="" textlink="">
      <xdr:nvSpPr>
        <xdr:cNvPr id="399" name="Line 99"/>
        <xdr:cNvSpPr>
          <a:spLocks noChangeShapeType="1"/>
        </xdr:cNvSpPr>
      </xdr:nvSpPr>
      <xdr:spPr bwMode="auto">
        <a:xfrm>
          <a:off x="5062537" y="1771650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314325</xdr:colOff>
      <xdr:row>109</xdr:row>
      <xdr:rowOff>152400</xdr:rowOff>
    </xdr:from>
    <xdr:ext cx="123825" cy="180975"/>
    <xdr:sp macro="" textlink="">
      <xdr:nvSpPr>
        <xdr:cNvPr id="403" name="Text Box 103"/>
        <xdr:cNvSpPr txBox="1">
          <a:spLocks noChangeArrowheads="1"/>
        </xdr:cNvSpPr>
      </xdr:nvSpPr>
      <xdr:spPr bwMode="auto">
        <a:xfrm>
          <a:off x="1533525" y="82486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7</xdr:col>
      <xdr:colOff>247650</xdr:colOff>
      <xdr:row>99</xdr:row>
      <xdr:rowOff>76200</xdr:rowOff>
    </xdr:from>
    <xdr:to>
      <xdr:col>7</xdr:col>
      <xdr:colOff>542925</xdr:colOff>
      <xdr:row>102</xdr:row>
      <xdr:rowOff>28574</xdr:rowOff>
    </xdr:to>
    <xdr:sp macro="" textlink="">
      <xdr:nvSpPr>
        <xdr:cNvPr id="404" name="Line 104"/>
        <xdr:cNvSpPr>
          <a:spLocks noChangeShapeType="1"/>
        </xdr:cNvSpPr>
      </xdr:nvSpPr>
      <xdr:spPr bwMode="auto">
        <a:xfrm>
          <a:off x="4610100" y="15411450"/>
          <a:ext cx="295275" cy="43814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0</xdr:col>
      <xdr:colOff>523875</xdr:colOff>
      <xdr:row>101</xdr:row>
      <xdr:rowOff>76199</xdr:rowOff>
    </xdr:from>
    <xdr:to>
      <xdr:col>1</xdr:col>
      <xdr:colOff>200025</xdr:colOff>
      <xdr:row>103</xdr:row>
      <xdr:rowOff>95247</xdr:rowOff>
    </xdr:to>
    <xdr:sp macro="" textlink="">
      <xdr:nvSpPr>
        <xdr:cNvPr id="405" name="Line 105"/>
        <xdr:cNvSpPr>
          <a:spLocks noChangeShapeType="1"/>
        </xdr:cNvSpPr>
      </xdr:nvSpPr>
      <xdr:spPr bwMode="auto">
        <a:xfrm flipV="1">
          <a:off x="523875" y="15735299"/>
          <a:ext cx="285750" cy="34289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0</xdr:col>
      <xdr:colOff>342900</xdr:colOff>
      <xdr:row>103</xdr:row>
      <xdr:rowOff>95250</xdr:rowOff>
    </xdr:from>
    <xdr:to>
      <xdr:col>0</xdr:col>
      <xdr:colOff>514350</xdr:colOff>
      <xdr:row>103</xdr:row>
      <xdr:rowOff>95250</xdr:rowOff>
    </xdr:to>
    <xdr:sp macro="" textlink="">
      <xdr:nvSpPr>
        <xdr:cNvPr id="406" name="Line 106"/>
        <xdr:cNvSpPr>
          <a:spLocks noChangeShapeType="1"/>
        </xdr:cNvSpPr>
      </xdr:nvSpPr>
      <xdr:spPr bwMode="auto">
        <a:xfrm>
          <a:off x="342900" y="57150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95249</xdr:colOff>
      <xdr:row>101</xdr:row>
      <xdr:rowOff>95251</xdr:rowOff>
    </xdr:from>
    <xdr:to>
      <xdr:col>5</xdr:col>
      <xdr:colOff>304800</xdr:colOff>
      <xdr:row>102</xdr:row>
      <xdr:rowOff>57150</xdr:rowOff>
    </xdr:to>
    <xdr:sp macro="" textlink="">
      <xdr:nvSpPr>
        <xdr:cNvPr id="407" name="Line 107"/>
        <xdr:cNvSpPr>
          <a:spLocks noChangeShapeType="1"/>
        </xdr:cNvSpPr>
      </xdr:nvSpPr>
      <xdr:spPr bwMode="auto">
        <a:xfrm flipH="1" flipV="1">
          <a:off x="3238499" y="16563976"/>
          <a:ext cx="209551" cy="12382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7</xdr:col>
      <xdr:colOff>333375</xdr:colOff>
      <xdr:row>101</xdr:row>
      <xdr:rowOff>95250</xdr:rowOff>
    </xdr:from>
    <xdr:to>
      <xdr:col>7</xdr:col>
      <xdr:colOff>333375</xdr:colOff>
      <xdr:row>105</xdr:row>
      <xdr:rowOff>0</xdr:rowOff>
    </xdr:to>
    <xdr:sp macro="" textlink="">
      <xdr:nvSpPr>
        <xdr:cNvPr id="410" name="Line 110"/>
        <xdr:cNvSpPr>
          <a:spLocks noChangeShapeType="1"/>
        </xdr:cNvSpPr>
      </xdr:nvSpPr>
      <xdr:spPr bwMode="auto">
        <a:xfrm>
          <a:off x="4600575" y="7058025"/>
          <a:ext cx="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6</xdr:col>
      <xdr:colOff>419100</xdr:colOff>
      <xdr:row>107</xdr:row>
      <xdr:rowOff>152400</xdr:rowOff>
    </xdr:from>
    <xdr:ext cx="123825" cy="180975"/>
    <xdr:sp macro="" textlink="">
      <xdr:nvSpPr>
        <xdr:cNvPr id="411" name="Text Box 113"/>
        <xdr:cNvSpPr txBox="1">
          <a:spLocks noChangeArrowheads="1"/>
        </xdr:cNvSpPr>
      </xdr:nvSpPr>
      <xdr:spPr bwMode="auto">
        <a:xfrm>
          <a:off x="4076700" y="79248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6</xdr:col>
      <xdr:colOff>571499</xdr:colOff>
      <xdr:row>102</xdr:row>
      <xdr:rowOff>0</xdr:rowOff>
    </xdr:from>
    <xdr:to>
      <xdr:col>7</xdr:col>
      <xdr:colOff>352424</xdr:colOff>
      <xdr:row>103</xdr:row>
      <xdr:rowOff>85725</xdr:rowOff>
    </xdr:to>
    <xdr:sp macro="" textlink="">
      <xdr:nvSpPr>
        <xdr:cNvPr id="412" name="Line 114"/>
        <xdr:cNvSpPr>
          <a:spLocks noChangeShapeType="1"/>
        </xdr:cNvSpPr>
      </xdr:nvSpPr>
      <xdr:spPr bwMode="auto">
        <a:xfrm flipV="1">
          <a:off x="4324349" y="16630650"/>
          <a:ext cx="3905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6</xdr:col>
      <xdr:colOff>504825</xdr:colOff>
      <xdr:row>103</xdr:row>
      <xdr:rowOff>95250</xdr:rowOff>
    </xdr:from>
    <xdr:to>
      <xdr:col>6</xdr:col>
      <xdr:colOff>581025</xdr:colOff>
      <xdr:row>103</xdr:row>
      <xdr:rowOff>95250</xdr:rowOff>
    </xdr:to>
    <xdr:sp macro="" textlink="">
      <xdr:nvSpPr>
        <xdr:cNvPr id="413" name="Line 115"/>
        <xdr:cNvSpPr>
          <a:spLocks noChangeShapeType="1"/>
        </xdr:cNvSpPr>
      </xdr:nvSpPr>
      <xdr:spPr bwMode="auto">
        <a:xfrm flipH="1">
          <a:off x="4257675" y="16887825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314325</xdr:colOff>
      <xdr:row>102</xdr:row>
      <xdr:rowOff>76200</xdr:rowOff>
    </xdr:from>
    <xdr:to>
      <xdr:col>1</xdr:col>
      <xdr:colOff>314325</xdr:colOff>
      <xdr:row>105</xdr:row>
      <xdr:rowOff>0</xdr:rowOff>
    </xdr:to>
    <xdr:sp macro="" textlink="">
      <xdr:nvSpPr>
        <xdr:cNvPr id="442" name="Line 148"/>
        <xdr:cNvSpPr>
          <a:spLocks noChangeShapeType="1"/>
        </xdr:cNvSpPr>
      </xdr:nvSpPr>
      <xdr:spPr bwMode="auto">
        <a:xfrm>
          <a:off x="923925" y="7200900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323850</xdr:colOff>
      <xdr:row>110</xdr:row>
      <xdr:rowOff>57150</xdr:rowOff>
    </xdr:from>
    <xdr:to>
      <xdr:col>1</xdr:col>
      <xdr:colOff>323850</xdr:colOff>
      <xdr:row>111</xdr:row>
      <xdr:rowOff>66675</xdr:rowOff>
    </xdr:to>
    <xdr:sp macro="" textlink="">
      <xdr:nvSpPr>
        <xdr:cNvPr id="445" name="Line 151"/>
        <xdr:cNvSpPr>
          <a:spLocks noChangeShapeType="1"/>
        </xdr:cNvSpPr>
      </xdr:nvSpPr>
      <xdr:spPr bwMode="auto">
        <a:xfrm>
          <a:off x="933450" y="831532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180975</xdr:colOff>
      <xdr:row>108</xdr:row>
      <xdr:rowOff>85725</xdr:rowOff>
    </xdr:from>
    <xdr:to>
      <xdr:col>1</xdr:col>
      <xdr:colOff>447675</xdr:colOff>
      <xdr:row>111</xdr:row>
      <xdr:rowOff>0</xdr:rowOff>
    </xdr:to>
    <xdr:sp macro="" textlink="">
      <xdr:nvSpPr>
        <xdr:cNvPr id="448" name="Line 155"/>
        <xdr:cNvSpPr>
          <a:spLocks noChangeShapeType="1"/>
        </xdr:cNvSpPr>
      </xdr:nvSpPr>
      <xdr:spPr bwMode="auto">
        <a:xfrm flipH="1">
          <a:off x="790575" y="16716375"/>
          <a:ext cx="26670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438150</xdr:colOff>
      <xdr:row>108</xdr:row>
      <xdr:rowOff>95250</xdr:rowOff>
    </xdr:from>
    <xdr:to>
      <xdr:col>2</xdr:col>
      <xdr:colOff>0</xdr:colOff>
      <xdr:row>108</xdr:row>
      <xdr:rowOff>95250</xdr:rowOff>
    </xdr:to>
    <xdr:sp macro="" textlink="">
      <xdr:nvSpPr>
        <xdr:cNvPr id="449" name="Line 156"/>
        <xdr:cNvSpPr>
          <a:spLocks noChangeShapeType="1"/>
        </xdr:cNvSpPr>
      </xdr:nvSpPr>
      <xdr:spPr bwMode="auto">
        <a:xfrm>
          <a:off x="1047750" y="80295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314325</xdr:colOff>
      <xdr:row>108</xdr:row>
      <xdr:rowOff>0</xdr:rowOff>
    </xdr:from>
    <xdr:ext cx="123825" cy="180975"/>
    <xdr:sp macro="" textlink="">
      <xdr:nvSpPr>
        <xdr:cNvPr id="450" name="Text Box 157"/>
        <xdr:cNvSpPr txBox="1">
          <a:spLocks noChangeArrowheads="1"/>
        </xdr:cNvSpPr>
      </xdr:nvSpPr>
      <xdr:spPr bwMode="auto">
        <a:xfrm>
          <a:off x="1533525" y="79343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7</xdr:col>
      <xdr:colOff>285750</xdr:colOff>
      <xdr:row>110</xdr:row>
      <xdr:rowOff>76200</xdr:rowOff>
    </xdr:from>
    <xdr:to>
      <xdr:col>7</xdr:col>
      <xdr:colOff>285750</xdr:colOff>
      <xdr:row>112</xdr:row>
      <xdr:rowOff>0</xdr:rowOff>
    </xdr:to>
    <xdr:sp macro="" textlink="">
      <xdr:nvSpPr>
        <xdr:cNvPr id="451" name="Line 158"/>
        <xdr:cNvSpPr>
          <a:spLocks noChangeShapeType="1"/>
        </xdr:cNvSpPr>
      </xdr:nvSpPr>
      <xdr:spPr bwMode="auto">
        <a:xfrm>
          <a:off x="4552950" y="833437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228600</xdr:colOff>
      <xdr:row>108</xdr:row>
      <xdr:rowOff>85725</xdr:rowOff>
    </xdr:from>
    <xdr:to>
      <xdr:col>7</xdr:col>
      <xdr:colOff>419100</xdr:colOff>
      <xdr:row>111</xdr:row>
      <xdr:rowOff>0</xdr:rowOff>
    </xdr:to>
    <xdr:sp macro="" textlink="">
      <xdr:nvSpPr>
        <xdr:cNvPr id="452" name="Line 159"/>
        <xdr:cNvSpPr>
          <a:spLocks noChangeShapeType="1"/>
        </xdr:cNvSpPr>
      </xdr:nvSpPr>
      <xdr:spPr bwMode="auto">
        <a:xfrm>
          <a:off x="4495800" y="8020050"/>
          <a:ext cx="19050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9525</xdr:colOff>
      <xdr:row>108</xdr:row>
      <xdr:rowOff>85725</xdr:rowOff>
    </xdr:from>
    <xdr:to>
      <xdr:col>7</xdr:col>
      <xdr:colOff>219075</xdr:colOff>
      <xdr:row>108</xdr:row>
      <xdr:rowOff>85725</xdr:rowOff>
    </xdr:to>
    <xdr:sp macro="" textlink="">
      <xdr:nvSpPr>
        <xdr:cNvPr id="453" name="Line 160"/>
        <xdr:cNvSpPr>
          <a:spLocks noChangeShapeType="1"/>
        </xdr:cNvSpPr>
      </xdr:nvSpPr>
      <xdr:spPr bwMode="auto">
        <a:xfrm flipH="1">
          <a:off x="4276725" y="802005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323850</xdr:colOff>
      <xdr:row>110</xdr:row>
      <xdr:rowOff>0</xdr:rowOff>
    </xdr:from>
    <xdr:ext cx="123825" cy="180975"/>
    <xdr:sp macro="" textlink="">
      <xdr:nvSpPr>
        <xdr:cNvPr id="454" name="Text Box 161"/>
        <xdr:cNvSpPr txBox="1">
          <a:spLocks noChangeArrowheads="1"/>
        </xdr:cNvSpPr>
      </xdr:nvSpPr>
      <xdr:spPr bwMode="auto">
        <a:xfrm>
          <a:off x="2762250" y="82581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7</xdr:col>
      <xdr:colOff>228600</xdr:colOff>
      <xdr:row>99</xdr:row>
      <xdr:rowOff>76200</xdr:rowOff>
    </xdr:from>
    <xdr:to>
      <xdr:col>7</xdr:col>
      <xdr:colOff>333375</xdr:colOff>
      <xdr:row>99</xdr:row>
      <xdr:rowOff>77788</xdr:rowOff>
    </xdr:to>
    <xdr:cxnSp macro="">
      <xdr:nvCxnSpPr>
        <xdr:cNvPr id="456" name="Straight Connector 455"/>
        <xdr:cNvCxnSpPr/>
      </xdr:nvCxnSpPr>
      <xdr:spPr bwMode="auto">
        <a:xfrm>
          <a:off x="4591050" y="5048250"/>
          <a:ext cx="1047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19050</xdr:colOff>
      <xdr:row>98</xdr:row>
      <xdr:rowOff>9525</xdr:rowOff>
    </xdr:from>
    <xdr:to>
      <xdr:col>3</xdr:col>
      <xdr:colOff>257175</xdr:colOff>
      <xdr:row>102</xdr:row>
      <xdr:rowOff>85725</xdr:rowOff>
    </xdr:to>
    <xdr:cxnSp macro="">
      <xdr:nvCxnSpPr>
        <xdr:cNvPr id="458" name="Straight Connector 457"/>
        <xdr:cNvCxnSpPr/>
      </xdr:nvCxnSpPr>
      <xdr:spPr bwMode="auto">
        <a:xfrm flipV="1">
          <a:off x="1238250" y="15992475"/>
          <a:ext cx="942975" cy="7239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85725</xdr:colOff>
      <xdr:row>98</xdr:row>
      <xdr:rowOff>9525</xdr:rowOff>
    </xdr:from>
    <xdr:to>
      <xdr:col>7</xdr:col>
      <xdr:colOff>9525</xdr:colOff>
      <xdr:row>101</xdr:row>
      <xdr:rowOff>95250</xdr:rowOff>
    </xdr:to>
    <xdr:cxnSp macro="">
      <xdr:nvCxnSpPr>
        <xdr:cNvPr id="460" name="Straight Connector 459"/>
        <xdr:cNvCxnSpPr/>
      </xdr:nvCxnSpPr>
      <xdr:spPr bwMode="auto">
        <a:xfrm>
          <a:off x="3228975" y="15992475"/>
          <a:ext cx="1143000" cy="5715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209550</xdr:colOff>
      <xdr:row>103</xdr:row>
      <xdr:rowOff>152400</xdr:rowOff>
    </xdr:from>
    <xdr:to>
      <xdr:col>5</xdr:col>
      <xdr:colOff>57150</xdr:colOff>
      <xdr:row>104</xdr:row>
      <xdr:rowOff>1</xdr:rowOff>
    </xdr:to>
    <xdr:cxnSp macro="">
      <xdr:nvCxnSpPr>
        <xdr:cNvPr id="466" name="Straight Connector 465"/>
        <xdr:cNvCxnSpPr>
          <a:endCxn id="375" idx="0"/>
        </xdr:cNvCxnSpPr>
      </xdr:nvCxnSpPr>
      <xdr:spPr bwMode="auto">
        <a:xfrm flipV="1">
          <a:off x="2133600" y="16621125"/>
          <a:ext cx="106680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180975</xdr:colOff>
      <xdr:row>105</xdr:row>
      <xdr:rowOff>9525</xdr:rowOff>
    </xdr:from>
    <xdr:to>
      <xdr:col>2</xdr:col>
      <xdr:colOff>695325</xdr:colOff>
      <xdr:row>105</xdr:row>
      <xdr:rowOff>11113</xdr:rowOff>
    </xdr:to>
    <xdr:cxnSp macro="">
      <xdr:nvCxnSpPr>
        <xdr:cNvPr id="471" name="Straight Connector 470"/>
        <xdr:cNvCxnSpPr/>
      </xdr:nvCxnSpPr>
      <xdr:spPr bwMode="auto">
        <a:xfrm>
          <a:off x="790575" y="16316325"/>
          <a:ext cx="11239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304800</xdr:colOff>
      <xdr:row>104</xdr:row>
      <xdr:rowOff>152400</xdr:rowOff>
    </xdr:from>
    <xdr:to>
      <xdr:col>7</xdr:col>
      <xdr:colOff>504825</xdr:colOff>
      <xdr:row>105</xdr:row>
      <xdr:rowOff>0</xdr:rowOff>
    </xdr:to>
    <xdr:cxnSp macro="">
      <xdr:nvCxnSpPr>
        <xdr:cNvPr id="475" name="Straight Connector 474"/>
        <xdr:cNvCxnSpPr/>
      </xdr:nvCxnSpPr>
      <xdr:spPr bwMode="auto">
        <a:xfrm>
          <a:off x="3448050" y="16783050"/>
          <a:ext cx="14192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295275</xdr:colOff>
      <xdr:row>100</xdr:row>
      <xdr:rowOff>66676</xdr:rowOff>
    </xdr:from>
    <xdr:to>
      <xdr:col>5</xdr:col>
      <xdr:colOff>9525</xdr:colOff>
      <xdr:row>100</xdr:row>
      <xdr:rowOff>85725</xdr:rowOff>
    </xdr:to>
    <xdr:cxnSp macro="">
      <xdr:nvCxnSpPr>
        <xdr:cNvPr id="482" name="Straight Connector 481"/>
        <xdr:cNvCxnSpPr/>
      </xdr:nvCxnSpPr>
      <xdr:spPr bwMode="auto">
        <a:xfrm>
          <a:off x="2219325" y="15563851"/>
          <a:ext cx="933450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304800</xdr:colOff>
      <xdr:row>111</xdr:row>
      <xdr:rowOff>19049</xdr:rowOff>
    </xdr:from>
    <xdr:to>
      <xdr:col>5</xdr:col>
      <xdr:colOff>85725</xdr:colOff>
      <xdr:row>111</xdr:row>
      <xdr:rowOff>19050</xdr:rowOff>
    </xdr:to>
    <xdr:cxnSp macro="">
      <xdr:nvCxnSpPr>
        <xdr:cNvPr id="495" name="Straight Arrow Connector 494"/>
        <xdr:cNvCxnSpPr/>
      </xdr:nvCxnSpPr>
      <xdr:spPr bwMode="auto">
        <a:xfrm>
          <a:off x="2228850" y="6772274"/>
          <a:ext cx="10001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123825</xdr:colOff>
      <xdr:row>111</xdr:row>
      <xdr:rowOff>9525</xdr:rowOff>
    </xdr:from>
    <xdr:to>
      <xdr:col>7</xdr:col>
      <xdr:colOff>295275</xdr:colOff>
      <xdr:row>111</xdr:row>
      <xdr:rowOff>19050</xdr:rowOff>
    </xdr:to>
    <xdr:cxnSp macro="">
      <xdr:nvCxnSpPr>
        <xdr:cNvPr id="500" name="Straight Connector 499"/>
        <xdr:cNvCxnSpPr/>
      </xdr:nvCxnSpPr>
      <xdr:spPr bwMode="auto">
        <a:xfrm flipV="1">
          <a:off x="3267075" y="6762750"/>
          <a:ext cx="13906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323852</xdr:colOff>
      <xdr:row>111</xdr:row>
      <xdr:rowOff>9528</xdr:rowOff>
    </xdr:from>
    <xdr:to>
      <xdr:col>3</xdr:col>
      <xdr:colOff>285750</xdr:colOff>
      <xdr:row>111</xdr:row>
      <xdr:rowOff>28575</xdr:rowOff>
    </xdr:to>
    <xdr:cxnSp macro="">
      <xdr:nvCxnSpPr>
        <xdr:cNvPr id="502" name="Straight Arrow Connector 501"/>
        <xdr:cNvCxnSpPr/>
      </xdr:nvCxnSpPr>
      <xdr:spPr bwMode="auto">
        <a:xfrm>
          <a:off x="933452" y="6762753"/>
          <a:ext cx="1276348" cy="1904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171450</xdr:colOff>
      <xdr:row>134</xdr:row>
      <xdr:rowOff>57150</xdr:rowOff>
    </xdr:from>
    <xdr:to>
      <xdr:col>0</xdr:col>
      <xdr:colOff>247650</xdr:colOff>
      <xdr:row>134</xdr:row>
      <xdr:rowOff>152400</xdr:rowOff>
    </xdr:to>
    <xdr:sp macro="" textlink="">
      <xdr:nvSpPr>
        <xdr:cNvPr id="457" name="AutoShape 14"/>
        <xdr:cNvSpPr>
          <a:spLocks noChangeArrowheads="1"/>
        </xdr:cNvSpPr>
      </xdr:nvSpPr>
      <xdr:spPr bwMode="auto">
        <a:xfrm>
          <a:off x="171450" y="10534650"/>
          <a:ext cx="76200" cy="9525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2</xdr:col>
      <xdr:colOff>314325</xdr:colOff>
      <xdr:row>140</xdr:row>
      <xdr:rowOff>152400</xdr:rowOff>
    </xdr:from>
    <xdr:ext cx="123825" cy="180975"/>
    <xdr:sp macro="" textlink="">
      <xdr:nvSpPr>
        <xdr:cNvPr id="459" name="Text Box 38"/>
        <xdr:cNvSpPr txBox="1">
          <a:spLocks noChangeArrowheads="1"/>
        </xdr:cNvSpPr>
      </xdr:nvSpPr>
      <xdr:spPr bwMode="auto">
        <a:xfrm>
          <a:off x="1533525" y="114395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4</xdr:col>
      <xdr:colOff>323850</xdr:colOff>
      <xdr:row>141</xdr:row>
      <xdr:rowOff>0</xdr:rowOff>
    </xdr:from>
    <xdr:ext cx="123825" cy="180975"/>
    <xdr:sp macro="" textlink="">
      <xdr:nvSpPr>
        <xdr:cNvPr id="461" name="Text Box 116"/>
        <xdr:cNvSpPr txBox="1">
          <a:spLocks noChangeArrowheads="1"/>
        </xdr:cNvSpPr>
      </xdr:nvSpPr>
      <xdr:spPr bwMode="auto">
        <a:xfrm>
          <a:off x="2857500" y="114490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</xdr:col>
      <xdr:colOff>333375</xdr:colOff>
      <xdr:row>138</xdr:row>
      <xdr:rowOff>152400</xdr:rowOff>
    </xdr:from>
    <xdr:ext cx="123825" cy="180975"/>
    <xdr:sp macro="" textlink="">
      <xdr:nvSpPr>
        <xdr:cNvPr id="462" name="Text Box 127"/>
        <xdr:cNvSpPr txBox="1">
          <a:spLocks noChangeArrowheads="1"/>
        </xdr:cNvSpPr>
      </xdr:nvSpPr>
      <xdr:spPr bwMode="auto">
        <a:xfrm>
          <a:off x="1552575" y="111156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</xdr:col>
      <xdr:colOff>428625</xdr:colOff>
      <xdr:row>139</xdr:row>
      <xdr:rowOff>9525</xdr:rowOff>
    </xdr:from>
    <xdr:ext cx="123825" cy="180975"/>
    <xdr:sp macro="" textlink="">
      <xdr:nvSpPr>
        <xdr:cNvPr id="463" name="Text Box 132"/>
        <xdr:cNvSpPr txBox="1">
          <a:spLocks noChangeArrowheads="1"/>
        </xdr:cNvSpPr>
      </xdr:nvSpPr>
      <xdr:spPr bwMode="auto">
        <a:xfrm>
          <a:off x="4181475" y="111347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85725</xdr:colOff>
      <xdr:row>130</xdr:row>
      <xdr:rowOff>95250</xdr:rowOff>
    </xdr:from>
    <xdr:to>
      <xdr:col>2</xdr:col>
      <xdr:colOff>180975</xdr:colOff>
      <xdr:row>130</xdr:row>
      <xdr:rowOff>95250</xdr:rowOff>
    </xdr:to>
    <xdr:sp macro="" textlink="">
      <xdr:nvSpPr>
        <xdr:cNvPr id="464" name="Line 137"/>
        <xdr:cNvSpPr>
          <a:spLocks noChangeShapeType="1"/>
        </xdr:cNvSpPr>
      </xdr:nvSpPr>
      <xdr:spPr bwMode="auto">
        <a:xfrm>
          <a:off x="1304925" y="2142172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685800</xdr:colOff>
      <xdr:row>132</xdr:row>
      <xdr:rowOff>85724</xdr:rowOff>
    </xdr:from>
    <xdr:to>
      <xdr:col>3</xdr:col>
      <xdr:colOff>200024</xdr:colOff>
      <xdr:row>133</xdr:row>
      <xdr:rowOff>85725</xdr:rowOff>
    </xdr:to>
    <xdr:sp macro="" textlink="">
      <xdr:nvSpPr>
        <xdr:cNvPr id="467" name="Line 140"/>
        <xdr:cNvSpPr>
          <a:spLocks noChangeShapeType="1"/>
        </xdr:cNvSpPr>
      </xdr:nvSpPr>
      <xdr:spPr bwMode="auto">
        <a:xfrm flipV="1">
          <a:off x="1905000" y="21736049"/>
          <a:ext cx="219074" cy="16192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 editAs="oneCell">
    <xdr:from>
      <xdr:col>2</xdr:col>
      <xdr:colOff>447675</xdr:colOff>
      <xdr:row>133</xdr:row>
      <xdr:rowOff>9525</xdr:rowOff>
    </xdr:from>
    <xdr:to>
      <xdr:col>2</xdr:col>
      <xdr:colOff>523875</xdr:colOff>
      <xdr:row>134</xdr:row>
      <xdr:rowOff>47625</xdr:rowOff>
    </xdr:to>
    <xdr:sp macro="" textlink="">
      <xdr:nvSpPr>
        <xdr:cNvPr id="468" name="Text Box 142"/>
        <xdr:cNvSpPr txBox="1">
          <a:spLocks noChangeArrowheads="1"/>
        </xdr:cNvSpPr>
      </xdr:nvSpPr>
      <xdr:spPr bwMode="auto">
        <a:xfrm>
          <a:off x="1666875" y="98393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409575</xdr:colOff>
      <xdr:row>133</xdr:row>
      <xdr:rowOff>9525</xdr:rowOff>
    </xdr:from>
    <xdr:to>
      <xdr:col>2</xdr:col>
      <xdr:colOff>485775</xdr:colOff>
      <xdr:row>134</xdr:row>
      <xdr:rowOff>47625</xdr:rowOff>
    </xdr:to>
    <xdr:sp macro="" textlink="">
      <xdr:nvSpPr>
        <xdr:cNvPr id="469" name="Text Box 144"/>
        <xdr:cNvSpPr txBox="1">
          <a:spLocks noChangeArrowheads="1"/>
        </xdr:cNvSpPr>
      </xdr:nvSpPr>
      <xdr:spPr bwMode="auto">
        <a:xfrm>
          <a:off x="1628775" y="98393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171450</xdr:colOff>
      <xdr:row>134</xdr:row>
      <xdr:rowOff>57150</xdr:rowOff>
    </xdr:from>
    <xdr:to>
      <xdr:col>0</xdr:col>
      <xdr:colOff>247650</xdr:colOff>
      <xdr:row>134</xdr:row>
      <xdr:rowOff>152400</xdr:rowOff>
    </xdr:to>
    <xdr:sp macro="" textlink="">
      <xdr:nvSpPr>
        <xdr:cNvPr id="479" name="AutoShape 51"/>
        <xdr:cNvSpPr>
          <a:spLocks noChangeArrowheads="1"/>
        </xdr:cNvSpPr>
      </xdr:nvSpPr>
      <xdr:spPr bwMode="auto">
        <a:xfrm>
          <a:off x="171450" y="10534650"/>
          <a:ext cx="76200" cy="9525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417193</xdr:colOff>
      <xdr:row>130</xdr:row>
      <xdr:rowOff>95250</xdr:rowOff>
    </xdr:from>
    <xdr:to>
      <xdr:col>2</xdr:col>
      <xdr:colOff>85724</xdr:colOff>
      <xdr:row>133</xdr:row>
      <xdr:rowOff>28575</xdr:rowOff>
    </xdr:to>
    <xdr:sp macro="" textlink="">
      <xdr:nvSpPr>
        <xdr:cNvPr id="481" name="Line 54"/>
        <xdr:cNvSpPr>
          <a:spLocks noChangeShapeType="1"/>
        </xdr:cNvSpPr>
      </xdr:nvSpPr>
      <xdr:spPr bwMode="auto">
        <a:xfrm flipH="1">
          <a:off x="1026793" y="21421725"/>
          <a:ext cx="278131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5</xdr:col>
      <xdr:colOff>114300</xdr:colOff>
      <xdr:row>141</xdr:row>
      <xdr:rowOff>76200</xdr:rowOff>
    </xdr:from>
    <xdr:to>
      <xdr:col>5</xdr:col>
      <xdr:colOff>114300</xdr:colOff>
      <xdr:row>143</xdr:row>
      <xdr:rowOff>9525</xdr:rowOff>
    </xdr:to>
    <xdr:sp macro="" textlink="">
      <xdr:nvSpPr>
        <xdr:cNvPr id="488" name="Line 66"/>
        <xdr:cNvSpPr>
          <a:spLocks noChangeShapeType="1"/>
        </xdr:cNvSpPr>
      </xdr:nvSpPr>
      <xdr:spPr bwMode="auto">
        <a:xfrm>
          <a:off x="3257550" y="1152525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314325</xdr:colOff>
      <xdr:row>140</xdr:row>
      <xdr:rowOff>152400</xdr:rowOff>
    </xdr:from>
    <xdr:ext cx="123825" cy="180975"/>
    <xdr:sp macro="" textlink="">
      <xdr:nvSpPr>
        <xdr:cNvPr id="490" name="Text Box 71"/>
        <xdr:cNvSpPr txBox="1">
          <a:spLocks noChangeArrowheads="1"/>
        </xdr:cNvSpPr>
      </xdr:nvSpPr>
      <xdr:spPr bwMode="auto">
        <a:xfrm>
          <a:off x="1533525" y="114395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700088</xdr:colOff>
      <xdr:row>134</xdr:row>
      <xdr:rowOff>157163</xdr:rowOff>
    </xdr:from>
    <xdr:to>
      <xdr:col>3</xdr:col>
      <xdr:colOff>209549</xdr:colOff>
      <xdr:row>136</xdr:row>
      <xdr:rowOff>4763</xdr:rowOff>
    </xdr:to>
    <xdr:sp macro="" textlink="">
      <xdr:nvSpPr>
        <xdr:cNvPr id="491" name="Line 73"/>
        <xdr:cNvSpPr>
          <a:spLocks noChangeShapeType="1"/>
        </xdr:cNvSpPr>
      </xdr:nvSpPr>
      <xdr:spPr bwMode="auto">
        <a:xfrm flipV="1">
          <a:off x="1919288" y="21483638"/>
          <a:ext cx="214311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561975</xdr:colOff>
      <xdr:row>130</xdr:row>
      <xdr:rowOff>0</xdr:rowOff>
    </xdr:from>
    <xdr:to>
      <xdr:col>9</xdr:col>
      <xdr:colOff>85725</xdr:colOff>
      <xdr:row>130</xdr:row>
      <xdr:rowOff>0</xdr:rowOff>
    </xdr:to>
    <xdr:sp macro="" textlink="">
      <xdr:nvSpPr>
        <xdr:cNvPr id="498" name="Line 82"/>
        <xdr:cNvSpPr>
          <a:spLocks noChangeShapeType="1"/>
        </xdr:cNvSpPr>
      </xdr:nvSpPr>
      <xdr:spPr bwMode="auto">
        <a:xfrm>
          <a:off x="4924425" y="20678775"/>
          <a:ext cx="742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57150</xdr:colOff>
      <xdr:row>129</xdr:row>
      <xdr:rowOff>66675</xdr:rowOff>
    </xdr:from>
    <xdr:to>
      <xdr:col>8</xdr:col>
      <xdr:colOff>133350</xdr:colOff>
      <xdr:row>129</xdr:row>
      <xdr:rowOff>142875</xdr:rowOff>
    </xdr:to>
    <xdr:sp macro="" textlink="">
      <xdr:nvSpPr>
        <xdr:cNvPr id="499" name="AutoShape 83"/>
        <xdr:cNvSpPr>
          <a:spLocks noChangeArrowheads="1"/>
        </xdr:cNvSpPr>
      </xdr:nvSpPr>
      <xdr:spPr bwMode="auto">
        <a:xfrm>
          <a:off x="5029200" y="9734550"/>
          <a:ext cx="76200" cy="762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171450</xdr:colOff>
      <xdr:row>134</xdr:row>
      <xdr:rowOff>57150</xdr:rowOff>
    </xdr:from>
    <xdr:to>
      <xdr:col>0</xdr:col>
      <xdr:colOff>247650</xdr:colOff>
      <xdr:row>134</xdr:row>
      <xdr:rowOff>152400</xdr:rowOff>
    </xdr:to>
    <xdr:sp macro="" textlink="">
      <xdr:nvSpPr>
        <xdr:cNvPr id="501" name="AutoShape 84"/>
        <xdr:cNvSpPr>
          <a:spLocks noChangeArrowheads="1"/>
        </xdr:cNvSpPr>
      </xdr:nvSpPr>
      <xdr:spPr bwMode="auto">
        <a:xfrm>
          <a:off x="171450" y="10534650"/>
          <a:ext cx="76200" cy="9525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219075</xdr:colOff>
      <xdr:row>131</xdr:row>
      <xdr:rowOff>95250</xdr:rowOff>
    </xdr:from>
    <xdr:to>
      <xdr:col>7</xdr:col>
      <xdr:colOff>552449</xdr:colOff>
      <xdr:row>133</xdr:row>
      <xdr:rowOff>28575</xdr:rowOff>
    </xdr:to>
    <xdr:sp macro="" textlink="">
      <xdr:nvSpPr>
        <xdr:cNvPr id="504" name="Line 87"/>
        <xdr:cNvSpPr>
          <a:spLocks noChangeShapeType="1"/>
        </xdr:cNvSpPr>
      </xdr:nvSpPr>
      <xdr:spPr bwMode="auto">
        <a:xfrm flipH="1">
          <a:off x="828675" y="20935950"/>
          <a:ext cx="4086224" cy="25717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7</xdr:col>
      <xdr:colOff>547687</xdr:colOff>
      <xdr:row>143</xdr:row>
      <xdr:rowOff>76200</xdr:rowOff>
    </xdr:from>
    <xdr:to>
      <xdr:col>7</xdr:col>
      <xdr:colOff>547687</xdr:colOff>
      <xdr:row>144</xdr:row>
      <xdr:rowOff>95250</xdr:rowOff>
    </xdr:to>
    <xdr:sp macro="" textlink="">
      <xdr:nvSpPr>
        <xdr:cNvPr id="506" name="Line 89"/>
        <xdr:cNvSpPr>
          <a:spLocks noChangeShapeType="1"/>
        </xdr:cNvSpPr>
      </xdr:nvSpPr>
      <xdr:spPr bwMode="auto">
        <a:xfrm>
          <a:off x="4910137" y="2286000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141</xdr:row>
      <xdr:rowOff>9525</xdr:rowOff>
    </xdr:from>
    <xdr:to>
      <xdr:col>3</xdr:col>
      <xdr:colOff>276225</xdr:colOff>
      <xdr:row>142</xdr:row>
      <xdr:rowOff>114300</xdr:rowOff>
    </xdr:to>
    <xdr:sp macro="" textlink="">
      <xdr:nvSpPr>
        <xdr:cNvPr id="510" name="Line 96"/>
        <xdr:cNvSpPr>
          <a:spLocks noChangeShapeType="1"/>
        </xdr:cNvSpPr>
      </xdr:nvSpPr>
      <xdr:spPr bwMode="auto">
        <a:xfrm>
          <a:off x="2200275" y="2214562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4763</xdr:colOff>
      <xdr:row>141</xdr:row>
      <xdr:rowOff>66676</xdr:rowOff>
    </xdr:from>
    <xdr:to>
      <xdr:col>1</xdr:col>
      <xdr:colOff>4763</xdr:colOff>
      <xdr:row>142</xdr:row>
      <xdr:rowOff>142876</xdr:rowOff>
    </xdr:to>
    <xdr:sp macro="" textlink="">
      <xdr:nvSpPr>
        <xdr:cNvPr id="511" name="Line 97"/>
        <xdr:cNvSpPr>
          <a:spLocks noChangeShapeType="1"/>
        </xdr:cNvSpPr>
      </xdr:nvSpPr>
      <xdr:spPr bwMode="auto">
        <a:xfrm>
          <a:off x="614363" y="22526626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161925</xdr:colOff>
      <xdr:row>141</xdr:row>
      <xdr:rowOff>66675</xdr:rowOff>
    </xdr:from>
    <xdr:to>
      <xdr:col>8</xdr:col>
      <xdr:colOff>161925</xdr:colOff>
      <xdr:row>142</xdr:row>
      <xdr:rowOff>95250</xdr:rowOff>
    </xdr:to>
    <xdr:sp macro="" textlink="">
      <xdr:nvSpPr>
        <xdr:cNvPr id="512" name="Line 99"/>
        <xdr:cNvSpPr>
          <a:spLocks noChangeShapeType="1"/>
        </xdr:cNvSpPr>
      </xdr:nvSpPr>
      <xdr:spPr bwMode="auto">
        <a:xfrm>
          <a:off x="5133975" y="222027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314325</xdr:colOff>
      <xdr:row>140</xdr:row>
      <xdr:rowOff>152400</xdr:rowOff>
    </xdr:from>
    <xdr:ext cx="123825" cy="180975"/>
    <xdr:sp macro="" textlink="">
      <xdr:nvSpPr>
        <xdr:cNvPr id="513" name="Text Box 103"/>
        <xdr:cNvSpPr txBox="1">
          <a:spLocks noChangeArrowheads="1"/>
        </xdr:cNvSpPr>
      </xdr:nvSpPr>
      <xdr:spPr bwMode="auto">
        <a:xfrm>
          <a:off x="1533525" y="114395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7</xdr:col>
      <xdr:colOff>566736</xdr:colOff>
      <xdr:row>131</xdr:row>
      <xdr:rowOff>100012</xdr:rowOff>
    </xdr:from>
    <xdr:to>
      <xdr:col>8</xdr:col>
      <xdr:colOff>228600</xdr:colOff>
      <xdr:row>132</xdr:row>
      <xdr:rowOff>85725</xdr:rowOff>
    </xdr:to>
    <xdr:sp macro="" textlink="">
      <xdr:nvSpPr>
        <xdr:cNvPr id="514" name="Line 104"/>
        <xdr:cNvSpPr>
          <a:spLocks noChangeShapeType="1"/>
        </xdr:cNvSpPr>
      </xdr:nvSpPr>
      <xdr:spPr bwMode="auto">
        <a:xfrm flipH="1" flipV="1">
          <a:off x="4929186" y="21588412"/>
          <a:ext cx="271464" cy="14763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0</xdr:col>
      <xdr:colOff>495301</xdr:colOff>
      <xdr:row>130</xdr:row>
      <xdr:rowOff>95249</xdr:rowOff>
    </xdr:from>
    <xdr:to>
      <xdr:col>1</xdr:col>
      <xdr:colOff>238125</xdr:colOff>
      <xdr:row>133</xdr:row>
      <xdr:rowOff>19049</xdr:rowOff>
    </xdr:to>
    <xdr:sp macro="" textlink="">
      <xdr:nvSpPr>
        <xdr:cNvPr id="515" name="Line 105"/>
        <xdr:cNvSpPr>
          <a:spLocks noChangeShapeType="1"/>
        </xdr:cNvSpPr>
      </xdr:nvSpPr>
      <xdr:spPr bwMode="auto">
        <a:xfrm>
          <a:off x="495301" y="19802474"/>
          <a:ext cx="352424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0</xdr:col>
      <xdr:colOff>342900</xdr:colOff>
      <xdr:row>130</xdr:row>
      <xdr:rowOff>95250</xdr:rowOff>
    </xdr:from>
    <xdr:to>
      <xdr:col>0</xdr:col>
      <xdr:colOff>514350</xdr:colOff>
      <xdr:row>130</xdr:row>
      <xdr:rowOff>95250</xdr:rowOff>
    </xdr:to>
    <xdr:sp macro="" textlink="">
      <xdr:nvSpPr>
        <xdr:cNvPr id="516" name="Line 106"/>
        <xdr:cNvSpPr>
          <a:spLocks noChangeShapeType="1"/>
        </xdr:cNvSpPr>
      </xdr:nvSpPr>
      <xdr:spPr bwMode="auto">
        <a:xfrm>
          <a:off x="342900" y="99250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123824</xdr:colOff>
      <xdr:row>132</xdr:row>
      <xdr:rowOff>9525</xdr:rowOff>
    </xdr:from>
    <xdr:to>
      <xdr:col>5</xdr:col>
      <xdr:colOff>342900</xdr:colOff>
      <xdr:row>133</xdr:row>
      <xdr:rowOff>76199</xdr:rowOff>
    </xdr:to>
    <xdr:sp macro="" textlink="">
      <xdr:nvSpPr>
        <xdr:cNvPr id="517" name="Line 107"/>
        <xdr:cNvSpPr>
          <a:spLocks noChangeShapeType="1"/>
        </xdr:cNvSpPr>
      </xdr:nvSpPr>
      <xdr:spPr bwMode="auto">
        <a:xfrm flipH="1" flipV="1">
          <a:off x="3267074" y="21659850"/>
          <a:ext cx="219076" cy="22859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323850</xdr:colOff>
      <xdr:row>141</xdr:row>
      <xdr:rowOff>57150</xdr:rowOff>
    </xdr:from>
    <xdr:to>
      <xdr:col>1</xdr:col>
      <xdr:colOff>323850</xdr:colOff>
      <xdr:row>142</xdr:row>
      <xdr:rowOff>66675</xdr:rowOff>
    </xdr:to>
    <xdr:sp macro="" textlink="">
      <xdr:nvSpPr>
        <xdr:cNvPr id="525" name="Line 151"/>
        <xdr:cNvSpPr>
          <a:spLocks noChangeShapeType="1"/>
        </xdr:cNvSpPr>
      </xdr:nvSpPr>
      <xdr:spPr bwMode="auto">
        <a:xfrm>
          <a:off x="933450" y="115062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285750</xdr:colOff>
      <xdr:row>141</xdr:row>
      <xdr:rowOff>76200</xdr:rowOff>
    </xdr:from>
    <xdr:to>
      <xdr:col>7</xdr:col>
      <xdr:colOff>285750</xdr:colOff>
      <xdr:row>143</xdr:row>
      <xdr:rowOff>0</xdr:rowOff>
    </xdr:to>
    <xdr:sp macro="" textlink="">
      <xdr:nvSpPr>
        <xdr:cNvPr id="530" name="Line 158"/>
        <xdr:cNvSpPr>
          <a:spLocks noChangeShapeType="1"/>
        </xdr:cNvSpPr>
      </xdr:nvSpPr>
      <xdr:spPr bwMode="auto">
        <a:xfrm>
          <a:off x="4648200" y="11525250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323850</xdr:colOff>
      <xdr:row>141</xdr:row>
      <xdr:rowOff>0</xdr:rowOff>
    </xdr:from>
    <xdr:ext cx="123825" cy="180975"/>
    <xdr:sp macro="" textlink="">
      <xdr:nvSpPr>
        <xdr:cNvPr id="533" name="Text Box 161"/>
        <xdr:cNvSpPr txBox="1">
          <a:spLocks noChangeArrowheads="1"/>
        </xdr:cNvSpPr>
      </xdr:nvSpPr>
      <xdr:spPr bwMode="auto">
        <a:xfrm>
          <a:off x="2857500" y="114490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228600</xdr:colOff>
      <xdr:row>132</xdr:row>
      <xdr:rowOff>76200</xdr:rowOff>
    </xdr:from>
    <xdr:to>
      <xdr:col>8</xdr:col>
      <xdr:colOff>333375</xdr:colOff>
      <xdr:row>132</xdr:row>
      <xdr:rowOff>77788</xdr:rowOff>
    </xdr:to>
    <xdr:cxnSp macro="">
      <xdr:nvCxnSpPr>
        <xdr:cNvPr id="534" name="Straight Connector 533"/>
        <xdr:cNvCxnSpPr/>
      </xdr:nvCxnSpPr>
      <xdr:spPr bwMode="auto">
        <a:xfrm>
          <a:off x="5200650" y="10553700"/>
          <a:ext cx="1047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128</xdr:row>
      <xdr:rowOff>152400</xdr:rowOff>
    </xdr:from>
    <xdr:to>
      <xdr:col>7</xdr:col>
      <xdr:colOff>9525</xdr:colOff>
      <xdr:row>132</xdr:row>
      <xdr:rowOff>114300</xdr:rowOff>
    </xdr:to>
    <xdr:cxnSp macro="">
      <xdr:nvCxnSpPr>
        <xdr:cNvPr id="536" name="Straight Connector 535"/>
        <xdr:cNvCxnSpPr/>
      </xdr:nvCxnSpPr>
      <xdr:spPr bwMode="auto">
        <a:xfrm>
          <a:off x="3238500" y="20831175"/>
          <a:ext cx="1133475" cy="6096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0</xdr:colOff>
      <xdr:row>101</xdr:row>
      <xdr:rowOff>66676</xdr:rowOff>
    </xdr:from>
    <xdr:to>
      <xdr:col>3</xdr:col>
      <xdr:colOff>200025</xdr:colOff>
      <xdr:row>102</xdr:row>
      <xdr:rowOff>104776</xdr:rowOff>
    </xdr:to>
    <xdr:cxnSp macro="">
      <xdr:nvCxnSpPr>
        <xdr:cNvPr id="545" name="Straight Arrow Connector 544"/>
        <xdr:cNvCxnSpPr/>
      </xdr:nvCxnSpPr>
      <xdr:spPr bwMode="auto">
        <a:xfrm rot="5400000" flipH="1" flipV="1">
          <a:off x="1924050" y="16535401"/>
          <a:ext cx="200025" cy="2000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oneCellAnchor>
    <xdr:from>
      <xdr:col>4</xdr:col>
      <xdr:colOff>85725</xdr:colOff>
      <xdr:row>56</xdr:row>
      <xdr:rowOff>0</xdr:rowOff>
    </xdr:from>
    <xdr:ext cx="175304" cy="170560"/>
    <xdr:sp macro="" textlink="">
      <xdr:nvSpPr>
        <xdr:cNvPr id="549" name="Text Box 161"/>
        <xdr:cNvSpPr txBox="1">
          <a:spLocks noChangeArrowheads="1"/>
        </xdr:cNvSpPr>
      </xdr:nvSpPr>
      <xdr:spPr bwMode="auto">
        <a:xfrm>
          <a:off x="2619375" y="17449800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6</xdr:col>
      <xdr:colOff>0</xdr:colOff>
      <xdr:row>57</xdr:row>
      <xdr:rowOff>66675</xdr:rowOff>
    </xdr:from>
    <xdr:to>
      <xdr:col>6</xdr:col>
      <xdr:colOff>590550</xdr:colOff>
      <xdr:row>57</xdr:row>
      <xdr:rowOff>68263</xdr:rowOff>
    </xdr:to>
    <xdr:cxnSp macro="">
      <xdr:nvCxnSpPr>
        <xdr:cNvPr id="553" name="Straight Connector 552"/>
        <xdr:cNvCxnSpPr/>
      </xdr:nvCxnSpPr>
      <xdr:spPr bwMode="auto">
        <a:xfrm>
          <a:off x="3752850" y="17678400"/>
          <a:ext cx="590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56</xdr:row>
      <xdr:rowOff>152400</xdr:rowOff>
    </xdr:from>
    <xdr:to>
      <xdr:col>6</xdr:col>
      <xdr:colOff>0</xdr:colOff>
      <xdr:row>57</xdr:row>
      <xdr:rowOff>0</xdr:rowOff>
    </xdr:to>
    <xdr:cxnSp macro="">
      <xdr:nvCxnSpPr>
        <xdr:cNvPr id="557" name="Straight Connector 556"/>
        <xdr:cNvCxnSpPr>
          <a:stCxn id="408598" idx="1"/>
        </xdr:cNvCxnSpPr>
      </xdr:nvCxnSpPr>
      <xdr:spPr bwMode="auto">
        <a:xfrm rot="5400000" flipH="1" flipV="1">
          <a:off x="2481262" y="16340138"/>
          <a:ext cx="9525" cy="25336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599281</xdr:colOff>
      <xdr:row>56</xdr:row>
      <xdr:rowOff>153194</xdr:rowOff>
    </xdr:from>
    <xdr:to>
      <xdr:col>5</xdr:col>
      <xdr:colOff>600869</xdr:colOff>
      <xdr:row>57</xdr:row>
      <xdr:rowOff>67469</xdr:rowOff>
    </xdr:to>
    <xdr:cxnSp macro="">
      <xdr:nvCxnSpPr>
        <xdr:cNvPr id="560" name="Straight Connector 559"/>
        <xdr:cNvCxnSpPr/>
      </xdr:nvCxnSpPr>
      <xdr:spPr bwMode="auto">
        <a:xfrm rot="5400000">
          <a:off x="3705225" y="17640300"/>
          <a:ext cx="762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609599</xdr:colOff>
      <xdr:row>58</xdr:row>
      <xdr:rowOff>152400</xdr:rowOff>
    </xdr:from>
    <xdr:to>
      <xdr:col>3</xdr:col>
      <xdr:colOff>9524</xdr:colOff>
      <xdr:row>59</xdr:row>
      <xdr:rowOff>0</xdr:rowOff>
    </xdr:to>
    <xdr:cxnSp macro="">
      <xdr:nvCxnSpPr>
        <xdr:cNvPr id="552" name="Straight Connector 551"/>
        <xdr:cNvCxnSpPr>
          <a:stCxn id="408598" idx="0"/>
        </xdr:cNvCxnSpPr>
      </xdr:nvCxnSpPr>
      <xdr:spPr bwMode="auto">
        <a:xfrm rot="16200000" flipH="1">
          <a:off x="1571624" y="17573625"/>
          <a:ext cx="9525" cy="7143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59</xdr:row>
      <xdr:rowOff>0</xdr:rowOff>
    </xdr:from>
    <xdr:to>
      <xdr:col>6</xdr:col>
      <xdr:colOff>600075</xdr:colOff>
      <xdr:row>59</xdr:row>
      <xdr:rowOff>9525</xdr:rowOff>
    </xdr:to>
    <xdr:cxnSp macro="">
      <xdr:nvCxnSpPr>
        <xdr:cNvPr id="558" name="Straight Connector 557"/>
        <xdr:cNvCxnSpPr/>
      </xdr:nvCxnSpPr>
      <xdr:spPr bwMode="auto">
        <a:xfrm>
          <a:off x="3752850" y="17935575"/>
          <a:ext cx="6000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171450</xdr:colOff>
      <xdr:row>58</xdr:row>
      <xdr:rowOff>9525</xdr:rowOff>
    </xdr:from>
    <xdr:to>
      <xdr:col>5</xdr:col>
      <xdr:colOff>495300</xdr:colOff>
      <xdr:row>58</xdr:row>
      <xdr:rowOff>19051</xdr:rowOff>
    </xdr:to>
    <xdr:cxnSp macro="">
      <xdr:nvCxnSpPr>
        <xdr:cNvPr id="561" name="Straight Connector 560"/>
        <xdr:cNvCxnSpPr/>
      </xdr:nvCxnSpPr>
      <xdr:spPr bwMode="auto">
        <a:xfrm flipV="1">
          <a:off x="2095500" y="17783175"/>
          <a:ext cx="154305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</xdr:colOff>
      <xdr:row>58</xdr:row>
      <xdr:rowOff>9524</xdr:rowOff>
    </xdr:from>
    <xdr:to>
      <xdr:col>3</xdr:col>
      <xdr:colOff>180975</xdr:colOff>
      <xdr:row>59</xdr:row>
      <xdr:rowOff>9524</xdr:rowOff>
    </xdr:to>
    <xdr:cxnSp macro="">
      <xdr:nvCxnSpPr>
        <xdr:cNvPr id="564" name="Straight Connector 563"/>
        <xdr:cNvCxnSpPr/>
      </xdr:nvCxnSpPr>
      <xdr:spPr bwMode="auto">
        <a:xfrm rot="10800000" flipV="1">
          <a:off x="1933575" y="17783174"/>
          <a:ext cx="171450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495301</xdr:colOff>
      <xdr:row>58</xdr:row>
      <xdr:rowOff>19049</xdr:rowOff>
    </xdr:from>
    <xdr:to>
      <xdr:col>6</xdr:col>
      <xdr:colOff>19051</xdr:colOff>
      <xdr:row>58</xdr:row>
      <xdr:rowOff>161924</xdr:rowOff>
    </xdr:to>
    <xdr:cxnSp macro="">
      <xdr:nvCxnSpPr>
        <xdr:cNvPr id="566" name="Straight Connector 565"/>
        <xdr:cNvCxnSpPr/>
      </xdr:nvCxnSpPr>
      <xdr:spPr bwMode="auto">
        <a:xfrm rot="16200000" flipH="1">
          <a:off x="3633788" y="17797462"/>
          <a:ext cx="142875" cy="1333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600075</xdr:colOff>
      <xdr:row>60</xdr:row>
      <xdr:rowOff>142874</xdr:rowOff>
    </xdr:from>
    <xdr:to>
      <xdr:col>2</xdr:col>
      <xdr:colOff>685800</xdr:colOff>
      <xdr:row>60</xdr:row>
      <xdr:rowOff>152399</xdr:rowOff>
    </xdr:to>
    <xdr:cxnSp macro="">
      <xdr:nvCxnSpPr>
        <xdr:cNvPr id="568" name="Straight Arrow Connector 567"/>
        <xdr:cNvCxnSpPr/>
      </xdr:nvCxnSpPr>
      <xdr:spPr bwMode="auto">
        <a:xfrm rot="16200000" flipH="1">
          <a:off x="1552575" y="17897474"/>
          <a:ext cx="9525" cy="6953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8731</xdr:colOff>
      <xdr:row>59</xdr:row>
      <xdr:rowOff>153194</xdr:rowOff>
    </xdr:from>
    <xdr:to>
      <xdr:col>2</xdr:col>
      <xdr:colOff>10319</xdr:colOff>
      <xdr:row>63</xdr:row>
      <xdr:rowOff>794</xdr:rowOff>
    </xdr:to>
    <xdr:cxnSp macro="">
      <xdr:nvCxnSpPr>
        <xdr:cNvPr id="570" name="Straight Connector 569"/>
        <xdr:cNvCxnSpPr/>
      </xdr:nvCxnSpPr>
      <xdr:spPr bwMode="auto">
        <a:xfrm rot="5400000">
          <a:off x="981075" y="18335625"/>
          <a:ext cx="495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704057</xdr:colOff>
      <xdr:row>59</xdr:row>
      <xdr:rowOff>66679</xdr:rowOff>
    </xdr:from>
    <xdr:to>
      <xdr:col>3</xdr:col>
      <xdr:colOff>0</xdr:colOff>
      <xdr:row>61</xdr:row>
      <xdr:rowOff>124619</xdr:rowOff>
    </xdr:to>
    <xdr:cxnSp macro="">
      <xdr:nvCxnSpPr>
        <xdr:cNvPr id="572" name="Straight Connector 571"/>
        <xdr:cNvCxnSpPr/>
      </xdr:nvCxnSpPr>
      <xdr:spPr bwMode="auto">
        <a:xfrm rot="5400000">
          <a:off x="1732759" y="18192752"/>
          <a:ext cx="381790" cy="79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608806</xdr:colOff>
      <xdr:row>59</xdr:row>
      <xdr:rowOff>105569</xdr:rowOff>
    </xdr:from>
    <xdr:to>
      <xdr:col>7</xdr:col>
      <xdr:colOff>794</xdr:colOff>
      <xdr:row>63</xdr:row>
      <xdr:rowOff>29369</xdr:rowOff>
    </xdr:to>
    <xdr:cxnSp macro="">
      <xdr:nvCxnSpPr>
        <xdr:cNvPr id="575" name="Straight Connector 574"/>
        <xdr:cNvCxnSpPr/>
      </xdr:nvCxnSpPr>
      <xdr:spPr bwMode="auto">
        <a:xfrm rot="5400000">
          <a:off x="4076700" y="18326100"/>
          <a:ext cx="5715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793</xdr:colOff>
      <xdr:row>60</xdr:row>
      <xdr:rowOff>161132</xdr:rowOff>
    </xdr:from>
    <xdr:to>
      <xdr:col>7</xdr:col>
      <xdr:colOff>10318</xdr:colOff>
      <xdr:row>61</xdr:row>
      <xdr:rowOff>795</xdr:rowOff>
    </xdr:to>
    <xdr:cxnSp macro="">
      <xdr:nvCxnSpPr>
        <xdr:cNvPr id="579" name="Straight Arrow Connector 578"/>
        <xdr:cNvCxnSpPr>
          <a:stCxn id="408823" idx="1"/>
        </xdr:cNvCxnSpPr>
      </xdr:nvCxnSpPr>
      <xdr:spPr bwMode="auto">
        <a:xfrm rot="5400000" flipH="1" flipV="1">
          <a:off x="4062412" y="17949863"/>
          <a:ext cx="1588" cy="6191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1</xdr:colOff>
      <xdr:row>59</xdr:row>
      <xdr:rowOff>85724</xdr:rowOff>
    </xdr:from>
    <xdr:to>
      <xdr:col>6</xdr:col>
      <xdr:colOff>3</xdr:colOff>
      <xdr:row>61</xdr:row>
      <xdr:rowOff>85728</xdr:rowOff>
    </xdr:to>
    <xdr:cxnSp macro="">
      <xdr:nvCxnSpPr>
        <xdr:cNvPr id="581" name="Straight Connector 580"/>
        <xdr:cNvCxnSpPr/>
      </xdr:nvCxnSpPr>
      <xdr:spPr bwMode="auto">
        <a:xfrm rot="16200000" flipH="1">
          <a:off x="3590925" y="18183225"/>
          <a:ext cx="323854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180975</xdr:colOff>
      <xdr:row>56</xdr:row>
      <xdr:rowOff>47625</xdr:rowOff>
    </xdr:from>
    <xdr:to>
      <xdr:col>6</xdr:col>
      <xdr:colOff>361950</xdr:colOff>
      <xdr:row>56</xdr:row>
      <xdr:rowOff>49213</xdr:rowOff>
    </xdr:to>
    <xdr:cxnSp macro="">
      <xdr:nvCxnSpPr>
        <xdr:cNvPr id="584" name="Straight Connector 583"/>
        <xdr:cNvCxnSpPr/>
      </xdr:nvCxnSpPr>
      <xdr:spPr bwMode="auto">
        <a:xfrm>
          <a:off x="3933825" y="17497425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523876</xdr:colOff>
      <xdr:row>49</xdr:row>
      <xdr:rowOff>161924</xdr:rowOff>
    </xdr:from>
    <xdr:to>
      <xdr:col>7</xdr:col>
      <xdr:colOff>533402</xdr:colOff>
      <xdr:row>57</xdr:row>
      <xdr:rowOff>66675</xdr:rowOff>
    </xdr:to>
    <xdr:cxnSp macro="">
      <xdr:nvCxnSpPr>
        <xdr:cNvPr id="586" name="Straight Arrow Connector 585"/>
        <xdr:cNvCxnSpPr/>
      </xdr:nvCxnSpPr>
      <xdr:spPr bwMode="auto">
        <a:xfrm rot="5400000">
          <a:off x="4291013" y="17073562"/>
          <a:ext cx="1200151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523082</xdr:colOff>
      <xdr:row>57</xdr:row>
      <xdr:rowOff>86519</xdr:rowOff>
    </xdr:from>
    <xdr:to>
      <xdr:col>7</xdr:col>
      <xdr:colOff>524670</xdr:colOff>
      <xdr:row>59</xdr:row>
      <xdr:rowOff>794</xdr:rowOff>
    </xdr:to>
    <xdr:cxnSp macro="">
      <xdr:nvCxnSpPr>
        <xdr:cNvPr id="590" name="Straight Arrow Connector 589"/>
        <xdr:cNvCxnSpPr/>
      </xdr:nvCxnSpPr>
      <xdr:spPr bwMode="auto">
        <a:xfrm rot="5400000">
          <a:off x="4767263" y="17816513"/>
          <a:ext cx="238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152400</xdr:colOff>
      <xdr:row>47</xdr:row>
      <xdr:rowOff>0</xdr:rowOff>
    </xdr:from>
    <xdr:ext cx="175304" cy="170560"/>
    <xdr:sp macro="" textlink="">
      <xdr:nvSpPr>
        <xdr:cNvPr id="591" name="Text Box 161"/>
        <xdr:cNvSpPr txBox="1">
          <a:spLocks noChangeArrowheads="1"/>
        </xdr:cNvSpPr>
      </xdr:nvSpPr>
      <xdr:spPr bwMode="auto">
        <a:xfrm>
          <a:off x="1371600" y="15992475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2</xdr:col>
      <xdr:colOff>1</xdr:colOff>
      <xdr:row>268</xdr:row>
      <xdr:rowOff>47625</xdr:rowOff>
    </xdr:from>
    <xdr:to>
      <xdr:col>5</xdr:col>
      <xdr:colOff>514351</xdr:colOff>
      <xdr:row>271</xdr:row>
      <xdr:rowOff>152400</xdr:rowOff>
    </xdr:to>
    <xdr:sp macro="" textlink="">
      <xdr:nvSpPr>
        <xdr:cNvPr id="592" name="Line 1"/>
        <xdr:cNvSpPr>
          <a:spLocks noChangeShapeType="1"/>
        </xdr:cNvSpPr>
      </xdr:nvSpPr>
      <xdr:spPr bwMode="auto">
        <a:xfrm flipV="1">
          <a:off x="1219201" y="42910125"/>
          <a:ext cx="2438400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268</xdr:row>
      <xdr:rowOff>95250</xdr:rowOff>
    </xdr:from>
    <xdr:to>
      <xdr:col>6</xdr:col>
      <xdr:colOff>28575</xdr:colOff>
      <xdr:row>272</xdr:row>
      <xdr:rowOff>66675</xdr:rowOff>
    </xdr:to>
    <xdr:sp macro="" textlink="">
      <xdr:nvSpPr>
        <xdr:cNvPr id="593" name="Line 2"/>
        <xdr:cNvSpPr>
          <a:spLocks noChangeShapeType="1"/>
        </xdr:cNvSpPr>
      </xdr:nvSpPr>
      <xdr:spPr bwMode="auto">
        <a:xfrm flipV="1">
          <a:off x="1838325" y="742950"/>
          <a:ext cx="2647950" cy="619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600076</xdr:colOff>
      <xdr:row>277</xdr:row>
      <xdr:rowOff>9525</xdr:rowOff>
    </xdr:from>
    <xdr:to>
      <xdr:col>5</xdr:col>
      <xdr:colOff>533400</xdr:colOff>
      <xdr:row>279</xdr:row>
      <xdr:rowOff>9524</xdr:rowOff>
    </xdr:to>
    <xdr:sp macro="" textlink="">
      <xdr:nvSpPr>
        <xdr:cNvPr id="594" name="Line 3"/>
        <xdr:cNvSpPr>
          <a:spLocks noChangeShapeType="1"/>
        </xdr:cNvSpPr>
      </xdr:nvSpPr>
      <xdr:spPr bwMode="auto">
        <a:xfrm>
          <a:off x="1209676" y="44329350"/>
          <a:ext cx="2466974" cy="32384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276</xdr:row>
      <xdr:rowOff>95250</xdr:rowOff>
    </xdr:from>
    <xdr:to>
      <xdr:col>6</xdr:col>
      <xdr:colOff>9525</xdr:colOff>
      <xdr:row>278</xdr:row>
      <xdr:rowOff>85725</xdr:rowOff>
    </xdr:to>
    <xdr:sp macro="" textlink="">
      <xdr:nvSpPr>
        <xdr:cNvPr id="595" name="Line 4"/>
        <xdr:cNvSpPr>
          <a:spLocks noChangeShapeType="1"/>
        </xdr:cNvSpPr>
      </xdr:nvSpPr>
      <xdr:spPr bwMode="auto">
        <a:xfrm>
          <a:off x="1828800" y="2038350"/>
          <a:ext cx="263842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271</xdr:row>
      <xdr:rowOff>142875</xdr:rowOff>
    </xdr:from>
    <xdr:to>
      <xdr:col>2</xdr:col>
      <xdr:colOff>9525</xdr:colOff>
      <xdr:row>277</xdr:row>
      <xdr:rowOff>9525</xdr:rowOff>
    </xdr:to>
    <xdr:sp macro="" textlink="">
      <xdr:nvSpPr>
        <xdr:cNvPr id="596" name="Line 5"/>
        <xdr:cNvSpPr>
          <a:spLocks noChangeShapeType="1"/>
        </xdr:cNvSpPr>
      </xdr:nvSpPr>
      <xdr:spPr bwMode="auto">
        <a:xfrm>
          <a:off x="1838325" y="1276350"/>
          <a:ext cx="0" cy="838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291</xdr:row>
      <xdr:rowOff>142875</xdr:rowOff>
    </xdr:from>
    <xdr:to>
      <xdr:col>5</xdr:col>
      <xdr:colOff>161925</xdr:colOff>
      <xdr:row>294</xdr:row>
      <xdr:rowOff>152400</xdr:rowOff>
    </xdr:to>
    <xdr:sp macro="" textlink="">
      <xdr:nvSpPr>
        <xdr:cNvPr id="604" name="Line 13"/>
        <xdr:cNvSpPr>
          <a:spLocks noChangeShapeType="1"/>
        </xdr:cNvSpPr>
      </xdr:nvSpPr>
      <xdr:spPr bwMode="auto">
        <a:xfrm>
          <a:off x="1371600" y="5067300"/>
          <a:ext cx="1838325" cy="4953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171450</xdr:colOff>
      <xdr:row>291</xdr:row>
      <xdr:rowOff>152400</xdr:rowOff>
    </xdr:from>
    <xdr:to>
      <xdr:col>2</xdr:col>
      <xdr:colOff>171450</xdr:colOff>
      <xdr:row>303</xdr:row>
      <xdr:rowOff>85725</xdr:rowOff>
    </xdr:to>
    <xdr:sp macro="" textlink="">
      <xdr:nvSpPr>
        <xdr:cNvPr id="605" name="Line 14"/>
        <xdr:cNvSpPr>
          <a:spLocks noChangeShapeType="1"/>
        </xdr:cNvSpPr>
      </xdr:nvSpPr>
      <xdr:spPr bwMode="auto">
        <a:xfrm flipH="1">
          <a:off x="1390650" y="5076825"/>
          <a:ext cx="0" cy="18764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171450</xdr:colOff>
      <xdr:row>303</xdr:row>
      <xdr:rowOff>85725</xdr:rowOff>
    </xdr:from>
    <xdr:to>
      <xdr:col>3</xdr:col>
      <xdr:colOff>142875</xdr:colOff>
      <xdr:row>305</xdr:row>
      <xdr:rowOff>9525</xdr:rowOff>
    </xdr:to>
    <xdr:sp macro="" textlink="">
      <xdr:nvSpPr>
        <xdr:cNvPr id="606" name="Line 15"/>
        <xdr:cNvSpPr>
          <a:spLocks noChangeShapeType="1"/>
        </xdr:cNvSpPr>
      </xdr:nvSpPr>
      <xdr:spPr bwMode="auto">
        <a:xfrm>
          <a:off x="1390650" y="6953250"/>
          <a:ext cx="581025" cy="2476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114300</xdr:colOff>
      <xdr:row>290</xdr:row>
      <xdr:rowOff>47625</xdr:rowOff>
    </xdr:from>
    <xdr:to>
      <xdr:col>3</xdr:col>
      <xdr:colOff>123825</xdr:colOff>
      <xdr:row>305</xdr:row>
      <xdr:rowOff>38100</xdr:rowOff>
    </xdr:to>
    <xdr:sp macro="" textlink="">
      <xdr:nvSpPr>
        <xdr:cNvPr id="607" name="Line 16"/>
        <xdr:cNvSpPr>
          <a:spLocks noChangeShapeType="1"/>
        </xdr:cNvSpPr>
      </xdr:nvSpPr>
      <xdr:spPr bwMode="auto">
        <a:xfrm>
          <a:off x="2038350" y="43072050"/>
          <a:ext cx="9525" cy="241935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</xdr:col>
      <xdr:colOff>123825</xdr:colOff>
      <xdr:row>305</xdr:row>
      <xdr:rowOff>0</xdr:rowOff>
    </xdr:from>
    <xdr:to>
      <xdr:col>7</xdr:col>
      <xdr:colOff>190500</xdr:colOff>
      <xdr:row>305</xdr:row>
      <xdr:rowOff>0</xdr:rowOff>
    </xdr:to>
    <xdr:sp macro="" textlink="">
      <xdr:nvSpPr>
        <xdr:cNvPr id="608" name="Line 17"/>
        <xdr:cNvSpPr>
          <a:spLocks noChangeShapeType="1"/>
        </xdr:cNvSpPr>
      </xdr:nvSpPr>
      <xdr:spPr bwMode="auto">
        <a:xfrm flipV="1">
          <a:off x="1952625" y="7191375"/>
          <a:ext cx="25050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123825</xdr:colOff>
      <xdr:row>303</xdr:row>
      <xdr:rowOff>76200</xdr:rowOff>
    </xdr:from>
    <xdr:to>
      <xdr:col>7</xdr:col>
      <xdr:colOff>571500</xdr:colOff>
      <xdr:row>303</xdr:row>
      <xdr:rowOff>85725</xdr:rowOff>
    </xdr:to>
    <xdr:sp macro="" textlink="">
      <xdr:nvSpPr>
        <xdr:cNvPr id="610" name="Line 19"/>
        <xdr:cNvSpPr>
          <a:spLocks noChangeShapeType="1"/>
        </xdr:cNvSpPr>
      </xdr:nvSpPr>
      <xdr:spPr bwMode="auto">
        <a:xfrm flipH="1" flipV="1">
          <a:off x="1952625" y="6943725"/>
          <a:ext cx="28860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171450</xdr:colOff>
      <xdr:row>301</xdr:row>
      <xdr:rowOff>152400</xdr:rowOff>
    </xdr:from>
    <xdr:to>
      <xdr:col>3</xdr:col>
      <xdr:colOff>123825</xdr:colOff>
      <xdr:row>303</xdr:row>
      <xdr:rowOff>76200</xdr:rowOff>
    </xdr:to>
    <xdr:sp macro="" textlink="">
      <xdr:nvSpPr>
        <xdr:cNvPr id="611" name="Line 20"/>
        <xdr:cNvSpPr>
          <a:spLocks noChangeShapeType="1"/>
        </xdr:cNvSpPr>
      </xdr:nvSpPr>
      <xdr:spPr bwMode="auto">
        <a:xfrm flipH="1" flipV="1">
          <a:off x="1390650" y="6696075"/>
          <a:ext cx="561975" cy="2476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303</xdr:row>
      <xdr:rowOff>76200</xdr:rowOff>
    </xdr:from>
    <xdr:to>
      <xdr:col>7</xdr:col>
      <xdr:colOff>600075</xdr:colOff>
      <xdr:row>306</xdr:row>
      <xdr:rowOff>9525</xdr:rowOff>
    </xdr:to>
    <xdr:sp macro="" textlink="">
      <xdr:nvSpPr>
        <xdr:cNvPr id="612" name="Line 21"/>
        <xdr:cNvSpPr>
          <a:spLocks noChangeShapeType="1"/>
        </xdr:cNvSpPr>
      </xdr:nvSpPr>
      <xdr:spPr bwMode="auto">
        <a:xfrm flipH="1">
          <a:off x="4867275" y="6943725"/>
          <a:ext cx="0" cy="4191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209550</xdr:colOff>
      <xdr:row>305</xdr:row>
      <xdr:rowOff>9525</xdr:rowOff>
    </xdr:from>
    <xdr:to>
      <xdr:col>7</xdr:col>
      <xdr:colOff>371475</xdr:colOff>
      <xdr:row>306</xdr:row>
      <xdr:rowOff>9525</xdr:rowOff>
    </xdr:to>
    <xdr:sp macro="" textlink="">
      <xdr:nvSpPr>
        <xdr:cNvPr id="613" name="Line 22"/>
        <xdr:cNvSpPr>
          <a:spLocks noChangeShapeType="1"/>
        </xdr:cNvSpPr>
      </xdr:nvSpPr>
      <xdr:spPr bwMode="auto">
        <a:xfrm>
          <a:off x="4476750" y="7200900"/>
          <a:ext cx="161925" cy="1619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581025</xdr:colOff>
      <xdr:row>306</xdr:row>
      <xdr:rowOff>0</xdr:rowOff>
    </xdr:from>
    <xdr:to>
      <xdr:col>7</xdr:col>
      <xdr:colOff>581025</xdr:colOff>
      <xdr:row>306</xdr:row>
      <xdr:rowOff>0</xdr:rowOff>
    </xdr:to>
    <xdr:sp macro="" textlink="">
      <xdr:nvSpPr>
        <xdr:cNvPr id="614" name="Line 23"/>
        <xdr:cNvSpPr>
          <a:spLocks noChangeShapeType="1"/>
        </xdr:cNvSpPr>
      </xdr:nvSpPr>
      <xdr:spPr bwMode="auto">
        <a:xfrm>
          <a:off x="4848225" y="73533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180975</xdr:colOff>
      <xdr:row>304</xdr:row>
      <xdr:rowOff>0</xdr:rowOff>
    </xdr:from>
    <xdr:to>
      <xdr:col>2</xdr:col>
      <xdr:colOff>180975</xdr:colOff>
      <xdr:row>307</xdr:row>
      <xdr:rowOff>19050</xdr:rowOff>
    </xdr:to>
    <xdr:sp macro="" textlink="">
      <xdr:nvSpPr>
        <xdr:cNvPr id="616" name="Line 25"/>
        <xdr:cNvSpPr>
          <a:spLocks noChangeShapeType="1"/>
        </xdr:cNvSpPr>
      </xdr:nvSpPr>
      <xdr:spPr bwMode="auto">
        <a:xfrm flipH="1">
          <a:off x="1400175" y="7029450"/>
          <a:ext cx="0" cy="50482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</xdr:col>
      <xdr:colOff>171450</xdr:colOff>
      <xdr:row>290</xdr:row>
      <xdr:rowOff>9525</xdr:rowOff>
    </xdr:from>
    <xdr:to>
      <xdr:col>2</xdr:col>
      <xdr:colOff>171450</xdr:colOff>
      <xdr:row>291</xdr:row>
      <xdr:rowOff>95250</xdr:rowOff>
    </xdr:to>
    <xdr:sp macro="" textlink="">
      <xdr:nvSpPr>
        <xdr:cNvPr id="617" name="Line 26"/>
        <xdr:cNvSpPr>
          <a:spLocks noChangeShapeType="1"/>
        </xdr:cNvSpPr>
      </xdr:nvSpPr>
      <xdr:spPr bwMode="auto">
        <a:xfrm flipV="1">
          <a:off x="1390650" y="4772025"/>
          <a:ext cx="0" cy="24765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5</xdr:col>
      <xdr:colOff>285750</xdr:colOff>
      <xdr:row>302</xdr:row>
      <xdr:rowOff>66675</xdr:rowOff>
    </xdr:from>
    <xdr:to>
      <xdr:col>5</xdr:col>
      <xdr:colOff>361950</xdr:colOff>
      <xdr:row>303</xdr:row>
      <xdr:rowOff>76200</xdr:rowOff>
    </xdr:to>
    <xdr:sp macro="" textlink="">
      <xdr:nvSpPr>
        <xdr:cNvPr id="618" name="AutoShape 27"/>
        <xdr:cNvSpPr>
          <a:spLocks noChangeArrowheads="1"/>
        </xdr:cNvSpPr>
      </xdr:nvSpPr>
      <xdr:spPr bwMode="auto">
        <a:xfrm>
          <a:off x="3333750" y="6772275"/>
          <a:ext cx="76200" cy="17145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381000</xdr:colOff>
      <xdr:row>306</xdr:row>
      <xdr:rowOff>9525</xdr:rowOff>
    </xdr:from>
    <xdr:to>
      <xdr:col>7</xdr:col>
      <xdr:colOff>600075</xdr:colOff>
      <xdr:row>306</xdr:row>
      <xdr:rowOff>9525</xdr:rowOff>
    </xdr:to>
    <xdr:sp macro="" textlink="">
      <xdr:nvSpPr>
        <xdr:cNvPr id="628" name="Line 37"/>
        <xdr:cNvSpPr>
          <a:spLocks noChangeShapeType="1"/>
        </xdr:cNvSpPr>
      </xdr:nvSpPr>
      <xdr:spPr bwMode="auto">
        <a:xfrm>
          <a:off x="4648200" y="7362825"/>
          <a:ext cx="2190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400050</xdr:colOff>
      <xdr:row>303</xdr:row>
      <xdr:rowOff>66675</xdr:rowOff>
    </xdr:from>
    <xdr:to>
      <xdr:col>9</xdr:col>
      <xdr:colOff>142875</xdr:colOff>
      <xdr:row>303</xdr:row>
      <xdr:rowOff>66675</xdr:rowOff>
    </xdr:to>
    <xdr:sp macro="" textlink="">
      <xdr:nvSpPr>
        <xdr:cNvPr id="630" name="Line 39"/>
        <xdr:cNvSpPr>
          <a:spLocks noChangeShapeType="1"/>
        </xdr:cNvSpPr>
      </xdr:nvSpPr>
      <xdr:spPr bwMode="auto">
        <a:xfrm>
          <a:off x="5372100" y="4859655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466724</xdr:colOff>
      <xdr:row>304</xdr:row>
      <xdr:rowOff>161924</xdr:rowOff>
    </xdr:from>
    <xdr:to>
      <xdr:col>7</xdr:col>
      <xdr:colOff>190499</xdr:colOff>
      <xdr:row>306</xdr:row>
      <xdr:rowOff>76199</xdr:rowOff>
    </xdr:to>
    <xdr:sp macro="" textlink="">
      <xdr:nvSpPr>
        <xdr:cNvPr id="631" name="Line 40"/>
        <xdr:cNvSpPr>
          <a:spLocks noChangeShapeType="1"/>
        </xdr:cNvSpPr>
      </xdr:nvSpPr>
      <xdr:spPr bwMode="auto">
        <a:xfrm flipV="1">
          <a:off x="4219574" y="48853724"/>
          <a:ext cx="3333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8</xdr:col>
      <xdr:colOff>457200</xdr:colOff>
      <xdr:row>305</xdr:row>
      <xdr:rowOff>152400</xdr:rowOff>
    </xdr:from>
    <xdr:to>
      <xdr:col>9</xdr:col>
      <xdr:colOff>104775</xdr:colOff>
      <xdr:row>305</xdr:row>
      <xdr:rowOff>152400</xdr:rowOff>
    </xdr:to>
    <xdr:sp macro="" textlink="">
      <xdr:nvSpPr>
        <xdr:cNvPr id="632" name="Line 41"/>
        <xdr:cNvSpPr>
          <a:spLocks noChangeShapeType="1"/>
        </xdr:cNvSpPr>
      </xdr:nvSpPr>
      <xdr:spPr bwMode="auto">
        <a:xfrm>
          <a:off x="5429250" y="49006125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476250</xdr:colOff>
      <xdr:row>295</xdr:row>
      <xdr:rowOff>0</xdr:rowOff>
    </xdr:from>
    <xdr:to>
      <xdr:col>9</xdr:col>
      <xdr:colOff>85725</xdr:colOff>
      <xdr:row>295</xdr:row>
      <xdr:rowOff>0</xdr:rowOff>
    </xdr:to>
    <xdr:sp macro="" textlink="">
      <xdr:nvSpPr>
        <xdr:cNvPr id="633" name="Line 42"/>
        <xdr:cNvSpPr>
          <a:spLocks noChangeShapeType="1"/>
        </xdr:cNvSpPr>
      </xdr:nvSpPr>
      <xdr:spPr bwMode="auto">
        <a:xfrm>
          <a:off x="5448300" y="4723447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6</xdr:col>
      <xdr:colOff>323850</xdr:colOff>
      <xdr:row>302</xdr:row>
      <xdr:rowOff>9525</xdr:rowOff>
    </xdr:from>
    <xdr:ext cx="123825" cy="180975"/>
    <xdr:sp macro="" textlink="">
      <xdr:nvSpPr>
        <xdr:cNvPr id="635" name="Text Box 44"/>
        <xdr:cNvSpPr txBox="1">
          <a:spLocks noChangeArrowheads="1"/>
        </xdr:cNvSpPr>
      </xdr:nvSpPr>
      <xdr:spPr bwMode="auto">
        <a:xfrm>
          <a:off x="3981450" y="67151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8</xdr:col>
      <xdr:colOff>447675</xdr:colOff>
      <xdr:row>298</xdr:row>
      <xdr:rowOff>152400</xdr:rowOff>
    </xdr:from>
    <xdr:ext cx="123825" cy="180975"/>
    <xdr:sp macro="" textlink="">
      <xdr:nvSpPr>
        <xdr:cNvPr id="637" name="Text Box 46"/>
        <xdr:cNvSpPr txBox="1">
          <a:spLocks noChangeArrowheads="1"/>
        </xdr:cNvSpPr>
      </xdr:nvSpPr>
      <xdr:spPr bwMode="auto">
        <a:xfrm>
          <a:off x="5562600" y="6210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1</xdr:col>
      <xdr:colOff>133350</xdr:colOff>
      <xdr:row>290</xdr:row>
      <xdr:rowOff>142875</xdr:rowOff>
    </xdr:from>
    <xdr:ext cx="175304" cy="170560"/>
    <xdr:sp macro="" textlink="">
      <xdr:nvSpPr>
        <xdr:cNvPr id="641" name="Text Box 50"/>
        <xdr:cNvSpPr txBox="1">
          <a:spLocks noChangeArrowheads="1"/>
        </xdr:cNvSpPr>
      </xdr:nvSpPr>
      <xdr:spPr bwMode="auto">
        <a:xfrm>
          <a:off x="133350" y="46910625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oneCellAnchor>
    <xdr:from>
      <xdr:col>1</xdr:col>
      <xdr:colOff>114300</xdr:colOff>
      <xdr:row>300</xdr:row>
      <xdr:rowOff>133350</xdr:rowOff>
    </xdr:from>
    <xdr:ext cx="175304" cy="170560"/>
    <xdr:sp macro="" textlink="">
      <xdr:nvSpPr>
        <xdr:cNvPr id="644" name="Text Box 53"/>
        <xdr:cNvSpPr txBox="1">
          <a:spLocks noChangeArrowheads="1"/>
        </xdr:cNvSpPr>
      </xdr:nvSpPr>
      <xdr:spPr bwMode="auto">
        <a:xfrm>
          <a:off x="114300" y="48520350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2</xdr:col>
      <xdr:colOff>0</xdr:colOff>
      <xdr:row>292</xdr:row>
      <xdr:rowOff>0</xdr:rowOff>
    </xdr:from>
    <xdr:to>
      <xdr:col>2</xdr:col>
      <xdr:colOff>0</xdr:colOff>
      <xdr:row>302</xdr:row>
      <xdr:rowOff>0</xdr:rowOff>
    </xdr:to>
    <xdr:sp macro="" textlink="">
      <xdr:nvSpPr>
        <xdr:cNvPr id="647" name="Line 56"/>
        <xdr:cNvSpPr>
          <a:spLocks noChangeShapeType="1"/>
        </xdr:cNvSpPr>
      </xdr:nvSpPr>
      <xdr:spPr bwMode="auto">
        <a:xfrm>
          <a:off x="1219200" y="5086350"/>
          <a:ext cx="0" cy="1619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514350</xdr:colOff>
      <xdr:row>292</xdr:row>
      <xdr:rowOff>0</xdr:rowOff>
    </xdr:from>
    <xdr:to>
      <xdr:col>2</xdr:col>
      <xdr:colOff>47625</xdr:colOff>
      <xdr:row>292</xdr:row>
      <xdr:rowOff>0</xdr:rowOff>
    </xdr:to>
    <xdr:sp macro="" textlink="">
      <xdr:nvSpPr>
        <xdr:cNvPr id="648" name="Line 57"/>
        <xdr:cNvSpPr>
          <a:spLocks noChangeShapeType="1"/>
        </xdr:cNvSpPr>
      </xdr:nvSpPr>
      <xdr:spPr bwMode="auto">
        <a:xfrm>
          <a:off x="1123950" y="50863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533400</xdr:colOff>
      <xdr:row>302</xdr:row>
      <xdr:rowOff>0</xdr:rowOff>
    </xdr:from>
    <xdr:to>
      <xdr:col>2</xdr:col>
      <xdr:colOff>85725</xdr:colOff>
      <xdr:row>302</xdr:row>
      <xdr:rowOff>0</xdr:rowOff>
    </xdr:to>
    <xdr:sp macro="" textlink="">
      <xdr:nvSpPr>
        <xdr:cNvPr id="649" name="Line 58"/>
        <xdr:cNvSpPr>
          <a:spLocks noChangeShapeType="1"/>
        </xdr:cNvSpPr>
      </xdr:nvSpPr>
      <xdr:spPr bwMode="auto">
        <a:xfrm>
          <a:off x="1143000" y="670560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19050</xdr:colOff>
      <xdr:row>293</xdr:row>
      <xdr:rowOff>152400</xdr:rowOff>
    </xdr:from>
    <xdr:ext cx="123825" cy="180975"/>
    <xdr:sp macro="" textlink="">
      <xdr:nvSpPr>
        <xdr:cNvPr id="650" name="Text Box 59"/>
        <xdr:cNvSpPr txBox="1">
          <a:spLocks noChangeArrowheads="1"/>
        </xdr:cNvSpPr>
      </xdr:nvSpPr>
      <xdr:spPr bwMode="auto">
        <a:xfrm>
          <a:off x="1238250" y="427101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0</xdr:colOff>
      <xdr:row>301</xdr:row>
      <xdr:rowOff>152400</xdr:rowOff>
    </xdr:from>
    <xdr:to>
      <xdr:col>2</xdr:col>
      <xdr:colOff>0</xdr:colOff>
      <xdr:row>303</xdr:row>
      <xdr:rowOff>76200</xdr:rowOff>
    </xdr:to>
    <xdr:sp macro="" textlink="">
      <xdr:nvSpPr>
        <xdr:cNvPr id="651" name="Line 60"/>
        <xdr:cNvSpPr>
          <a:spLocks noChangeShapeType="1"/>
        </xdr:cNvSpPr>
      </xdr:nvSpPr>
      <xdr:spPr bwMode="auto">
        <a:xfrm>
          <a:off x="1219200" y="669607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</xdr:col>
      <xdr:colOff>571500</xdr:colOff>
      <xdr:row>303</xdr:row>
      <xdr:rowOff>85725</xdr:rowOff>
    </xdr:from>
    <xdr:to>
      <xdr:col>2</xdr:col>
      <xdr:colOff>76200</xdr:colOff>
      <xdr:row>303</xdr:row>
      <xdr:rowOff>85725</xdr:rowOff>
    </xdr:to>
    <xdr:sp macro="" textlink="">
      <xdr:nvSpPr>
        <xdr:cNvPr id="652" name="Line 61"/>
        <xdr:cNvSpPr>
          <a:spLocks noChangeShapeType="1"/>
        </xdr:cNvSpPr>
      </xdr:nvSpPr>
      <xdr:spPr bwMode="auto">
        <a:xfrm flipV="1">
          <a:off x="1181100" y="69532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</xdr:col>
      <xdr:colOff>438150</xdr:colOff>
      <xdr:row>302</xdr:row>
      <xdr:rowOff>0</xdr:rowOff>
    </xdr:from>
    <xdr:ext cx="123825" cy="180975"/>
    <xdr:sp macro="" textlink="">
      <xdr:nvSpPr>
        <xdr:cNvPr id="653" name="Text Box 62"/>
        <xdr:cNvSpPr txBox="1">
          <a:spLocks noChangeArrowheads="1"/>
        </xdr:cNvSpPr>
      </xdr:nvSpPr>
      <xdr:spPr bwMode="auto">
        <a:xfrm>
          <a:off x="1047750" y="67056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</xdr:col>
      <xdr:colOff>142875</xdr:colOff>
      <xdr:row>305</xdr:row>
      <xdr:rowOff>0</xdr:rowOff>
    </xdr:from>
    <xdr:to>
      <xdr:col>3</xdr:col>
      <xdr:colOff>142875</xdr:colOff>
      <xdr:row>307</xdr:row>
      <xdr:rowOff>47625</xdr:rowOff>
    </xdr:to>
    <xdr:sp macro="" textlink="">
      <xdr:nvSpPr>
        <xdr:cNvPr id="654" name="Line 63"/>
        <xdr:cNvSpPr>
          <a:spLocks noChangeShapeType="1"/>
        </xdr:cNvSpPr>
      </xdr:nvSpPr>
      <xdr:spPr bwMode="auto">
        <a:xfrm flipV="1">
          <a:off x="1971675" y="7191375"/>
          <a:ext cx="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</xdr:col>
      <xdr:colOff>133350</xdr:colOff>
      <xdr:row>302</xdr:row>
      <xdr:rowOff>47625</xdr:rowOff>
    </xdr:from>
    <xdr:to>
      <xdr:col>3</xdr:col>
      <xdr:colOff>133350</xdr:colOff>
      <xdr:row>303</xdr:row>
      <xdr:rowOff>76200</xdr:rowOff>
    </xdr:to>
    <xdr:sp macro="" textlink="">
      <xdr:nvSpPr>
        <xdr:cNvPr id="655" name="Line 64"/>
        <xdr:cNvSpPr>
          <a:spLocks noChangeShapeType="1"/>
        </xdr:cNvSpPr>
      </xdr:nvSpPr>
      <xdr:spPr bwMode="auto">
        <a:xfrm flipH="1">
          <a:off x="1962150" y="675322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</xdr:col>
      <xdr:colOff>142875</xdr:colOff>
      <xdr:row>307</xdr:row>
      <xdr:rowOff>57150</xdr:rowOff>
    </xdr:from>
    <xdr:to>
      <xdr:col>3</xdr:col>
      <xdr:colOff>295275</xdr:colOff>
      <xdr:row>307</xdr:row>
      <xdr:rowOff>57150</xdr:rowOff>
    </xdr:to>
    <xdr:sp macro="" textlink="">
      <xdr:nvSpPr>
        <xdr:cNvPr id="656" name="Line 65"/>
        <xdr:cNvSpPr>
          <a:spLocks noChangeShapeType="1"/>
        </xdr:cNvSpPr>
      </xdr:nvSpPr>
      <xdr:spPr bwMode="auto">
        <a:xfrm flipV="1">
          <a:off x="1971675" y="757237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561975</xdr:colOff>
      <xdr:row>302</xdr:row>
      <xdr:rowOff>0</xdr:rowOff>
    </xdr:from>
    <xdr:to>
      <xdr:col>4</xdr:col>
      <xdr:colOff>57150</xdr:colOff>
      <xdr:row>302</xdr:row>
      <xdr:rowOff>0</xdr:rowOff>
    </xdr:to>
    <xdr:sp macro="" textlink="">
      <xdr:nvSpPr>
        <xdr:cNvPr id="657" name="Line 66"/>
        <xdr:cNvSpPr>
          <a:spLocks noChangeShapeType="1"/>
        </xdr:cNvSpPr>
      </xdr:nvSpPr>
      <xdr:spPr bwMode="auto">
        <a:xfrm>
          <a:off x="2390775" y="670560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571500</xdr:colOff>
      <xdr:row>301</xdr:row>
      <xdr:rowOff>142875</xdr:rowOff>
    </xdr:from>
    <xdr:to>
      <xdr:col>3</xdr:col>
      <xdr:colOff>571500</xdr:colOff>
      <xdr:row>303</xdr:row>
      <xdr:rowOff>66675</xdr:rowOff>
    </xdr:to>
    <xdr:sp macro="" textlink="">
      <xdr:nvSpPr>
        <xdr:cNvPr id="658" name="Line 67"/>
        <xdr:cNvSpPr>
          <a:spLocks noChangeShapeType="1"/>
        </xdr:cNvSpPr>
      </xdr:nvSpPr>
      <xdr:spPr bwMode="auto">
        <a:xfrm>
          <a:off x="2400300" y="6686550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4</xdr:col>
      <xdr:colOff>304800</xdr:colOff>
      <xdr:row>302</xdr:row>
      <xdr:rowOff>9525</xdr:rowOff>
    </xdr:from>
    <xdr:ext cx="123825" cy="180975"/>
    <xdr:sp macro="" textlink="">
      <xdr:nvSpPr>
        <xdr:cNvPr id="659" name="Text Box 68"/>
        <xdr:cNvSpPr txBox="1">
          <a:spLocks noChangeArrowheads="1"/>
        </xdr:cNvSpPr>
      </xdr:nvSpPr>
      <xdr:spPr bwMode="auto">
        <a:xfrm>
          <a:off x="2743200" y="67151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9525</xdr:colOff>
      <xdr:row>288</xdr:row>
      <xdr:rowOff>85725</xdr:rowOff>
    </xdr:from>
    <xdr:to>
      <xdr:col>2</xdr:col>
      <xdr:colOff>276225</xdr:colOff>
      <xdr:row>290</xdr:row>
      <xdr:rowOff>47625</xdr:rowOff>
    </xdr:to>
    <xdr:sp macro="" textlink="">
      <xdr:nvSpPr>
        <xdr:cNvPr id="666" name="Oval 76"/>
        <xdr:cNvSpPr>
          <a:spLocks noChangeArrowheads="1"/>
        </xdr:cNvSpPr>
      </xdr:nvSpPr>
      <xdr:spPr bwMode="auto">
        <a:xfrm>
          <a:off x="1228725" y="42786300"/>
          <a:ext cx="266700" cy="2857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190500</xdr:colOff>
      <xdr:row>289</xdr:row>
      <xdr:rowOff>57150</xdr:rowOff>
    </xdr:from>
    <xdr:to>
      <xdr:col>3</xdr:col>
      <xdr:colOff>457200</xdr:colOff>
      <xdr:row>291</xdr:row>
      <xdr:rowOff>19050</xdr:rowOff>
    </xdr:to>
    <xdr:sp macro="" textlink="">
      <xdr:nvSpPr>
        <xdr:cNvPr id="667" name="Oval 78"/>
        <xdr:cNvSpPr>
          <a:spLocks noChangeArrowheads="1"/>
        </xdr:cNvSpPr>
      </xdr:nvSpPr>
      <xdr:spPr bwMode="auto">
        <a:xfrm>
          <a:off x="2019300" y="4657725"/>
          <a:ext cx="266700" cy="2857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</xdr:col>
      <xdr:colOff>161925</xdr:colOff>
      <xdr:row>287</xdr:row>
      <xdr:rowOff>95250</xdr:rowOff>
    </xdr:from>
    <xdr:to>
      <xdr:col>2</xdr:col>
      <xdr:colOff>161925</xdr:colOff>
      <xdr:row>288</xdr:row>
      <xdr:rowOff>104775</xdr:rowOff>
    </xdr:to>
    <xdr:sp macro="" textlink="">
      <xdr:nvSpPr>
        <xdr:cNvPr id="668" name="Line 89"/>
        <xdr:cNvSpPr>
          <a:spLocks noChangeShapeType="1"/>
        </xdr:cNvSpPr>
      </xdr:nvSpPr>
      <xdr:spPr bwMode="auto">
        <a:xfrm>
          <a:off x="1381125" y="437197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133350</xdr:colOff>
      <xdr:row>287</xdr:row>
      <xdr:rowOff>114300</xdr:rowOff>
    </xdr:from>
    <xdr:to>
      <xdr:col>3</xdr:col>
      <xdr:colOff>133350</xdr:colOff>
      <xdr:row>288</xdr:row>
      <xdr:rowOff>85725</xdr:rowOff>
    </xdr:to>
    <xdr:sp macro="" textlink="">
      <xdr:nvSpPr>
        <xdr:cNvPr id="669" name="Line 90"/>
        <xdr:cNvSpPr>
          <a:spLocks noChangeShapeType="1"/>
        </xdr:cNvSpPr>
      </xdr:nvSpPr>
      <xdr:spPr bwMode="auto">
        <a:xfrm flipV="1">
          <a:off x="1962150" y="43910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288</xdr:row>
      <xdr:rowOff>19050</xdr:rowOff>
    </xdr:from>
    <xdr:to>
      <xdr:col>3</xdr:col>
      <xdr:colOff>133350</xdr:colOff>
      <xdr:row>288</xdr:row>
      <xdr:rowOff>19050</xdr:rowOff>
    </xdr:to>
    <xdr:sp macro="" textlink="">
      <xdr:nvSpPr>
        <xdr:cNvPr id="670" name="Line 91"/>
        <xdr:cNvSpPr>
          <a:spLocks noChangeShapeType="1"/>
        </xdr:cNvSpPr>
      </xdr:nvSpPr>
      <xdr:spPr bwMode="auto">
        <a:xfrm>
          <a:off x="1381125" y="445770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171450</xdr:colOff>
      <xdr:row>294</xdr:row>
      <xdr:rowOff>152400</xdr:rowOff>
    </xdr:from>
    <xdr:to>
      <xdr:col>7</xdr:col>
      <xdr:colOff>190500</xdr:colOff>
      <xdr:row>294</xdr:row>
      <xdr:rowOff>152400</xdr:rowOff>
    </xdr:to>
    <xdr:sp macro="" textlink="">
      <xdr:nvSpPr>
        <xdr:cNvPr id="671" name="Line 1011"/>
        <xdr:cNvSpPr>
          <a:spLocks noChangeShapeType="1"/>
        </xdr:cNvSpPr>
      </xdr:nvSpPr>
      <xdr:spPr bwMode="auto">
        <a:xfrm>
          <a:off x="3219450" y="5562600"/>
          <a:ext cx="1238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114300</xdr:colOff>
      <xdr:row>292</xdr:row>
      <xdr:rowOff>142875</xdr:rowOff>
    </xdr:from>
    <xdr:to>
      <xdr:col>3</xdr:col>
      <xdr:colOff>571500</xdr:colOff>
      <xdr:row>292</xdr:row>
      <xdr:rowOff>142875</xdr:rowOff>
    </xdr:to>
    <xdr:sp macro="" textlink="">
      <xdr:nvSpPr>
        <xdr:cNvPr id="672" name="Line 1012"/>
        <xdr:cNvSpPr>
          <a:spLocks noChangeShapeType="1"/>
        </xdr:cNvSpPr>
      </xdr:nvSpPr>
      <xdr:spPr bwMode="auto">
        <a:xfrm>
          <a:off x="1943100" y="5229225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6</xdr:col>
      <xdr:colOff>333375</xdr:colOff>
      <xdr:row>294</xdr:row>
      <xdr:rowOff>0</xdr:rowOff>
    </xdr:from>
    <xdr:ext cx="123825" cy="180975"/>
    <xdr:sp macro="" textlink="">
      <xdr:nvSpPr>
        <xdr:cNvPr id="673" name="Text Box 1013"/>
        <xdr:cNvSpPr txBox="1">
          <a:spLocks noChangeArrowheads="1"/>
        </xdr:cNvSpPr>
      </xdr:nvSpPr>
      <xdr:spPr bwMode="auto">
        <a:xfrm>
          <a:off x="4600575" y="54102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</xdr:col>
      <xdr:colOff>333375</xdr:colOff>
      <xdr:row>294</xdr:row>
      <xdr:rowOff>0</xdr:rowOff>
    </xdr:from>
    <xdr:ext cx="123825" cy="180975"/>
    <xdr:sp macro="" textlink="">
      <xdr:nvSpPr>
        <xdr:cNvPr id="674" name="Text Box 1014"/>
        <xdr:cNvSpPr txBox="1">
          <a:spLocks noChangeArrowheads="1"/>
        </xdr:cNvSpPr>
      </xdr:nvSpPr>
      <xdr:spPr bwMode="auto">
        <a:xfrm>
          <a:off x="4600575" y="54102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504825</xdr:colOff>
      <xdr:row>294</xdr:row>
      <xdr:rowOff>19050</xdr:rowOff>
    </xdr:from>
    <xdr:to>
      <xdr:col>5</xdr:col>
      <xdr:colOff>581025</xdr:colOff>
      <xdr:row>294</xdr:row>
      <xdr:rowOff>114300</xdr:rowOff>
    </xdr:to>
    <xdr:sp macro="" textlink="">
      <xdr:nvSpPr>
        <xdr:cNvPr id="675" name="AutoShape 1015"/>
        <xdr:cNvSpPr>
          <a:spLocks noChangeArrowheads="1"/>
        </xdr:cNvSpPr>
      </xdr:nvSpPr>
      <xdr:spPr bwMode="auto">
        <a:xfrm>
          <a:off x="3648075" y="45958125"/>
          <a:ext cx="76200" cy="9525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152400</xdr:colOff>
      <xdr:row>291</xdr:row>
      <xdr:rowOff>142875</xdr:rowOff>
    </xdr:from>
    <xdr:to>
      <xdr:col>5</xdr:col>
      <xdr:colOff>161925</xdr:colOff>
      <xdr:row>306</xdr:row>
      <xdr:rowOff>123825</xdr:rowOff>
    </xdr:to>
    <xdr:sp macro="" textlink="">
      <xdr:nvSpPr>
        <xdr:cNvPr id="676" name="Line 1016"/>
        <xdr:cNvSpPr>
          <a:spLocks noChangeShapeType="1"/>
        </xdr:cNvSpPr>
      </xdr:nvSpPr>
      <xdr:spPr bwMode="auto">
        <a:xfrm>
          <a:off x="3295650" y="45596175"/>
          <a:ext cx="9525" cy="24098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7</xdr:col>
      <xdr:colOff>19049</xdr:colOff>
      <xdr:row>292</xdr:row>
      <xdr:rowOff>19050</xdr:rowOff>
    </xdr:from>
    <xdr:to>
      <xdr:col>7</xdr:col>
      <xdr:colOff>64768</xdr:colOff>
      <xdr:row>305</xdr:row>
      <xdr:rowOff>38100</xdr:rowOff>
    </xdr:to>
    <xdr:sp macro="" textlink="">
      <xdr:nvSpPr>
        <xdr:cNvPr id="677" name="Line 1017"/>
        <xdr:cNvSpPr>
          <a:spLocks noChangeShapeType="1"/>
        </xdr:cNvSpPr>
      </xdr:nvSpPr>
      <xdr:spPr bwMode="auto">
        <a:xfrm>
          <a:off x="4381499" y="42414825"/>
          <a:ext cx="45719" cy="212407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4</xdr:col>
      <xdr:colOff>561975</xdr:colOff>
      <xdr:row>290</xdr:row>
      <xdr:rowOff>76200</xdr:rowOff>
    </xdr:from>
    <xdr:to>
      <xdr:col>5</xdr:col>
      <xdr:colOff>219075</xdr:colOff>
      <xdr:row>292</xdr:row>
      <xdr:rowOff>38100</xdr:rowOff>
    </xdr:to>
    <xdr:sp macro="" textlink="">
      <xdr:nvSpPr>
        <xdr:cNvPr id="678" name="Oval 1018"/>
        <xdr:cNvSpPr>
          <a:spLocks noChangeArrowheads="1"/>
        </xdr:cNvSpPr>
      </xdr:nvSpPr>
      <xdr:spPr bwMode="auto">
        <a:xfrm>
          <a:off x="3095625" y="43100625"/>
          <a:ext cx="266700" cy="2857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6</xdr:col>
      <xdr:colOff>476250</xdr:colOff>
      <xdr:row>290</xdr:row>
      <xdr:rowOff>85725</xdr:rowOff>
    </xdr:from>
    <xdr:to>
      <xdr:col>7</xdr:col>
      <xdr:colOff>133350</xdr:colOff>
      <xdr:row>292</xdr:row>
      <xdr:rowOff>47625</xdr:rowOff>
    </xdr:to>
    <xdr:sp macro="" textlink="">
      <xdr:nvSpPr>
        <xdr:cNvPr id="679" name="Oval 1019"/>
        <xdr:cNvSpPr>
          <a:spLocks noChangeArrowheads="1"/>
        </xdr:cNvSpPr>
      </xdr:nvSpPr>
      <xdr:spPr bwMode="auto">
        <a:xfrm>
          <a:off x="4133850" y="4848225"/>
          <a:ext cx="266700" cy="2857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</xdr:col>
      <xdr:colOff>123825</xdr:colOff>
      <xdr:row>288</xdr:row>
      <xdr:rowOff>19050</xdr:rowOff>
    </xdr:from>
    <xdr:to>
      <xdr:col>5</xdr:col>
      <xdr:colOff>76200</xdr:colOff>
      <xdr:row>288</xdr:row>
      <xdr:rowOff>19050</xdr:rowOff>
    </xdr:to>
    <xdr:sp macro="" textlink="">
      <xdr:nvSpPr>
        <xdr:cNvPr id="683" name="Line 1035"/>
        <xdr:cNvSpPr>
          <a:spLocks noChangeShapeType="1"/>
        </xdr:cNvSpPr>
      </xdr:nvSpPr>
      <xdr:spPr bwMode="auto">
        <a:xfrm flipV="1">
          <a:off x="1952625" y="4457700"/>
          <a:ext cx="1171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57150</xdr:colOff>
      <xdr:row>287</xdr:row>
      <xdr:rowOff>57150</xdr:rowOff>
    </xdr:from>
    <xdr:to>
      <xdr:col>5</xdr:col>
      <xdr:colOff>57150</xdr:colOff>
      <xdr:row>288</xdr:row>
      <xdr:rowOff>133350</xdr:rowOff>
    </xdr:to>
    <xdr:sp macro="" textlink="">
      <xdr:nvSpPr>
        <xdr:cNvPr id="684" name="Line 1036"/>
        <xdr:cNvSpPr>
          <a:spLocks noChangeShapeType="1"/>
        </xdr:cNvSpPr>
      </xdr:nvSpPr>
      <xdr:spPr bwMode="auto">
        <a:xfrm>
          <a:off x="3105150" y="4333875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200025</xdr:colOff>
      <xdr:row>303</xdr:row>
      <xdr:rowOff>85725</xdr:rowOff>
    </xdr:from>
    <xdr:to>
      <xdr:col>7</xdr:col>
      <xdr:colOff>200025</xdr:colOff>
      <xdr:row>305</xdr:row>
      <xdr:rowOff>0</xdr:rowOff>
    </xdr:to>
    <xdr:sp macro="" textlink="">
      <xdr:nvSpPr>
        <xdr:cNvPr id="701" name="Line 4299"/>
        <xdr:cNvSpPr>
          <a:spLocks noChangeShapeType="1"/>
        </xdr:cNvSpPr>
      </xdr:nvSpPr>
      <xdr:spPr bwMode="auto">
        <a:xfrm>
          <a:off x="4562475" y="4861560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504825</xdr:colOff>
      <xdr:row>66</xdr:row>
      <xdr:rowOff>0</xdr:rowOff>
    </xdr:from>
    <xdr:to>
      <xdr:col>0</xdr:col>
      <xdr:colOff>85725</xdr:colOff>
      <xdr:row>66</xdr:row>
      <xdr:rowOff>0</xdr:rowOff>
    </xdr:to>
    <xdr:sp macro="" textlink="">
      <xdr:nvSpPr>
        <xdr:cNvPr id="569" name="Line 232"/>
        <xdr:cNvSpPr>
          <a:spLocks noChangeShapeType="1"/>
        </xdr:cNvSpPr>
      </xdr:nvSpPr>
      <xdr:spPr bwMode="auto">
        <a:xfrm>
          <a:off x="4867275" y="210216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190500</xdr:colOff>
      <xdr:row>66</xdr:row>
      <xdr:rowOff>38100</xdr:rowOff>
    </xdr:from>
    <xdr:to>
      <xdr:col>0</xdr:col>
      <xdr:colOff>323850</xdr:colOff>
      <xdr:row>66</xdr:row>
      <xdr:rowOff>38100</xdr:rowOff>
    </xdr:to>
    <xdr:sp macro="" textlink="">
      <xdr:nvSpPr>
        <xdr:cNvPr id="571" name="Line 335"/>
        <xdr:cNvSpPr>
          <a:spLocks noChangeShapeType="1"/>
        </xdr:cNvSpPr>
      </xdr:nvSpPr>
      <xdr:spPr bwMode="auto">
        <a:xfrm>
          <a:off x="5162550" y="210597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190500</xdr:colOff>
      <xdr:row>67</xdr:row>
      <xdr:rowOff>0</xdr:rowOff>
    </xdr:from>
    <xdr:to>
      <xdr:col>0</xdr:col>
      <xdr:colOff>333375</xdr:colOff>
      <xdr:row>67</xdr:row>
      <xdr:rowOff>0</xdr:rowOff>
    </xdr:to>
    <xdr:sp macro="" textlink="">
      <xdr:nvSpPr>
        <xdr:cNvPr id="573" name="Line 336"/>
        <xdr:cNvSpPr>
          <a:spLocks noChangeShapeType="1"/>
        </xdr:cNvSpPr>
      </xdr:nvSpPr>
      <xdr:spPr bwMode="auto">
        <a:xfrm>
          <a:off x="5162550" y="211836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247650</xdr:colOff>
      <xdr:row>65</xdr:row>
      <xdr:rowOff>47625</xdr:rowOff>
    </xdr:from>
    <xdr:to>
      <xdr:col>0</xdr:col>
      <xdr:colOff>247650</xdr:colOff>
      <xdr:row>66</xdr:row>
      <xdr:rowOff>47625</xdr:rowOff>
    </xdr:to>
    <xdr:sp macro="" textlink="">
      <xdr:nvSpPr>
        <xdr:cNvPr id="574" name="Line 337"/>
        <xdr:cNvSpPr>
          <a:spLocks noChangeShapeType="1"/>
        </xdr:cNvSpPr>
      </xdr:nvSpPr>
      <xdr:spPr bwMode="auto">
        <a:xfrm>
          <a:off x="5219700" y="209073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0</xdr:col>
      <xdr:colOff>266700</xdr:colOff>
      <xdr:row>67</xdr:row>
      <xdr:rowOff>0</xdr:rowOff>
    </xdr:from>
    <xdr:to>
      <xdr:col>0</xdr:col>
      <xdr:colOff>266700</xdr:colOff>
      <xdr:row>67</xdr:row>
      <xdr:rowOff>152400</xdr:rowOff>
    </xdr:to>
    <xdr:sp macro="" textlink="">
      <xdr:nvSpPr>
        <xdr:cNvPr id="576" name="Line 338"/>
        <xdr:cNvSpPr>
          <a:spLocks noChangeShapeType="1"/>
        </xdr:cNvSpPr>
      </xdr:nvSpPr>
      <xdr:spPr bwMode="auto">
        <a:xfrm flipV="1">
          <a:off x="5238750" y="211836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296071</xdr:colOff>
      <xdr:row>265</xdr:row>
      <xdr:rowOff>792</xdr:rowOff>
    </xdr:from>
    <xdr:to>
      <xdr:col>6</xdr:col>
      <xdr:colOff>304801</xdr:colOff>
      <xdr:row>282</xdr:row>
      <xdr:rowOff>2</xdr:rowOff>
    </xdr:to>
    <xdr:cxnSp macro="">
      <xdr:nvCxnSpPr>
        <xdr:cNvPr id="578" name="Straight Connector 577"/>
        <xdr:cNvCxnSpPr/>
      </xdr:nvCxnSpPr>
      <xdr:spPr bwMode="auto">
        <a:xfrm rot="16200000" flipH="1">
          <a:off x="2677318" y="43749120"/>
          <a:ext cx="2751935" cy="873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295278</xdr:colOff>
      <xdr:row>265</xdr:row>
      <xdr:rowOff>9525</xdr:rowOff>
    </xdr:from>
    <xdr:to>
      <xdr:col>6</xdr:col>
      <xdr:colOff>304802</xdr:colOff>
      <xdr:row>265</xdr:row>
      <xdr:rowOff>9528</xdr:rowOff>
    </xdr:to>
    <xdr:cxnSp macro="">
      <xdr:nvCxnSpPr>
        <xdr:cNvPr id="582" name="Straight Connector 581"/>
        <xdr:cNvCxnSpPr/>
      </xdr:nvCxnSpPr>
      <xdr:spPr bwMode="auto">
        <a:xfrm flipV="1">
          <a:off x="3438528" y="42386250"/>
          <a:ext cx="619124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238125</xdr:colOff>
      <xdr:row>282</xdr:row>
      <xdr:rowOff>9525</xdr:rowOff>
    </xdr:from>
    <xdr:to>
      <xdr:col>6</xdr:col>
      <xdr:colOff>295275</xdr:colOff>
      <xdr:row>282</xdr:row>
      <xdr:rowOff>9527</xdr:rowOff>
    </xdr:to>
    <xdr:cxnSp macro="">
      <xdr:nvCxnSpPr>
        <xdr:cNvPr id="585" name="Straight Connector 584"/>
        <xdr:cNvCxnSpPr/>
      </xdr:nvCxnSpPr>
      <xdr:spPr bwMode="auto">
        <a:xfrm>
          <a:off x="3381375" y="45138975"/>
          <a:ext cx="666750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390525</xdr:colOff>
      <xdr:row>283</xdr:row>
      <xdr:rowOff>9525</xdr:rowOff>
    </xdr:from>
    <xdr:to>
      <xdr:col>6</xdr:col>
      <xdr:colOff>9525</xdr:colOff>
      <xdr:row>283</xdr:row>
      <xdr:rowOff>9526</xdr:rowOff>
    </xdr:to>
    <xdr:cxnSp macro="">
      <xdr:nvCxnSpPr>
        <xdr:cNvPr id="588" name="Straight Connector 587"/>
        <xdr:cNvCxnSpPr/>
      </xdr:nvCxnSpPr>
      <xdr:spPr bwMode="auto">
        <a:xfrm flipV="1">
          <a:off x="1609725" y="44167425"/>
          <a:ext cx="215265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9526</xdr:colOff>
      <xdr:row>282</xdr:row>
      <xdr:rowOff>114305</xdr:rowOff>
    </xdr:from>
    <xdr:to>
      <xdr:col>6</xdr:col>
      <xdr:colOff>9527</xdr:colOff>
      <xdr:row>284</xdr:row>
      <xdr:rowOff>19050</xdr:rowOff>
    </xdr:to>
    <xdr:cxnSp macro="">
      <xdr:nvCxnSpPr>
        <xdr:cNvPr id="639" name="Straight Connector 638"/>
        <xdr:cNvCxnSpPr/>
      </xdr:nvCxnSpPr>
      <xdr:spPr bwMode="auto">
        <a:xfrm rot="5400000">
          <a:off x="3648079" y="45358052"/>
          <a:ext cx="22859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390525</xdr:colOff>
      <xdr:row>282</xdr:row>
      <xdr:rowOff>19055</xdr:rowOff>
    </xdr:from>
    <xdr:to>
      <xdr:col>2</xdr:col>
      <xdr:colOff>390526</xdr:colOff>
      <xdr:row>283</xdr:row>
      <xdr:rowOff>95254</xdr:rowOff>
    </xdr:to>
    <xdr:cxnSp macro="">
      <xdr:nvCxnSpPr>
        <xdr:cNvPr id="691" name="Straight Connector 690"/>
        <xdr:cNvCxnSpPr/>
      </xdr:nvCxnSpPr>
      <xdr:spPr bwMode="auto">
        <a:xfrm rot="5400000">
          <a:off x="1490664" y="45267566"/>
          <a:ext cx="238124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8732</xdr:colOff>
      <xdr:row>282</xdr:row>
      <xdr:rowOff>29368</xdr:rowOff>
    </xdr:from>
    <xdr:to>
      <xdr:col>2</xdr:col>
      <xdr:colOff>10320</xdr:colOff>
      <xdr:row>283</xdr:row>
      <xdr:rowOff>67468</xdr:rowOff>
    </xdr:to>
    <xdr:cxnSp macro="">
      <xdr:nvCxnSpPr>
        <xdr:cNvPr id="712" name="Straight Connector 711"/>
        <xdr:cNvCxnSpPr/>
      </xdr:nvCxnSpPr>
      <xdr:spPr bwMode="auto">
        <a:xfrm rot="5400000">
          <a:off x="1128713" y="45258037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304800</xdr:colOff>
      <xdr:row>282</xdr:row>
      <xdr:rowOff>114299</xdr:rowOff>
    </xdr:from>
    <xdr:to>
      <xdr:col>6</xdr:col>
      <xdr:colOff>314325</xdr:colOff>
      <xdr:row>284</xdr:row>
      <xdr:rowOff>28574</xdr:rowOff>
    </xdr:to>
    <xdr:cxnSp macro="">
      <xdr:nvCxnSpPr>
        <xdr:cNvPr id="714" name="Straight Connector 713"/>
        <xdr:cNvCxnSpPr/>
      </xdr:nvCxnSpPr>
      <xdr:spPr bwMode="auto">
        <a:xfrm rot="16200000" flipH="1">
          <a:off x="3943350" y="45358049"/>
          <a:ext cx="2381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285</xdr:row>
      <xdr:rowOff>0</xdr:rowOff>
    </xdr:from>
    <xdr:to>
      <xdr:col>6</xdr:col>
      <xdr:colOff>295275</xdr:colOff>
      <xdr:row>285</xdr:row>
      <xdr:rowOff>9525</xdr:rowOff>
    </xdr:to>
    <xdr:cxnSp macro="">
      <xdr:nvCxnSpPr>
        <xdr:cNvPr id="716" name="Straight Arrow Connector 715"/>
        <xdr:cNvCxnSpPr/>
      </xdr:nvCxnSpPr>
      <xdr:spPr bwMode="auto">
        <a:xfrm flipV="1">
          <a:off x="1219200" y="45615225"/>
          <a:ext cx="28289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304800</xdr:colOff>
      <xdr:row>283</xdr:row>
      <xdr:rowOff>133349</xdr:rowOff>
    </xdr:from>
    <xdr:to>
      <xdr:col>6</xdr:col>
      <xdr:colOff>314325</xdr:colOff>
      <xdr:row>285</xdr:row>
      <xdr:rowOff>57150</xdr:rowOff>
    </xdr:to>
    <xdr:cxnSp macro="">
      <xdr:nvCxnSpPr>
        <xdr:cNvPr id="718" name="Straight Connector 717"/>
        <xdr:cNvCxnSpPr/>
      </xdr:nvCxnSpPr>
      <xdr:spPr bwMode="auto">
        <a:xfrm rot="16200000" flipH="1">
          <a:off x="3938587" y="45543787"/>
          <a:ext cx="247651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608807</xdr:colOff>
      <xdr:row>283</xdr:row>
      <xdr:rowOff>143668</xdr:rowOff>
    </xdr:from>
    <xdr:to>
      <xdr:col>2</xdr:col>
      <xdr:colOff>795</xdr:colOff>
      <xdr:row>285</xdr:row>
      <xdr:rowOff>57150</xdr:rowOff>
    </xdr:to>
    <xdr:cxnSp macro="">
      <xdr:nvCxnSpPr>
        <xdr:cNvPr id="720" name="Straight Connector 719"/>
        <xdr:cNvCxnSpPr/>
      </xdr:nvCxnSpPr>
      <xdr:spPr bwMode="auto">
        <a:xfrm rot="5400000">
          <a:off x="1100535" y="45552915"/>
          <a:ext cx="237332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171450</xdr:colOff>
      <xdr:row>309</xdr:row>
      <xdr:rowOff>76200</xdr:rowOff>
    </xdr:from>
    <xdr:to>
      <xdr:col>2</xdr:col>
      <xdr:colOff>171450</xdr:colOff>
      <xdr:row>310</xdr:row>
      <xdr:rowOff>66675</xdr:rowOff>
    </xdr:to>
    <xdr:sp macro="" textlink="">
      <xdr:nvSpPr>
        <xdr:cNvPr id="731" name="Line 79"/>
        <xdr:cNvSpPr>
          <a:spLocks noChangeShapeType="1"/>
        </xdr:cNvSpPr>
      </xdr:nvSpPr>
      <xdr:spPr bwMode="auto">
        <a:xfrm>
          <a:off x="1390650" y="80772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142875</xdr:colOff>
      <xdr:row>309</xdr:row>
      <xdr:rowOff>85725</xdr:rowOff>
    </xdr:from>
    <xdr:to>
      <xdr:col>3</xdr:col>
      <xdr:colOff>142875</xdr:colOff>
      <xdr:row>310</xdr:row>
      <xdr:rowOff>76200</xdr:rowOff>
    </xdr:to>
    <xdr:sp macro="" textlink="">
      <xdr:nvSpPr>
        <xdr:cNvPr id="732" name="Line 80"/>
        <xdr:cNvSpPr>
          <a:spLocks noChangeShapeType="1"/>
        </xdr:cNvSpPr>
      </xdr:nvSpPr>
      <xdr:spPr bwMode="auto">
        <a:xfrm>
          <a:off x="1971675" y="80867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200025</xdr:colOff>
      <xdr:row>309</xdr:row>
      <xdr:rowOff>95250</xdr:rowOff>
    </xdr:from>
    <xdr:to>
      <xdr:col>7</xdr:col>
      <xdr:colOff>200025</xdr:colOff>
      <xdr:row>310</xdr:row>
      <xdr:rowOff>57150</xdr:rowOff>
    </xdr:to>
    <xdr:sp macro="" textlink="">
      <xdr:nvSpPr>
        <xdr:cNvPr id="733" name="Line 81"/>
        <xdr:cNvSpPr>
          <a:spLocks noChangeShapeType="1"/>
        </xdr:cNvSpPr>
      </xdr:nvSpPr>
      <xdr:spPr bwMode="auto">
        <a:xfrm>
          <a:off x="4467225" y="809625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571500</xdr:colOff>
      <xdr:row>309</xdr:row>
      <xdr:rowOff>104775</xdr:rowOff>
    </xdr:from>
    <xdr:to>
      <xdr:col>7</xdr:col>
      <xdr:colOff>571500</xdr:colOff>
      <xdr:row>310</xdr:row>
      <xdr:rowOff>47625</xdr:rowOff>
    </xdr:to>
    <xdr:sp macro="" textlink="">
      <xdr:nvSpPr>
        <xdr:cNvPr id="734" name="Line 82"/>
        <xdr:cNvSpPr>
          <a:spLocks noChangeShapeType="1"/>
        </xdr:cNvSpPr>
      </xdr:nvSpPr>
      <xdr:spPr bwMode="auto">
        <a:xfrm>
          <a:off x="4838700" y="810577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171450</xdr:colOff>
      <xdr:row>310</xdr:row>
      <xdr:rowOff>19050</xdr:rowOff>
    </xdr:from>
    <xdr:to>
      <xdr:col>3</xdr:col>
      <xdr:colOff>142875</xdr:colOff>
      <xdr:row>310</xdr:row>
      <xdr:rowOff>19050</xdr:rowOff>
    </xdr:to>
    <xdr:sp macro="" textlink="">
      <xdr:nvSpPr>
        <xdr:cNvPr id="735" name="Line 83"/>
        <xdr:cNvSpPr>
          <a:spLocks noChangeShapeType="1"/>
        </xdr:cNvSpPr>
      </xdr:nvSpPr>
      <xdr:spPr bwMode="auto">
        <a:xfrm>
          <a:off x="1390650" y="818197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142875</xdr:colOff>
      <xdr:row>310</xdr:row>
      <xdr:rowOff>19050</xdr:rowOff>
    </xdr:from>
    <xdr:to>
      <xdr:col>7</xdr:col>
      <xdr:colOff>200025</xdr:colOff>
      <xdr:row>310</xdr:row>
      <xdr:rowOff>19050</xdr:rowOff>
    </xdr:to>
    <xdr:sp macro="" textlink="">
      <xdr:nvSpPr>
        <xdr:cNvPr id="736" name="Line 84"/>
        <xdr:cNvSpPr>
          <a:spLocks noChangeShapeType="1"/>
        </xdr:cNvSpPr>
      </xdr:nvSpPr>
      <xdr:spPr bwMode="auto">
        <a:xfrm>
          <a:off x="1971675" y="8181975"/>
          <a:ext cx="2495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7</xdr:col>
      <xdr:colOff>200025</xdr:colOff>
      <xdr:row>310</xdr:row>
      <xdr:rowOff>19050</xdr:rowOff>
    </xdr:from>
    <xdr:to>
      <xdr:col>7</xdr:col>
      <xdr:colOff>571500</xdr:colOff>
      <xdr:row>310</xdr:row>
      <xdr:rowOff>19050</xdr:rowOff>
    </xdr:to>
    <xdr:sp macro="" textlink="">
      <xdr:nvSpPr>
        <xdr:cNvPr id="737" name="Line 85"/>
        <xdr:cNvSpPr>
          <a:spLocks noChangeShapeType="1"/>
        </xdr:cNvSpPr>
      </xdr:nvSpPr>
      <xdr:spPr bwMode="auto">
        <a:xfrm>
          <a:off x="4467225" y="8181975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5</xdr:col>
      <xdr:colOff>361950</xdr:colOff>
      <xdr:row>309</xdr:row>
      <xdr:rowOff>0</xdr:rowOff>
    </xdr:from>
    <xdr:ext cx="123825" cy="180975"/>
    <xdr:sp macro="" textlink="">
      <xdr:nvSpPr>
        <xdr:cNvPr id="739" name="Text Box 87"/>
        <xdr:cNvSpPr txBox="1">
          <a:spLocks noChangeArrowheads="1"/>
        </xdr:cNvSpPr>
      </xdr:nvSpPr>
      <xdr:spPr bwMode="auto">
        <a:xfrm>
          <a:off x="3409950" y="79914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8</xdr:col>
      <xdr:colOff>323850</xdr:colOff>
      <xdr:row>272</xdr:row>
      <xdr:rowOff>152400</xdr:rowOff>
    </xdr:from>
    <xdr:ext cx="123825" cy="180975"/>
    <xdr:sp macro="" textlink="">
      <xdr:nvSpPr>
        <xdr:cNvPr id="740" name="Text Box 88"/>
        <xdr:cNvSpPr txBox="1">
          <a:spLocks noChangeArrowheads="1"/>
        </xdr:cNvSpPr>
      </xdr:nvSpPr>
      <xdr:spPr bwMode="auto">
        <a:xfrm>
          <a:off x="4686300" y="394716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7</xdr:col>
      <xdr:colOff>103981</xdr:colOff>
      <xdr:row>287</xdr:row>
      <xdr:rowOff>48419</xdr:rowOff>
    </xdr:from>
    <xdr:to>
      <xdr:col>7</xdr:col>
      <xdr:colOff>105569</xdr:colOff>
      <xdr:row>288</xdr:row>
      <xdr:rowOff>134144</xdr:rowOff>
    </xdr:to>
    <xdr:cxnSp macro="">
      <xdr:nvCxnSpPr>
        <xdr:cNvPr id="742" name="Straight Connector 741"/>
        <xdr:cNvCxnSpPr/>
      </xdr:nvCxnSpPr>
      <xdr:spPr bwMode="auto">
        <a:xfrm rot="5400000">
          <a:off x="4343400" y="46110525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47625</xdr:colOff>
      <xdr:row>288</xdr:row>
      <xdr:rowOff>9525</xdr:rowOff>
    </xdr:from>
    <xdr:to>
      <xdr:col>7</xdr:col>
      <xdr:colOff>95250</xdr:colOff>
      <xdr:row>288</xdr:row>
      <xdr:rowOff>11113</xdr:rowOff>
    </xdr:to>
    <xdr:cxnSp macro="">
      <xdr:nvCxnSpPr>
        <xdr:cNvPr id="744" name="Straight Arrow Connector 743"/>
        <xdr:cNvCxnSpPr/>
      </xdr:nvCxnSpPr>
      <xdr:spPr bwMode="auto">
        <a:xfrm>
          <a:off x="3190875" y="46110525"/>
          <a:ext cx="12668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85725</xdr:colOff>
      <xdr:row>302</xdr:row>
      <xdr:rowOff>0</xdr:rowOff>
    </xdr:from>
    <xdr:to>
      <xdr:col>2</xdr:col>
      <xdr:colOff>0</xdr:colOff>
      <xdr:row>302</xdr:row>
      <xdr:rowOff>9525</xdr:rowOff>
    </xdr:to>
    <xdr:cxnSp macro="">
      <xdr:nvCxnSpPr>
        <xdr:cNvPr id="748" name="Straight Connector 747"/>
        <xdr:cNvCxnSpPr/>
      </xdr:nvCxnSpPr>
      <xdr:spPr bwMode="auto">
        <a:xfrm flipV="1">
          <a:off x="695325" y="48367950"/>
          <a:ext cx="5238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19050</xdr:colOff>
      <xdr:row>292</xdr:row>
      <xdr:rowOff>0</xdr:rowOff>
    </xdr:from>
    <xdr:to>
      <xdr:col>1</xdr:col>
      <xdr:colOff>581025</xdr:colOff>
      <xdr:row>292</xdr:row>
      <xdr:rowOff>1588</xdr:rowOff>
    </xdr:to>
    <xdr:cxnSp macro="">
      <xdr:nvCxnSpPr>
        <xdr:cNvPr id="750" name="Straight Connector 749"/>
        <xdr:cNvCxnSpPr/>
      </xdr:nvCxnSpPr>
      <xdr:spPr bwMode="auto">
        <a:xfrm>
          <a:off x="628650" y="46748700"/>
          <a:ext cx="561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361951</xdr:colOff>
      <xdr:row>271</xdr:row>
      <xdr:rowOff>152403</xdr:rowOff>
    </xdr:from>
    <xdr:to>
      <xdr:col>2</xdr:col>
      <xdr:colOff>371475</xdr:colOff>
      <xdr:row>276</xdr:row>
      <xdr:rowOff>133354</xdr:rowOff>
    </xdr:to>
    <xdr:cxnSp macro="">
      <xdr:nvCxnSpPr>
        <xdr:cNvPr id="752" name="Straight Arrow Connector 751"/>
        <xdr:cNvCxnSpPr/>
      </xdr:nvCxnSpPr>
      <xdr:spPr bwMode="auto">
        <a:xfrm rot="5400000">
          <a:off x="1190625" y="41776654"/>
          <a:ext cx="790576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504825</xdr:colOff>
      <xdr:row>268</xdr:row>
      <xdr:rowOff>0</xdr:rowOff>
    </xdr:from>
    <xdr:to>
      <xdr:col>8</xdr:col>
      <xdr:colOff>0</xdr:colOff>
      <xdr:row>268</xdr:row>
      <xdr:rowOff>9525</xdr:rowOff>
    </xdr:to>
    <xdr:cxnSp macro="">
      <xdr:nvCxnSpPr>
        <xdr:cNvPr id="754" name="Straight Connector 753"/>
        <xdr:cNvCxnSpPr/>
      </xdr:nvCxnSpPr>
      <xdr:spPr bwMode="auto">
        <a:xfrm>
          <a:off x="4257675" y="38671500"/>
          <a:ext cx="7143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504825</xdr:colOff>
      <xdr:row>279</xdr:row>
      <xdr:rowOff>0</xdr:rowOff>
    </xdr:from>
    <xdr:to>
      <xdr:col>7</xdr:col>
      <xdr:colOff>590550</xdr:colOff>
      <xdr:row>279</xdr:row>
      <xdr:rowOff>1588</xdr:rowOff>
    </xdr:to>
    <xdr:cxnSp macro="">
      <xdr:nvCxnSpPr>
        <xdr:cNvPr id="756" name="Straight Connector 755"/>
        <xdr:cNvCxnSpPr/>
      </xdr:nvCxnSpPr>
      <xdr:spPr bwMode="auto">
        <a:xfrm>
          <a:off x="4257675" y="40452675"/>
          <a:ext cx="695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476250</xdr:colOff>
      <xdr:row>268</xdr:row>
      <xdr:rowOff>2</xdr:rowOff>
    </xdr:from>
    <xdr:to>
      <xdr:col>7</xdr:col>
      <xdr:colOff>485775</xdr:colOff>
      <xdr:row>279</xdr:row>
      <xdr:rowOff>9527</xdr:rowOff>
    </xdr:to>
    <xdr:cxnSp macro="">
      <xdr:nvCxnSpPr>
        <xdr:cNvPr id="758" name="Straight Arrow Connector 757"/>
        <xdr:cNvCxnSpPr/>
      </xdr:nvCxnSpPr>
      <xdr:spPr bwMode="auto">
        <a:xfrm rot="5400000">
          <a:off x="3948113" y="39562089"/>
          <a:ext cx="17907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8</xdr:col>
      <xdr:colOff>447675</xdr:colOff>
      <xdr:row>67</xdr:row>
      <xdr:rowOff>142875</xdr:rowOff>
    </xdr:from>
    <xdr:ext cx="161925" cy="170560"/>
    <xdr:sp macro="" textlink="">
      <xdr:nvSpPr>
        <xdr:cNvPr id="556" name="Text Box 127"/>
        <xdr:cNvSpPr txBox="1">
          <a:spLocks noChangeArrowheads="1"/>
        </xdr:cNvSpPr>
      </xdr:nvSpPr>
      <xdr:spPr bwMode="auto">
        <a:xfrm>
          <a:off x="5419725" y="20193000"/>
          <a:ext cx="161925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(t)</a:t>
          </a:r>
        </a:p>
      </xdr:txBody>
    </xdr:sp>
    <xdr:clientData/>
  </xdr:oneCellAnchor>
  <xdr:twoCellAnchor>
    <xdr:from>
      <xdr:col>1</xdr:col>
      <xdr:colOff>171450</xdr:colOff>
      <xdr:row>276</xdr:row>
      <xdr:rowOff>104775</xdr:rowOff>
    </xdr:from>
    <xdr:to>
      <xdr:col>1</xdr:col>
      <xdr:colOff>419100</xdr:colOff>
      <xdr:row>276</xdr:row>
      <xdr:rowOff>106363</xdr:rowOff>
    </xdr:to>
    <xdr:cxnSp macro="">
      <xdr:nvCxnSpPr>
        <xdr:cNvPr id="562" name="Straight Connector 561"/>
        <xdr:cNvCxnSpPr/>
      </xdr:nvCxnSpPr>
      <xdr:spPr bwMode="auto">
        <a:xfrm rot="10800000">
          <a:off x="781050" y="40071675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438150</xdr:colOff>
      <xdr:row>277</xdr:row>
      <xdr:rowOff>0</xdr:rowOff>
    </xdr:from>
    <xdr:to>
      <xdr:col>1</xdr:col>
      <xdr:colOff>428625</xdr:colOff>
      <xdr:row>277</xdr:row>
      <xdr:rowOff>11113</xdr:rowOff>
    </xdr:to>
    <xdr:cxnSp macro="">
      <xdr:nvCxnSpPr>
        <xdr:cNvPr id="565" name="Straight Connector 564"/>
        <xdr:cNvCxnSpPr/>
      </xdr:nvCxnSpPr>
      <xdr:spPr bwMode="auto">
        <a:xfrm>
          <a:off x="438150" y="40128825"/>
          <a:ext cx="600075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133350</xdr:colOff>
      <xdr:row>272</xdr:row>
      <xdr:rowOff>85725</xdr:rowOff>
    </xdr:from>
    <xdr:to>
      <xdr:col>1</xdr:col>
      <xdr:colOff>476250</xdr:colOff>
      <xdr:row>272</xdr:row>
      <xdr:rowOff>87313</xdr:rowOff>
    </xdr:to>
    <xdr:cxnSp macro="">
      <xdr:nvCxnSpPr>
        <xdr:cNvPr id="577" name="Straight Connector 576"/>
        <xdr:cNvCxnSpPr/>
      </xdr:nvCxnSpPr>
      <xdr:spPr bwMode="auto">
        <a:xfrm rot="10800000">
          <a:off x="742950" y="394049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409575</xdr:colOff>
      <xdr:row>271</xdr:row>
      <xdr:rowOff>152400</xdr:rowOff>
    </xdr:from>
    <xdr:to>
      <xdr:col>1</xdr:col>
      <xdr:colOff>523875</xdr:colOff>
      <xdr:row>271</xdr:row>
      <xdr:rowOff>153988</xdr:rowOff>
    </xdr:to>
    <xdr:cxnSp macro="">
      <xdr:nvCxnSpPr>
        <xdr:cNvPr id="583" name="Straight Connector 582"/>
        <xdr:cNvCxnSpPr/>
      </xdr:nvCxnSpPr>
      <xdr:spPr bwMode="auto">
        <a:xfrm>
          <a:off x="409575" y="39309675"/>
          <a:ext cx="723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284956</xdr:colOff>
      <xdr:row>272</xdr:row>
      <xdr:rowOff>115094</xdr:rowOff>
    </xdr:from>
    <xdr:to>
      <xdr:col>1</xdr:col>
      <xdr:colOff>286544</xdr:colOff>
      <xdr:row>276</xdr:row>
      <xdr:rowOff>115094</xdr:rowOff>
    </xdr:to>
    <xdr:cxnSp macro="">
      <xdr:nvCxnSpPr>
        <xdr:cNvPr id="589" name="Straight Arrow Connector 588"/>
        <xdr:cNvCxnSpPr/>
      </xdr:nvCxnSpPr>
      <xdr:spPr bwMode="auto">
        <a:xfrm rot="5400000">
          <a:off x="571500" y="39757350"/>
          <a:ext cx="647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304007</xdr:colOff>
      <xdr:row>271</xdr:row>
      <xdr:rowOff>793</xdr:rowOff>
    </xdr:from>
    <xdr:to>
      <xdr:col>1</xdr:col>
      <xdr:colOff>305595</xdr:colOff>
      <xdr:row>272</xdr:row>
      <xdr:rowOff>793</xdr:rowOff>
    </xdr:to>
    <xdr:cxnSp macro="">
      <xdr:nvCxnSpPr>
        <xdr:cNvPr id="626" name="Straight Arrow Connector 625"/>
        <xdr:cNvCxnSpPr/>
      </xdr:nvCxnSpPr>
      <xdr:spPr bwMode="auto">
        <a:xfrm rot="5400000">
          <a:off x="833438" y="39238237"/>
          <a:ext cx="161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265906</xdr:colOff>
      <xdr:row>277</xdr:row>
      <xdr:rowOff>10319</xdr:rowOff>
    </xdr:from>
    <xdr:to>
      <xdr:col>1</xdr:col>
      <xdr:colOff>267494</xdr:colOff>
      <xdr:row>278</xdr:row>
      <xdr:rowOff>794</xdr:rowOff>
    </xdr:to>
    <xdr:cxnSp macro="">
      <xdr:nvCxnSpPr>
        <xdr:cNvPr id="638" name="Straight Arrow Connector 637"/>
        <xdr:cNvCxnSpPr/>
      </xdr:nvCxnSpPr>
      <xdr:spPr bwMode="auto">
        <a:xfrm rot="5400000" flipH="1" flipV="1">
          <a:off x="800100" y="40214550"/>
          <a:ext cx="152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599282</xdr:colOff>
      <xdr:row>272</xdr:row>
      <xdr:rowOff>10318</xdr:rowOff>
    </xdr:from>
    <xdr:to>
      <xdr:col>0</xdr:col>
      <xdr:colOff>600870</xdr:colOff>
      <xdr:row>277</xdr:row>
      <xdr:rowOff>10318</xdr:rowOff>
    </xdr:to>
    <xdr:cxnSp macro="">
      <xdr:nvCxnSpPr>
        <xdr:cNvPr id="642" name="Straight Arrow Connector 641"/>
        <xdr:cNvCxnSpPr/>
      </xdr:nvCxnSpPr>
      <xdr:spPr bwMode="auto">
        <a:xfrm rot="5400000">
          <a:off x="195263" y="39733537"/>
          <a:ext cx="8096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476250</xdr:colOff>
      <xdr:row>278</xdr:row>
      <xdr:rowOff>57150</xdr:rowOff>
    </xdr:from>
    <xdr:to>
      <xdr:col>7</xdr:col>
      <xdr:colOff>257175</xdr:colOff>
      <xdr:row>278</xdr:row>
      <xdr:rowOff>58738</xdr:rowOff>
    </xdr:to>
    <xdr:cxnSp macro="">
      <xdr:nvCxnSpPr>
        <xdr:cNvPr id="682" name="Straight Connector 681"/>
        <xdr:cNvCxnSpPr/>
      </xdr:nvCxnSpPr>
      <xdr:spPr bwMode="auto">
        <a:xfrm>
          <a:off x="4229100" y="40347900"/>
          <a:ext cx="3905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533400</xdr:colOff>
      <xdr:row>268</xdr:row>
      <xdr:rowOff>85725</xdr:rowOff>
    </xdr:from>
    <xdr:to>
      <xdr:col>7</xdr:col>
      <xdr:colOff>323850</xdr:colOff>
      <xdr:row>268</xdr:row>
      <xdr:rowOff>95250</xdr:rowOff>
    </xdr:to>
    <xdr:cxnSp macro="">
      <xdr:nvCxnSpPr>
        <xdr:cNvPr id="686" name="Straight Connector 685"/>
        <xdr:cNvCxnSpPr/>
      </xdr:nvCxnSpPr>
      <xdr:spPr bwMode="auto">
        <a:xfrm>
          <a:off x="4286250" y="38757225"/>
          <a:ext cx="4000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268</xdr:row>
      <xdr:rowOff>104774</xdr:rowOff>
    </xdr:from>
    <xdr:to>
      <xdr:col>7</xdr:col>
      <xdr:colOff>9525</xdr:colOff>
      <xdr:row>278</xdr:row>
      <xdr:rowOff>76199</xdr:rowOff>
    </xdr:to>
    <xdr:cxnSp macro="">
      <xdr:nvCxnSpPr>
        <xdr:cNvPr id="689" name="Straight Arrow Connector 688"/>
        <xdr:cNvCxnSpPr/>
      </xdr:nvCxnSpPr>
      <xdr:spPr bwMode="auto">
        <a:xfrm rot="16200000" flipH="1">
          <a:off x="3571875" y="39566849"/>
          <a:ext cx="15906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608807</xdr:colOff>
      <xdr:row>267</xdr:row>
      <xdr:rowOff>10318</xdr:rowOff>
    </xdr:from>
    <xdr:to>
      <xdr:col>7</xdr:col>
      <xdr:colOff>795</xdr:colOff>
      <xdr:row>268</xdr:row>
      <xdr:rowOff>10318</xdr:rowOff>
    </xdr:to>
    <xdr:cxnSp macro="">
      <xdr:nvCxnSpPr>
        <xdr:cNvPr id="692" name="Straight Arrow Connector 691"/>
        <xdr:cNvCxnSpPr/>
      </xdr:nvCxnSpPr>
      <xdr:spPr bwMode="auto">
        <a:xfrm rot="5400000">
          <a:off x="4281488" y="38600062"/>
          <a:ext cx="161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608807</xdr:colOff>
      <xdr:row>278</xdr:row>
      <xdr:rowOff>153194</xdr:rowOff>
    </xdr:from>
    <xdr:to>
      <xdr:col>7</xdr:col>
      <xdr:colOff>795</xdr:colOff>
      <xdr:row>279</xdr:row>
      <xdr:rowOff>153194</xdr:rowOff>
    </xdr:to>
    <xdr:cxnSp macro="">
      <xdr:nvCxnSpPr>
        <xdr:cNvPr id="694" name="Straight Arrow Connector 693"/>
        <xdr:cNvCxnSpPr/>
      </xdr:nvCxnSpPr>
      <xdr:spPr bwMode="auto">
        <a:xfrm rot="5400000" flipH="1" flipV="1">
          <a:off x="4281488" y="40524113"/>
          <a:ext cx="161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372270</xdr:colOff>
      <xdr:row>306</xdr:row>
      <xdr:rowOff>134143</xdr:rowOff>
    </xdr:from>
    <xdr:to>
      <xdr:col>7</xdr:col>
      <xdr:colOff>390526</xdr:colOff>
      <xdr:row>308</xdr:row>
      <xdr:rowOff>28574</xdr:rowOff>
    </xdr:to>
    <xdr:cxnSp macro="">
      <xdr:nvCxnSpPr>
        <xdr:cNvPr id="696" name="Straight Connector 695"/>
        <xdr:cNvCxnSpPr/>
      </xdr:nvCxnSpPr>
      <xdr:spPr bwMode="auto">
        <a:xfrm rot="16200000" flipH="1">
          <a:off x="4606132" y="49278381"/>
          <a:ext cx="275431" cy="1825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19050</xdr:colOff>
      <xdr:row>306</xdr:row>
      <xdr:rowOff>115094</xdr:rowOff>
    </xdr:from>
    <xdr:to>
      <xdr:col>8</xdr:col>
      <xdr:colOff>19844</xdr:colOff>
      <xdr:row>308</xdr:row>
      <xdr:rowOff>28578</xdr:rowOff>
    </xdr:to>
    <xdr:cxnSp macro="">
      <xdr:nvCxnSpPr>
        <xdr:cNvPr id="698" name="Straight Connector 697"/>
        <xdr:cNvCxnSpPr/>
      </xdr:nvCxnSpPr>
      <xdr:spPr bwMode="auto">
        <a:xfrm rot="5400000">
          <a:off x="4844255" y="49277589"/>
          <a:ext cx="29448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371477</xdr:colOff>
      <xdr:row>307</xdr:row>
      <xdr:rowOff>104774</xdr:rowOff>
    </xdr:from>
    <xdr:to>
      <xdr:col>8</xdr:col>
      <xdr:colOff>9525</xdr:colOff>
      <xdr:row>307</xdr:row>
      <xdr:rowOff>114299</xdr:rowOff>
    </xdr:to>
    <xdr:cxnSp macro="">
      <xdr:nvCxnSpPr>
        <xdr:cNvPr id="700" name="Straight Arrow Connector 699"/>
        <xdr:cNvCxnSpPr/>
      </xdr:nvCxnSpPr>
      <xdr:spPr bwMode="auto">
        <a:xfrm rot="10800000" flipV="1">
          <a:off x="4733927" y="44929424"/>
          <a:ext cx="247648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199232</xdr:colOff>
      <xdr:row>305</xdr:row>
      <xdr:rowOff>48419</xdr:rowOff>
    </xdr:from>
    <xdr:to>
      <xdr:col>7</xdr:col>
      <xdr:colOff>200820</xdr:colOff>
      <xdr:row>308</xdr:row>
      <xdr:rowOff>38101</xdr:rowOff>
    </xdr:to>
    <xdr:cxnSp macro="">
      <xdr:nvCxnSpPr>
        <xdr:cNvPr id="706" name="Straight Connector 705"/>
        <xdr:cNvCxnSpPr/>
      </xdr:nvCxnSpPr>
      <xdr:spPr bwMode="auto">
        <a:xfrm rot="5400000">
          <a:off x="4324747" y="46214904"/>
          <a:ext cx="47545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600075</xdr:colOff>
      <xdr:row>307</xdr:row>
      <xdr:rowOff>104775</xdr:rowOff>
    </xdr:from>
    <xdr:to>
      <xdr:col>7</xdr:col>
      <xdr:colOff>190500</xdr:colOff>
      <xdr:row>307</xdr:row>
      <xdr:rowOff>106363</xdr:rowOff>
    </xdr:to>
    <xdr:cxnSp macro="">
      <xdr:nvCxnSpPr>
        <xdr:cNvPr id="710" name="Straight Arrow Connector 709"/>
        <xdr:cNvCxnSpPr/>
      </xdr:nvCxnSpPr>
      <xdr:spPr bwMode="auto">
        <a:xfrm>
          <a:off x="4352925" y="44929425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oneCellAnchor>
    <xdr:from>
      <xdr:col>4</xdr:col>
      <xdr:colOff>133350</xdr:colOff>
      <xdr:row>51</xdr:row>
      <xdr:rowOff>133350</xdr:rowOff>
    </xdr:from>
    <xdr:ext cx="175304" cy="170560"/>
    <xdr:sp macro="" textlink="">
      <xdr:nvSpPr>
        <xdr:cNvPr id="580" name="Text Box 161"/>
        <xdr:cNvSpPr txBox="1">
          <a:spLocks noChangeArrowheads="1"/>
        </xdr:cNvSpPr>
      </xdr:nvSpPr>
      <xdr:spPr bwMode="auto">
        <a:xfrm>
          <a:off x="2667000" y="17592675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0</xdr:col>
      <xdr:colOff>419100</xdr:colOff>
      <xdr:row>46</xdr:row>
      <xdr:rowOff>0</xdr:rowOff>
    </xdr:from>
    <xdr:to>
      <xdr:col>2</xdr:col>
      <xdr:colOff>0</xdr:colOff>
      <xdr:row>46</xdr:row>
      <xdr:rowOff>1588</xdr:rowOff>
    </xdr:to>
    <xdr:cxnSp macro="">
      <xdr:nvCxnSpPr>
        <xdr:cNvPr id="598" name="Straight Connector 597"/>
        <xdr:cNvCxnSpPr/>
      </xdr:nvCxnSpPr>
      <xdr:spPr bwMode="auto">
        <a:xfrm rot="10800000">
          <a:off x="419100" y="7562850"/>
          <a:ext cx="8001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0</xdr:col>
      <xdr:colOff>419100</xdr:colOff>
      <xdr:row>45</xdr:row>
      <xdr:rowOff>0</xdr:rowOff>
    </xdr:from>
    <xdr:ext cx="175304" cy="170560"/>
    <xdr:sp macro="" textlink="">
      <xdr:nvSpPr>
        <xdr:cNvPr id="599" name="Text Box 161"/>
        <xdr:cNvSpPr txBox="1">
          <a:spLocks noChangeArrowheads="1"/>
        </xdr:cNvSpPr>
      </xdr:nvSpPr>
      <xdr:spPr bwMode="auto">
        <a:xfrm>
          <a:off x="1028700" y="16687800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oneCellAnchor>
    <xdr:from>
      <xdr:col>1</xdr:col>
      <xdr:colOff>333375</xdr:colOff>
      <xdr:row>44</xdr:row>
      <xdr:rowOff>142875</xdr:rowOff>
    </xdr:from>
    <xdr:ext cx="125291" cy="170560"/>
    <xdr:sp macro="" textlink="">
      <xdr:nvSpPr>
        <xdr:cNvPr id="600" name="Text Box 161"/>
        <xdr:cNvSpPr txBox="1">
          <a:spLocks noChangeArrowheads="1"/>
        </xdr:cNvSpPr>
      </xdr:nvSpPr>
      <xdr:spPr bwMode="auto">
        <a:xfrm>
          <a:off x="1552575" y="16668750"/>
          <a:ext cx="125291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447675</xdr:colOff>
      <xdr:row>68</xdr:row>
      <xdr:rowOff>0</xdr:rowOff>
    </xdr:from>
    <xdr:ext cx="161925" cy="170560"/>
    <xdr:sp macro="" textlink="">
      <xdr:nvSpPr>
        <xdr:cNvPr id="587" name="Text Box 127"/>
        <xdr:cNvSpPr txBox="1">
          <a:spLocks noChangeArrowheads="1"/>
        </xdr:cNvSpPr>
      </xdr:nvSpPr>
      <xdr:spPr bwMode="auto">
        <a:xfrm>
          <a:off x="447675" y="20412075"/>
          <a:ext cx="161925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(t)</a:t>
          </a:r>
        </a:p>
      </xdr:txBody>
    </xdr:sp>
    <xdr:clientData/>
  </xdr:oneCellAnchor>
  <xdr:twoCellAnchor>
    <xdr:from>
      <xdr:col>5</xdr:col>
      <xdr:colOff>485775</xdr:colOff>
      <xdr:row>48</xdr:row>
      <xdr:rowOff>9525</xdr:rowOff>
    </xdr:from>
    <xdr:to>
      <xdr:col>6</xdr:col>
      <xdr:colOff>600075</xdr:colOff>
      <xdr:row>50</xdr:row>
      <xdr:rowOff>142875</xdr:rowOff>
    </xdr:to>
    <xdr:cxnSp macro="">
      <xdr:nvCxnSpPr>
        <xdr:cNvPr id="601" name="Straight Connector 600"/>
        <xdr:cNvCxnSpPr/>
      </xdr:nvCxnSpPr>
      <xdr:spPr bwMode="auto">
        <a:xfrm>
          <a:off x="3629025" y="17154525"/>
          <a:ext cx="723900" cy="4572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</xdr:colOff>
      <xdr:row>48</xdr:row>
      <xdr:rowOff>9524</xdr:rowOff>
    </xdr:from>
    <xdr:to>
      <xdr:col>3</xdr:col>
      <xdr:colOff>104781</xdr:colOff>
      <xdr:row>51</xdr:row>
      <xdr:rowOff>123825</xdr:rowOff>
    </xdr:to>
    <xdr:cxnSp macro="">
      <xdr:nvCxnSpPr>
        <xdr:cNvPr id="603" name="Straight Connector 602"/>
        <xdr:cNvCxnSpPr/>
      </xdr:nvCxnSpPr>
      <xdr:spPr bwMode="auto">
        <a:xfrm rot="10800000" flipV="1">
          <a:off x="1228725" y="17154524"/>
          <a:ext cx="800106" cy="60007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FF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28582</xdr:colOff>
      <xdr:row>52</xdr:row>
      <xdr:rowOff>9530</xdr:rowOff>
    </xdr:from>
    <xdr:to>
      <xdr:col>2</xdr:col>
      <xdr:colOff>228601</xdr:colOff>
      <xdr:row>55</xdr:row>
      <xdr:rowOff>85728</xdr:rowOff>
    </xdr:to>
    <xdr:cxnSp macro="">
      <xdr:nvCxnSpPr>
        <xdr:cNvPr id="640" name="Straight Arrow Connector 639"/>
        <xdr:cNvCxnSpPr/>
      </xdr:nvCxnSpPr>
      <xdr:spPr bwMode="auto">
        <a:xfrm rot="16200000" flipV="1">
          <a:off x="1066805" y="8724907"/>
          <a:ext cx="561973" cy="20001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380207</xdr:colOff>
      <xdr:row>270</xdr:row>
      <xdr:rowOff>19050</xdr:rowOff>
    </xdr:from>
    <xdr:to>
      <xdr:col>2</xdr:col>
      <xdr:colOff>390526</xdr:colOff>
      <xdr:row>271</xdr:row>
      <xdr:rowOff>38894</xdr:rowOff>
    </xdr:to>
    <xdr:cxnSp macro="">
      <xdr:nvCxnSpPr>
        <xdr:cNvPr id="634" name="Straight Arrow Connector 633"/>
        <xdr:cNvCxnSpPr/>
      </xdr:nvCxnSpPr>
      <xdr:spPr bwMode="auto">
        <a:xfrm rot="5400000">
          <a:off x="1513682" y="43291125"/>
          <a:ext cx="181769" cy="1031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476250</xdr:colOff>
      <xdr:row>305</xdr:row>
      <xdr:rowOff>28574</xdr:rowOff>
    </xdr:from>
    <xdr:to>
      <xdr:col>7</xdr:col>
      <xdr:colOff>485775</xdr:colOff>
      <xdr:row>307</xdr:row>
      <xdr:rowOff>19049</xdr:rowOff>
    </xdr:to>
    <xdr:cxnSp macro="">
      <xdr:nvCxnSpPr>
        <xdr:cNvPr id="620" name="Straight Connector 619"/>
        <xdr:cNvCxnSpPr/>
      </xdr:nvCxnSpPr>
      <xdr:spPr bwMode="auto">
        <a:xfrm rot="16200000" flipH="1">
          <a:off x="4686300" y="46110524"/>
          <a:ext cx="314325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532606</xdr:colOff>
      <xdr:row>43</xdr:row>
      <xdr:rowOff>86519</xdr:rowOff>
    </xdr:from>
    <xdr:to>
      <xdr:col>5</xdr:col>
      <xdr:colOff>534194</xdr:colOff>
      <xdr:row>45</xdr:row>
      <xdr:rowOff>67469</xdr:rowOff>
    </xdr:to>
    <xdr:cxnSp macro="">
      <xdr:nvCxnSpPr>
        <xdr:cNvPr id="621" name="Straight Arrow Connector 620"/>
        <xdr:cNvCxnSpPr/>
      </xdr:nvCxnSpPr>
      <xdr:spPr bwMode="auto">
        <a:xfrm rot="5400000">
          <a:off x="3524250" y="16859250"/>
          <a:ext cx="3048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409576</xdr:colOff>
      <xdr:row>43</xdr:row>
      <xdr:rowOff>95250</xdr:rowOff>
    </xdr:from>
    <xdr:to>
      <xdr:col>5</xdr:col>
      <xdr:colOff>533401</xdr:colOff>
      <xdr:row>43</xdr:row>
      <xdr:rowOff>96838</xdr:rowOff>
    </xdr:to>
    <xdr:cxnSp macro="">
      <xdr:nvCxnSpPr>
        <xdr:cNvPr id="623" name="Straight Connector 622"/>
        <xdr:cNvCxnSpPr/>
      </xdr:nvCxnSpPr>
      <xdr:spPr bwMode="auto">
        <a:xfrm rot="10800000">
          <a:off x="3552826" y="16716375"/>
          <a:ext cx="1238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600075</xdr:colOff>
      <xdr:row>42</xdr:row>
      <xdr:rowOff>28577</xdr:rowOff>
    </xdr:from>
    <xdr:to>
      <xdr:col>5</xdr:col>
      <xdr:colOff>600078</xdr:colOff>
      <xdr:row>42</xdr:row>
      <xdr:rowOff>28578</xdr:rowOff>
    </xdr:to>
    <xdr:cxnSp macro="">
      <xdr:nvCxnSpPr>
        <xdr:cNvPr id="625" name="Straight Arrow Connector 624"/>
        <xdr:cNvCxnSpPr/>
      </xdr:nvCxnSpPr>
      <xdr:spPr bwMode="auto">
        <a:xfrm>
          <a:off x="3133725" y="16487777"/>
          <a:ext cx="609603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3</xdr:col>
      <xdr:colOff>0</xdr:colOff>
      <xdr:row>42</xdr:row>
      <xdr:rowOff>38102</xdr:rowOff>
    </xdr:from>
    <xdr:to>
      <xdr:col>4</xdr:col>
      <xdr:colOff>3</xdr:colOff>
      <xdr:row>42</xdr:row>
      <xdr:rowOff>38103</xdr:rowOff>
    </xdr:to>
    <xdr:cxnSp macro="">
      <xdr:nvCxnSpPr>
        <xdr:cNvPr id="643" name="Straight Arrow Connector 642"/>
        <xdr:cNvCxnSpPr/>
      </xdr:nvCxnSpPr>
      <xdr:spPr bwMode="auto">
        <a:xfrm>
          <a:off x="1924050" y="16497302"/>
          <a:ext cx="609603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12</xdr:col>
      <xdr:colOff>285750</xdr:colOff>
      <xdr:row>5</xdr:row>
      <xdr:rowOff>133350</xdr:rowOff>
    </xdr:from>
    <xdr:to>
      <xdr:col>23</xdr:col>
      <xdr:colOff>0</xdr:colOff>
      <xdr:row>5</xdr:row>
      <xdr:rowOff>134938</xdr:rowOff>
    </xdr:to>
    <xdr:cxnSp macro="">
      <xdr:nvCxnSpPr>
        <xdr:cNvPr id="901" name="Straight Connector 900"/>
        <xdr:cNvCxnSpPr/>
      </xdr:nvCxnSpPr>
      <xdr:spPr bwMode="auto">
        <a:xfrm>
          <a:off x="6962775" y="942975"/>
          <a:ext cx="6419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0</xdr:colOff>
      <xdr:row>13</xdr:row>
      <xdr:rowOff>0</xdr:rowOff>
    </xdr:from>
    <xdr:to>
      <xdr:col>20</xdr:col>
      <xdr:colOff>28575</xdr:colOff>
      <xdr:row>13</xdr:row>
      <xdr:rowOff>9525</xdr:rowOff>
    </xdr:to>
    <xdr:cxnSp macro="">
      <xdr:nvCxnSpPr>
        <xdr:cNvPr id="922" name="Straight Connector 921"/>
        <xdr:cNvCxnSpPr/>
      </xdr:nvCxnSpPr>
      <xdr:spPr bwMode="auto">
        <a:xfrm flipV="1">
          <a:off x="7905750" y="6581775"/>
          <a:ext cx="30765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304800</xdr:colOff>
      <xdr:row>11</xdr:row>
      <xdr:rowOff>190500</xdr:rowOff>
    </xdr:from>
    <xdr:to>
      <xdr:col>14</xdr:col>
      <xdr:colOff>600078</xdr:colOff>
      <xdr:row>13</xdr:row>
      <xdr:rowOff>4</xdr:rowOff>
    </xdr:to>
    <xdr:cxnSp macro="">
      <xdr:nvCxnSpPr>
        <xdr:cNvPr id="924" name="Straight Connector 923"/>
        <xdr:cNvCxnSpPr/>
      </xdr:nvCxnSpPr>
      <xdr:spPr bwMode="auto">
        <a:xfrm rot="10800000">
          <a:off x="8201025" y="2009775"/>
          <a:ext cx="295278" cy="20955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304801</xdr:colOff>
      <xdr:row>8</xdr:row>
      <xdr:rowOff>152400</xdr:rowOff>
    </xdr:from>
    <xdr:to>
      <xdr:col>14</xdr:col>
      <xdr:colOff>333375</xdr:colOff>
      <xdr:row>34</xdr:row>
      <xdr:rowOff>19050</xdr:rowOff>
    </xdr:to>
    <xdr:cxnSp macro="">
      <xdr:nvCxnSpPr>
        <xdr:cNvPr id="926" name="Straight Connector 925"/>
        <xdr:cNvCxnSpPr/>
      </xdr:nvCxnSpPr>
      <xdr:spPr bwMode="auto">
        <a:xfrm rot="16200000" flipH="1">
          <a:off x="6138863" y="3548063"/>
          <a:ext cx="4152900" cy="2857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587381</xdr:colOff>
      <xdr:row>8</xdr:row>
      <xdr:rowOff>129424</xdr:rowOff>
    </xdr:from>
    <xdr:to>
      <xdr:col>14</xdr:col>
      <xdr:colOff>1</xdr:colOff>
      <xdr:row>34</xdr:row>
      <xdr:rowOff>10701</xdr:rowOff>
    </xdr:to>
    <xdr:cxnSp macro="">
      <xdr:nvCxnSpPr>
        <xdr:cNvPr id="928" name="Straight Connector 927"/>
        <xdr:cNvCxnSpPr/>
      </xdr:nvCxnSpPr>
      <xdr:spPr bwMode="auto">
        <a:xfrm rot="16200000" flipH="1">
          <a:off x="5870061" y="9658655"/>
          <a:ext cx="4055153" cy="2264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9525</xdr:colOff>
      <xdr:row>14</xdr:row>
      <xdr:rowOff>0</xdr:rowOff>
    </xdr:from>
    <xdr:to>
      <xdr:col>20</xdr:col>
      <xdr:colOff>9525</xdr:colOff>
      <xdr:row>14</xdr:row>
      <xdr:rowOff>19050</xdr:rowOff>
    </xdr:to>
    <xdr:cxnSp macro="">
      <xdr:nvCxnSpPr>
        <xdr:cNvPr id="941" name="Straight Connector 940"/>
        <xdr:cNvCxnSpPr/>
      </xdr:nvCxnSpPr>
      <xdr:spPr bwMode="auto">
        <a:xfrm flipV="1">
          <a:off x="7915275" y="6743700"/>
          <a:ext cx="30480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333375</xdr:colOff>
      <xdr:row>14</xdr:row>
      <xdr:rowOff>19049</xdr:rowOff>
    </xdr:from>
    <xdr:to>
      <xdr:col>14</xdr:col>
      <xdr:colOff>600075</xdr:colOff>
      <xdr:row>14</xdr:row>
      <xdr:rowOff>161924</xdr:rowOff>
    </xdr:to>
    <xdr:cxnSp macro="">
      <xdr:nvCxnSpPr>
        <xdr:cNvPr id="943" name="Straight Connector 942"/>
        <xdr:cNvCxnSpPr/>
      </xdr:nvCxnSpPr>
      <xdr:spPr bwMode="auto">
        <a:xfrm rot="10800000" flipV="1">
          <a:off x="7629525" y="6762749"/>
          <a:ext cx="266700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266701</xdr:colOff>
      <xdr:row>8</xdr:row>
      <xdr:rowOff>161924</xdr:rowOff>
    </xdr:from>
    <xdr:to>
      <xdr:col>20</xdr:col>
      <xdr:colOff>285751</xdr:colOff>
      <xdr:row>33</xdr:row>
      <xdr:rowOff>161924</xdr:rowOff>
    </xdr:to>
    <xdr:cxnSp macro="">
      <xdr:nvCxnSpPr>
        <xdr:cNvPr id="951" name="Straight Connector 950"/>
        <xdr:cNvCxnSpPr/>
      </xdr:nvCxnSpPr>
      <xdr:spPr bwMode="auto">
        <a:xfrm rot="16200000" flipH="1">
          <a:off x="9767888" y="3548062"/>
          <a:ext cx="412432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247650</xdr:colOff>
      <xdr:row>6</xdr:row>
      <xdr:rowOff>3</xdr:rowOff>
    </xdr:from>
    <xdr:to>
      <xdr:col>11</xdr:col>
      <xdr:colOff>250825</xdr:colOff>
      <xdr:row>37</xdr:row>
      <xdr:rowOff>32561</xdr:rowOff>
    </xdr:to>
    <xdr:cxnSp macro="">
      <xdr:nvCxnSpPr>
        <xdr:cNvPr id="952" name="Straight Connector 951"/>
        <xdr:cNvCxnSpPr/>
      </xdr:nvCxnSpPr>
      <xdr:spPr bwMode="auto">
        <a:xfrm>
          <a:off x="6324600" y="971553"/>
          <a:ext cx="3175" cy="524273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0</xdr:colOff>
      <xdr:row>12</xdr:row>
      <xdr:rowOff>9525</xdr:rowOff>
    </xdr:from>
    <xdr:to>
      <xdr:col>20</xdr:col>
      <xdr:colOff>285750</xdr:colOff>
      <xdr:row>13</xdr:row>
      <xdr:rowOff>9526</xdr:rowOff>
    </xdr:to>
    <xdr:cxnSp macro="">
      <xdr:nvCxnSpPr>
        <xdr:cNvPr id="954" name="Straight Connector 953"/>
        <xdr:cNvCxnSpPr/>
      </xdr:nvCxnSpPr>
      <xdr:spPr bwMode="auto">
        <a:xfrm flipV="1">
          <a:off x="10953750" y="6429375"/>
          <a:ext cx="285750" cy="1619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19</xdr:col>
      <xdr:colOff>600075</xdr:colOff>
      <xdr:row>14</xdr:row>
      <xdr:rowOff>9524</xdr:rowOff>
    </xdr:from>
    <xdr:to>
      <xdr:col>20</xdr:col>
      <xdr:colOff>257175</xdr:colOff>
      <xdr:row>15</xdr:row>
      <xdr:rowOff>19050</xdr:rowOff>
    </xdr:to>
    <xdr:cxnSp macro="">
      <xdr:nvCxnSpPr>
        <xdr:cNvPr id="956" name="Straight Connector 955"/>
        <xdr:cNvCxnSpPr/>
      </xdr:nvCxnSpPr>
      <xdr:spPr bwMode="auto">
        <a:xfrm>
          <a:off x="10944225" y="6753224"/>
          <a:ext cx="266700" cy="17145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276225</xdr:colOff>
      <xdr:row>15</xdr:row>
      <xdr:rowOff>19051</xdr:rowOff>
    </xdr:from>
    <xdr:to>
      <xdr:col>20</xdr:col>
      <xdr:colOff>600075</xdr:colOff>
      <xdr:row>15</xdr:row>
      <xdr:rowOff>28575</xdr:rowOff>
    </xdr:to>
    <xdr:cxnSp macro="">
      <xdr:nvCxnSpPr>
        <xdr:cNvPr id="958" name="Straight Connector 957"/>
        <xdr:cNvCxnSpPr/>
      </xdr:nvCxnSpPr>
      <xdr:spPr bwMode="auto">
        <a:xfrm flipV="1">
          <a:off x="11229975" y="6924676"/>
          <a:ext cx="323850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266700</xdr:colOff>
      <xdr:row>12</xdr:row>
      <xdr:rowOff>0</xdr:rowOff>
    </xdr:from>
    <xdr:to>
      <xdr:col>21</xdr:col>
      <xdr:colOff>0</xdr:colOff>
      <xdr:row>12</xdr:row>
      <xdr:rowOff>1588</xdr:rowOff>
    </xdr:to>
    <xdr:cxnSp macro="">
      <xdr:nvCxnSpPr>
        <xdr:cNvPr id="960" name="Straight Connector 959"/>
        <xdr:cNvCxnSpPr/>
      </xdr:nvCxnSpPr>
      <xdr:spPr bwMode="auto">
        <a:xfrm>
          <a:off x="11820525" y="20193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19050</xdr:colOff>
      <xdr:row>13</xdr:row>
      <xdr:rowOff>0</xdr:rowOff>
    </xdr:from>
    <xdr:to>
      <xdr:col>23</xdr:col>
      <xdr:colOff>0</xdr:colOff>
      <xdr:row>13</xdr:row>
      <xdr:rowOff>1588</xdr:rowOff>
    </xdr:to>
    <xdr:cxnSp macro="">
      <xdr:nvCxnSpPr>
        <xdr:cNvPr id="962" name="Straight Connector 961"/>
        <xdr:cNvCxnSpPr/>
      </xdr:nvCxnSpPr>
      <xdr:spPr bwMode="auto">
        <a:xfrm>
          <a:off x="12182475" y="2219325"/>
          <a:ext cx="12001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600075</xdr:colOff>
      <xdr:row>14</xdr:row>
      <xdr:rowOff>9525</xdr:rowOff>
    </xdr:from>
    <xdr:to>
      <xdr:col>23</xdr:col>
      <xdr:colOff>0</xdr:colOff>
      <xdr:row>14</xdr:row>
      <xdr:rowOff>9526</xdr:rowOff>
    </xdr:to>
    <xdr:cxnSp macro="">
      <xdr:nvCxnSpPr>
        <xdr:cNvPr id="964" name="Straight Connector 963"/>
        <xdr:cNvCxnSpPr/>
      </xdr:nvCxnSpPr>
      <xdr:spPr bwMode="auto">
        <a:xfrm flipV="1">
          <a:off x="11553825" y="6753225"/>
          <a:ext cx="122872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600075</xdr:colOff>
      <xdr:row>8</xdr:row>
      <xdr:rowOff>0</xdr:rowOff>
    </xdr:from>
    <xdr:to>
      <xdr:col>19</xdr:col>
      <xdr:colOff>590550</xdr:colOff>
      <xdr:row>8</xdr:row>
      <xdr:rowOff>11113</xdr:rowOff>
    </xdr:to>
    <xdr:cxnSp macro="">
      <xdr:nvCxnSpPr>
        <xdr:cNvPr id="972" name="Straight Arrow Connector 971"/>
        <xdr:cNvCxnSpPr/>
      </xdr:nvCxnSpPr>
      <xdr:spPr bwMode="auto">
        <a:xfrm>
          <a:off x="7896225" y="5772150"/>
          <a:ext cx="3038475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19</xdr:col>
      <xdr:colOff>600075</xdr:colOff>
      <xdr:row>8</xdr:row>
      <xdr:rowOff>0</xdr:rowOff>
    </xdr:from>
    <xdr:to>
      <xdr:col>20</xdr:col>
      <xdr:colOff>257175</xdr:colOff>
      <xdr:row>8</xdr:row>
      <xdr:rowOff>152400</xdr:rowOff>
    </xdr:to>
    <xdr:cxnSp macro="">
      <xdr:nvCxnSpPr>
        <xdr:cNvPr id="974" name="Straight Connector 973"/>
        <xdr:cNvCxnSpPr/>
      </xdr:nvCxnSpPr>
      <xdr:spPr bwMode="auto">
        <a:xfrm>
          <a:off x="11544300" y="1333500"/>
          <a:ext cx="266700" cy="1524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295275</xdr:colOff>
      <xdr:row>9</xdr:row>
      <xdr:rowOff>9525</xdr:rowOff>
    </xdr:from>
    <xdr:to>
      <xdr:col>21</xdr:col>
      <xdr:colOff>9525</xdr:colOff>
      <xdr:row>9</xdr:row>
      <xdr:rowOff>11113</xdr:rowOff>
    </xdr:to>
    <xdr:cxnSp macro="">
      <xdr:nvCxnSpPr>
        <xdr:cNvPr id="976" name="Straight Connector 975"/>
        <xdr:cNvCxnSpPr/>
      </xdr:nvCxnSpPr>
      <xdr:spPr bwMode="auto">
        <a:xfrm>
          <a:off x="11249025" y="5943600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9525</xdr:colOff>
      <xdr:row>8</xdr:row>
      <xdr:rowOff>0</xdr:rowOff>
    </xdr:from>
    <xdr:to>
      <xdr:col>23</xdr:col>
      <xdr:colOff>28575</xdr:colOff>
      <xdr:row>8</xdr:row>
      <xdr:rowOff>1588</xdr:rowOff>
    </xdr:to>
    <xdr:cxnSp macro="">
      <xdr:nvCxnSpPr>
        <xdr:cNvPr id="978" name="Straight Connector 977"/>
        <xdr:cNvCxnSpPr/>
      </xdr:nvCxnSpPr>
      <xdr:spPr bwMode="auto">
        <a:xfrm>
          <a:off x="12172950" y="1333500"/>
          <a:ext cx="12382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323851</xdr:colOff>
      <xdr:row>8</xdr:row>
      <xdr:rowOff>9524</xdr:rowOff>
    </xdr:from>
    <xdr:to>
      <xdr:col>14</xdr:col>
      <xdr:colOff>600078</xdr:colOff>
      <xdr:row>8</xdr:row>
      <xdr:rowOff>152399</xdr:rowOff>
    </xdr:to>
    <xdr:cxnSp macro="">
      <xdr:nvCxnSpPr>
        <xdr:cNvPr id="981" name="Straight Connector 980"/>
        <xdr:cNvCxnSpPr/>
      </xdr:nvCxnSpPr>
      <xdr:spPr bwMode="auto">
        <a:xfrm rot="10800000" flipV="1">
          <a:off x="8220076" y="5781674"/>
          <a:ext cx="276227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409575</xdr:colOff>
      <xdr:row>8</xdr:row>
      <xdr:rowOff>161924</xdr:rowOff>
    </xdr:from>
    <xdr:to>
      <xdr:col>14</xdr:col>
      <xdr:colOff>333375</xdr:colOff>
      <xdr:row>9</xdr:row>
      <xdr:rowOff>9524</xdr:rowOff>
    </xdr:to>
    <xdr:cxnSp macro="">
      <xdr:nvCxnSpPr>
        <xdr:cNvPr id="983" name="Straight Connector 982"/>
        <xdr:cNvCxnSpPr/>
      </xdr:nvCxnSpPr>
      <xdr:spPr bwMode="auto">
        <a:xfrm rot="10800000" flipV="1">
          <a:off x="7696200" y="1495424"/>
          <a:ext cx="5334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257175</xdr:colOff>
      <xdr:row>8</xdr:row>
      <xdr:rowOff>28575</xdr:rowOff>
    </xdr:from>
    <xdr:to>
      <xdr:col>13</xdr:col>
      <xdr:colOff>409577</xdr:colOff>
      <xdr:row>9</xdr:row>
      <xdr:rowOff>9526</xdr:rowOff>
    </xdr:to>
    <xdr:cxnSp macro="">
      <xdr:nvCxnSpPr>
        <xdr:cNvPr id="985" name="Straight Connector 984"/>
        <xdr:cNvCxnSpPr/>
      </xdr:nvCxnSpPr>
      <xdr:spPr bwMode="auto">
        <a:xfrm rot="10800000">
          <a:off x="7543800" y="1362075"/>
          <a:ext cx="152402" cy="14287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295275</xdr:colOff>
      <xdr:row>8</xdr:row>
      <xdr:rowOff>9525</xdr:rowOff>
    </xdr:from>
    <xdr:to>
      <xdr:col>13</xdr:col>
      <xdr:colOff>257175</xdr:colOff>
      <xdr:row>8</xdr:row>
      <xdr:rowOff>11113</xdr:rowOff>
    </xdr:to>
    <xdr:cxnSp macro="">
      <xdr:nvCxnSpPr>
        <xdr:cNvPr id="987" name="Straight Connector 986"/>
        <xdr:cNvCxnSpPr/>
      </xdr:nvCxnSpPr>
      <xdr:spPr bwMode="auto">
        <a:xfrm rot="10800000">
          <a:off x="6372225" y="5781675"/>
          <a:ext cx="5715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</xdr:colOff>
      <xdr:row>13</xdr:row>
      <xdr:rowOff>0</xdr:rowOff>
    </xdr:from>
    <xdr:to>
      <xdr:col>23</xdr:col>
      <xdr:colOff>9526</xdr:colOff>
      <xdr:row>14</xdr:row>
      <xdr:rowOff>0</xdr:rowOff>
    </xdr:to>
    <xdr:cxnSp macro="">
      <xdr:nvCxnSpPr>
        <xdr:cNvPr id="1014" name="Straight Connector 1013"/>
        <xdr:cNvCxnSpPr/>
      </xdr:nvCxnSpPr>
      <xdr:spPr bwMode="auto">
        <a:xfrm rot="5400000">
          <a:off x="12706351" y="6657975"/>
          <a:ext cx="1619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</xdr:colOff>
      <xdr:row>6</xdr:row>
      <xdr:rowOff>2</xdr:rowOff>
    </xdr:from>
    <xdr:to>
      <xdr:col>23</xdr:col>
      <xdr:colOff>8733</xdr:colOff>
      <xdr:row>8</xdr:row>
      <xdr:rowOff>29367</xdr:rowOff>
    </xdr:to>
    <xdr:cxnSp macro="">
      <xdr:nvCxnSpPr>
        <xdr:cNvPr id="1017" name="Straight Connector 1016"/>
        <xdr:cNvCxnSpPr/>
      </xdr:nvCxnSpPr>
      <xdr:spPr bwMode="auto">
        <a:xfrm rot="16200000" flipH="1">
          <a:off x="13191334" y="1162844"/>
          <a:ext cx="391315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284956</xdr:colOff>
      <xdr:row>6</xdr:row>
      <xdr:rowOff>10319</xdr:rowOff>
    </xdr:from>
    <xdr:to>
      <xdr:col>12</xdr:col>
      <xdr:colOff>286544</xdr:colOff>
      <xdr:row>8</xdr:row>
      <xdr:rowOff>29369</xdr:rowOff>
    </xdr:to>
    <xdr:cxnSp macro="">
      <xdr:nvCxnSpPr>
        <xdr:cNvPr id="1020" name="Straight Connector 1019"/>
        <xdr:cNvCxnSpPr/>
      </xdr:nvCxnSpPr>
      <xdr:spPr bwMode="auto">
        <a:xfrm rot="5400000">
          <a:off x="6191250" y="562927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0</xdr:colOff>
      <xdr:row>20</xdr:row>
      <xdr:rowOff>0</xdr:rowOff>
    </xdr:from>
    <xdr:to>
      <xdr:col>20</xdr:col>
      <xdr:colOff>28575</xdr:colOff>
      <xdr:row>20</xdr:row>
      <xdr:rowOff>9525</xdr:rowOff>
    </xdr:to>
    <xdr:cxnSp macro="">
      <xdr:nvCxnSpPr>
        <xdr:cNvPr id="1022" name="Straight Connector 1021"/>
        <xdr:cNvCxnSpPr/>
      </xdr:nvCxnSpPr>
      <xdr:spPr bwMode="auto">
        <a:xfrm flipV="1">
          <a:off x="7905750" y="6581775"/>
          <a:ext cx="30765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323850</xdr:colOff>
      <xdr:row>18</xdr:row>
      <xdr:rowOff>142876</xdr:rowOff>
    </xdr:from>
    <xdr:to>
      <xdr:col>14</xdr:col>
      <xdr:colOff>600076</xdr:colOff>
      <xdr:row>20</xdr:row>
      <xdr:rowOff>1</xdr:rowOff>
    </xdr:to>
    <xdr:cxnSp macro="">
      <xdr:nvCxnSpPr>
        <xdr:cNvPr id="1023" name="Straight Connector 1022"/>
        <xdr:cNvCxnSpPr/>
      </xdr:nvCxnSpPr>
      <xdr:spPr bwMode="auto">
        <a:xfrm rot="10800000">
          <a:off x="7620000" y="6400801"/>
          <a:ext cx="276226" cy="1809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364332</xdr:colOff>
      <xdr:row>43</xdr:row>
      <xdr:rowOff>155561</xdr:rowOff>
    </xdr:from>
    <xdr:to>
      <xdr:col>23</xdr:col>
      <xdr:colOff>365920</xdr:colOff>
      <xdr:row>75</xdr:row>
      <xdr:rowOff>157179</xdr:rowOff>
    </xdr:to>
    <xdr:cxnSp macro="">
      <xdr:nvCxnSpPr>
        <xdr:cNvPr id="1024" name="Straight Connector 1023"/>
        <xdr:cNvCxnSpPr/>
      </xdr:nvCxnSpPr>
      <xdr:spPr bwMode="auto">
        <a:xfrm rot="5400000">
          <a:off x="11156142" y="9899651"/>
          <a:ext cx="5183218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9525</xdr:colOff>
      <xdr:row>21</xdr:row>
      <xdr:rowOff>0</xdr:rowOff>
    </xdr:from>
    <xdr:to>
      <xdr:col>20</xdr:col>
      <xdr:colOff>9525</xdr:colOff>
      <xdr:row>21</xdr:row>
      <xdr:rowOff>19050</xdr:rowOff>
    </xdr:to>
    <xdr:cxnSp macro="">
      <xdr:nvCxnSpPr>
        <xdr:cNvPr id="1028" name="Straight Connector 1027"/>
        <xdr:cNvCxnSpPr/>
      </xdr:nvCxnSpPr>
      <xdr:spPr bwMode="auto">
        <a:xfrm flipV="1">
          <a:off x="7915275" y="6743700"/>
          <a:ext cx="30480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333375</xdr:colOff>
      <xdr:row>21</xdr:row>
      <xdr:rowOff>19049</xdr:rowOff>
    </xdr:from>
    <xdr:to>
      <xdr:col>14</xdr:col>
      <xdr:colOff>600075</xdr:colOff>
      <xdr:row>21</xdr:row>
      <xdr:rowOff>161924</xdr:rowOff>
    </xdr:to>
    <xdr:cxnSp macro="">
      <xdr:nvCxnSpPr>
        <xdr:cNvPr id="1029" name="Straight Connector 1028"/>
        <xdr:cNvCxnSpPr/>
      </xdr:nvCxnSpPr>
      <xdr:spPr bwMode="auto">
        <a:xfrm rot="10800000" flipV="1">
          <a:off x="7629525" y="6762749"/>
          <a:ext cx="266700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0</xdr:colOff>
      <xdr:row>19</xdr:row>
      <xdr:rowOff>9525</xdr:rowOff>
    </xdr:from>
    <xdr:to>
      <xdr:col>20</xdr:col>
      <xdr:colOff>285750</xdr:colOff>
      <xdr:row>20</xdr:row>
      <xdr:rowOff>9526</xdr:rowOff>
    </xdr:to>
    <xdr:cxnSp macro="">
      <xdr:nvCxnSpPr>
        <xdr:cNvPr id="1033" name="Straight Connector 1032"/>
        <xdr:cNvCxnSpPr/>
      </xdr:nvCxnSpPr>
      <xdr:spPr bwMode="auto">
        <a:xfrm flipV="1">
          <a:off x="10953750" y="6429375"/>
          <a:ext cx="285750" cy="1619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19</xdr:col>
      <xdr:colOff>600075</xdr:colOff>
      <xdr:row>21</xdr:row>
      <xdr:rowOff>9524</xdr:rowOff>
    </xdr:from>
    <xdr:to>
      <xdr:col>20</xdr:col>
      <xdr:colOff>257175</xdr:colOff>
      <xdr:row>22</xdr:row>
      <xdr:rowOff>19050</xdr:rowOff>
    </xdr:to>
    <xdr:cxnSp macro="">
      <xdr:nvCxnSpPr>
        <xdr:cNvPr id="1034" name="Straight Connector 1033"/>
        <xdr:cNvCxnSpPr/>
      </xdr:nvCxnSpPr>
      <xdr:spPr bwMode="auto">
        <a:xfrm>
          <a:off x="10944225" y="6753224"/>
          <a:ext cx="266700" cy="17145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276225</xdr:colOff>
      <xdr:row>22</xdr:row>
      <xdr:rowOff>9525</xdr:rowOff>
    </xdr:from>
    <xdr:to>
      <xdr:col>20</xdr:col>
      <xdr:colOff>600075</xdr:colOff>
      <xdr:row>22</xdr:row>
      <xdr:rowOff>11113</xdr:rowOff>
    </xdr:to>
    <xdr:cxnSp macro="">
      <xdr:nvCxnSpPr>
        <xdr:cNvPr id="1035" name="Straight Connector 1034"/>
        <xdr:cNvCxnSpPr/>
      </xdr:nvCxnSpPr>
      <xdr:spPr bwMode="auto">
        <a:xfrm>
          <a:off x="11830050" y="3686175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276225</xdr:colOff>
      <xdr:row>19</xdr:row>
      <xdr:rowOff>0</xdr:rowOff>
    </xdr:from>
    <xdr:to>
      <xdr:col>21</xdr:col>
      <xdr:colOff>9525</xdr:colOff>
      <xdr:row>19</xdr:row>
      <xdr:rowOff>1588</xdr:rowOff>
    </xdr:to>
    <xdr:cxnSp macro="">
      <xdr:nvCxnSpPr>
        <xdr:cNvPr id="1036" name="Straight Connector 1035"/>
        <xdr:cNvCxnSpPr/>
      </xdr:nvCxnSpPr>
      <xdr:spPr bwMode="auto">
        <a:xfrm>
          <a:off x="11830050" y="319087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19050</xdr:colOff>
      <xdr:row>19</xdr:row>
      <xdr:rowOff>152400</xdr:rowOff>
    </xdr:from>
    <xdr:to>
      <xdr:col>23</xdr:col>
      <xdr:colOff>0</xdr:colOff>
      <xdr:row>19</xdr:row>
      <xdr:rowOff>153988</xdr:rowOff>
    </xdr:to>
    <xdr:cxnSp macro="">
      <xdr:nvCxnSpPr>
        <xdr:cNvPr id="1037" name="Straight Connector 1036"/>
        <xdr:cNvCxnSpPr/>
      </xdr:nvCxnSpPr>
      <xdr:spPr bwMode="auto">
        <a:xfrm>
          <a:off x="11582400" y="6572250"/>
          <a:ext cx="12001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600075</xdr:colOff>
      <xdr:row>21</xdr:row>
      <xdr:rowOff>9525</xdr:rowOff>
    </xdr:from>
    <xdr:to>
      <xdr:col>23</xdr:col>
      <xdr:colOff>0</xdr:colOff>
      <xdr:row>21</xdr:row>
      <xdr:rowOff>9526</xdr:rowOff>
    </xdr:to>
    <xdr:cxnSp macro="">
      <xdr:nvCxnSpPr>
        <xdr:cNvPr id="1038" name="Straight Connector 1037"/>
        <xdr:cNvCxnSpPr/>
      </xdr:nvCxnSpPr>
      <xdr:spPr bwMode="auto">
        <a:xfrm flipV="1">
          <a:off x="11553825" y="6753225"/>
          <a:ext cx="122872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</xdr:colOff>
      <xdr:row>20</xdr:row>
      <xdr:rowOff>0</xdr:rowOff>
    </xdr:from>
    <xdr:to>
      <xdr:col>23</xdr:col>
      <xdr:colOff>9526</xdr:colOff>
      <xdr:row>21</xdr:row>
      <xdr:rowOff>0</xdr:rowOff>
    </xdr:to>
    <xdr:cxnSp macro="">
      <xdr:nvCxnSpPr>
        <xdr:cNvPr id="1040" name="Straight Connector 1039"/>
        <xdr:cNvCxnSpPr/>
      </xdr:nvCxnSpPr>
      <xdr:spPr bwMode="auto">
        <a:xfrm rot="5400000">
          <a:off x="12706351" y="6657975"/>
          <a:ext cx="1619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0</xdr:colOff>
      <xdr:row>28</xdr:row>
      <xdr:rowOff>0</xdr:rowOff>
    </xdr:from>
    <xdr:to>
      <xdr:col>20</xdr:col>
      <xdr:colOff>28575</xdr:colOff>
      <xdr:row>28</xdr:row>
      <xdr:rowOff>9525</xdr:rowOff>
    </xdr:to>
    <xdr:cxnSp macro="">
      <xdr:nvCxnSpPr>
        <xdr:cNvPr id="1041" name="Straight Connector 1040"/>
        <xdr:cNvCxnSpPr/>
      </xdr:nvCxnSpPr>
      <xdr:spPr bwMode="auto">
        <a:xfrm flipV="1">
          <a:off x="7905750" y="6581775"/>
          <a:ext cx="30765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323850</xdr:colOff>
      <xdr:row>26</xdr:row>
      <xdr:rowOff>142876</xdr:rowOff>
    </xdr:from>
    <xdr:to>
      <xdr:col>14</xdr:col>
      <xdr:colOff>600076</xdr:colOff>
      <xdr:row>28</xdr:row>
      <xdr:rowOff>1</xdr:rowOff>
    </xdr:to>
    <xdr:cxnSp macro="">
      <xdr:nvCxnSpPr>
        <xdr:cNvPr id="1042" name="Straight Connector 1041"/>
        <xdr:cNvCxnSpPr/>
      </xdr:nvCxnSpPr>
      <xdr:spPr bwMode="auto">
        <a:xfrm rot="10800000">
          <a:off x="7620000" y="6400801"/>
          <a:ext cx="276226" cy="1809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9525</xdr:colOff>
      <xdr:row>29</xdr:row>
      <xdr:rowOff>0</xdr:rowOff>
    </xdr:from>
    <xdr:to>
      <xdr:col>20</xdr:col>
      <xdr:colOff>9525</xdr:colOff>
      <xdr:row>29</xdr:row>
      <xdr:rowOff>19050</xdr:rowOff>
    </xdr:to>
    <xdr:cxnSp macro="">
      <xdr:nvCxnSpPr>
        <xdr:cNvPr id="1047" name="Straight Connector 1046"/>
        <xdr:cNvCxnSpPr/>
      </xdr:nvCxnSpPr>
      <xdr:spPr bwMode="auto">
        <a:xfrm flipV="1">
          <a:off x="7915275" y="6743700"/>
          <a:ext cx="30480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333375</xdr:colOff>
      <xdr:row>29</xdr:row>
      <xdr:rowOff>19049</xdr:rowOff>
    </xdr:from>
    <xdr:to>
      <xdr:col>14</xdr:col>
      <xdr:colOff>600075</xdr:colOff>
      <xdr:row>29</xdr:row>
      <xdr:rowOff>161924</xdr:rowOff>
    </xdr:to>
    <xdr:cxnSp macro="">
      <xdr:nvCxnSpPr>
        <xdr:cNvPr id="1048" name="Straight Connector 1047"/>
        <xdr:cNvCxnSpPr/>
      </xdr:nvCxnSpPr>
      <xdr:spPr bwMode="auto">
        <a:xfrm rot="10800000" flipV="1">
          <a:off x="7629525" y="6762749"/>
          <a:ext cx="266700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0</xdr:colOff>
      <xdr:row>27</xdr:row>
      <xdr:rowOff>9525</xdr:rowOff>
    </xdr:from>
    <xdr:to>
      <xdr:col>20</xdr:col>
      <xdr:colOff>285750</xdr:colOff>
      <xdr:row>28</xdr:row>
      <xdr:rowOff>9526</xdr:rowOff>
    </xdr:to>
    <xdr:cxnSp macro="">
      <xdr:nvCxnSpPr>
        <xdr:cNvPr id="1052" name="Straight Connector 1051"/>
        <xdr:cNvCxnSpPr/>
      </xdr:nvCxnSpPr>
      <xdr:spPr bwMode="auto">
        <a:xfrm flipV="1">
          <a:off x="10953750" y="6429375"/>
          <a:ext cx="285750" cy="1619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19</xdr:col>
      <xdr:colOff>600075</xdr:colOff>
      <xdr:row>29</xdr:row>
      <xdr:rowOff>9524</xdr:rowOff>
    </xdr:from>
    <xdr:to>
      <xdr:col>20</xdr:col>
      <xdr:colOff>257175</xdr:colOff>
      <xdr:row>30</xdr:row>
      <xdr:rowOff>19050</xdr:rowOff>
    </xdr:to>
    <xdr:cxnSp macro="">
      <xdr:nvCxnSpPr>
        <xdr:cNvPr id="1053" name="Straight Connector 1052"/>
        <xdr:cNvCxnSpPr/>
      </xdr:nvCxnSpPr>
      <xdr:spPr bwMode="auto">
        <a:xfrm>
          <a:off x="10944225" y="6753224"/>
          <a:ext cx="266700" cy="17145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257175</xdr:colOff>
      <xdr:row>30</xdr:row>
      <xdr:rowOff>9526</xdr:rowOff>
    </xdr:from>
    <xdr:to>
      <xdr:col>20</xdr:col>
      <xdr:colOff>581025</xdr:colOff>
      <xdr:row>30</xdr:row>
      <xdr:rowOff>19050</xdr:rowOff>
    </xdr:to>
    <xdr:cxnSp macro="">
      <xdr:nvCxnSpPr>
        <xdr:cNvPr id="1054" name="Straight Connector 1053"/>
        <xdr:cNvCxnSpPr/>
      </xdr:nvCxnSpPr>
      <xdr:spPr bwMode="auto">
        <a:xfrm flipV="1">
          <a:off x="11811000" y="4981576"/>
          <a:ext cx="323850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276225</xdr:colOff>
      <xdr:row>27</xdr:row>
      <xdr:rowOff>19050</xdr:rowOff>
    </xdr:from>
    <xdr:to>
      <xdr:col>21</xdr:col>
      <xdr:colOff>9525</xdr:colOff>
      <xdr:row>27</xdr:row>
      <xdr:rowOff>20638</xdr:rowOff>
    </xdr:to>
    <xdr:cxnSp macro="">
      <xdr:nvCxnSpPr>
        <xdr:cNvPr id="1055" name="Straight Connector 1054"/>
        <xdr:cNvCxnSpPr/>
      </xdr:nvCxnSpPr>
      <xdr:spPr bwMode="auto">
        <a:xfrm>
          <a:off x="11229975" y="64389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19050</xdr:colOff>
      <xdr:row>27</xdr:row>
      <xdr:rowOff>152400</xdr:rowOff>
    </xdr:from>
    <xdr:to>
      <xdr:col>23</xdr:col>
      <xdr:colOff>0</xdr:colOff>
      <xdr:row>27</xdr:row>
      <xdr:rowOff>153988</xdr:rowOff>
    </xdr:to>
    <xdr:cxnSp macro="">
      <xdr:nvCxnSpPr>
        <xdr:cNvPr id="1056" name="Straight Connector 1055"/>
        <xdr:cNvCxnSpPr/>
      </xdr:nvCxnSpPr>
      <xdr:spPr bwMode="auto">
        <a:xfrm>
          <a:off x="11582400" y="6572250"/>
          <a:ext cx="12001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600075</xdr:colOff>
      <xdr:row>29</xdr:row>
      <xdr:rowOff>9525</xdr:rowOff>
    </xdr:from>
    <xdr:to>
      <xdr:col>23</xdr:col>
      <xdr:colOff>0</xdr:colOff>
      <xdr:row>29</xdr:row>
      <xdr:rowOff>9526</xdr:rowOff>
    </xdr:to>
    <xdr:cxnSp macro="">
      <xdr:nvCxnSpPr>
        <xdr:cNvPr id="1057" name="Straight Connector 1056"/>
        <xdr:cNvCxnSpPr/>
      </xdr:nvCxnSpPr>
      <xdr:spPr bwMode="auto">
        <a:xfrm flipV="1">
          <a:off x="11553825" y="6753225"/>
          <a:ext cx="122872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</xdr:colOff>
      <xdr:row>28</xdr:row>
      <xdr:rowOff>0</xdr:rowOff>
    </xdr:from>
    <xdr:to>
      <xdr:col>23</xdr:col>
      <xdr:colOff>9526</xdr:colOff>
      <xdr:row>29</xdr:row>
      <xdr:rowOff>0</xdr:rowOff>
    </xdr:to>
    <xdr:cxnSp macro="">
      <xdr:nvCxnSpPr>
        <xdr:cNvPr id="1059" name="Straight Connector 1058"/>
        <xdr:cNvCxnSpPr/>
      </xdr:nvCxnSpPr>
      <xdr:spPr bwMode="auto">
        <a:xfrm rot="5400000">
          <a:off x="12706351" y="6657975"/>
          <a:ext cx="1619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304800</xdr:colOff>
      <xdr:row>37</xdr:row>
      <xdr:rowOff>0</xdr:rowOff>
    </xdr:from>
    <xdr:to>
      <xdr:col>23</xdr:col>
      <xdr:colOff>9525</xdr:colOff>
      <xdr:row>37</xdr:row>
      <xdr:rowOff>19050</xdr:rowOff>
    </xdr:to>
    <xdr:cxnSp macro="">
      <xdr:nvCxnSpPr>
        <xdr:cNvPr id="1060" name="Straight Connector 1059"/>
        <xdr:cNvCxnSpPr/>
      </xdr:nvCxnSpPr>
      <xdr:spPr bwMode="auto">
        <a:xfrm>
          <a:off x="6981825" y="10467975"/>
          <a:ext cx="641032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600075</xdr:colOff>
      <xdr:row>35</xdr:row>
      <xdr:rowOff>1</xdr:rowOff>
    </xdr:from>
    <xdr:to>
      <xdr:col>20</xdr:col>
      <xdr:colOff>0</xdr:colOff>
      <xdr:row>35</xdr:row>
      <xdr:rowOff>19050</xdr:rowOff>
    </xdr:to>
    <xdr:cxnSp macro="">
      <xdr:nvCxnSpPr>
        <xdr:cNvPr id="1061" name="Straight Arrow Connector 1060"/>
        <xdr:cNvCxnSpPr/>
      </xdr:nvCxnSpPr>
      <xdr:spPr bwMode="auto">
        <a:xfrm flipV="1">
          <a:off x="7896225" y="10144126"/>
          <a:ext cx="3057525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19</xdr:col>
      <xdr:colOff>600075</xdr:colOff>
      <xdr:row>33</xdr:row>
      <xdr:rowOff>152400</xdr:rowOff>
    </xdr:from>
    <xdr:to>
      <xdr:col>20</xdr:col>
      <xdr:colOff>276225</xdr:colOff>
      <xdr:row>35</xdr:row>
      <xdr:rowOff>0</xdr:rowOff>
    </xdr:to>
    <xdr:cxnSp macro="">
      <xdr:nvCxnSpPr>
        <xdr:cNvPr id="1062" name="Straight Connector 1061"/>
        <xdr:cNvCxnSpPr/>
      </xdr:nvCxnSpPr>
      <xdr:spPr bwMode="auto">
        <a:xfrm flipV="1">
          <a:off x="10944225" y="9972675"/>
          <a:ext cx="285750" cy="1714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295275</xdr:colOff>
      <xdr:row>34</xdr:row>
      <xdr:rowOff>0</xdr:rowOff>
    </xdr:from>
    <xdr:to>
      <xdr:col>21</xdr:col>
      <xdr:colOff>9525</xdr:colOff>
      <xdr:row>34</xdr:row>
      <xdr:rowOff>1588</xdr:rowOff>
    </xdr:to>
    <xdr:cxnSp macro="">
      <xdr:nvCxnSpPr>
        <xdr:cNvPr id="1063" name="Straight Connector 1062"/>
        <xdr:cNvCxnSpPr/>
      </xdr:nvCxnSpPr>
      <xdr:spPr bwMode="auto">
        <a:xfrm>
          <a:off x="11249025" y="9982200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0</xdr:colOff>
      <xdr:row>35</xdr:row>
      <xdr:rowOff>9525</xdr:rowOff>
    </xdr:from>
    <xdr:to>
      <xdr:col>23</xdr:col>
      <xdr:colOff>19050</xdr:colOff>
      <xdr:row>35</xdr:row>
      <xdr:rowOff>11113</xdr:rowOff>
    </xdr:to>
    <xdr:cxnSp macro="">
      <xdr:nvCxnSpPr>
        <xdr:cNvPr id="1064" name="Straight Connector 1063"/>
        <xdr:cNvCxnSpPr/>
      </xdr:nvCxnSpPr>
      <xdr:spPr bwMode="auto">
        <a:xfrm>
          <a:off x="11563350" y="10153650"/>
          <a:ext cx="12382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333376</xdr:colOff>
      <xdr:row>34</xdr:row>
      <xdr:rowOff>1</xdr:rowOff>
    </xdr:from>
    <xdr:to>
      <xdr:col>15</xdr:col>
      <xdr:colOff>3</xdr:colOff>
      <xdr:row>35</xdr:row>
      <xdr:rowOff>38103</xdr:rowOff>
    </xdr:to>
    <xdr:cxnSp macro="">
      <xdr:nvCxnSpPr>
        <xdr:cNvPr id="1065" name="Straight Connector 1064"/>
        <xdr:cNvCxnSpPr/>
      </xdr:nvCxnSpPr>
      <xdr:spPr bwMode="auto">
        <a:xfrm rot="10800000">
          <a:off x="7629526" y="9982201"/>
          <a:ext cx="276227" cy="20002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371475</xdr:colOff>
      <xdr:row>34</xdr:row>
      <xdr:rowOff>1</xdr:rowOff>
    </xdr:from>
    <xdr:to>
      <xdr:col>14</xdr:col>
      <xdr:colOff>352425</xdr:colOff>
      <xdr:row>34</xdr:row>
      <xdr:rowOff>9526</xdr:rowOff>
    </xdr:to>
    <xdr:cxnSp macro="">
      <xdr:nvCxnSpPr>
        <xdr:cNvPr id="1066" name="Straight Connector 1065"/>
        <xdr:cNvCxnSpPr/>
      </xdr:nvCxnSpPr>
      <xdr:spPr bwMode="auto">
        <a:xfrm rot="10800000">
          <a:off x="7058025" y="9982201"/>
          <a:ext cx="5905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257177</xdr:colOff>
      <xdr:row>34</xdr:row>
      <xdr:rowOff>3</xdr:rowOff>
    </xdr:from>
    <xdr:to>
      <xdr:col>13</xdr:col>
      <xdr:colOff>371476</xdr:colOff>
      <xdr:row>35</xdr:row>
      <xdr:rowOff>1</xdr:rowOff>
    </xdr:to>
    <xdr:cxnSp macro="">
      <xdr:nvCxnSpPr>
        <xdr:cNvPr id="1067" name="Straight Connector 1066"/>
        <xdr:cNvCxnSpPr/>
      </xdr:nvCxnSpPr>
      <xdr:spPr bwMode="auto">
        <a:xfrm rot="5400000">
          <a:off x="7519990" y="5643565"/>
          <a:ext cx="161923" cy="11429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295275</xdr:colOff>
      <xdr:row>35</xdr:row>
      <xdr:rowOff>0</xdr:rowOff>
    </xdr:from>
    <xdr:to>
      <xdr:col>13</xdr:col>
      <xdr:colOff>257175</xdr:colOff>
      <xdr:row>35</xdr:row>
      <xdr:rowOff>1588</xdr:rowOff>
    </xdr:to>
    <xdr:cxnSp macro="">
      <xdr:nvCxnSpPr>
        <xdr:cNvPr id="1068" name="Straight Connector 1067"/>
        <xdr:cNvCxnSpPr/>
      </xdr:nvCxnSpPr>
      <xdr:spPr bwMode="auto">
        <a:xfrm rot="10800000">
          <a:off x="6372225" y="10144125"/>
          <a:ext cx="5715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8732</xdr:colOff>
      <xdr:row>35</xdr:row>
      <xdr:rowOff>793</xdr:rowOff>
    </xdr:from>
    <xdr:to>
      <xdr:col>23</xdr:col>
      <xdr:colOff>10320</xdr:colOff>
      <xdr:row>37</xdr:row>
      <xdr:rowOff>29368</xdr:rowOff>
    </xdr:to>
    <xdr:cxnSp macro="">
      <xdr:nvCxnSpPr>
        <xdr:cNvPr id="1069" name="Straight Connector 1068"/>
        <xdr:cNvCxnSpPr/>
      </xdr:nvCxnSpPr>
      <xdr:spPr bwMode="auto">
        <a:xfrm rot="5400000">
          <a:off x="12615863" y="5624512"/>
          <a:ext cx="352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284956</xdr:colOff>
      <xdr:row>35</xdr:row>
      <xdr:rowOff>10319</xdr:rowOff>
    </xdr:from>
    <xdr:to>
      <xdr:col>12</xdr:col>
      <xdr:colOff>286544</xdr:colOff>
      <xdr:row>37</xdr:row>
      <xdr:rowOff>29369</xdr:rowOff>
    </xdr:to>
    <xdr:cxnSp macro="">
      <xdr:nvCxnSpPr>
        <xdr:cNvPr id="1070" name="Straight Connector 1069"/>
        <xdr:cNvCxnSpPr/>
      </xdr:nvCxnSpPr>
      <xdr:spPr bwMode="auto">
        <a:xfrm rot="5400000">
          <a:off x="6191250" y="562927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600075</xdr:colOff>
      <xdr:row>8</xdr:row>
      <xdr:rowOff>4</xdr:rowOff>
    </xdr:from>
    <xdr:to>
      <xdr:col>21</xdr:col>
      <xdr:colOff>1</xdr:colOff>
      <xdr:row>35</xdr:row>
      <xdr:rowOff>3</xdr:rowOff>
    </xdr:to>
    <xdr:cxnSp macro="">
      <xdr:nvCxnSpPr>
        <xdr:cNvPr id="1084" name="Straight Connector 1083"/>
        <xdr:cNvCxnSpPr/>
      </xdr:nvCxnSpPr>
      <xdr:spPr bwMode="auto">
        <a:xfrm rot="5400000">
          <a:off x="9934576" y="3552828"/>
          <a:ext cx="4448174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76200</xdr:colOff>
      <xdr:row>5</xdr:row>
      <xdr:rowOff>142875</xdr:rowOff>
    </xdr:from>
    <xdr:to>
      <xdr:col>23</xdr:col>
      <xdr:colOff>419100</xdr:colOff>
      <xdr:row>5</xdr:row>
      <xdr:rowOff>144463</xdr:rowOff>
    </xdr:to>
    <xdr:cxnSp macro="">
      <xdr:nvCxnSpPr>
        <xdr:cNvPr id="1086" name="Straight Connector 1085"/>
        <xdr:cNvCxnSpPr/>
      </xdr:nvCxnSpPr>
      <xdr:spPr bwMode="auto">
        <a:xfrm>
          <a:off x="12858750" y="542925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76200</xdr:colOff>
      <xdr:row>8</xdr:row>
      <xdr:rowOff>19050</xdr:rowOff>
    </xdr:from>
    <xdr:to>
      <xdr:col>23</xdr:col>
      <xdr:colOff>419100</xdr:colOff>
      <xdr:row>8</xdr:row>
      <xdr:rowOff>20638</xdr:rowOff>
    </xdr:to>
    <xdr:cxnSp macro="">
      <xdr:nvCxnSpPr>
        <xdr:cNvPr id="1087" name="Straight Connector 1086"/>
        <xdr:cNvCxnSpPr/>
      </xdr:nvCxnSpPr>
      <xdr:spPr bwMode="auto">
        <a:xfrm>
          <a:off x="12858750" y="57912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85725</xdr:colOff>
      <xdr:row>13</xdr:row>
      <xdr:rowOff>0</xdr:rowOff>
    </xdr:from>
    <xdr:to>
      <xdr:col>23</xdr:col>
      <xdr:colOff>428625</xdr:colOff>
      <xdr:row>13</xdr:row>
      <xdr:rowOff>1588</xdr:rowOff>
    </xdr:to>
    <xdr:cxnSp macro="">
      <xdr:nvCxnSpPr>
        <xdr:cNvPr id="1088" name="Straight Connector 1087"/>
        <xdr:cNvCxnSpPr/>
      </xdr:nvCxnSpPr>
      <xdr:spPr bwMode="auto">
        <a:xfrm>
          <a:off x="12868275" y="658177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47625</xdr:colOff>
      <xdr:row>14</xdr:row>
      <xdr:rowOff>9525</xdr:rowOff>
    </xdr:from>
    <xdr:to>
      <xdr:col>23</xdr:col>
      <xdr:colOff>390525</xdr:colOff>
      <xdr:row>14</xdr:row>
      <xdr:rowOff>11113</xdr:rowOff>
    </xdr:to>
    <xdr:cxnSp macro="">
      <xdr:nvCxnSpPr>
        <xdr:cNvPr id="1089" name="Straight Connector 1088"/>
        <xdr:cNvCxnSpPr/>
      </xdr:nvCxnSpPr>
      <xdr:spPr bwMode="auto">
        <a:xfrm>
          <a:off x="12830175" y="67532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66675</xdr:colOff>
      <xdr:row>19</xdr:row>
      <xdr:rowOff>142875</xdr:rowOff>
    </xdr:from>
    <xdr:to>
      <xdr:col>23</xdr:col>
      <xdr:colOff>409575</xdr:colOff>
      <xdr:row>19</xdr:row>
      <xdr:rowOff>144463</xdr:rowOff>
    </xdr:to>
    <xdr:cxnSp macro="">
      <xdr:nvCxnSpPr>
        <xdr:cNvPr id="1090" name="Straight Connector 1089"/>
        <xdr:cNvCxnSpPr/>
      </xdr:nvCxnSpPr>
      <xdr:spPr bwMode="auto">
        <a:xfrm>
          <a:off x="12849225" y="76962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104775</xdr:colOff>
      <xdr:row>29</xdr:row>
      <xdr:rowOff>0</xdr:rowOff>
    </xdr:from>
    <xdr:to>
      <xdr:col>23</xdr:col>
      <xdr:colOff>447675</xdr:colOff>
      <xdr:row>29</xdr:row>
      <xdr:rowOff>1588</xdr:rowOff>
    </xdr:to>
    <xdr:cxnSp macro="">
      <xdr:nvCxnSpPr>
        <xdr:cNvPr id="1091" name="Straight Connector 1090"/>
        <xdr:cNvCxnSpPr/>
      </xdr:nvCxnSpPr>
      <xdr:spPr bwMode="auto">
        <a:xfrm>
          <a:off x="12887325" y="917257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66675</xdr:colOff>
      <xdr:row>28</xdr:row>
      <xdr:rowOff>19050</xdr:rowOff>
    </xdr:from>
    <xdr:to>
      <xdr:col>23</xdr:col>
      <xdr:colOff>409575</xdr:colOff>
      <xdr:row>28</xdr:row>
      <xdr:rowOff>20638</xdr:rowOff>
    </xdr:to>
    <xdr:cxnSp macro="">
      <xdr:nvCxnSpPr>
        <xdr:cNvPr id="1092" name="Straight Connector 1091"/>
        <xdr:cNvCxnSpPr/>
      </xdr:nvCxnSpPr>
      <xdr:spPr bwMode="auto">
        <a:xfrm>
          <a:off x="12849225" y="90297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85725</xdr:colOff>
      <xdr:row>35</xdr:row>
      <xdr:rowOff>0</xdr:rowOff>
    </xdr:from>
    <xdr:to>
      <xdr:col>23</xdr:col>
      <xdr:colOff>428625</xdr:colOff>
      <xdr:row>35</xdr:row>
      <xdr:rowOff>1588</xdr:rowOff>
    </xdr:to>
    <xdr:cxnSp macro="">
      <xdr:nvCxnSpPr>
        <xdr:cNvPr id="1093" name="Straight Connector 1092"/>
        <xdr:cNvCxnSpPr/>
      </xdr:nvCxnSpPr>
      <xdr:spPr bwMode="auto">
        <a:xfrm>
          <a:off x="12868275" y="101441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95250</xdr:colOff>
      <xdr:row>37</xdr:row>
      <xdr:rowOff>9525</xdr:rowOff>
    </xdr:from>
    <xdr:to>
      <xdr:col>23</xdr:col>
      <xdr:colOff>438150</xdr:colOff>
      <xdr:row>37</xdr:row>
      <xdr:rowOff>11113</xdr:rowOff>
    </xdr:to>
    <xdr:cxnSp macro="">
      <xdr:nvCxnSpPr>
        <xdr:cNvPr id="1094" name="Straight Connector 1093"/>
        <xdr:cNvCxnSpPr/>
      </xdr:nvCxnSpPr>
      <xdr:spPr bwMode="auto">
        <a:xfrm>
          <a:off x="12877800" y="104775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76200</xdr:colOff>
      <xdr:row>21</xdr:row>
      <xdr:rowOff>0</xdr:rowOff>
    </xdr:from>
    <xdr:to>
      <xdr:col>23</xdr:col>
      <xdr:colOff>419100</xdr:colOff>
      <xdr:row>21</xdr:row>
      <xdr:rowOff>1588</xdr:rowOff>
    </xdr:to>
    <xdr:cxnSp macro="">
      <xdr:nvCxnSpPr>
        <xdr:cNvPr id="1095" name="Straight Connector 1094"/>
        <xdr:cNvCxnSpPr/>
      </xdr:nvCxnSpPr>
      <xdr:spPr bwMode="auto">
        <a:xfrm>
          <a:off x="12858750" y="787717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76200</xdr:colOff>
      <xdr:row>5</xdr:row>
      <xdr:rowOff>142875</xdr:rowOff>
    </xdr:from>
    <xdr:to>
      <xdr:col>11</xdr:col>
      <xdr:colOff>419100</xdr:colOff>
      <xdr:row>5</xdr:row>
      <xdr:rowOff>144463</xdr:rowOff>
    </xdr:to>
    <xdr:cxnSp macro="">
      <xdr:nvCxnSpPr>
        <xdr:cNvPr id="1101" name="Straight Connector 1100"/>
        <xdr:cNvCxnSpPr/>
      </xdr:nvCxnSpPr>
      <xdr:spPr bwMode="auto">
        <a:xfrm>
          <a:off x="13458825" y="542925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76200</xdr:colOff>
      <xdr:row>8</xdr:row>
      <xdr:rowOff>19050</xdr:rowOff>
    </xdr:from>
    <xdr:to>
      <xdr:col>11</xdr:col>
      <xdr:colOff>419100</xdr:colOff>
      <xdr:row>8</xdr:row>
      <xdr:rowOff>20638</xdr:rowOff>
    </xdr:to>
    <xdr:cxnSp macro="">
      <xdr:nvCxnSpPr>
        <xdr:cNvPr id="1102" name="Straight Connector 1101"/>
        <xdr:cNvCxnSpPr/>
      </xdr:nvCxnSpPr>
      <xdr:spPr bwMode="auto">
        <a:xfrm>
          <a:off x="13458825" y="57912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57150</xdr:colOff>
      <xdr:row>12</xdr:row>
      <xdr:rowOff>19050</xdr:rowOff>
    </xdr:from>
    <xdr:to>
      <xdr:col>11</xdr:col>
      <xdr:colOff>400050</xdr:colOff>
      <xdr:row>12</xdr:row>
      <xdr:rowOff>20638</xdr:rowOff>
    </xdr:to>
    <xdr:cxnSp macro="">
      <xdr:nvCxnSpPr>
        <xdr:cNvPr id="1103" name="Straight Connector 1102"/>
        <xdr:cNvCxnSpPr/>
      </xdr:nvCxnSpPr>
      <xdr:spPr bwMode="auto">
        <a:xfrm>
          <a:off x="6134100" y="64389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38100</xdr:colOff>
      <xdr:row>15</xdr:row>
      <xdr:rowOff>19050</xdr:rowOff>
    </xdr:from>
    <xdr:to>
      <xdr:col>11</xdr:col>
      <xdr:colOff>381000</xdr:colOff>
      <xdr:row>15</xdr:row>
      <xdr:rowOff>20638</xdr:rowOff>
    </xdr:to>
    <xdr:cxnSp macro="">
      <xdr:nvCxnSpPr>
        <xdr:cNvPr id="1104" name="Straight Connector 1103"/>
        <xdr:cNvCxnSpPr/>
      </xdr:nvCxnSpPr>
      <xdr:spPr bwMode="auto">
        <a:xfrm>
          <a:off x="6115050" y="692467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57150</xdr:colOff>
      <xdr:row>19</xdr:row>
      <xdr:rowOff>0</xdr:rowOff>
    </xdr:from>
    <xdr:to>
      <xdr:col>11</xdr:col>
      <xdr:colOff>400050</xdr:colOff>
      <xdr:row>19</xdr:row>
      <xdr:rowOff>1588</xdr:rowOff>
    </xdr:to>
    <xdr:cxnSp macro="">
      <xdr:nvCxnSpPr>
        <xdr:cNvPr id="1105" name="Straight Connector 1104"/>
        <xdr:cNvCxnSpPr/>
      </xdr:nvCxnSpPr>
      <xdr:spPr bwMode="auto">
        <a:xfrm>
          <a:off x="6134100" y="75533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114300</xdr:colOff>
      <xdr:row>30</xdr:row>
      <xdr:rowOff>9525</xdr:rowOff>
    </xdr:from>
    <xdr:to>
      <xdr:col>11</xdr:col>
      <xdr:colOff>457200</xdr:colOff>
      <xdr:row>30</xdr:row>
      <xdr:rowOff>11113</xdr:rowOff>
    </xdr:to>
    <xdr:cxnSp macro="">
      <xdr:nvCxnSpPr>
        <xdr:cNvPr id="1106" name="Straight Connector 1105"/>
        <xdr:cNvCxnSpPr/>
      </xdr:nvCxnSpPr>
      <xdr:spPr bwMode="auto">
        <a:xfrm>
          <a:off x="6191250" y="93440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66675</xdr:colOff>
      <xdr:row>27</xdr:row>
      <xdr:rowOff>19050</xdr:rowOff>
    </xdr:from>
    <xdr:to>
      <xdr:col>11</xdr:col>
      <xdr:colOff>409575</xdr:colOff>
      <xdr:row>27</xdr:row>
      <xdr:rowOff>20638</xdr:rowOff>
    </xdr:to>
    <xdr:cxnSp macro="">
      <xdr:nvCxnSpPr>
        <xdr:cNvPr id="1107" name="Straight Connector 1106"/>
        <xdr:cNvCxnSpPr/>
      </xdr:nvCxnSpPr>
      <xdr:spPr bwMode="auto">
        <a:xfrm>
          <a:off x="6143625" y="886777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85725</xdr:colOff>
      <xdr:row>35</xdr:row>
      <xdr:rowOff>0</xdr:rowOff>
    </xdr:from>
    <xdr:to>
      <xdr:col>11</xdr:col>
      <xdr:colOff>428625</xdr:colOff>
      <xdr:row>35</xdr:row>
      <xdr:rowOff>1588</xdr:rowOff>
    </xdr:to>
    <xdr:cxnSp macro="">
      <xdr:nvCxnSpPr>
        <xdr:cNvPr id="1108" name="Straight Connector 1107"/>
        <xdr:cNvCxnSpPr/>
      </xdr:nvCxnSpPr>
      <xdr:spPr bwMode="auto">
        <a:xfrm>
          <a:off x="13468350" y="101441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95250</xdr:colOff>
      <xdr:row>37</xdr:row>
      <xdr:rowOff>9525</xdr:rowOff>
    </xdr:from>
    <xdr:to>
      <xdr:col>11</xdr:col>
      <xdr:colOff>438150</xdr:colOff>
      <xdr:row>37</xdr:row>
      <xdr:rowOff>11113</xdr:rowOff>
    </xdr:to>
    <xdr:cxnSp macro="">
      <xdr:nvCxnSpPr>
        <xdr:cNvPr id="1109" name="Straight Connector 1108"/>
        <xdr:cNvCxnSpPr/>
      </xdr:nvCxnSpPr>
      <xdr:spPr bwMode="auto">
        <a:xfrm>
          <a:off x="13477875" y="104775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57150</xdr:colOff>
      <xdr:row>22</xdr:row>
      <xdr:rowOff>0</xdr:rowOff>
    </xdr:from>
    <xdr:to>
      <xdr:col>11</xdr:col>
      <xdr:colOff>400050</xdr:colOff>
      <xdr:row>22</xdr:row>
      <xdr:rowOff>1588</xdr:rowOff>
    </xdr:to>
    <xdr:cxnSp macro="">
      <xdr:nvCxnSpPr>
        <xdr:cNvPr id="1110" name="Straight Connector 1109"/>
        <xdr:cNvCxnSpPr/>
      </xdr:nvCxnSpPr>
      <xdr:spPr bwMode="auto">
        <a:xfrm>
          <a:off x="6134100" y="80391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16</xdr:col>
      <xdr:colOff>276225</xdr:colOff>
      <xdr:row>8</xdr:row>
      <xdr:rowOff>47627</xdr:rowOff>
    </xdr:from>
    <xdr:to>
      <xdr:col>16</xdr:col>
      <xdr:colOff>285750</xdr:colOff>
      <xdr:row>13</xdr:row>
      <xdr:rowOff>19052</xdr:rowOff>
    </xdr:to>
    <xdr:cxnSp macro="">
      <xdr:nvCxnSpPr>
        <xdr:cNvPr id="1112" name="Straight Arrow Connector 1111"/>
        <xdr:cNvCxnSpPr/>
      </xdr:nvCxnSpPr>
      <xdr:spPr bwMode="auto">
        <a:xfrm rot="5400000">
          <a:off x="9005888" y="6205539"/>
          <a:ext cx="7810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16</xdr:col>
      <xdr:colOff>276225</xdr:colOff>
      <xdr:row>14</xdr:row>
      <xdr:rowOff>47628</xdr:rowOff>
    </xdr:from>
    <xdr:to>
      <xdr:col>16</xdr:col>
      <xdr:colOff>276227</xdr:colOff>
      <xdr:row>20</xdr:row>
      <xdr:rowOff>9528</xdr:rowOff>
    </xdr:to>
    <xdr:cxnSp macro="">
      <xdr:nvCxnSpPr>
        <xdr:cNvPr id="1113" name="Straight Arrow Connector 1112"/>
        <xdr:cNvCxnSpPr/>
      </xdr:nvCxnSpPr>
      <xdr:spPr bwMode="auto">
        <a:xfrm rot="5400000">
          <a:off x="8924926" y="2895602"/>
          <a:ext cx="9334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16</xdr:col>
      <xdr:colOff>252466</xdr:colOff>
      <xdr:row>21</xdr:row>
      <xdr:rowOff>19053</xdr:rowOff>
    </xdr:from>
    <xdr:to>
      <xdr:col>16</xdr:col>
      <xdr:colOff>261992</xdr:colOff>
      <xdr:row>28</xdr:row>
      <xdr:rowOff>19054</xdr:rowOff>
    </xdr:to>
    <xdr:cxnSp macro="">
      <xdr:nvCxnSpPr>
        <xdr:cNvPr id="1114" name="Straight Arrow Connector 1113"/>
        <xdr:cNvCxnSpPr/>
      </xdr:nvCxnSpPr>
      <xdr:spPr bwMode="auto">
        <a:xfrm rot="5400000">
          <a:off x="8824377" y="10176075"/>
          <a:ext cx="1123737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16</xdr:col>
      <xdr:colOff>285749</xdr:colOff>
      <xdr:row>29</xdr:row>
      <xdr:rowOff>38103</xdr:rowOff>
    </xdr:from>
    <xdr:to>
      <xdr:col>16</xdr:col>
      <xdr:colOff>285750</xdr:colOff>
      <xdr:row>35</xdr:row>
      <xdr:rowOff>47631</xdr:rowOff>
    </xdr:to>
    <xdr:cxnSp macro="">
      <xdr:nvCxnSpPr>
        <xdr:cNvPr id="1115" name="Straight Arrow Connector 1114"/>
        <xdr:cNvCxnSpPr/>
      </xdr:nvCxnSpPr>
      <xdr:spPr bwMode="auto">
        <a:xfrm rot="16200000" flipH="1">
          <a:off x="8910636" y="5338766"/>
          <a:ext cx="981078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17</xdr:col>
      <xdr:colOff>247651</xdr:colOff>
      <xdr:row>6</xdr:row>
      <xdr:rowOff>1</xdr:rowOff>
    </xdr:from>
    <xdr:to>
      <xdr:col>17</xdr:col>
      <xdr:colOff>247652</xdr:colOff>
      <xdr:row>8</xdr:row>
      <xdr:rowOff>9528</xdr:rowOff>
    </xdr:to>
    <xdr:cxnSp macro="">
      <xdr:nvCxnSpPr>
        <xdr:cNvPr id="728" name="Straight Arrow Connector 727"/>
        <xdr:cNvCxnSpPr/>
      </xdr:nvCxnSpPr>
      <xdr:spPr bwMode="auto">
        <a:xfrm rot="5400000">
          <a:off x="9786938" y="1157289"/>
          <a:ext cx="371477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17</xdr:col>
      <xdr:colOff>257176</xdr:colOff>
      <xdr:row>35</xdr:row>
      <xdr:rowOff>19050</xdr:rowOff>
    </xdr:from>
    <xdr:to>
      <xdr:col>17</xdr:col>
      <xdr:colOff>266701</xdr:colOff>
      <xdr:row>37</xdr:row>
      <xdr:rowOff>19053</xdr:rowOff>
    </xdr:to>
    <xdr:cxnSp macro="">
      <xdr:nvCxnSpPr>
        <xdr:cNvPr id="730" name="Straight Arrow Connector 729"/>
        <xdr:cNvCxnSpPr/>
      </xdr:nvCxnSpPr>
      <xdr:spPr bwMode="auto">
        <a:xfrm rot="5400000">
          <a:off x="9825037" y="5957889"/>
          <a:ext cx="323853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12</xdr:col>
      <xdr:colOff>184668</xdr:colOff>
      <xdr:row>44</xdr:row>
      <xdr:rowOff>1588</xdr:rowOff>
    </xdr:from>
    <xdr:to>
      <xdr:col>22</xdr:col>
      <xdr:colOff>600075</xdr:colOff>
      <xdr:row>44</xdr:row>
      <xdr:rowOff>9719</xdr:rowOff>
    </xdr:to>
    <xdr:cxnSp macro="">
      <xdr:nvCxnSpPr>
        <xdr:cNvPr id="707" name="Straight Connector 706"/>
        <xdr:cNvCxnSpPr/>
      </xdr:nvCxnSpPr>
      <xdr:spPr bwMode="auto">
        <a:xfrm flipV="1">
          <a:off x="6891046" y="7388323"/>
          <a:ext cx="6538621" cy="81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0</xdr:colOff>
      <xdr:row>51</xdr:row>
      <xdr:rowOff>0</xdr:rowOff>
    </xdr:from>
    <xdr:to>
      <xdr:col>20</xdr:col>
      <xdr:colOff>28575</xdr:colOff>
      <xdr:row>51</xdr:row>
      <xdr:rowOff>9525</xdr:rowOff>
    </xdr:to>
    <xdr:cxnSp macro="">
      <xdr:nvCxnSpPr>
        <xdr:cNvPr id="708" name="Straight Connector 707"/>
        <xdr:cNvCxnSpPr/>
      </xdr:nvCxnSpPr>
      <xdr:spPr bwMode="auto">
        <a:xfrm flipV="1">
          <a:off x="8505825" y="2219325"/>
          <a:ext cx="30765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304578</xdr:colOff>
      <xdr:row>49</xdr:row>
      <xdr:rowOff>177210</xdr:rowOff>
    </xdr:from>
    <xdr:to>
      <xdr:col>14</xdr:col>
      <xdr:colOff>600078</xdr:colOff>
      <xdr:row>51</xdr:row>
      <xdr:rowOff>5</xdr:rowOff>
    </xdr:to>
    <xdr:cxnSp macro="">
      <xdr:nvCxnSpPr>
        <xdr:cNvPr id="709" name="Straight Connector 708"/>
        <xdr:cNvCxnSpPr/>
      </xdr:nvCxnSpPr>
      <xdr:spPr bwMode="auto">
        <a:xfrm rot="10800000">
          <a:off x="8190392" y="2381251"/>
          <a:ext cx="295500" cy="18275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9525</xdr:colOff>
      <xdr:row>52</xdr:row>
      <xdr:rowOff>0</xdr:rowOff>
    </xdr:from>
    <xdr:to>
      <xdr:col>20</xdr:col>
      <xdr:colOff>9525</xdr:colOff>
      <xdr:row>52</xdr:row>
      <xdr:rowOff>19050</xdr:rowOff>
    </xdr:to>
    <xdr:cxnSp macro="">
      <xdr:nvCxnSpPr>
        <xdr:cNvPr id="715" name="Straight Connector 714"/>
        <xdr:cNvCxnSpPr/>
      </xdr:nvCxnSpPr>
      <xdr:spPr bwMode="auto">
        <a:xfrm flipV="1">
          <a:off x="8515350" y="2381250"/>
          <a:ext cx="30480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352425</xdr:colOff>
      <xdr:row>52</xdr:row>
      <xdr:rowOff>19049</xdr:rowOff>
    </xdr:from>
    <xdr:to>
      <xdr:col>14</xdr:col>
      <xdr:colOff>600075</xdr:colOff>
      <xdr:row>53</xdr:row>
      <xdr:rowOff>19050</xdr:rowOff>
    </xdr:to>
    <xdr:cxnSp macro="">
      <xdr:nvCxnSpPr>
        <xdr:cNvPr id="717" name="Straight Connector 716"/>
        <xdr:cNvCxnSpPr/>
      </xdr:nvCxnSpPr>
      <xdr:spPr bwMode="auto">
        <a:xfrm rot="10800000" flipV="1">
          <a:off x="8248650" y="2800349"/>
          <a:ext cx="247650" cy="2000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266704</xdr:colOff>
      <xdr:row>47</xdr:row>
      <xdr:rowOff>1</xdr:rowOff>
    </xdr:from>
    <xdr:to>
      <xdr:col>20</xdr:col>
      <xdr:colOff>285753</xdr:colOff>
      <xdr:row>71</xdr:row>
      <xdr:rowOff>152402</xdr:rowOff>
    </xdr:to>
    <xdr:cxnSp macro="">
      <xdr:nvCxnSpPr>
        <xdr:cNvPr id="721" name="Straight Connector 720"/>
        <xdr:cNvCxnSpPr/>
      </xdr:nvCxnSpPr>
      <xdr:spPr bwMode="auto">
        <a:xfrm rot="16200000" flipH="1">
          <a:off x="9810753" y="9734552"/>
          <a:ext cx="4038601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0</xdr:colOff>
      <xdr:row>50</xdr:row>
      <xdr:rowOff>9525</xdr:rowOff>
    </xdr:from>
    <xdr:to>
      <xdr:col>20</xdr:col>
      <xdr:colOff>285750</xdr:colOff>
      <xdr:row>51</xdr:row>
      <xdr:rowOff>9526</xdr:rowOff>
    </xdr:to>
    <xdr:cxnSp macro="">
      <xdr:nvCxnSpPr>
        <xdr:cNvPr id="722" name="Straight Connector 721"/>
        <xdr:cNvCxnSpPr/>
      </xdr:nvCxnSpPr>
      <xdr:spPr bwMode="auto">
        <a:xfrm flipV="1">
          <a:off x="11553825" y="2028825"/>
          <a:ext cx="285750" cy="2000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19</xdr:col>
      <xdr:colOff>600075</xdr:colOff>
      <xdr:row>52</xdr:row>
      <xdr:rowOff>9524</xdr:rowOff>
    </xdr:from>
    <xdr:to>
      <xdr:col>20</xdr:col>
      <xdr:colOff>257175</xdr:colOff>
      <xdr:row>53</xdr:row>
      <xdr:rowOff>19050</xdr:rowOff>
    </xdr:to>
    <xdr:cxnSp macro="">
      <xdr:nvCxnSpPr>
        <xdr:cNvPr id="723" name="Straight Connector 722"/>
        <xdr:cNvCxnSpPr/>
      </xdr:nvCxnSpPr>
      <xdr:spPr bwMode="auto">
        <a:xfrm>
          <a:off x="11544300" y="2390774"/>
          <a:ext cx="266700" cy="17145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285750</xdr:colOff>
      <xdr:row>50</xdr:row>
      <xdr:rowOff>0</xdr:rowOff>
    </xdr:from>
    <xdr:to>
      <xdr:col>22</xdr:col>
      <xdr:colOff>476250</xdr:colOff>
      <xdr:row>50</xdr:row>
      <xdr:rowOff>9720</xdr:rowOff>
    </xdr:to>
    <xdr:cxnSp macro="">
      <xdr:nvCxnSpPr>
        <xdr:cNvPr id="726" name="Straight Connector 725"/>
        <xdr:cNvCxnSpPr>
          <a:endCxn id="912" idx="0"/>
        </xdr:cNvCxnSpPr>
      </xdr:nvCxnSpPr>
      <xdr:spPr bwMode="auto">
        <a:xfrm>
          <a:off x="11890699" y="8378112"/>
          <a:ext cx="1415143" cy="972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285750</xdr:colOff>
      <xdr:row>53</xdr:row>
      <xdr:rowOff>28575</xdr:rowOff>
    </xdr:from>
    <xdr:to>
      <xdr:col>22</xdr:col>
      <xdr:colOff>476250</xdr:colOff>
      <xdr:row>53</xdr:row>
      <xdr:rowOff>29937</xdr:rowOff>
    </xdr:to>
    <xdr:cxnSp macro="">
      <xdr:nvCxnSpPr>
        <xdr:cNvPr id="727" name="Straight Connector 726"/>
        <xdr:cNvCxnSpPr>
          <a:endCxn id="912" idx="2"/>
        </xdr:cNvCxnSpPr>
      </xdr:nvCxnSpPr>
      <xdr:spPr bwMode="auto">
        <a:xfrm>
          <a:off x="11890699" y="8902376"/>
          <a:ext cx="1415143" cy="136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600075</xdr:colOff>
      <xdr:row>46</xdr:row>
      <xdr:rowOff>0</xdr:rowOff>
    </xdr:from>
    <xdr:to>
      <xdr:col>19</xdr:col>
      <xdr:colOff>590550</xdr:colOff>
      <xdr:row>46</xdr:row>
      <xdr:rowOff>11113</xdr:rowOff>
    </xdr:to>
    <xdr:cxnSp macro="">
      <xdr:nvCxnSpPr>
        <xdr:cNvPr id="729" name="Straight Arrow Connector 728"/>
        <xdr:cNvCxnSpPr/>
      </xdr:nvCxnSpPr>
      <xdr:spPr bwMode="auto">
        <a:xfrm>
          <a:off x="8496300" y="1333500"/>
          <a:ext cx="3038475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19</xdr:col>
      <xdr:colOff>600075</xdr:colOff>
      <xdr:row>46</xdr:row>
      <xdr:rowOff>0</xdr:rowOff>
    </xdr:from>
    <xdr:to>
      <xdr:col>20</xdr:col>
      <xdr:colOff>257175</xdr:colOff>
      <xdr:row>46</xdr:row>
      <xdr:rowOff>152400</xdr:rowOff>
    </xdr:to>
    <xdr:cxnSp macro="">
      <xdr:nvCxnSpPr>
        <xdr:cNvPr id="738" name="Straight Connector 737"/>
        <xdr:cNvCxnSpPr/>
      </xdr:nvCxnSpPr>
      <xdr:spPr bwMode="auto">
        <a:xfrm>
          <a:off x="11544300" y="1333500"/>
          <a:ext cx="266700" cy="1524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590550</xdr:colOff>
      <xdr:row>46</xdr:row>
      <xdr:rowOff>152400</xdr:rowOff>
    </xdr:from>
    <xdr:to>
      <xdr:col>14</xdr:col>
      <xdr:colOff>304800</xdr:colOff>
      <xdr:row>46</xdr:row>
      <xdr:rowOff>153988</xdr:rowOff>
    </xdr:to>
    <xdr:cxnSp macro="">
      <xdr:nvCxnSpPr>
        <xdr:cNvPr id="741" name="Straight Connector 740"/>
        <xdr:cNvCxnSpPr/>
      </xdr:nvCxnSpPr>
      <xdr:spPr bwMode="auto">
        <a:xfrm>
          <a:off x="7877175" y="7715250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381000</xdr:colOff>
      <xdr:row>45</xdr:row>
      <xdr:rowOff>133350</xdr:rowOff>
    </xdr:from>
    <xdr:to>
      <xdr:col>23</xdr:col>
      <xdr:colOff>28575</xdr:colOff>
      <xdr:row>45</xdr:row>
      <xdr:rowOff>144463</xdr:rowOff>
    </xdr:to>
    <xdr:cxnSp macro="">
      <xdr:nvCxnSpPr>
        <xdr:cNvPr id="743" name="Straight Connector 742"/>
        <xdr:cNvCxnSpPr/>
      </xdr:nvCxnSpPr>
      <xdr:spPr bwMode="auto">
        <a:xfrm>
          <a:off x="12544425" y="7534275"/>
          <a:ext cx="866775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323851</xdr:colOff>
      <xdr:row>46</xdr:row>
      <xdr:rowOff>9524</xdr:rowOff>
    </xdr:from>
    <xdr:to>
      <xdr:col>14</xdr:col>
      <xdr:colOff>600078</xdr:colOff>
      <xdr:row>46</xdr:row>
      <xdr:rowOff>152399</xdr:rowOff>
    </xdr:to>
    <xdr:cxnSp macro="">
      <xdr:nvCxnSpPr>
        <xdr:cNvPr id="745" name="Straight Connector 744"/>
        <xdr:cNvCxnSpPr/>
      </xdr:nvCxnSpPr>
      <xdr:spPr bwMode="auto">
        <a:xfrm rot="10800000" flipV="1">
          <a:off x="8220076" y="1343024"/>
          <a:ext cx="276227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276226</xdr:colOff>
      <xdr:row>46</xdr:row>
      <xdr:rowOff>142875</xdr:rowOff>
    </xdr:from>
    <xdr:to>
      <xdr:col>21</xdr:col>
      <xdr:colOff>209551</xdr:colOff>
      <xdr:row>46</xdr:row>
      <xdr:rowOff>152399</xdr:rowOff>
    </xdr:to>
    <xdr:cxnSp macro="">
      <xdr:nvCxnSpPr>
        <xdr:cNvPr id="746" name="Straight Connector 745"/>
        <xdr:cNvCxnSpPr/>
      </xdr:nvCxnSpPr>
      <xdr:spPr bwMode="auto">
        <a:xfrm rot="10800000" flipV="1">
          <a:off x="11830051" y="7705725"/>
          <a:ext cx="542925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200027</xdr:colOff>
      <xdr:row>45</xdr:row>
      <xdr:rowOff>142875</xdr:rowOff>
    </xdr:from>
    <xdr:to>
      <xdr:col>21</xdr:col>
      <xdr:colOff>390525</xdr:colOff>
      <xdr:row>46</xdr:row>
      <xdr:rowOff>142874</xdr:rowOff>
    </xdr:to>
    <xdr:cxnSp macro="">
      <xdr:nvCxnSpPr>
        <xdr:cNvPr id="747" name="Straight Connector 746"/>
        <xdr:cNvCxnSpPr/>
      </xdr:nvCxnSpPr>
      <xdr:spPr bwMode="auto">
        <a:xfrm rot="10800000" flipV="1">
          <a:off x="12363452" y="7543800"/>
          <a:ext cx="190498" cy="1619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194387</xdr:colOff>
      <xdr:row>46</xdr:row>
      <xdr:rowOff>153988</xdr:rowOff>
    </xdr:from>
    <xdr:to>
      <xdr:col>13</xdr:col>
      <xdr:colOff>581026</xdr:colOff>
      <xdr:row>46</xdr:row>
      <xdr:rowOff>155510</xdr:rowOff>
    </xdr:to>
    <xdr:cxnSp macro="">
      <xdr:nvCxnSpPr>
        <xdr:cNvPr id="749" name="Straight Connector 748"/>
        <xdr:cNvCxnSpPr/>
      </xdr:nvCxnSpPr>
      <xdr:spPr bwMode="auto">
        <a:xfrm rot="10800000" flipV="1">
          <a:off x="6900765" y="7871182"/>
          <a:ext cx="998960" cy="152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</xdr:colOff>
      <xdr:row>44</xdr:row>
      <xdr:rowOff>2</xdr:rowOff>
    </xdr:from>
    <xdr:to>
      <xdr:col>23</xdr:col>
      <xdr:colOff>8733</xdr:colOff>
      <xdr:row>46</xdr:row>
      <xdr:rowOff>29367</xdr:rowOff>
    </xdr:to>
    <xdr:cxnSp macro="">
      <xdr:nvCxnSpPr>
        <xdr:cNvPr id="755" name="Straight Connector 754"/>
        <xdr:cNvCxnSpPr/>
      </xdr:nvCxnSpPr>
      <xdr:spPr bwMode="auto">
        <a:xfrm rot="16200000" flipH="1">
          <a:off x="13191334" y="1162844"/>
          <a:ext cx="391315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184668</xdr:colOff>
      <xdr:row>44</xdr:row>
      <xdr:rowOff>4</xdr:rowOff>
    </xdr:from>
    <xdr:to>
      <xdr:col>12</xdr:col>
      <xdr:colOff>188945</xdr:colOff>
      <xdr:row>46</xdr:row>
      <xdr:rowOff>155511</xdr:rowOff>
    </xdr:to>
    <xdr:cxnSp macro="">
      <xdr:nvCxnSpPr>
        <xdr:cNvPr id="757" name="Straight Connector 756"/>
        <xdr:cNvCxnSpPr/>
      </xdr:nvCxnSpPr>
      <xdr:spPr bwMode="auto">
        <a:xfrm rot="16200000" flipH="1">
          <a:off x="6650202" y="7627583"/>
          <a:ext cx="485966" cy="427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0</xdr:colOff>
      <xdr:row>58</xdr:row>
      <xdr:rowOff>0</xdr:rowOff>
    </xdr:from>
    <xdr:to>
      <xdr:col>20</xdr:col>
      <xdr:colOff>28575</xdr:colOff>
      <xdr:row>58</xdr:row>
      <xdr:rowOff>9525</xdr:rowOff>
    </xdr:to>
    <xdr:cxnSp macro="">
      <xdr:nvCxnSpPr>
        <xdr:cNvPr id="759" name="Straight Connector 758"/>
        <xdr:cNvCxnSpPr/>
      </xdr:nvCxnSpPr>
      <xdr:spPr bwMode="auto">
        <a:xfrm flipV="1">
          <a:off x="8505825" y="3352800"/>
          <a:ext cx="30765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323850</xdr:colOff>
      <xdr:row>56</xdr:row>
      <xdr:rowOff>142876</xdr:rowOff>
    </xdr:from>
    <xdr:to>
      <xdr:col>14</xdr:col>
      <xdr:colOff>600076</xdr:colOff>
      <xdr:row>58</xdr:row>
      <xdr:rowOff>1</xdr:rowOff>
    </xdr:to>
    <xdr:cxnSp macro="">
      <xdr:nvCxnSpPr>
        <xdr:cNvPr id="760" name="Straight Connector 759"/>
        <xdr:cNvCxnSpPr/>
      </xdr:nvCxnSpPr>
      <xdr:spPr bwMode="auto">
        <a:xfrm rot="10800000">
          <a:off x="8220075" y="3171826"/>
          <a:ext cx="276226" cy="1809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369337</xdr:colOff>
      <xdr:row>56</xdr:row>
      <xdr:rowOff>142873</xdr:rowOff>
    </xdr:from>
    <xdr:to>
      <xdr:col>14</xdr:col>
      <xdr:colOff>314328</xdr:colOff>
      <xdr:row>56</xdr:row>
      <xdr:rowOff>165228</xdr:rowOff>
    </xdr:to>
    <xdr:cxnSp macro="">
      <xdr:nvCxnSpPr>
        <xdr:cNvPr id="761" name="Straight Connector 760"/>
        <xdr:cNvCxnSpPr/>
      </xdr:nvCxnSpPr>
      <xdr:spPr bwMode="auto">
        <a:xfrm rot="10800000" flipV="1">
          <a:off x="7075715" y="9512363"/>
          <a:ext cx="1169633" cy="223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9525</xdr:colOff>
      <xdr:row>59</xdr:row>
      <xdr:rowOff>0</xdr:rowOff>
    </xdr:from>
    <xdr:to>
      <xdr:col>20</xdr:col>
      <xdr:colOff>9525</xdr:colOff>
      <xdr:row>59</xdr:row>
      <xdr:rowOff>19050</xdr:rowOff>
    </xdr:to>
    <xdr:cxnSp macro="">
      <xdr:nvCxnSpPr>
        <xdr:cNvPr id="764" name="Straight Connector 763"/>
        <xdr:cNvCxnSpPr/>
      </xdr:nvCxnSpPr>
      <xdr:spPr bwMode="auto">
        <a:xfrm flipV="1">
          <a:off x="8515350" y="3514725"/>
          <a:ext cx="30480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333375</xdr:colOff>
      <xdr:row>59</xdr:row>
      <xdr:rowOff>19049</xdr:rowOff>
    </xdr:from>
    <xdr:to>
      <xdr:col>14</xdr:col>
      <xdr:colOff>600075</xdr:colOff>
      <xdr:row>59</xdr:row>
      <xdr:rowOff>161924</xdr:rowOff>
    </xdr:to>
    <xdr:cxnSp macro="">
      <xdr:nvCxnSpPr>
        <xdr:cNvPr id="765" name="Straight Connector 764"/>
        <xdr:cNvCxnSpPr/>
      </xdr:nvCxnSpPr>
      <xdr:spPr bwMode="auto">
        <a:xfrm rot="10800000" flipV="1">
          <a:off x="8229600" y="3533774"/>
          <a:ext cx="266700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456811</xdr:colOff>
      <xdr:row>59</xdr:row>
      <xdr:rowOff>161922</xdr:rowOff>
    </xdr:from>
    <xdr:to>
      <xdr:col>14</xdr:col>
      <xdr:colOff>333377</xdr:colOff>
      <xdr:row>60</xdr:row>
      <xdr:rowOff>19438</xdr:rowOff>
    </xdr:to>
    <xdr:cxnSp macro="">
      <xdr:nvCxnSpPr>
        <xdr:cNvPr id="767" name="Straight Connector 766"/>
        <xdr:cNvCxnSpPr>
          <a:endCxn id="916" idx="2"/>
        </xdr:cNvCxnSpPr>
      </xdr:nvCxnSpPr>
      <xdr:spPr bwMode="auto">
        <a:xfrm rot="10800000" flipV="1">
          <a:off x="7163189" y="10027101"/>
          <a:ext cx="1101208" cy="2274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0</xdr:colOff>
      <xdr:row>56</xdr:row>
      <xdr:rowOff>155510</xdr:rowOff>
    </xdr:from>
    <xdr:to>
      <xdr:col>20</xdr:col>
      <xdr:colOff>281862</xdr:colOff>
      <xdr:row>58</xdr:row>
      <xdr:rowOff>9527</xdr:rowOff>
    </xdr:to>
    <xdr:cxnSp macro="">
      <xdr:nvCxnSpPr>
        <xdr:cNvPr id="803" name="Straight Connector 802"/>
        <xdr:cNvCxnSpPr/>
      </xdr:nvCxnSpPr>
      <xdr:spPr bwMode="auto">
        <a:xfrm flipV="1">
          <a:off x="11604949" y="9525000"/>
          <a:ext cx="281862" cy="18447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7193</xdr:colOff>
      <xdr:row>58</xdr:row>
      <xdr:rowOff>165034</xdr:rowOff>
    </xdr:from>
    <xdr:to>
      <xdr:col>20</xdr:col>
      <xdr:colOff>276614</xdr:colOff>
      <xdr:row>60</xdr:row>
      <xdr:rowOff>9330</xdr:rowOff>
    </xdr:to>
    <xdr:cxnSp macro="">
      <xdr:nvCxnSpPr>
        <xdr:cNvPr id="804" name="Straight Connector 803"/>
        <xdr:cNvCxnSpPr/>
      </xdr:nvCxnSpPr>
      <xdr:spPr bwMode="auto">
        <a:xfrm>
          <a:off x="11612142" y="9864983"/>
          <a:ext cx="269421" cy="1747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0</xdr:colOff>
      <xdr:row>66</xdr:row>
      <xdr:rowOff>0</xdr:rowOff>
    </xdr:from>
    <xdr:to>
      <xdr:col>20</xdr:col>
      <xdr:colOff>28575</xdr:colOff>
      <xdr:row>66</xdr:row>
      <xdr:rowOff>9525</xdr:rowOff>
    </xdr:to>
    <xdr:cxnSp macro="">
      <xdr:nvCxnSpPr>
        <xdr:cNvPr id="831" name="Straight Connector 830"/>
        <xdr:cNvCxnSpPr/>
      </xdr:nvCxnSpPr>
      <xdr:spPr bwMode="auto">
        <a:xfrm flipV="1">
          <a:off x="8505825" y="4648200"/>
          <a:ext cx="30765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323850</xdr:colOff>
      <xdr:row>64</xdr:row>
      <xdr:rowOff>142876</xdr:rowOff>
    </xdr:from>
    <xdr:to>
      <xdr:col>14</xdr:col>
      <xdr:colOff>600076</xdr:colOff>
      <xdr:row>66</xdr:row>
      <xdr:rowOff>1</xdr:rowOff>
    </xdr:to>
    <xdr:cxnSp macro="">
      <xdr:nvCxnSpPr>
        <xdr:cNvPr id="834" name="Straight Connector 833"/>
        <xdr:cNvCxnSpPr/>
      </xdr:nvCxnSpPr>
      <xdr:spPr bwMode="auto">
        <a:xfrm rot="10800000">
          <a:off x="8220075" y="4467226"/>
          <a:ext cx="276226" cy="1809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9525</xdr:colOff>
      <xdr:row>67</xdr:row>
      <xdr:rowOff>0</xdr:rowOff>
    </xdr:from>
    <xdr:to>
      <xdr:col>20</xdr:col>
      <xdr:colOff>9525</xdr:colOff>
      <xdr:row>67</xdr:row>
      <xdr:rowOff>19050</xdr:rowOff>
    </xdr:to>
    <xdr:cxnSp macro="">
      <xdr:nvCxnSpPr>
        <xdr:cNvPr id="838" name="Straight Connector 837"/>
        <xdr:cNvCxnSpPr/>
      </xdr:nvCxnSpPr>
      <xdr:spPr bwMode="auto">
        <a:xfrm flipV="1">
          <a:off x="8515350" y="4810125"/>
          <a:ext cx="30480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333375</xdr:colOff>
      <xdr:row>67</xdr:row>
      <xdr:rowOff>19049</xdr:rowOff>
    </xdr:from>
    <xdr:to>
      <xdr:col>14</xdr:col>
      <xdr:colOff>600075</xdr:colOff>
      <xdr:row>67</xdr:row>
      <xdr:rowOff>161924</xdr:rowOff>
    </xdr:to>
    <xdr:cxnSp macro="">
      <xdr:nvCxnSpPr>
        <xdr:cNvPr id="839" name="Straight Connector 838"/>
        <xdr:cNvCxnSpPr/>
      </xdr:nvCxnSpPr>
      <xdr:spPr bwMode="auto">
        <a:xfrm rot="10800000" flipV="1">
          <a:off x="8229600" y="4829174"/>
          <a:ext cx="266700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0</xdr:colOff>
      <xdr:row>65</xdr:row>
      <xdr:rowOff>9525</xdr:rowOff>
    </xdr:from>
    <xdr:to>
      <xdr:col>20</xdr:col>
      <xdr:colOff>285750</xdr:colOff>
      <xdr:row>66</xdr:row>
      <xdr:rowOff>9526</xdr:rowOff>
    </xdr:to>
    <xdr:cxnSp macro="">
      <xdr:nvCxnSpPr>
        <xdr:cNvPr id="841" name="Straight Connector 840"/>
        <xdr:cNvCxnSpPr/>
      </xdr:nvCxnSpPr>
      <xdr:spPr bwMode="auto">
        <a:xfrm flipV="1">
          <a:off x="11553825" y="4495800"/>
          <a:ext cx="285750" cy="1619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19</xdr:col>
      <xdr:colOff>600075</xdr:colOff>
      <xdr:row>67</xdr:row>
      <xdr:rowOff>9524</xdr:rowOff>
    </xdr:from>
    <xdr:to>
      <xdr:col>20</xdr:col>
      <xdr:colOff>257175</xdr:colOff>
      <xdr:row>68</xdr:row>
      <xdr:rowOff>19050</xdr:rowOff>
    </xdr:to>
    <xdr:cxnSp macro="">
      <xdr:nvCxnSpPr>
        <xdr:cNvPr id="842" name="Straight Connector 841"/>
        <xdr:cNvCxnSpPr/>
      </xdr:nvCxnSpPr>
      <xdr:spPr bwMode="auto">
        <a:xfrm>
          <a:off x="11544300" y="4819649"/>
          <a:ext cx="266700" cy="17145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155510</xdr:colOff>
      <xdr:row>75</xdr:row>
      <xdr:rowOff>0</xdr:rowOff>
    </xdr:from>
    <xdr:to>
      <xdr:col>23</xdr:col>
      <xdr:colOff>9525</xdr:colOff>
      <xdr:row>75</xdr:row>
      <xdr:rowOff>19050</xdr:rowOff>
    </xdr:to>
    <xdr:cxnSp macro="">
      <xdr:nvCxnSpPr>
        <xdr:cNvPr id="849" name="Straight Connector 848"/>
        <xdr:cNvCxnSpPr/>
      </xdr:nvCxnSpPr>
      <xdr:spPr bwMode="auto">
        <a:xfrm>
          <a:off x="6861888" y="12508852"/>
          <a:ext cx="658955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600075</xdr:colOff>
      <xdr:row>73</xdr:row>
      <xdr:rowOff>1</xdr:rowOff>
    </xdr:from>
    <xdr:to>
      <xdr:col>20</xdr:col>
      <xdr:colOff>0</xdr:colOff>
      <xdr:row>73</xdr:row>
      <xdr:rowOff>19050</xdr:rowOff>
    </xdr:to>
    <xdr:cxnSp macro="">
      <xdr:nvCxnSpPr>
        <xdr:cNvPr id="850" name="Straight Arrow Connector 849"/>
        <xdr:cNvCxnSpPr/>
      </xdr:nvCxnSpPr>
      <xdr:spPr bwMode="auto">
        <a:xfrm flipV="1">
          <a:off x="8496300" y="5781676"/>
          <a:ext cx="3057525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19</xdr:col>
      <xdr:colOff>600075</xdr:colOff>
      <xdr:row>71</xdr:row>
      <xdr:rowOff>152400</xdr:rowOff>
    </xdr:from>
    <xdr:to>
      <xdr:col>20</xdr:col>
      <xdr:colOff>276225</xdr:colOff>
      <xdr:row>73</xdr:row>
      <xdr:rowOff>0</xdr:rowOff>
    </xdr:to>
    <xdr:cxnSp macro="">
      <xdr:nvCxnSpPr>
        <xdr:cNvPr id="851" name="Straight Connector 850"/>
        <xdr:cNvCxnSpPr/>
      </xdr:nvCxnSpPr>
      <xdr:spPr bwMode="auto">
        <a:xfrm flipV="1">
          <a:off x="11544300" y="5610225"/>
          <a:ext cx="285750" cy="1714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9525</xdr:colOff>
      <xdr:row>72</xdr:row>
      <xdr:rowOff>9525</xdr:rowOff>
    </xdr:from>
    <xdr:to>
      <xdr:col>14</xdr:col>
      <xdr:colOff>333375</xdr:colOff>
      <xdr:row>72</xdr:row>
      <xdr:rowOff>11113</xdr:rowOff>
    </xdr:to>
    <xdr:cxnSp macro="">
      <xdr:nvCxnSpPr>
        <xdr:cNvPr id="852" name="Straight Connector 851"/>
        <xdr:cNvCxnSpPr/>
      </xdr:nvCxnSpPr>
      <xdr:spPr bwMode="auto">
        <a:xfrm>
          <a:off x="7905750" y="11782425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457200</xdr:colOff>
      <xdr:row>73</xdr:row>
      <xdr:rowOff>9525</xdr:rowOff>
    </xdr:from>
    <xdr:to>
      <xdr:col>23</xdr:col>
      <xdr:colOff>19050</xdr:colOff>
      <xdr:row>73</xdr:row>
      <xdr:rowOff>11113</xdr:rowOff>
    </xdr:to>
    <xdr:cxnSp macro="">
      <xdr:nvCxnSpPr>
        <xdr:cNvPr id="853" name="Straight Connector 852"/>
        <xdr:cNvCxnSpPr/>
      </xdr:nvCxnSpPr>
      <xdr:spPr bwMode="auto">
        <a:xfrm>
          <a:off x="12620625" y="11944350"/>
          <a:ext cx="7810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333376</xdr:colOff>
      <xdr:row>72</xdr:row>
      <xdr:rowOff>1</xdr:rowOff>
    </xdr:from>
    <xdr:to>
      <xdr:col>15</xdr:col>
      <xdr:colOff>3</xdr:colOff>
      <xdr:row>73</xdr:row>
      <xdr:rowOff>38103</xdr:rowOff>
    </xdr:to>
    <xdr:cxnSp macro="">
      <xdr:nvCxnSpPr>
        <xdr:cNvPr id="854" name="Straight Connector 853"/>
        <xdr:cNvCxnSpPr/>
      </xdr:nvCxnSpPr>
      <xdr:spPr bwMode="auto">
        <a:xfrm rot="10800000">
          <a:off x="8229601" y="5619751"/>
          <a:ext cx="276227" cy="20002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304800</xdr:colOff>
      <xdr:row>71</xdr:row>
      <xdr:rowOff>152401</xdr:rowOff>
    </xdr:from>
    <xdr:to>
      <xdr:col>21</xdr:col>
      <xdr:colOff>285750</xdr:colOff>
      <xdr:row>72</xdr:row>
      <xdr:rowOff>1</xdr:rowOff>
    </xdr:to>
    <xdr:cxnSp macro="">
      <xdr:nvCxnSpPr>
        <xdr:cNvPr id="855" name="Straight Connector 854"/>
        <xdr:cNvCxnSpPr/>
      </xdr:nvCxnSpPr>
      <xdr:spPr bwMode="auto">
        <a:xfrm rot="10800000">
          <a:off x="11858625" y="11763376"/>
          <a:ext cx="5905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266702</xdr:colOff>
      <xdr:row>71</xdr:row>
      <xdr:rowOff>152399</xdr:rowOff>
    </xdr:from>
    <xdr:to>
      <xdr:col>21</xdr:col>
      <xdr:colOff>476250</xdr:colOff>
      <xdr:row>73</xdr:row>
      <xdr:rowOff>19050</xdr:rowOff>
    </xdr:to>
    <xdr:cxnSp macro="">
      <xdr:nvCxnSpPr>
        <xdr:cNvPr id="856" name="Straight Connector 855"/>
        <xdr:cNvCxnSpPr/>
      </xdr:nvCxnSpPr>
      <xdr:spPr bwMode="auto">
        <a:xfrm>
          <a:off x="12430127" y="11763374"/>
          <a:ext cx="209548" cy="19050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155511</xdr:colOff>
      <xdr:row>72</xdr:row>
      <xdr:rowOff>6606</xdr:rowOff>
    </xdr:from>
    <xdr:to>
      <xdr:col>14</xdr:col>
      <xdr:colOff>38686</xdr:colOff>
      <xdr:row>72</xdr:row>
      <xdr:rowOff>9719</xdr:rowOff>
    </xdr:to>
    <xdr:cxnSp macro="">
      <xdr:nvCxnSpPr>
        <xdr:cNvPr id="857" name="Straight Connector 856"/>
        <xdr:cNvCxnSpPr/>
      </xdr:nvCxnSpPr>
      <xdr:spPr bwMode="auto">
        <a:xfrm rot="10800000" flipV="1">
          <a:off x="6861889" y="12019769"/>
          <a:ext cx="1107817" cy="3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8732</xdr:colOff>
      <xdr:row>73</xdr:row>
      <xdr:rowOff>793</xdr:rowOff>
    </xdr:from>
    <xdr:to>
      <xdr:col>23</xdr:col>
      <xdr:colOff>10320</xdr:colOff>
      <xdr:row>75</xdr:row>
      <xdr:rowOff>29368</xdr:rowOff>
    </xdr:to>
    <xdr:cxnSp macro="">
      <xdr:nvCxnSpPr>
        <xdr:cNvPr id="858" name="Straight Connector 857"/>
        <xdr:cNvCxnSpPr/>
      </xdr:nvCxnSpPr>
      <xdr:spPr bwMode="auto">
        <a:xfrm rot="5400000">
          <a:off x="13215938" y="5957887"/>
          <a:ext cx="352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155510</xdr:colOff>
      <xdr:row>72</xdr:row>
      <xdr:rowOff>9723</xdr:rowOff>
    </xdr:from>
    <xdr:to>
      <xdr:col>12</xdr:col>
      <xdr:colOff>158604</xdr:colOff>
      <xdr:row>74</xdr:row>
      <xdr:rowOff>146004</xdr:rowOff>
    </xdr:to>
    <xdr:cxnSp macro="">
      <xdr:nvCxnSpPr>
        <xdr:cNvPr id="859" name="Straight Connector 858"/>
        <xdr:cNvCxnSpPr/>
      </xdr:nvCxnSpPr>
      <xdr:spPr bwMode="auto">
        <a:xfrm rot="16200000" flipH="1">
          <a:off x="6630065" y="12254709"/>
          <a:ext cx="466740" cy="30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76200</xdr:colOff>
      <xdr:row>44</xdr:row>
      <xdr:rowOff>14447</xdr:rowOff>
    </xdr:from>
    <xdr:to>
      <xdr:col>23</xdr:col>
      <xdr:colOff>419100</xdr:colOff>
      <xdr:row>44</xdr:row>
      <xdr:rowOff>16035</xdr:rowOff>
    </xdr:to>
    <xdr:cxnSp macro="">
      <xdr:nvCxnSpPr>
        <xdr:cNvPr id="860" name="Straight Connector 859"/>
        <xdr:cNvCxnSpPr/>
      </xdr:nvCxnSpPr>
      <xdr:spPr bwMode="auto">
        <a:xfrm>
          <a:off x="13475413" y="1341526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76200</xdr:colOff>
      <xdr:row>46</xdr:row>
      <xdr:rowOff>19050</xdr:rowOff>
    </xdr:from>
    <xdr:to>
      <xdr:col>23</xdr:col>
      <xdr:colOff>419100</xdr:colOff>
      <xdr:row>46</xdr:row>
      <xdr:rowOff>20638</xdr:rowOff>
    </xdr:to>
    <xdr:cxnSp macro="">
      <xdr:nvCxnSpPr>
        <xdr:cNvPr id="861" name="Straight Connector 860"/>
        <xdr:cNvCxnSpPr/>
      </xdr:nvCxnSpPr>
      <xdr:spPr bwMode="auto">
        <a:xfrm>
          <a:off x="13458825" y="135255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171450</xdr:colOff>
      <xdr:row>50</xdr:row>
      <xdr:rowOff>9525</xdr:rowOff>
    </xdr:from>
    <xdr:to>
      <xdr:col>23</xdr:col>
      <xdr:colOff>514350</xdr:colOff>
      <xdr:row>50</xdr:row>
      <xdr:rowOff>11113</xdr:rowOff>
    </xdr:to>
    <xdr:cxnSp macro="">
      <xdr:nvCxnSpPr>
        <xdr:cNvPr id="862" name="Straight Connector 861"/>
        <xdr:cNvCxnSpPr/>
      </xdr:nvCxnSpPr>
      <xdr:spPr bwMode="auto">
        <a:xfrm>
          <a:off x="13554075" y="822007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171450</xdr:colOff>
      <xdr:row>53</xdr:row>
      <xdr:rowOff>9525</xdr:rowOff>
    </xdr:from>
    <xdr:to>
      <xdr:col>23</xdr:col>
      <xdr:colOff>514350</xdr:colOff>
      <xdr:row>53</xdr:row>
      <xdr:rowOff>11113</xdr:rowOff>
    </xdr:to>
    <xdr:cxnSp macro="">
      <xdr:nvCxnSpPr>
        <xdr:cNvPr id="863" name="Straight Connector 862"/>
        <xdr:cNvCxnSpPr/>
      </xdr:nvCxnSpPr>
      <xdr:spPr bwMode="auto">
        <a:xfrm>
          <a:off x="13554075" y="870585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171450</xdr:colOff>
      <xdr:row>57</xdr:row>
      <xdr:rowOff>0</xdr:rowOff>
    </xdr:from>
    <xdr:to>
      <xdr:col>23</xdr:col>
      <xdr:colOff>514350</xdr:colOff>
      <xdr:row>57</xdr:row>
      <xdr:rowOff>1588</xdr:rowOff>
    </xdr:to>
    <xdr:cxnSp macro="">
      <xdr:nvCxnSpPr>
        <xdr:cNvPr id="864" name="Straight Connector 863"/>
        <xdr:cNvCxnSpPr/>
      </xdr:nvCxnSpPr>
      <xdr:spPr bwMode="auto">
        <a:xfrm>
          <a:off x="13554075" y="93440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190500</xdr:colOff>
      <xdr:row>68</xdr:row>
      <xdr:rowOff>19050</xdr:rowOff>
    </xdr:from>
    <xdr:to>
      <xdr:col>23</xdr:col>
      <xdr:colOff>533400</xdr:colOff>
      <xdr:row>68</xdr:row>
      <xdr:rowOff>20638</xdr:rowOff>
    </xdr:to>
    <xdr:cxnSp macro="">
      <xdr:nvCxnSpPr>
        <xdr:cNvPr id="865" name="Straight Connector 864"/>
        <xdr:cNvCxnSpPr/>
      </xdr:nvCxnSpPr>
      <xdr:spPr bwMode="auto">
        <a:xfrm>
          <a:off x="13573125" y="1114425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161925</xdr:colOff>
      <xdr:row>65</xdr:row>
      <xdr:rowOff>0</xdr:rowOff>
    </xdr:from>
    <xdr:to>
      <xdr:col>23</xdr:col>
      <xdr:colOff>504825</xdr:colOff>
      <xdr:row>65</xdr:row>
      <xdr:rowOff>1588</xdr:rowOff>
    </xdr:to>
    <xdr:cxnSp macro="">
      <xdr:nvCxnSpPr>
        <xdr:cNvPr id="866" name="Straight Connector 865"/>
        <xdr:cNvCxnSpPr/>
      </xdr:nvCxnSpPr>
      <xdr:spPr bwMode="auto">
        <a:xfrm>
          <a:off x="13544550" y="106394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152400</xdr:colOff>
      <xdr:row>73</xdr:row>
      <xdr:rowOff>0</xdr:rowOff>
    </xdr:from>
    <xdr:to>
      <xdr:col>23</xdr:col>
      <xdr:colOff>495300</xdr:colOff>
      <xdr:row>73</xdr:row>
      <xdr:rowOff>1588</xdr:rowOff>
    </xdr:to>
    <xdr:cxnSp macro="">
      <xdr:nvCxnSpPr>
        <xdr:cNvPr id="867" name="Straight Connector 866"/>
        <xdr:cNvCxnSpPr/>
      </xdr:nvCxnSpPr>
      <xdr:spPr bwMode="auto">
        <a:xfrm>
          <a:off x="13535025" y="119348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95250</xdr:colOff>
      <xdr:row>75</xdr:row>
      <xdr:rowOff>9525</xdr:rowOff>
    </xdr:from>
    <xdr:to>
      <xdr:col>23</xdr:col>
      <xdr:colOff>438150</xdr:colOff>
      <xdr:row>75</xdr:row>
      <xdr:rowOff>11113</xdr:rowOff>
    </xdr:to>
    <xdr:cxnSp macro="">
      <xdr:nvCxnSpPr>
        <xdr:cNvPr id="868" name="Straight Connector 867"/>
        <xdr:cNvCxnSpPr/>
      </xdr:nvCxnSpPr>
      <xdr:spPr bwMode="auto">
        <a:xfrm>
          <a:off x="13477875" y="611505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180975</xdr:colOff>
      <xdr:row>60</xdr:row>
      <xdr:rowOff>9525</xdr:rowOff>
    </xdr:from>
    <xdr:to>
      <xdr:col>23</xdr:col>
      <xdr:colOff>523875</xdr:colOff>
      <xdr:row>60</xdr:row>
      <xdr:rowOff>11113</xdr:rowOff>
    </xdr:to>
    <xdr:cxnSp macro="">
      <xdr:nvCxnSpPr>
        <xdr:cNvPr id="869" name="Straight Connector 868"/>
        <xdr:cNvCxnSpPr/>
      </xdr:nvCxnSpPr>
      <xdr:spPr bwMode="auto">
        <a:xfrm>
          <a:off x="13563600" y="98393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115477</xdr:colOff>
      <xdr:row>44</xdr:row>
      <xdr:rowOff>2568</xdr:rowOff>
    </xdr:from>
    <xdr:to>
      <xdr:col>11</xdr:col>
      <xdr:colOff>458377</xdr:colOff>
      <xdr:row>44</xdr:row>
      <xdr:rowOff>4156</xdr:rowOff>
    </xdr:to>
    <xdr:cxnSp macro="">
      <xdr:nvCxnSpPr>
        <xdr:cNvPr id="870" name="Straight Connector 869"/>
        <xdr:cNvCxnSpPr/>
      </xdr:nvCxnSpPr>
      <xdr:spPr bwMode="auto">
        <a:xfrm>
          <a:off x="6205056" y="1329647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66480</xdr:colOff>
      <xdr:row>46</xdr:row>
      <xdr:rowOff>155122</xdr:rowOff>
    </xdr:from>
    <xdr:to>
      <xdr:col>11</xdr:col>
      <xdr:colOff>409380</xdr:colOff>
      <xdr:row>46</xdr:row>
      <xdr:rowOff>156710</xdr:rowOff>
    </xdr:to>
    <xdr:cxnSp macro="">
      <xdr:nvCxnSpPr>
        <xdr:cNvPr id="871" name="Straight Connector 870"/>
        <xdr:cNvCxnSpPr/>
      </xdr:nvCxnSpPr>
      <xdr:spPr bwMode="auto">
        <a:xfrm>
          <a:off x="6170256" y="7872316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28575</xdr:colOff>
      <xdr:row>49</xdr:row>
      <xdr:rowOff>152400</xdr:rowOff>
    </xdr:from>
    <xdr:to>
      <xdr:col>11</xdr:col>
      <xdr:colOff>371475</xdr:colOff>
      <xdr:row>49</xdr:row>
      <xdr:rowOff>153988</xdr:rowOff>
    </xdr:to>
    <xdr:cxnSp macro="">
      <xdr:nvCxnSpPr>
        <xdr:cNvPr id="872" name="Straight Connector 871"/>
        <xdr:cNvCxnSpPr/>
      </xdr:nvCxnSpPr>
      <xdr:spPr bwMode="auto">
        <a:xfrm>
          <a:off x="6132351" y="8365283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66869</xdr:colOff>
      <xdr:row>52</xdr:row>
      <xdr:rowOff>155122</xdr:rowOff>
    </xdr:from>
    <xdr:to>
      <xdr:col>11</xdr:col>
      <xdr:colOff>409769</xdr:colOff>
      <xdr:row>52</xdr:row>
      <xdr:rowOff>156710</xdr:rowOff>
    </xdr:to>
    <xdr:cxnSp macro="">
      <xdr:nvCxnSpPr>
        <xdr:cNvPr id="873" name="Straight Connector 872"/>
        <xdr:cNvCxnSpPr/>
      </xdr:nvCxnSpPr>
      <xdr:spPr bwMode="auto">
        <a:xfrm>
          <a:off x="6170645" y="8863693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86503</xdr:colOff>
      <xdr:row>56</xdr:row>
      <xdr:rowOff>162118</xdr:rowOff>
    </xdr:from>
    <xdr:to>
      <xdr:col>11</xdr:col>
      <xdr:colOff>429403</xdr:colOff>
      <xdr:row>56</xdr:row>
      <xdr:rowOff>163706</xdr:rowOff>
    </xdr:to>
    <xdr:cxnSp macro="">
      <xdr:nvCxnSpPr>
        <xdr:cNvPr id="874" name="Straight Connector 873"/>
        <xdr:cNvCxnSpPr/>
      </xdr:nvCxnSpPr>
      <xdr:spPr bwMode="auto">
        <a:xfrm>
          <a:off x="6190279" y="9531608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76783</xdr:colOff>
      <xdr:row>67</xdr:row>
      <xdr:rowOff>155511</xdr:rowOff>
    </xdr:from>
    <xdr:to>
      <xdr:col>11</xdr:col>
      <xdr:colOff>419683</xdr:colOff>
      <xdr:row>67</xdr:row>
      <xdr:rowOff>157099</xdr:rowOff>
    </xdr:to>
    <xdr:cxnSp macro="">
      <xdr:nvCxnSpPr>
        <xdr:cNvPr id="875" name="Straight Connector 874"/>
        <xdr:cNvCxnSpPr/>
      </xdr:nvCxnSpPr>
      <xdr:spPr bwMode="auto">
        <a:xfrm>
          <a:off x="6180559" y="11342526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86113</xdr:colOff>
      <xdr:row>65</xdr:row>
      <xdr:rowOff>0</xdr:rowOff>
    </xdr:from>
    <xdr:to>
      <xdr:col>11</xdr:col>
      <xdr:colOff>429013</xdr:colOff>
      <xdr:row>65</xdr:row>
      <xdr:rowOff>1588</xdr:rowOff>
    </xdr:to>
    <xdr:cxnSp macro="">
      <xdr:nvCxnSpPr>
        <xdr:cNvPr id="876" name="Straight Connector 875"/>
        <xdr:cNvCxnSpPr/>
      </xdr:nvCxnSpPr>
      <xdr:spPr bwMode="auto">
        <a:xfrm>
          <a:off x="6189889" y="10856556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85725</xdr:colOff>
      <xdr:row>72</xdr:row>
      <xdr:rowOff>9719</xdr:rowOff>
    </xdr:from>
    <xdr:to>
      <xdr:col>11</xdr:col>
      <xdr:colOff>428625</xdr:colOff>
      <xdr:row>72</xdr:row>
      <xdr:rowOff>11307</xdr:rowOff>
    </xdr:to>
    <xdr:cxnSp macro="">
      <xdr:nvCxnSpPr>
        <xdr:cNvPr id="877" name="Straight Connector 876"/>
        <xdr:cNvCxnSpPr/>
      </xdr:nvCxnSpPr>
      <xdr:spPr bwMode="auto">
        <a:xfrm>
          <a:off x="6189501" y="12022882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73845</xdr:colOff>
      <xdr:row>74</xdr:row>
      <xdr:rowOff>137952</xdr:rowOff>
    </xdr:from>
    <xdr:to>
      <xdr:col>11</xdr:col>
      <xdr:colOff>416745</xdr:colOff>
      <xdr:row>74</xdr:row>
      <xdr:rowOff>139540</xdr:rowOff>
    </xdr:to>
    <xdr:cxnSp macro="">
      <xdr:nvCxnSpPr>
        <xdr:cNvPr id="878" name="Straight Connector 877"/>
        <xdr:cNvCxnSpPr/>
      </xdr:nvCxnSpPr>
      <xdr:spPr bwMode="auto">
        <a:xfrm>
          <a:off x="6163424" y="636666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57733</xdr:colOff>
      <xdr:row>59</xdr:row>
      <xdr:rowOff>164646</xdr:rowOff>
    </xdr:from>
    <xdr:to>
      <xdr:col>11</xdr:col>
      <xdr:colOff>400633</xdr:colOff>
      <xdr:row>60</xdr:row>
      <xdr:rowOff>1005</xdr:rowOff>
    </xdr:to>
    <xdr:cxnSp macro="">
      <xdr:nvCxnSpPr>
        <xdr:cNvPr id="879" name="Straight Connector 878"/>
        <xdr:cNvCxnSpPr/>
      </xdr:nvCxnSpPr>
      <xdr:spPr bwMode="auto">
        <a:xfrm>
          <a:off x="6161509" y="100298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16</xdr:col>
      <xdr:colOff>276224</xdr:colOff>
      <xdr:row>46</xdr:row>
      <xdr:rowOff>19050</xdr:rowOff>
    </xdr:from>
    <xdr:to>
      <xdr:col>16</xdr:col>
      <xdr:colOff>276225</xdr:colOff>
      <xdr:row>51</xdr:row>
      <xdr:rowOff>19051</xdr:rowOff>
    </xdr:to>
    <xdr:cxnSp macro="">
      <xdr:nvCxnSpPr>
        <xdr:cNvPr id="880" name="Straight Arrow Connector 879"/>
        <xdr:cNvCxnSpPr/>
      </xdr:nvCxnSpPr>
      <xdr:spPr bwMode="auto">
        <a:xfrm rot="16200000" flipH="1">
          <a:off x="8986837" y="7986712"/>
          <a:ext cx="809626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16</xdr:col>
      <xdr:colOff>247651</xdr:colOff>
      <xdr:row>52</xdr:row>
      <xdr:rowOff>19052</xdr:rowOff>
    </xdr:from>
    <xdr:to>
      <xdr:col>16</xdr:col>
      <xdr:colOff>257177</xdr:colOff>
      <xdr:row>58</xdr:row>
      <xdr:rowOff>19053</xdr:rowOff>
    </xdr:to>
    <xdr:cxnSp macro="">
      <xdr:nvCxnSpPr>
        <xdr:cNvPr id="881" name="Straight Arrow Connector 880"/>
        <xdr:cNvCxnSpPr/>
      </xdr:nvCxnSpPr>
      <xdr:spPr bwMode="auto">
        <a:xfrm rot="16200000" flipH="1">
          <a:off x="8882063" y="9034465"/>
          <a:ext cx="971551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16</xdr:col>
      <xdr:colOff>276225</xdr:colOff>
      <xdr:row>59</xdr:row>
      <xdr:rowOff>19050</xdr:rowOff>
    </xdr:from>
    <xdr:to>
      <xdr:col>16</xdr:col>
      <xdr:colOff>295275</xdr:colOff>
      <xdr:row>66</xdr:row>
      <xdr:rowOff>19053</xdr:rowOff>
    </xdr:to>
    <xdr:cxnSp macro="">
      <xdr:nvCxnSpPr>
        <xdr:cNvPr id="882" name="Straight Arrow Connector 881"/>
        <xdr:cNvCxnSpPr/>
      </xdr:nvCxnSpPr>
      <xdr:spPr bwMode="auto">
        <a:xfrm rot="16200000" flipH="1">
          <a:off x="8834436" y="10244139"/>
          <a:ext cx="1133478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16</xdr:col>
      <xdr:colOff>285749</xdr:colOff>
      <xdr:row>67</xdr:row>
      <xdr:rowOff>38103</xdr:rowOff>
    </xdr:from>
    <xdr:to>
      <xdr:col>16</xdr:col>
      <xdr:colOff>285750</xdr:colOff>
      <xdr:row>73</xdr:row>
      <xdr:rowOff>47631</xdr:rowOff>
    </xdr:to>
    <xdr:cxnSp macro="">
      <xdr:nvCxnSpPr>
        <xdr:cNvPr id="883" name="Straight Arrow Connector 882"/>
        <xdr:cNvCxnSpPr/>
      </xdr:nvCxnSpPr>
      <xdr:spPr bwMode="auto">
        <a:xfrm rot="16200000" flipH="1">
          <a:off x="8910636" y="5338766"/>
          <a:ext cx="981078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17</xdr:col>
      <xdr:colOff>247651</xdr:colOff>
      <xdr:row>44</xdr:row>
      <xdr:rowOff>1</xdr:rowOff>
    </xdr:from>
    <xdr:to>
      <xdr:col>17</xdr:col>
      <xdr:colOff>247652</xdr:colOff>
      <xdr:row>46</xdr:row>
      <xdr:rowOff>9528</xdr:rowOff>
    </xdr:to>
    <xdr:cxnSp macro="">
      <xdr:nvCxnSpPr>
        <xdr:cNvPr id="884" name="Straight Arrow Connector 883"/>
        <xdr:cNvCxnSpPr/>
      </xdr:nvCxnSpPr>
      <xdr:spPr bwMode="auto">
        <a:xfrm rot="5400000">
          <a:off x="9786938" y="1157289"/>
          <a:ext cx="371477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17</xdr:col>
      <xdr:colOff>242984</xdr:colOff>
      <xdr:row>73</xdr:row>
      <xdr:rowOff>29160</xdr:rowOff>
    </xdr:from>
    <xdr:to>
      <xdr:col>17</xdr:col>
      <xdr:colOff>257177</xdr:colOff>
      <xdr:row>75</xdr:row>
      <xdr:rowOff>19052</xdr:rowOff>
    </xdr:to>
    <xdr:cxnSp macro="">
      <xdr:nvCxnSpPr>
        <xdr:cNvPr id="885" name="Straight Arrow Connector 884"/>
        <xdr:cNvCxnSpPr/>
      </xdr:nvCxnSpPr>
      <xdr:spPr bwMode="auto">
        <a:xfrm rot="16200000" flipH="1">
          <a:off x="9857890" y="12360632"/>
          <a:ext cx="320351" cy="141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13</xdr:col>
      <xdr:colOff>600079</xdr:colOff>
      <xdr:row>46</xdr:row>
      <xdr:rowOff>51340</xdr:rowOff>
    </xdr:from>
    <xdr:to>
      <xdr:col>14</xdr:col>
      <xdr:colOff>1</xdr:colOff>
      <xdr:row>72</xdr:row>
      <xdr:rowOff>120110</xdr:rowOff>
    </xdr:to>
    <xdr:cxnSp macro="">
      <xdr:nvCxnSpPr>
        <xdr:cNvPr id="886" name="Straight Connector 885"/>
        <xdr:cNvCxnSpPr/>
      </xdr:nvCxnSpPr>
      <xdr:spPr bwMode="auto">
        <a:xfrm rot="16200000" flipH="1">
          <a:off x="5754638" y="3856739"/>
          <a:ext cx="4330804" cy="1339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323852</xdr:colOff>
      <xdr:row>46</xdr:row>
      <xdr:rowOff>152402</xdr:rowOff>
    </xdr:from>
    <xdr:to>
      <xdr:col>14</xdr:col>
      <xdr:colOff>342903</xdr:colOff>
      <xdr:row>72</xdr:row>
      <xdr:rowOff>9527</xdr:rowOff>
    </xdr:to>
    <xdr:cxnSp macro="">
      <xdr:nvCxnSpPr>
        <xdr:cNvPr id="887" name="Straight Connector 886"/>
        <xdr:cNvCxnSpPr/>
      </xdr:nvCxnSpPr>
      <xdr:spPr bwMode="auto">
        <a:xfrm rot="16200000" flipH="1">
          <a:off x="6196015" y="9739314"/>
          <a:ext cx="4067175" cy="1905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4</xdr:colOff>
      <xdr:row>46</xdr:row>
      <xdr:rowOff>142876</xdr:rowOff>
    </xdr:from>
    <xdr:to>
      <xdr:col>21</xdr:col>
      <xdr:colOff>9526</xdr:colOff>
      <xdr:row>71</xdr:row>
      <xdr:rowOff>161924</xdr:rowOff>
    </xdr:to>
    <xdr:cxnSp macro="">
      <xdr:nvCxnSpPr>
        <xdr:cNvPr id="888" name="Straight Connector 887"/>
        <xdr:cNvCxnSpPr/>
      </xdr:nvCxnSpPr>
      <xdr:spPr bwMode="auto">
        <a:xfrm rot="16200000" flipH="1">
          <a:off x="10134603" y="9734552"/>
          <a:ext cx="4067173" cy="952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266700</xdr:colOff>
      <xdr:row>5</xdr:row>
      <xdr:rowOff>152400</xdr:rowOff>
    </xdr:from>
    <xdr:to>
      <xdr:col>23</xdr:col>
      <xdr:colOff>285749</xdr:colOff>
      <xdr:row>37</xdr:row>
      <xdr:rowOff>24380</xdr:rowOff>
    </xdr:to>
    <xdr:cxnSp macro="">
      <xdr:nvCxnSpPr>
        <xdr:cNvPr id="905" name="Straight Connector 904"/>
        <xdr:cNvCxnSpPr/>
      </xdr:nvCxnSpPr>
      <xdr:spPr bwMode="auto">
        <a:xfrm>
          <a:off x="13649325" y="962025"/>
          <a:ext cx="19049" cy="524408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70</xdr:row>
      <xdr:rowOff>0</xdr:rowOff>
    </xdr:from>
    <xdr:to>
      <xdr:col>3</xdr:col>
      <xdr:colOff>0</xdr:colOff>
      <xdr:row>70</xdr:row>
      <xdr:rowOff>9525</xdr:rowOff>
    </xdr:to>
    <xdr:cxnSp macro="">
      <xdr:nvCxnSpPr>
        <xdr:cNvPr id="907" name="Straight Connector 906"/>
        <xdr:cNvCxnSpPr/>
      </xdr:nvCxnSpPr>
      <xdr:spPr bwMode="auto">
        <a:xfrm>
          <a:off x="1219200" y="11449050"/>
          <a:ext cx="7048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600075</xdr:colOff>
      <xdr:row>71</xdr:row>
      <xdr:rowOff>9525</xdr:rowOff>
    </xdr:from>
    <xdr:to>
      <xdr:col>2</xdr:col>
      <xdr:colOff>695325</xdr:colOff>
      <xdr:row>71</xdr:row>
      <xdr:rowOff>19050</xdr:rowOff>
    </xdr:to>
    <xdr:cxnSp macro="">
      <xdr:nvCxnSpPr>
        <xdr:cNvPr id="908" name="Straight Connector 907"/>
        <xdr:cNvCxnSpPr/>
      </xdr:nvCxnSpPr>
      <xdr:spPr bwMode="auto">
        <a:xfrm flipV="1">
          <a:off x="1209675" y="11620500"/>
          <a:ext cx="7048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73</xdr:row>
      <xdr:rowOff>152400</xdr:rowOff>
    </xdr:from>
    <xdr:to>
      <xdr:col>2</xdr:col>
      <xdr:colOff>685800</xdr:colOff>
      <xdr:row>73</xdr:row>
      <xdr:rowOff>153988</xdr:rowOff>
    </xdr:to>
    <xdr:cxnSp macro="">
      <xdr:nvCxnSpPr>
        <xdr:cNvPr id="909" name="Straight Connector 908"/>
        <xdr:cNvCxnSpPr/>
      </xdr:nvCxnSpPr>
      <xdr:spPr bwMode="auto">
        <a:xfrm>
          <a:off x="1219200" y="12087225"/>
          <a:ext cx="6858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171450</xdr:colOff>
      <xdr:row>7</xdr:row>
      <xdr:rowOff>142875</xdr:rowOff>
    </xdr:from>
    <xdr:to>
      <xdr:col>11</xdr:col>
      <xdr:colOff>304800</xdr:colOff>
      <xdr:row>8</xdr:row>
      <xdr:rowOff>133350</xdr:rowOff>
    </xdr:to>
    <xdr:cxnSp macro="">
      <xdr:nvCxnSpPr>
        <xdr:cNvPr id="806" name="Straight Connector 805"/>
        <xdr:cNvCxnSpPr/>
      </xdr:nvCxnSpPr>
      <xdr:spPr bwMode="auto">
        <a:xfrm rot="5400000">
          <a:off x="6219825" y="1304925"/>
          <a:ext cx="190500" cy="1333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180975</xdr:colOff>
      <xdr:row>11</xdr:row>
      <xdr:rowOff>123825</xdr:rowOff>
    </xdr:from>
    <xdr:to>
      <xdr:col>11</xdr:col>
      <xdr:colOff>314325</xdr:colOff>
      <xdr:row>12</xdr:row>
      <xdr:rowOff>114300</xdr:rowOff>
    </xdr:to>
    <xdr:cxnSp macro="">
      <xdr:nvCxnSpPr>
        <xdr:cNvPr id="843" name="Straight Connector 842"/>
        <xdr:cNvCxnSpPr/>
      </xdr:nvCxnSpPr>
      <xdr:spPr bwMode="auto">
        <a:xfrm rot="5400000">
          <a:off x="6229350" y="1971675"/>
          <a:ext cx="190500" cy="1333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180975</xdr:colOff>
      <xdr:row>14</xdr:row>
      <xdr:rowOff>95250</xdr:rowOff>
    </xdr:from>
    <xdr:to>
      <xdr:col>11</xdr:col>
      <xdr:colOff>314325</xdr:colOff>
      <xdr:row>15</xdr:row>
      <xdr:rowOff>123825</xdr:rowOff>
    </xdr:to>
    <xdr:cxnSp macro="">
      <xdr:nvCxnSpPr>
        <xdr:cNvPr id="844" name="Straight Connector 843"/>
        <xdr:cNvCxnSpPr/>
      </xdr:nvCxnSpPr>
      <xdr:spPr bwMode="auto">
        <a:xfrm rot="5400000">
          <a:off x="6229350" y="2505075"/>
          <a:ext cx="190500" cy="1333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190500</xdr:colOff>
      <xdr:row>100</xdr:row>
      <xdr:rowOff>0</xdr:rowOff>
    </xdr:from>
    <xdr:to>
      <xdr:col>1</xdr:col>
      <xdr:colOff>190505</xdr:colOff>
      <xdr:row>101</xdr:row>
      <xdr:rowOff>57153</xdr:rowOff>
    </xdr:to>
    <xdr:cxnSp macro="">
      <xdr:nvCxnSpPr>
        <xdr:cNvPr id="769" name="Straight Connector 768"/>
        <xdr:cNvCxnSpPr/>
      </xdr:nvCxnSpPr>
      <xdr:spPr bwMode="auto">
        <a:xfrm rot="16200000" flipV="1">
          <a:off x="690564" y="15606711"/>
          <a:ext cx="219078" cy="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cxnSp>
    <xdr:clientData/>
  </xdr:twoCellAnchor>
  <xdr:twoCellAnchor>
    <xdr:from>
      <xdr:col>1</xdr:col>
      <xdr:colOff>0</xdr:colOff>
      <xdr:row>105</xdr:row>
      <xdr:rowOff>9525</xdr:rowOff>
    </xdr:from>
    <xdr:to>
      <xdr:col>1</xdr:col>
      <xdr:colOff>180975</xdr:colOff>
      <xdr:row>105</xdr:row>
      <xdr:rowOff>11113</xdr:rowOff>
    </xdr:to>
    <xdr:cxnSp macro="">
      <xdr:nvCxnSpPr>
        <xdr:cNvPr id="780" name="Straight Connector 779"/>
        <xdr:cNvCxnSpPr/>
      </xdr:nvCxnSpPr>
      <xdr:spPr bwMode="auto">
        <a:xfrm>
          <a:off x="609600" y="16316325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533400</xdr:colOff>
      <xdr:row>102</xdr:row>
      <xdr:rowOff>19054</xdr:rowOff>
    </xdr:from>
    <xdr:to>
      <xdr:col>7</xdr:col>
      <xdr:colOff>533401</xdr:colOff>
      <xdr:row>105</xdr:row>
      <xdr:rowOff>9526</xdr:rowOff>
    </xdr:to>
    <xdr:cxnSp macro="">
      <xdr:nvCxnSpPr>
        <xdr:cNvPr id="786" name="Straight Connector 785"/>
        <xdr:cNvCxnSpPr/>
      </xdr:nvCxnSpPr>
      <xdr:spPr bwMode="auto">
        <a:xfrm rot="5400000" flipH="1" flipV="1">
          <a:off x="4657727" y="16078202"/>
          <a:ext cx="476247" cy="1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cxnSp>
    <xdr:clientData/>
  </xdr:twoCellAnchor>
  <xdr:twoCellAnchor>
    <xdr:from>
      <xdr:col>3</xdr:col>
      <xdr:colOff>219075</xdr:colOff>
      <xdr:row>100</xdr:row>
      <xdr:rowOff>142875</xdr:rowOff>
    </xdr:from>
    <xdr:to>
      <xdr:col>5</xdr:col>
      <xdr:colOff>85725</xdr:colOff>
      <xdr:row>100</xdr:row>
      <xdr:rowOff>152400</xdr:rowOff>
    </xdr:to>
    <xdr:cxnSp macro="">
      <xdr:nvCxnSpPr>
        <xdr:cNvPr id="791" name="Straight Connector 790"/>
        <xdr:cNvCxnSpPr/>
      </xdr:nvCxnSpPr>
      <xdr:spPr bwMode="auto">
        <a:xfrm>
          <a:off x="2143125" y="15640050"/>
          <a:ext cx="10858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314325</xdr:colOff>
      <xdr:row>98</xdr:row>
      <xdr:rowOff>1</xdr:rowOff>
    </xdr:from>
    <xdr:to>
      <xdr:col>3</xdr:col>
      <xdr:colOff>323850</xdr:colOff>
      <xdr:row>100</xdr:row>
      <xdr:rowOff>66676</xdr:rowOff>
    </xdr:to>
    <xdr:cxnSp macro="">
      <xdr:nvCxnSpPr>
        <xdr:cNvPr id="795" name="Straight Connector 794"/>
        <xdr:cNvCxnSpPr/>
      </xdr:nvCxnSpPr>
      <xdr:spPr bwMode="auto">
        <a:xfrm rot="5400000" flipH="1" flipV="1">
          <a:off x="2047875" y="15363826"/>
          <a:ext cx="3905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75409</xdr:colOff>
      <xdr:row>98</xdr:row>
      <xdr:rowOff>1</xdr:rowOff>
    </xdr:from>
    <xdr:to>
      <xdr:col>5</xdr:col>
      <xdr:colOff>85728</xdr:colOff>
      <xdr:row>100</xdr:row>
      <xdr:rowOff>153197</xdr:rowOff>
    </xdr:to>
    <xdr:cxnSp macro="">
      <xdr:nvCxnSpPr>
        <xdr:cNvPr id="800" name="Straight Connector 799"/>
        <xdr:cNvCxnSpPr/>
      </xdr:nvCxnSpPr>
      <xdr:spPr bwMode="auto">
        <a:xfrm rot="5400000" flipH="1" flipV="1">
          <a:off x="2985296" y="15406689"/>
          <a:ext cx="477046" cy="1031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237333</xdr:colOff>
      <xdr:row>98</xdr:row>
      <xdr:rowOff>0</xdr:rowOff>
    </xdr:from>
    <xdr:to>
      <xdr:col>3</xdr:col>
      <xdr:colOff>247653</xdr:colOff>
      <xdr:row>100</xdr:row>
      <xdr:rowOff>143670</xdr:rowOff>
    </xdr:to>
    <xdr:cxnSp macro="">
      <xdr:nvCxnSpPr>
        <xdr:cNvPr id="801" name="Straight Connector 800"/>
        <xdr:cNvCxnSpPr/>
      </xdr:nvCxnSpPr>
      <xdr:spPr bwMode="auto">
        <a:xfrm rot="5400000" flipH="1" flipV="1">
          <a:off x="1932783" y="16211550"/>
          <a:ext cx="467520" cy="1032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608807</xdr:colOff>
      <xdr:row>98</xdr:row>
      <xdr:rowOff>10319</xdr:rowOff>
    </xdr:from>
    <xdr:to>
      <xdr:col>5</xdr:col>
      <xdr:colOff>795</xdr:colOff>
      <xdr:row>100</xdr:row>
      <xdr:rowOff>96046</xdr:rowOff>
    </xdr:to>
    <xdr:cxnSp macro="">
      <xdr:nvCxnSpPr>
        <xdr:cNvPr id="802" name="Straight Connector 801"/>
        <xdr:cNvCxnSpPr/>
      </xdr:nvCxnSpPr>
      <xdr:spPr bwMode="auto">
        <a:xfrm rot="5400000" flipH="1" flipV="1">
          <a:off x="2938462" y="15387639"/>
          <a:ext cx="40957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238125</xdr:colOff>
      <xdr:row>98</xdr:row>
      <xdr:rowOff>0</xdr:rowOff>
    </xdr:from>
    <xdr:to>
      <xdr:col>3</xdr:col>
      <xdr:colOff>304800</xdr:colOff>
      <xdr:row>98</xdr:row>
      <xdr:rowOff>1588</xdr:rowOff>
    </xdr:to>
    <xdr:cxnSp macro="">
      <xdr:nvCxnSpPr>
        <xdr:cNvPr id="807" name="Straight Connector 806"/>
        <xdr:cNvCxnSpPr/>
      </xdr:nvCxnSpPr>
      <xdr:spPr bwMode="auto">
        <a:xfrm>
          <a:off x="2162175" y="15173325"/>
          <a:ext cx="666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600075</xdr:colOff>
      <xdr:row>98</xdr:row>
      <xdr:rowOff>0</xdr:rowOff>
    </xdr:from>
    <xdr:to>
      <xdr:col>5</xdr:col>
      <xdr:colOff>57150</xdr:colOff>
      <xdr:row>98</xdr:row>
      <xdr:rowOff>1588</xdr:rowOff>
    </xdr:to>
    <xdr:cxnSp macro="">
      <xdr:nvCxnSpPr>
        <xdr:cNvPr id="808" name="Straight Connector 807"/>
        <xdr:cNvCxnSpPr/>
      </xdr:nvCxnSpPr>
      <xdr:spPr bwMode="auto">
        <a:xfrm>
          <a:off x="3133725" y="15173325"/>
          <a:ext cx="666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19050</xdr:colOff>
      <xdr:row>98</xdr:row>
      <xdr:rowOff>9525</xdr:rowOff>
    </xdr:from>
    <xdr:to>
      <xdr:col>5</xdr:col>
      <xdr:colOff>85725</xdr:colOff>
      <xdr:row>98</xdr:row>
      <xdr:rowOff>11113</xdr:rowOff>
    </xdr:to>
    <xdr:cxnSp macro="">
      <xdr:nvCxnSpPr>
        <xdr:cNvPr id="809" name="Straight Connector 808"/>
        <xdr:cNvCxnSpPr/>
      </xdr:nvCxnSpPr>
      <xdr:spPr bwMode="auto">
        <a:xfrm>
          <a:off x="3162300" y="15182850"/>
          <a:ext cx="666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323850</xdr:colOff>
      <xdr:row>98</xdr:row>
      <xdr:rowOff>9525</xdr:rowOff>
    </xdr:from>
    <xdr:to>
      <xdr:col>5</xdr:col>
      <xdr:colOff>9525</xdr:colOff>
      <xdr:row>98</xdr:row>
      <xdr:rowOff>9526</xdr:rowOff>
    </xdr:to>
    <xdr:cxnSp macro="">
      <xdr:nvCxnSpPr>
        <xdr:cNvPr id="819" name="Straight Connector 818"/>
        <xdr:cNvCxnSpPr/>
      </xdr:nvCxnSpPr>
      <xdr:spPr bwMode="auto">
        <a:xfrm flipV="1">
          <a:off x="2247900" y="15992475"/>
          <a:ext cx="90487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285750</xdr:colOff>
      <xdr:row>131</xdr:row>
      <xdr:rowOff>57151</xdr:rowOff>
    </xdr:from>
    <xdr:to>
      <xdr:col>5</xdr:col>
      <xdr:colOff>0</xdr:colOff>
      <xdr:row>131</xdr:row>
      <xdr:rowOff>76200</xdr:rowOff>
    </xdr:to>
    <xdr:cxnSp macro="">
      <xdr:nvCxnSpPr>
        <xdr:cNvPr id="827" name="Straight Connector 826"/>
        <xdr:cNvCxnSpPr/>
      </xdr:nvCxnSpPr>
      <xdr:spPr bwMode="auto">
        <a:xfrm>
          <a:off x="2209800" y="19926301"/>
          <a:ext cx="933450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65884</xdr:colOff>
      <xdr:row>128</xdr:row>
      <xdr:rowOff>152401</xdr:rowOff>
    </xdr:from>
    <xdr:to>
      <xdr:col>5</xdr:col>
      <xdr:colOff>76203</xdr:colOff>
      <xdr:row>131</xdr:row>
      <xdr:rowOff>143672</xdr:rowOff>
    </xdr:to>
    <xdr:cxnSp macro="">
      <xdr:nvCxnSpPr>
        <xdr:cNvPr id="891" name="Straight Connector 890"/>
        <xdr:cNvCxnSpPr/>
      </xdr:nvCxnSpPr>
      <xdr:spPr bwMode="auto">
        <a:xfrm rot="5400000" flipH="1" flipV="1">
          <a:off x="2975771" y="19769139"/>
          <a:ext cx="477046" cy="1031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111</xdr:row>
      <xdr:rowOff>9525</xdr:rowOff>
    </xdr:from>
    <xdr:to>
      <xdr:col>1</xdr:col>
      <xdr:colOff>304800</xdr:colOff>
      <xdr:row>111</xdr:row>
      <xdr:rowOff>11113</xdr:rowOff>
    </xdr:to>
    <xdr:cxnSp macro="">
      <xdr:nvCxnSpPr>
        <xdr:cNvPr id="902" name="Straight Arrow Connector 901"/>
        <xdr:cNvCxnSpPr/>
      </xdr:nvCxnSpPr>
      <xdr:spPr bwMode="auto">
        <a:xfrm rot="10800000">
          <a:off x="609600" y="17125950"/>
          <a:ext cx="3048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276225</xdr:colOff>
      <xdr:row>111</xdr:row>
      <xdr:rowOff>9525</xdr:rowOff>
    </xdr:from>
    <xdr:to>
      <xdr:col>8</xdr:col>
      <xdr:colOff>85725</xdr:colOff>
      <xdr:row>111</xdr:row>
      <xdr:rowOff>14288</xdr:rowOff>
    </xdr:to>
    <xdr:cxnSp macro="">
      <xdr:nvCxnSpPr>
        <xdr:cNvPr id="910" name="Straight Arrow Connector 909"/>
        <xdr:cNvCxnSpPr/>
      </xdr:nvCxnSpPr>
      <xdr:spPr bwMode="auto">
        <a:xfrm>
          <a:off x="4638675" y="17773650"/>
          <a:ext cx="419100" cy="476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590553</xdr:colOff>
      <xdr:row>114</xdr:row>
      <xdr:rowOff>85724</xdr:rowOff>
    </xdr:from>
    <xdr:to>
      <xdr:col>4</xdr:col>
      <xdr:colOff>200025</xdr:colOff>
      <xdr:row>114</xdr:row>
      <xdr:rowOff>95251</xdr:rowOff>
    </xdr:to>
    <xdr:cxnSp macro="">
      <xdr:nvCxnSpPr>
        <xdr:cNvPr id="770" name="Straight Connector 769"/>
        <xdr:cNvCxnSpPr/>
      </xdr:nvCxnSpPr>
      <xdr:spPr bwMode="auto">
        <a:xfrm rot="10800000" flipV="1">
          <a:off x="590553" y="17687924"/>
          <a:ext cx="2143122" cy="952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180975</xdr:colOff>
      <xdr:row>114</xdr:row>
      <xdr:rowOff>85725</xdr:rowOff>
    </xdr:from>
    <xdr:to>
      <xdr:col>8</xdr:col>
      <xdr:colOff>100012</xdr:colOff>
      <xdr:row>114</xdr:row>
      <xdr:rowOff>95250</xdr:rowOff>
    </xdr:to>
    <xdr:cxnSp macro="">
      <xdr:nvCxnSpPr>
        <xdr:cNvPr id="775" name="Straight Connector 774"/>
        <xdr:cNvCxnSpPr/>
      </xdr:nvCxnSpPr>
      <xdr:spPr bwMode="auto">
        <a:xfrm>
          <a:off x="3324225" y="18335625"/>
          <a:ext cx="1747837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95250</xdr:colOff>
      <xdr:row>113</xdr:row>
      <xdr:rowOff>119063</xdr:rowOff>
    </xdr:from>
    <xdr:to>
      <xdr:col>8</xdr:col>
      <xdr:colOff>95250</xdr:colOff>
      <xdr:row>114</xdr:row>
      <xdr:rowOff>147638</xdr:rowOff>
    </xdr:to>
    <xdr:sp macro="" textlink="">
      <xdr:nvSpPr>
        <xdr:cNvPr id="781" name="Line 99"/>
        <xdr:cNvSpPr>
          <a:spLocks noChangeShapeType="1"/>
        </xdr:cNvSpPr>
      </xdr:nvSpPr>
      <xdr:spPr bwMode="auto">
        <a:xfrm>
          <a:off x="5067300" y="18207038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590550</xdr:colOff>
      <xdr:row>114</xdr:row>
      <xdr:rowOff>28575</xdr:rowOff>
    </xdr:from>
    <xdr:to>
      <xdr:col>0</xdr:col>
      <xdr:colOff>590550</xdr:colOff>
      <xdr:row>115</xdr:row>
      <xdr:rowOff>57150</xdr:rowOff>
    </xdr:to>
    <xdr:sp macro="" textlink="">
      <xdr:nvSpPr>
        <xdr:cNvPr id="782" name="Line 99"/>
        <xdr:cNvSpPr>
          <a:spLocks noChangeShapeType="1"/>
        </xdr:cNvSpPr>
      </xdr:nvSpPr>
      <xdr:spPr bwMode="auto">
        <a:xfrm>
          <a:off x="590550" y="176307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</xdr:colOff>
      <xdr:row>145</xdr:row>
      <xdr:rowOff>76199</xdr:rowOff>
    </xdr:from>
    <xdr:to>
      <xdr:col>4</xdr:col>
      <xdr:colOff>219075</xdr:colOff>
      <xdr:row>145</xdr:row>
      <xdr:rowOff>85726</xdr:rowOff>
    </xdr:to>
    <xdr:cxnSp macro="">
      <xdr:nvCxnSpPr>
        <xdr:cNvPr id="784" name="Straight Connector 783"/>
        <xdr:cNvCxnSpPr/>
      </xdr:nvCxnSpPr>
      <xdr:spPr bwMode="auto">
        <a:xfrm rot="10800000" flipV="1">
          <a:off x="609603" y="22859999"/>
          <a:ext cx="2143122" cy="952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157163</xdr:colOff>
      <xdr:row>135</xdr:row>
      <xdr:rowOff>123825</xdr:rowOff>
    </xdr:from>
    <xdr:to>
      <xdr:col>8</xdr:col>
      <xdr:colOff>157166</xdr:colOff>
      <xdr:row>136</xdr:row>
      <xdr:rowOff>47627</xdr:rowOff>
    </xdr:to>
    <xdr:cxnSp macro="">
      <xdr:nvCxnSpPr>
        <xdr:cNvPr id="790" name="Straight Connector 789"/>
        <xdr:cNvCxnSpPr/>
      </xdr:nvCxnSpPr>
      <xdr:spPr bwMode="auto">
        <a:xfrm rot="16200000" flipH="1">
          <a:off x="5086351" y="21655087"/>
          <a:ext cx="85727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19050</xdr:colOff>
      <xdr:row>104</xdr:row>
      <xdr:rowOff>104773</xdr:rowOff>
    </xdr:from>
    <xdr:to>
      <xdr:col>3</xdr:col>
      <xdr:colOff>242887</xdr:colOff>
      <xdr:row>105</xdr:row>
      <xdr:rowOff>119062</xdr:rowOff>
    </xdr:to>
    <xdr:sp macro="" textlink="">
      <xdr:nvSpPr>
        <xdr:cNvPr id="805" name="Line 73"/>
        <xdr:cNvSpPr>
          <a:spLocks noChangeShapeType="1"/>
        </xdr:cNvSpPr>
      </xdr:nvSpPr>
      <xdr:spPr bwMode="auto">
        <a:xfrm flipV="1">
          <a:off x="1943100" y="16735423"/>
          <a:ext cx="223837" cy="1762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85725</xdr:colOff>
      <xdr:row>104</xdr:row>
      <xdr:rowOff>95250</xdr:rowOff>
    </xdr:from>
    <xdr:to>
      <xdr:col>5</xdr:col>
      <xdr:colOff>328613</xdr:colOff>
      <xdr:row>105</xdr:row>
      <xdr:rowOff>80963</xdr:rowOff>
    </xdr:to>
    <xdr:sp macro="" textlink="">
      <xdr:nvSpPr>
        <xdr:cNvPr id="812" name="Line 75"/>
        <xdr:cNvSpPr>
          <a:spLocks noChangeShapeType="1"/>
        </xdr:cNvSpPr>
      </xdr:nvSpPr>
      <xdr:spPr bwMode="auto">
        <a:xfrm>
          <a:off x="3228975" y="16725900"/>
          <a:ext cx="242888" cy="14763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238125</xdr:colOff>
      <xdr:row>104</xdr:row>
      <xdr:rowOff>95250</xdr:rowOff>
    </xdr:from>
    <xdr:to>
      <xdr:col>5</xdr:col>
      <xdr:colOff>85725</xdr:colOff>
      <xdr:row>104</xdr:row>
      <xdr:rowOff>104776</xdr:rowOff>
    </xdr:to>
    <xdr:cxnSp macro="">
      <xdr:nvCxnSpPr>
        <xdr:cNvPr id="813" name="Straight Connector 812"/>
        <xdr:cNvCxnSpPr>
          <a:endCxn id="812" idx="0"/>
        </xdr:cNvCxnSpPr>
      </xdr:nvCxnSpPr>
      <xdr:spPr bwMode="auto">
        <a:xfrm flipV="1">
          <a:off x="2162175" y="16725900"/>
          <a:ext cx="106680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209550</xdr:colOff>
      <xdr:row>105</xdr:row>
      <xdr:rowOff>114300</xdr:rowOff>
    </xdr:from>
    <xdr:to>
      <xdr:col>3</xdr:col>
      <xdr:colOff>19050</xdr:colOff>
      <xdr:row>105</xdr:row>
      <xdr:rowOff>115888</xdr:rowOff>
    </xdr:to>
    <xdr:cxnSp macro="">
      <xdr:nvCxnSpPr>
        <xdr:cNvPr id="814" name="Straight Connector 813"/>
        <xdr:cNvCxnSpPr/>
      </xdr:nvCxnSpPr>
      <xdr:spPr bwMode="auto">
        <a:xfrm>
          <a:off x="819150" y="16906875"/>
          <a:ext cx="11239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323850</xdr:colOff>
      <xdr:row>105</xdr:row>
      <xdr:rowOff>76200</xdr:rowOff>
    </xdr:from>
    <xdr:to>
      <xdr:col>8</xdr:col>
      <xdr:colOff>76200</xdr:colOff>
      <xdr:row>105</xdr:row>
      <xdr:rowOff>77788</xdr:rowOff>
    </xdr:to>
    <xdr:cxnSp macro="">
      <xdr:nvCxnSpPr>
        <xdr:cNvPr id="815" name="Straight Connector 814"/>
        <xdr:cNvCxnSpPr/>
      </xdr:nvCxnSpPr>
      <xdr:spPr bwMode="auto">
        <a:xfrm>
          <a:off x="3467100" y="16868775"/>
          <a:ext cx="15811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</xdr:colOff>
      <xdr:row>105</xdr:row>
      <xdr:rowOff>4763</xdr:rowOff>
    </xdr:from>
    <xdr:to>
      <xdr:col>1</xdr:col>
      <xdr:colOff>4767</xdr:colOff>
      <xdr:row>105</xdr:row>
      <xdr:rowOff>109542</xdr:rowOff>
    </xdr:to>
    <xdr:cxnSp macro="">
      <xdr:nvCxnSpPr>
        <xdr:cNvPr id="816" name="Straight Connector 815"/>
        <xdr:cNvCxnSpPr/>
      </xdr:nvCxnSpPr>
      <xdr:spPr bwMode="auto">
        <a:xfrm rot="5400000" flipH="1" flipV="1">
          <a:off x="559594" y="16847345"/>
          <a:ext cx="104779" cy="476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</xdr:colOff>
      <xdr:row>105</xdr:row>
      <xdr:rowOff>114300</xdr:rowOff>
    </xdr:from>
    <xdr:to>
      <xdr:col>1</xdr:col>
      <xdr:colOff>238126</xdr:colOff>
      <xdr:row>105</xdr:row>
      <xdr:rowOff>114302</xdr:rowOff>
    </xdr:to>
    <xdr:cxnSp macro="">
      <xdr:nvCxnSpPr>
        <xdr:cNvPr id="821" name="Straight Connector 820"/>
        <xdr:cNvCxnSpPr/>
      </xdr:nvCxnSpPr>
      <xdr:spPr bwMode="auto">
        <a:xfrm rot="10800000" flipV="1">
          <a:off x="609601" y="16906875"/>
          <a:ext cx="238125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180975</xdr:colOff>
      <xdr:row>105</xdr:row>
      <xdr:rowOff>66675</xdr:rowOff>
    </xdr:from>
    <xdr:to>
      <xdr:col>1</xdr:col>
      <xdr:colOff>180975</xdr:colOff>
      <xdr:row>109</xdr:row>
      <xdr:rowOff>66675</xdr:rowOff>
    </xdr:to>
    <xdr:sp macro="" textlink="">
      <xdr:nvSpPr>
        <xdr:cNvPr id="913" name="Line 78"/>
        <xdr:cNvSpPr>
          <a:spLocks noChangeShapeType="1"/>
        </xdr:cNvSpPr>
      </xdr:nvSpPr>
      <xdr:spPr bwMode="auto">
        <a:xfrm>
          <a:off x="790575" y="16859250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542925</xdr:colOff>
      <xdr:row>105</xdr:row>
      <xdr:rowOff>47625</xdr:rowOff>
    </xdr:from>
    <xdr:to>
      <xdr:col>7</xdr:col>
      <xdr:colOff>542925</xdr:colOff>
      <xdr:row>109</xdr:row>
      <xdr:rowOff>47625</xdr:rowOff>
    </xdr:to>
    <xdr:sp macro="" textlink="">
      <xdr:nvSpPr>
        <xdr:cNvPr id="917" name="Line 78"/>
        <xdr:cNvSpPr>
          <a:spLocks noChangeShapeType="1"/>
        </xdr:cNvSpPr>
      </xdr:nvSpPr>
      <xdr:spPr bwMode="auto">
        <a:xfrm>
          <a:off x="4905375" y="16840200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71441</xdr:colOff>
      <xdr:row>104</xdr:row>
      <xdr:rowOff>152404</xdr:rowOff>
    </xdr:from>
    <xdr:to>
      <xdr:col>8</xdr:col>
      <xdr:colOff>76200</xdr:colOff>
      <xdr:row>105</xdr:row>
      <xdr:rowOff>80963</xdr:rowOff>
    </xdr:to>
    <xdr:cxnSp macro="">
      <xdr:nvCxnSpPr>
        <xdr:cNvPr id="920" name="Straight Connector 919"/>
        <xdr:cNvCxnSpPr/>
      </xdr:nvCxnSpPr>
      <xdr:spPr bwMode="auto">
        <a:xfrm rot="16200000" flipV="1">
          <a:off x="5000629" y="16825916"/>
          <a:ext cx="90484" cy="475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0</xdr:colOff>
      <xdr:row>135</xdr:row>
      <xdr:rowOff>71437</xdr:rowOff>
    </xdr:from>
    <xdr:to>
      <xdr:col>3</xdr:col>
      <xdr:colOff>219075</xdr:colOff>
      <xdr:row>136</xdr:row>
      <xdr:rowOff>95249</xdr:rowOff>
    </xdr:to>
    <xdr:sp macro="" textlink="">
      <xdr:nvSpPr>
        <xdr:cNvPr id="940" name="Line 73"/>
        <xdr:cNvSpPr>
          <a:spLocks noChangeShapeType="1"/>
        </xdr:cNvSpPr>
      </xdr:nvSpPr>
      <xdr:spPr bwMode="auto">
        <a:xfrm flipV="1">
          <a:off x="1924050" y="21559837"/>
          <a:ext cx="219075" cy="18573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209550</xdr:colOff>
      <xdr:row>135</xdr:row>
      <xdr:rowOff>76200</xdr:rowOff>
    </xdr:from>
    <xdr:to>
      <xdr:col>5</xdr:col>
      <xdr:colOff>57149</xdr:colOff>
      <xdr:row>135</xdr:row>
      <xdr:rowOff>85726</xdr:rowOff>
    </xdr:to>
    <xdr:cxnSp macro="">
      <xdr:nvCxnSpPr>
        <xdr:cNvPr id="944" name="Straight Connector 943"/>
        <xdr:cNvCxnSpPr>
          <a:endCxn id="942" idx="0"/>
        </xdr:cNvCxnSpPr>
      </xdr:nvCxnSpPr>
      <xdr:spPr bwMode="auto">
        <a:xfrm flipV="1">
          <a:off x="2133600" y="21564600"/>
          <a:ext cx="1066799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</xdr:colOff>
      <xdr:row>136</xdr:row>
      <xdr:rowOff>4763</xdr:rowOff>
    </xdr:from>
    <xdr:to>
      <xdr:col>1</xdr:col>
      <xdr:colOff>4</xdr:colOff>
      <xdr:row>136</xdr:row>
      <xdr:rowOff>90490</xdr:rowOff>
    </xdr:to>
    <xdr:cxnSp macro="">
      <xdr:nvCxnSpPr>
        <xdr:cNvPr id="965" name="Straight Connector 964"/>
        <xdr:cNvCxnSpPr/>
      </xdr:nvCxnSpPr>
      <xdr:spPr bwMode="auto">
        <a:xfrm rot="16200000" flipH="1">
          <a:off x="566739" y="21697950"/>
          <a:ext cx="85727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557214</xdr:colOff>
      <xdr:row>129</xdr:row>
      <xdr:rowOff>157163</xdr:rowOff>
    </xdr:from>
    <xdr:to>
      <xdr:col>7</xdr:col>
      <xdr:colOff>561976</xdr:colOff>
      <xdr:row>131</xdr:row>
      <xdr:rowOff>95250</xdr:rowOff>
    </xdr:to>
    <xdr:cxnSp macro="">
      <xdr:nvCxnSpPr>
        <xdr:cNvPr id="967" name="Straight Connector 966"/>
        <xdr:cNvCxnSpPr/>
      </xdr:nvCxnSpPr>
      <xdr:spPr bwMode="auto">
        <a:xfrm rot="16200000" flipV="1">
          <a:off x="4791076" y="20802601"/>
          <a:ext cx="261937" cy="4762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cxnSp>
    <xdr:clientData/>
  </xdr:twoCellAnchor>
  <xdr:twoCellAnchor>
    <xdr:from>
      <xdr:col>1</xdr:col>
      <xdr:colOff>219077</xdr:colOff>
      <xdr:row>133</xdr:row>
      <xdr:rowOff>33338</xdr:rowOff>
    </xdr:from>
    <xdr:to>
      <xdr:col>1</xdr:col>
      <xdr:colOff>223839</xdr:colOff>
      <xdr:row>135</xdr:row>
      <xdr:rowOff>3</xdr:rowOff>
    </xdr:to>
    <xdr:cxnSp macro="">
      <xdr:nvCxnSpPr>
        <xdr:cNvPr id="969" name="Straight Connector 968"/>
        <xdr:cNvCxnSpPr/>
      </xdr:nvCxnSpPr>
      <xdr:spPr bwMode="auto">
        <a:xfrm rot="16200000" flipV="1">
          <a:off x="685800" y="21340765"/>
          <a:ext cx="290515" cy="4762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cxnSp>
    <xdr:clientData/>
  </xdr:twoCellAnchor>
  <xdr:twoCellAnchor>
    <xdr:from>
      <xdr:col>0</xdr:col>
      <xdr:colOff>14288</xdr:colOff>
      <xdr:row>134</xdr:row>
      <xdr:rowOff>157163</xdr:rowOff>
    </xdr:from>
    <xdr:to>
      <xdr:col>1</xdr:col>
      <xdr:colOff>228600</xdr:colOff>
      <xdr:row>135</xdr:row>
      <xdr:rowOff>0</xdr:rowOff>
    </xdr:to>
    <xdr:cxnSp macro="">
      <xdr:nvCxnSpPr>
        <xdr:cNvPr id="973" name="Straight Connector 972"/>
        <xdr:cNvCxnSpPr/>
      </xdr:nvCxnSpPr>
      <xdr:spPr bwMode="auto">
        <a:xfrm rot="10800000" flipV="1">
          <a:off x="14288" y="21483638"/>
          <a:ext cx="823912" cy="476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6</xdr:col>
      <xdr:colOff>314325</xdr:colOff>
      <xdr:row>51</xdr:row>
      <xdr:rowOff>66675</xdr:rowOff>
    </xdr:from>
    <xdr:to>
      <xdr:col>6</xdr:col>
      <xdr:colOff>581025</xdr:colOff>
      <xdr:row>53</xdr:row>
      <xdr:rowOff>47625</xdr:rowOff>
    </xdr:to>
    <xdr:cxnSp macro="">
      <xdr:nvCxnSpPr>
        <xdr:cNvPr id="794" name="Straight Arrow Connector 793"/>
        <xdr:cNvCxnSpPr>
          <a:endCxn id="408621" idx="1"/>
        </xdr:cNvCxnSpPr>
      </xdr:nvCxnSpPr>
      <xdr:spPr bwMode="auto">
        <a:xfrm rot="5400000" flipH="1" flipV="1">
          <a:off x="4048125" y="8458200"/>
          <a:ext cx="304800" cy="2667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cxnSp>
    <xdr:clientData/>
  </xdr:twoCellAnchor>
  <xdr:twoCellAnchor>
    <xdr:from>
      <xdr:col>1</xdr:col>
      <xdr:colOff>609599</xdr:colOff>
      <xdr:row>48</xdr:row>
      <xdr:rowOff>104775</xdr:rowOff>
    </xdr:from>
    <xdr:to>
      <xdr:col>3</xdr:col>
      <xdr:colOff>0</xdr:colOff>
      <xdr:row>48</xdr:row>
      <xdr:rowOff>106363</xdr:rowOff>
    </xdr:to>
    <xdr:cxnSp macro="">
      <xdr:nvCxnSpPr>
        <xdr:cNvPr id="771" name="Straight Connector 770"/>
        <xdr:cNvCxnSpPr/>
      </xdr:nvCxnSpPr>
      <xdr:spPr bwMode="auto">
        <a:xfrm>
          <a:off x="1219199" y="7991475"/>
          <a:ext cx="704851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323850</xdr:colOff>
      <xdr:row>102</xdr:row>
      <xdr:rowOff>76200</xdr:rowOff>
    </xdr:from>
    <xdr:to>
      <xdr:col>2</xdr:col>
      <xdr:colOff>38100</xdr:colOff>
      <xdr:row>102</xdr:row>
      <xdr:rowOff>77788</xdr:rowOff>
    </xdr:to>
    <xdr:cxnSp macro="">
      <xdr:nvCxnSpPr>
        <xdr:cNvPr id="776" name="Straight Connector 775"/>
        <xdr:cNvCxnSpPr/>
      </xdr:nvCxnSpPr>
      <xdr:spPr bwMode="auto">
        <a:xfrm>
          <a:off x="933450" y="16706850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101</xdr:row>
      <xdr:rowOff>95250</xdr:rowOff>
    </xdr:from>
    <xdr:to>
      <xdr:col>7</xdr:col>
      <xdr:colOff>323850</xdr:colOff>
      <xdr:row>101</xdr:row>
      <xdr:rowOff>96838</xdr:rowOff>
    </xdr:to>
    <xdr:cxnSp macro="">
      <xdr:nvCxnSpPr>
        <xdr:cNvPr id="779" name="Straight Connector 778"/>
        <xdr:cNvCxnSpPr/>
      </xdr:nvCxnSpPr>
      <xdr:spPr bwMode="auto">
        <a:xfrm>
          <a:off x="4362450" y="16563975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128</xdr:row>
      <xdr:rowOff>152400</xdr:rowOff>
    </xdr:from>
    <xdr:to>
      <xdr:col>8</xdr:col>
      <xdr:colOff>171450</xdr:colOff>
      <xdr:row>146</xdr:row>
      <xdr:rowOff>28575</xdr:rowOff>
    </xdr:to>
    <xdr:grpSp>
      <xdr:nvGrpSpPr>
        <xdr:cNvPr id="2" name="Group 1"/>
        <xdr:cNvGrpSpPr/>
      </xdr:nvGrpSpPr>
      <xdr:grpSpPr>
        <a:xfrm>
          <a:off x="609600" y="21069300"/>
          <a:ext cx="4533900" cy="2790825"/>
          <a:chOff x="609600" y="21069300"/>
          <a:chExt cx="4533900" cy="2790825"/>
        </a:xfrm>
      </xdr:grpSpPr>
      <xdr:sp macro="" textlink="">
        <xdr:nvSpPr>
          <xdr:cNvPr id="492" name="Line 75"/>
          <xdr:cNvSpPr>
            <a:spLocks noChangeShapeType="1"/>
          </xdr:cNvSpPr>
        </xdr:nvSpPr>
        <xdr:spPr bwMode="auto">
          <a:xfrm>
            <a:off x="3200399" y="22040850"/>
            <a:ext cx="238125" cy="1428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3" name="Line 77"/>
          <xdr:cNvSpPr>
            <a:spLocks noChangeShapeType="1"/>
          </xdr:cNvSpPr>
        </xdr:nvSpPr>
        <xdr:spPr bwMode="auto">
          <a:xfrm>
            <a:off x="4914900" y="22221825"/>
            <a:ext cx="0" cy="638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94" name="Line 78"/>
          <xdr:cNvSpPr>
            <a:spLocks noChangeShapeType="1"/>
          </xdr:cNvSpPr>
        </xdr:nvSpPr>
        <xdr:spPr bwMode="auto">
          <a:xfrm>
            <a:off x="828675" y="22269450"/>
            <a:ext cx="0" cy="6477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05" name="Line 88"/>
          <xdr:cNvSpPr>
            <a:spLocks noChangeShapeType="1"/>
          </xdr:cNvSpPr>
        </xdr:nvSpPr>
        <xdr:spPr bwMode="auto">
          <a:xfrm>
            <a:off x="828675" y="23417212"/>
            <a:ext cx="0" cy="23812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0" name="Line 110"/>
          <xdr:cNvSpPr>
            <a:spLocks noChangeShapeType="1"/>
          </xdr:cNvSpPr>
        </xdr:nvSpPr>
        <xdr:spPr bwMode="auto">
          <a:xfrm>
            <a:off x="4695825" y="21659850"/>
            <a:ext cx="0" cy="55245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2" name="Line 148"/>
          <xdr:cNvSpPr>
            <a:spLocks noChangeShapeType="1"/>
          </xdr:cNvSpPr>
        </xdr:nvSpPr>
        <xdr:spPr bwMode="auto">
          <a:xfrm>
            <a:off x="923925" y="21802725"/>
            <a:ext cx="0" cy="4095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28" name="Line 155"/>
          <xdr:cNvSpPr>
            <a:spLocks noChangeShapeType="1"/>
          </xdr:cNvSpPr>
        </xdr:nvSpPr>
        <xdr:spPr bwMode="auto">
          <a:xfrm flipH="1">
            <a:off x="876300" y="22783800"/>
            <a:ext cx="180975" cy="3714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529" name="Line 156"/>
          <xdr:cNvSpPr>
            <a:spLocks noChangeShapeType="1"/>
          </xdr:cNvSpPr>
        </xdr:nvSpPr>
        <xdr:spPr bwMode="auto">
          <a:xfrm>
            <a:off x="1047750" y="22793325"/>
            <a:ext cx="17145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31" name="Line 159"/>
          <xdr:cNvSpPr>
            <a:spLocks noChangeShapeType="1"/>
          </xdr:cNvSpPr>
        </xdr:nvSpPr>
        <xdr:spPr bwMode="auto">
          <a:xfrm>
            <a:off x="4591050" y="22783800"/>
            <a:ext cx="190500" cy="40005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532" name="Line 160"/>
          <xdr:cNvSpPr>
            <a:spLocks noChangeShapeType="1"/>
          </xdr:cNvSpPr>
        </xdr:nvSpPr>
        <xdr:spPr bwMode="auto">
          <a:xfrm flipH="1">
            <a:off x="4371975" y="22783800"/>
            <a:ext cx="20955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535" name="Straight Connector 534"/>
          <xdr:cNvCxnSpPr/>
        </xdr:nvCxnSpPr>
        <xdr:spPr bwMode="auto">
          <a:xfrm flipV="1">
            <a:off x="1247774" y="21078825"/>
            <a:ext cx="895351" cy="714376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537" name="Straight Connector 536"/>
          <xdr:cNvCxnSpPr>
            <a:endCxn id="492" idx="0"/>
          </xdr:cNvCxnSpPr>
        </xdr:nvCxnSpPr>
        <xdr:spPr bwMode="auto">
          <a:xfrm flipV="1">
            <a:off x="2133600" y="22040850"/>
            <a:ext cx="1066799" cy="9526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538" name="Straight Connector 537"/>
          <xdr:cNvCxnSpPr/>
        </xdr:nvCxnSpPr>
        <xdr:spPr bwMode="auto">
          <a:xfrm>
            <a:off x="614363" y="22217063"/>
            <a:ext cx="1319212" cy="4762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539" name="Straight Connector 538"/>
          <xdr:cNvCxnSpPr/>
        </xdr:nvCxnSpPr>
        <xdr:spPr bwMode="auto">
          <a:xfrm flipV="1">
            <a:off x="3438525" y="22174200"/>
            <a:ext cx="1695450" cy="9525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540" name="Straight Connector 539"/>
          <xdr:cNvCxnSpPr/>
        </xdr:nvCxnSpPr>
        <xdr:spPr bwMode="auto">
          <a:xfrm flipV="1">
            <a:off x="2133600" y="21069300"/>
            <a:ext cx="1095375" cy="9525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541" name="Straight Arrow Connector 540"/>
          <xdr:cNvCxnSpPr/>
        </xdr:nvCxnSpPr>
        <xdr:spPr bwMode="auto">
          <a:xfrm>
            <a:off x="2228850" y="23202899"/>
            <a:ext cx="1000125" cy="1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triangle" w="med" len="med"/>
            <a:tailEnd type="triangle" w="med" len="med"/>
          </a:ln>
          <a:effectLst/>
        </xdr:spPr>
      </xdr:cxnSp>
      <xdr:cxnSp macro="">
        <xdr:nvCxnSpPr>
          <xdr:cNvPr id="542" name="Straight Connector 541"/>
          <xdr:cNvCxnSpPr/>
        </xdr:nvCxnSpPr>
        <xdr:spPr bwMode="auto">
          <a:xfrm flipV="1">
            <a:off x="3267075" y="23193375"/>
            <a:ext cx="1390650" cy="9525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triangle" w="med" len="med"/>
            <a:tailEnd type="triangle" w="med" len="med"/>
          </a:ln>
          <a:effectLst/>
        </xdr:spPr>
      </xdr:cxnSp>
      <xdr:cxnSp macro="">
        <xdr:nvCxnSpPr>
          <xdr:cNvPr id="543" name="Straight Arrow Connector 542"/>
          <xdr:cNvCxnSpPr/>
        </xdr:nvCxnSpPr>
        <xdr:spPr bwMode="auto">
          <a:xfrm>
            <a:off x="933452" y="23193378"/>
            <a:ext cx="1276348" cy="19047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triangle" w="med" len="med"/>
            <a:tailEnd type="triangle" w="med" len="med"/>
          </a:ln>
          <a:effectLst/>
        </xdr:spPr>
      </xdr:cxnSp>
      <xdr:cxnSp macro="">
        <xdr:nvCxnSpPr>
          <xdr:cNvPr id="889" name="Straight Connector 888"/>
          <xdr:cNvCxnSpPr/>
        </xdr:nvCxnSpPr>
        <xdr:spPr bwMode="auto">
          <a:xfrm>
            <a:off x="2133600" y="21536025"/>
            <a:ext cx="1085850" cy="9525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890" name="Straight Connector 889"/>
          <xdr:cNvCxnSpPr/>
        </xdr:nvCxnSpPr>
        <xdr:spPr bwMode="auto">
          <a:xfrm rot="5400000" flipH="1" flipV="1">
            <a:off x="2038350" y="21259801"/>
            <a:ext cx="390525" cy="9525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893" name="Straight Connector 892"/>
          <xdr:cNvCxnSpPr/>
        </xdr:nvCxnSpPr>
        <xdr:spPr bwMode="auto">
          <a:xfrm rot="5400000" flipH="1" flipV="1">
            <a:off x="1904208" y="21307425"/>
            <a:ext cx="467520" cy="10320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894" name="Straight Connector 893"/>
          <xdr:cNvCxnSpPr/>
        </xdr:nvCxnSpPr>
        <xdr:spPr bwMode="auto">
          <a:xfrm rot="5400000" flipH="1" flipV="1">
            <a:off x="2928937" y="21283614"/>
            <a:ext cx="409577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785" name="Straight Connector 784"/>
          <xdr:cNvCxnSpPr/>
        </xdr:nvCxnSpPr>
        <xdr:spPr bwMode="auto">
          <a:xfrm>
            <a:off x="3400425" y="23755350"/>
            <a:ext cx="173355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triangle" w="med" len="med"/>
          </a:ln>
          <a:effectLst/>
        </xdr:spPr>
      </xdr:cxnSp>
      <xdr:sp macro="" textlink="">
        <xdr:nvSpPr>
          <xdr:cNvPr id="787" name="Line 99"/>
          <xdr:cNvSpPr>
            <a:spLocks noChangeShapeType="1"/>
          </xdr:cNvSpPr>
        </xdr:nvSpPr>
        <xdr:spPr bwMode="auto">
          <a:xfrm>
            <a:off x="5143500" y="23669625"/>
            <a:ext cx="0" cy="1905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88" name="Line 99"/>
          <xdr:cNvSpPr>
            <a:spLocks noChangeShapeType="1"/>
          </xdr:cNvSpPr>
        </xdr:nvSpPr>
        <xdr:spPr bwMode="auto">
          <a:xfrm>
            <a:off x="609600" y="23650575"/>
            <a:ext cx="0" cy="1905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797" name="Straight Connector 796"/>
          <xdr:cNvCxnSpPr/>
        </xdr:nvCxnSpPr>
        <xdr:spPr bwMode="auto">
          <a:xfrm>
            <a:off x="4648200" y="23183850"/>
            <a:ext cx="495300" cy="9525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triangle" w="med" len="med"/>
            <a:tailEnd type="triangle" w="med" len="med"/>
          </a:ln>
          <a:effectLst/>
        </xdr:spPr>
      </xdr:cxnSp>
      <xdr:sp macro="" textlink="">
        <xdr:nvSpPr>
          <xdr:cNvPr id="942" name="Line 75"/>
          <xdr:cNvSpPr>
            <a:spLocks noChangeShapeType="1"/>
          </xdr:cNvSpPr>
        </xdr:nvSpPr>
        <xdr:spPr bwMode="auto">
          <a:xfrm>
            <a:off x="3200399" y="22126575"/>
            <a:ext cx="233363" cy="1428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946" name="Straight Connector 945"/>
          <xdr:cNvCxnSpPr/>
        </xdr:nvCxnSpPr>
        <xdr:spPr bwMode="auto">
          <a:xfrm>
            <a:off x="614363" y="22307550"/>
            <a:ext cx="1319212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947" name="Straight Connector 946"/>
          <xdr:cNvCxnSpPr/>
        </xdr:nvCxnSpPr>
        <xdr:spPr bwMode="auto">
          <a:xfrm flipV="1">
            <a:off x="3438525" y="22259925"/>
            <a:ext cx="1695450" cy="9525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977" name="Straight Arrow Connector 976"/>
          <xdr:cNvCxnSpPr/>
        </xdr:nvCxnSpPr>
        <xdr:spPr bwMode="auto">
          <a:xfrm rot="16200000" flipH="1" flipV="1">
            <a:off x="769143" y="23024304"/>
            <a:ext cx="9527" cy="328613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triangle" w="med" len="med"/>
            <a:tailEnd type="triangle" w="med" len="med"/>
          </a:ln>
          <a:effectLst/>
        </xdr:spPr>
      </xdr:cxnSp>
      <xdr:cxnSp macro="">
        <xdr:nvCxnSpPr>
          <xdr:cNvPr id="986" name="Straight Connector 985"/>
          <xdr:cNvCxnSpPr/>
        </xdr:nvCxnSpPr>
        <xdr:spPr bwMode="auto">
          <a:xfrm flipV="1">
            <a:off x="828675" y="23498175"/>
            <a:ext cx="4086225" cy="2381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</xdr:spPr>
      </xdr:cxnSp>
      <xdr:cxnSp macro="">
        <xdr:nvCxnSpPr>
          <xdr:cNvPr id="792" name="Straight Connector 791"/>
          <xdr:cNvCxnSpPr/>
        </xdr:nvCxnSpPr>
        <xdr:spPr bwMode="auto">
          <a:xfrm>
            <a:off x="933450" y="21793200"/>
            <a:ext cx="32385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796" name="Straight Connector 795"/>
          <xdr:cNvCxnSpPr/>
        </xdr:nvCxnSpPr>
        <xdr:spPr bwMode="auto">
          <a:xfrm>
            <a:off x="4362450" y="21669375"/>
            <a:ext cx="32385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>
    <xdr:from>
      <xdr:col>8</xdr:col>
      <xdr:colOff>438150</xdr:colOff>
      <xdr:row>305</xdr:row>
      <xdr:rowOff>9525</xdr:rowOff>
    </xdr:from>
    <xdr:to>
      <xdr:col>9</xdr:col>
      <xdr:colOff>85725</xdr:colOff>
      <xdr:row>305</xdr:row>
      <xdr:rowOff>9525</xdr:rowOff>
    </xdr:to>
    <xdr:sp macro="" textlink="">
      <xdr:nvSpPr>
        <xdr:cNvPr id="772" name="Line 41"/>
        <xdr:cNvSpPr>
          <a:spLocks noChangeShapeType="1"/>
        </xdr:cNvSpPr>
      </xdr:nvSpPr>
      <xdr:spPr bwMode="auto">
        <a:xfrm>
          <a:off x="5410200" y="4886325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283</xdr:row>
      <xdr:rowOff>2</xdr:rowOff>
    </xdr:from>
    <xdr:to>
      <xdr:col>2</xdr:col>
      <xdr:colOff>371475</xdr:colOff>
      <xdr:row>283</xdr:row>
      <xdr:rowOff>9525</xdr:rowOff>
    </xdr:to>
    <xdr:cxnSp macro="">
      <xdr:nvCxnSpPr>
        <xdr:cNvPr id="783" name="Straight Connector 782"/>
        <xdr:cNvCxnSpPr/>
      </xdr:nvCxnSpPr>
      <xdr:spPr bwMode="auto">
        <a:xfrm>
          <a:off x="1228725" y="44643677"/>
          <a:ext cx="361950" cy="952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9525</xdr:colOff>
      <xdr:row>283</xdr:row>
      <xdr:rowOff>0</xdr:rowOff>
    </xdr:from>
    <xdr:to>
      <xdr:col>6</xdr:col>
      <xdr:colOff>295275</xdr:colOff>
      <xdr:row>283</xdr:row>
      <xdr:rowOff>2</xdr:rowOff>
    </xdr:to>
    <xdr:cxnSp macro="">
      <xdr:nvCxnSpPr>
        <xdr:cNvPr id="799" name="Straight Connector 798"/>
        <xdr:cNvCxnSpPr/>
      </xdr:nvCxnSpPr>
      <xdr:spPr bwMode="auto">
        <a:xfrm flipV="1">
          <a:off x="3762375" y="44157900"/>
          <a:ext cx="285750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9524</xdr:colOff>
      <xdr:row>278</xdr:row>
      <xdr:rowOff>85725</xdr:rowOff>
    </xdr:from>
    <xdr:to>
      <xdr:col>6</xdr:col>
      <xdr:colOff>9525</xdr:colOff>
      <xdr:row>282</xdr:row>
      <xdr:rowOff>19054</xdr:rowOff>
    </xdr:to>
    <xdr:cxnSp macro="">
      <xdr:nvCxnSpPr>
        <xdr:cNvPr id="826" name="Straight Connector 825"/>
        <xdr:cNvCxnSpPr>
          <a:stCxn id="595" idx="1"/>
        </xdr:cNvCxnSpPr>
      </xdr:nvCxnSpPr>
      <xdr:spPr bwMode="auto">
        <a:xfrm rot="16200000" flipH="1">
          <a:off x="3471860" y="44857989"/>
          <a:ext cx="581029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9524</xdr:colOff>
      <xdr:row>265</xdr:row>
      <xdr:rowOff>0</xdr:rowOff>
    </xdr:from>
    <xdr:to>
      <xdr:col>6</xdr:col>
      <xdr:colOff>9525</xdr:colOff>
      <xdr:row>268</xdr:row>
      <xdr:rowOff>95254</xdr:rowOff>
    </xdr:to>
    <xdr:cxnSp macro="">
      <xdr:nvCxnSpPr>
        <xdr:cNvPr id="829" name="Straight Connector 828"/>
        <xdr:cNvCxnSpPr/>
      </xdr:nvCxnSpPr>
      <xdr:spPr bwMode="auto">
        <a:xfrm rot="16200000" flipH="1">
          <a:off x="3471860" y="42667239"/>
          <a:ext cx="581029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533400</xdr:colOff>
      <xdr:row>279</xdr:row>
      <xdr:rowOff>794</xdr:rowOff>
    </xdr:from>
    <xdr:to>
      <xdr:col>5</xdr:col>
      <xdr:colOff>534194</xdr:colOff>
      <xdr:row>282</xdr:row>
      <xdr:rowOff>9525</xdr:rowOff>
    </xdr:to>
    <xdr:cxnSp macro="">
      <xdr:nvCxnSpPr>
        <xdr:cNvPr id="832" name="Straight Connector 831"/>
        <xdr:cNvCxnSpPr/>
      </xdr:nvCxnSpPr>
      <xdr:spPr bwMode="auto">
        <a:xfrm rot="5400000">
          <a:off x="3429794" y="44891325"/>
          <a:ext cx="494506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238123</xdr:colOff>
      <xdr:row>278</xdr:row>
      <xdr:rowOff>133350</xdr:rowOff>
    </xdr:from>
    <xdr:to>
      <xdr:col>5</xdr:col>
      <xdr:colOff>238124</xdr:colOff>
      <xdr:row>282</xdr:row>
      <xdr:rowOff>19050</xdr:rowOff>
    </xdr:to>
    <xdr:cxnSp macro="">
      <xdr:nvCxnSpPr>
        <xdr:cNvPr id="833" name="Straight Connector 832"/>
        <xdr:cNvCxnSpPr/>
      </xdr:nvCxnSpPr>
      <xdr:spPr bwMode="auto">
        <a:xfrm rot="16200000" flipH="1">
          <a:off x="3114674" y="44881799"/>
          <a:ext cx="53340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514352</xdr:colOff>
      <xdr:row>265</xdr:row>
      <xdr:rowOff>9525</xdr:rowOff>
    </xdr:from>
    <xdr:to>
      <xdr:col>5</xdr:col>
      <xdr:colOff>523875</xdr:colOff>
      <xdr:row>268</xdr:row>
      <xdr:rowOff>47625</xdr:rowOff>
    </xdr:to>
    <xdr:cxnSp macro="">
      <xdr:nvCxnSpPr>
        <xdr:cNvPr id="899" name="Straight Connector 898"/>
        <xdr:cNvCxnSpPr>
          <a:endCxn id="592" idx="1"/>
        </xdr:cNvCxnSpPr>
      </xdr:nvCxnSpPr>
      <xdr:spPr bwMode="auto">
        <a:xfrm rot="5400000">
          <a:off x="3400426" y="42643426"/>
          <a:ext cx="523875" cy="952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295274</xdr:colOff>
      <xdr:row>265</xdr:row>
      <xdr:rowOff>9525</xdr:rowOff>
    </xdr:from>
    <xdr:to>
      <xdr:col>5</xdr:col>
      <xdr:colOff>295275</xdr:colOff>
      <xdr:row>268</xdr:row>
      <xdr:rowOff>104779</xdr:rowOff>
    </xdr:to>
    <xdr:cxnSp macro="">
      <xdr:nvCxnSpPr>
        <xdr:cNvPr id="904" name="Straight Connector 903"/>
        <xdr:cNvCxnSpPr/>
      </xdr:nvCxnSpPr>
      <xdr:spPr bwMode="auto">
        <a:xfrm rot="16200000" flipH="1">
          <a:off x="3148010" y="42676764"/>
          <a:ext cx="581029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190500</xdr:colOff>
      <xdr:row>294</xdr:row>
      <xdr:rowOff>152399</xdr:rowOff>
    </xdr:from>
    <xdr:to>
      <xdr:col>7</xdr:col>
      <xdr:colOff>209550</xdr:colOff>
      <xdr:row>303</xdr:row>
      <xdr:rowOff>76199</xdr:rowOff>
    </xdr:to>
    <xdr:cxnSp macro="">
      <xdr:nvCxnSpPr>
        <xdr:cNvPr id="931" name="Straight Connector 930"/>
        <xdr:cNvCxnSpPr>
          <a:stCxn id="671" idx="1"/>
        </xdr:cNvCxnSpPr>
      </xdr:nvCxnSpPr>
      <xdr:spPr bwMode="auto">
        <a:xfrm rot="16200000" flipH="1">
          <a:off x="3871912" y="47905987"/>
          <a:ext cx="1381125" cy="190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8</xdr:col>
      <xdr:colOff>600077</xdr:colOff>
      <xdr:row>295</xdr:row>
      <xdr:rowOff>9526</xdr:rowOff>
    </xdr:from>
    <xdr:to>
      <xdr:col>9</xdr:col>
      <xdr:colOff>0</xdr:colOff>
      <xdr:row>303</xdr:row>
      <xdr:rowOff>85726</xdr:rowOff>
    </xdr:to>
    <xdr:cxnSp macro="">
      <xdr:nvCxnSpPr>
        <xdr:cNvPr id="932" name="Straight Connector 931"/>
        <xdr:cNvCxnSpPr/>
      </xdr:nvCxnSpPr>
      <xdr:spPr bwMode="auto">
        <a:xfrm rot="5400000">
          <a:off x="4891089" y="47925039"/>
          <a:ext cx="1371600" cy="9523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cxnSp>
    <xdr:clientData/>
  </xdr:twoCellAnchor>
  <xdr:twoCellAnchor>
    <xdr:from>
      <xdr:col>8</xdr:col>
      <xdr:colOff>599285</xdr:colOff>
      <xdr:row>303</xdr:row>
      <xdr:rowOff>57944</xdr:rowOff>
    </xdr:from>
    <xdr:to>
      <xdr:col>8</xdr:col>
      <xdr:colOff>600873</xdr:colOff>
      <xdr:row>305</xdr:row>
      <xdr:rowOff>10319</xdr:rowOff>
    </xdr:to>
    <xdr:cxnSp macro="">
      <xdr:nvCxnSpPr>
        <xdr:cNvPr id="935" name="Straight Arrow Connector 934"/>
        <xdr:cNvCxnSpPr/>
      </xdr:nvCxnSpPr>
      <xdr:spPr bwMode="auto">
        <a:xfrm rot="5400000" flipH="1" flipV="1">
          <a:off x="5434016" y="48725138"/>
          <a:ext cx="276225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cxnSp>
    <xdr:clientData/>
  </xdr:twoCellAnchor>
  <xdr:twoCellAnchor>
    <xdr:from>
      <xdr:col>8</xdr:col>
      <xdr:colOff>589757</xdr:colOff>
      <xdr:row>305</xdr:row>
      <xdr:rowOff>797</xdr:rowOff>
    </xdr:from>
    <xdr:to>
      <xdr:col>8</xdr:col>
      <xdr:colOff>591345</xdr:colOff>
      <xdr:row>306</xdr:row>
      <xdr:rowOff>797</xdr:rowOff>
    </xdr:to>
    <xdr:cxnSp macro="">
      <xdr:nvCxnSpPr>
        <xdr:cNvPr id="938" name="Straight Arrow Connector 937"/>
        <xdr:cNvCxnSpPr/>
      </xdr:nvCxnSpPr>
      <xdr:spPr bwMode="auto">
        <a:xfrm rot="5400000">
          <a:off x="5481638" y="48934691"/>
          <a:ext cx="161925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cxnSp>
    <xdr:clientData/>
  </xdr:twoCellAnchor>
  <xdr:twoCellAnchor>
    <xdr:from>
      <xdr:col>1</xdr:col>
      <xdr:colOff>361950</xdr:colOff>
      <xdr:row>371</xdr:row>
      <xdr:rowOff>57150</xdr:rowOff>
    </xdr:from>
    <xdr:to>
      <xdr:col>6</xdr:col>
      <xdr:colOff>361950</xdr:colOff>
      <xdr:row>373</xdr:row>
      <xdr:rowOff>95250</xdr:rowOff>
    </xdr:to>
    <xdr:sp macro="" textlink="">
      <xdr:nvSpPr>
        <xdr:cNvPr id="999" name="Line 1"/>
        <xdr:cNvSpPr>
          <a:spLocks noChangeShapeType="1"/>
        </xdr:cNvSpPr>
      </xdr:nvSpPr>
      <xdr:spPr bwMode="auto">
        <a:xfrm>
          <a:off x="971550" y="62255400"/>
          <a:ext cx="3143250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285749</xdr:colOff>
      <xdr:row>371</xdr:row>
      <xdr:rowOff>104774</xdr:rowOff>
    </xdr:from>
    <xdr:to>
      <xdr:col>6</xdr:col>
      <xdr:colOff>361950</xdr:colOff>
      <xdr:row>374</xdr:row>
      <xdr:rowOff>9525</xdr:rowOff>
    </xdr:to>
    <xdr:sp macro="" textlink="">
      <xdr:nvSpPr>
        <xdr:cNvPr id="1000" name="Line 2"/>
        <xdr:cNvSpPr>
          <a:spLocks noChangeShapeType="1"/>
        </xdr:cNvSpPr>
      </xdr:nvSpPr>
      <xdr:spPr bwMode="auto">
        <a:xfrm>
          <a:off x="895349" y="62303024"/>
          <a:ext cx="3219451" cy="39052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371475</xdr:colOff>
      <xdr:row>379</xdr:row>
      <xdr:rowOff>123825</xdr:rowOff>
    </xdr:from>
    <xdr:to>
      <xdr:col>6</xdr:col>
      <xdr:colOff>352425</xdr:colOff>
      <xdr:row>382</xdr:row>
      <xdr:rowOff>9526</xdr:rowOff>
    </xdr:to>
    <xdr:sp macro="" textlink="">
      <xdr:nvSpPr>
        <xdr:cNvPr id="1001" name="Line 3"/>
        <xdr:cNvSpPr>
          <a:spLocks noChangeShapeType="1"/>
        </xdr:cNvSpPr>
      </xdr:nvSpPr>
      <xdr:spPr bwMode="auto">
        <a:xfrm flipV="1">
          <a:off x="981075" y="63617475"/>
          <a:ext cx="3124200" cy="37147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266700</xdr:colOff>
      <xdr:row>379</xdr:row>
      <xdr:rowOff>19050</xdr:rowOff>
    </xdr:from>
    <xdr:to>
      <xdr:col>6</xdr:col>
      <xdr:colOff>361950</xdr:colOff>
      <xdr:row>381</xdr:row>
      <xdr:rowOff>57150</xdr:rowOff>
    </xdr:to>
    <xdr:sp macro="" textlink="">
      <xdr:nvSpPr>
        <xdr:cNvPr id="1002" name="Line 4"/>
        <xdr:cNvSpPr>
          <a:spLocks noChangeShapeType="1"/>
        </xdr:cNvSpPr>
      </xdr:nvSpPr>
      <xdr:spPr bwMode="auto">
        <a:xfrm flipV="1">
          <a:off x="876300" y="63512700"/>
          <a:ext cx="3238500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9525</xdr:colOff>
      <xdr:row>408</xdr:row>
      <xdr:rowOff>19050</xdr:rowOff>
    </xdr:from>
    <xdr:to>
      <xdr:col>7</xdr:col>
      <xdr:colOff>9525</xdr:colOff>
      <xdr:row>409</xdr:row>
      <xdr:rowOff>104775</xdr:rowOff>
    </xdr:to>
    <xdr:sp macro="" textlink="">
      <xdr:nvSpPr>
        <xdr:cNvPr id="1097" name="Line 67"/>
        <xdr:cNvSpPr>
          <a:spLocks noChangeShapeType="1"/>
        </xdr:cNvSpPr>
      </xdr:nvSpPr>
      <xdr:spPr bwMode="auto">
        <a:xfrm>
          <a:off x="4371975" y="6843712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</xdr:col>
      <xdr:colOff>796</xdr:colOff>
      <xdr:row>368</xdr:row>
      <xdr:rowOff>794</xdr:rowOff>
    </xdr:from>
    <xdr:to>
      <xdr:col>1</xdr:col>
      <xdr:colOff>9526</xdr:colOff>
      <xdr:row>385</xdr:row>
      <xdr:rowOff>4</xdr:rowOff>
    </xdr:to>
    <xdr:cxnSp macro="">
      <xdr:nvCxnSpPr>
        <xdr:cNvPr id="1130" name="Straight Connector 1129"/>
        <xdr:cNvCxnSpPr/>
      </xdr:nvCxnSpPr>
      <xdr:spPr bwMode="auto">
        <a:xfrm rot="16200000" flipH="1">
          <a:off x="-761207" y="63084872"/>
          <a:ext cx="2751935" cy="873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</xdr:colOff>
      <xdr:row>368</xdr:row>
      <xdr:rowOff>0</xdr:rowOff>
    </xdr:from>
    <xdr:to>
      <xdr:col>2</xdr:col>
      <xdr:colOff>9527</xdr:colOff>
      <xdr:row>368</xdr:row>
      <xdr:rowOff>3</xdr:rowOff>
    </xdr:to>
    <xdr:cxnSp macro="">
      <xdr:nvCxnSpPr>
        <xdr:cNvPr id="1131" name="Straight Connector 1130"/>
        <xdr:cNvCxnSpPr/>
      </xdr:nvCxnSpPr>
      <xdr:spPr bwMode="auto">
        <a:xfrm flipV="1">
          <a:off x="609603" y="61712475"/>
          <a:ext cx="619124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</xdr:colOff>
      <xdr:row>385</xdr:row>
      <xdr:rowOff>0</xdr:rowOff>
    </xdr:from>
    <xdr:to>
      <xdr:col>2</xdr:col>
      <xdr:colOff>66675</xdr:colOff>
      <xdr:row>385</xdr:row>
      <xdr:rowOff>2</xdr:rowOff>
    </xdr:to>
    <xdr:cxnSp macro="">
      <xdr:nvCxnSpPr>
        <xdr:cNvPr id="1132" name="Straight Connector 1131"/>
        <xdr:cNvCxnSpPr/>
      </xdr:nvCxnSpPr>
      <xdr:spPr bwMode="auto">
        <a:xfrm>
          <a:off x="619125" y="64465200"/>
          <a:ext cx="666750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266700</xdr:colOff>
      <xdr:row>386</xdr:row>
      <xdr:rowOff>152400</xdr:rowOff>
    </xdr:from>
    <xdr:to>
      <xdr:col>5</xdr:col>
      <xdr:colOff>247650</xdr:colOff>
      <xdr:row>387</xdr:row>
      <xdr:rowOff>11113</xdr:rowOff>
    </xdr:to>
    <xdr:cxnSp macro="">
      <xdr:nvCxnSpPr>
        <xdr:cNvPr id="1133" name="Straight Connector 1132"/>
        <xdr:cNvCxnSpPr/>
      </xdr:nvCxnSpPr>
      <xdr:spPr bwMode="auto">
        <a:xfrm>
          <a:off x="876300" y="64779525"/>
          <a:ext cx="2514600" cy="2063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247651</xdr:colOff>
      <xdr:row>386</xdr:row>
      <xdr:rowOff>76205</xdr:rowOff>
    </xdr:from>
    <xdr:to>
      <xdr:col>5</xdr:col>
      <xdr:colOff>247652</xdr:colOff>
      <xdr:row>387</xdr:row>
      <xdr:rowOff>142875</xdr:rowOff>
    </xdr:to>
    <xdr:cxnSp macro="">
      <xdr:nvCxnSpPr>
        <xdr:cNvPr id="1134" name="Straight Connector 1133"/>
        <xdr:cNvCxnSpPr/>
      </xdr:nvCxnSpPr>
      <xdr:spPr bwMode="auto">
        <a:xfrm rot="5400000">
          <a:off x="3276604" y="64817627"/>
          <a:ext cx="22859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257175</xdr:colOff>
      <xdr:row>386</xdr:row>
      <xdr:rowOff>57157</xdr:rowOff>
    </xdr:from>
    <xdr:to>
      <xdr:col>1</xdr:col>
      <xdr:colOff>257176</xdr:colOff>
      <xdr:row>387</xdr:row>
      <xdr:rowOff>133356</xdr:rowOff>
    </xdr:to>
    <xdr:cxnSp macro="">
      <xdr:nvCxnSpPr>
        <xdr:cNvPr id="1135" name="Straight Connector 1134"/>
        <xdr:cNvCxnSpPr/>
      </xdr:nvCxnSpPr>
      <xdr:spPr bwMode="auto">
        <a:xfrm rot="5400000">
          <a:off x="747714" y="64803343"/>
          <a:ext cx="238124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599282</xdr:colOff>
      <xdr:row>386</xdr:row>
      <xdr:rowOff>29369</xdr:rowOff>
    </xdr:from>
    <xdr:to>
      <xdr:col>0</xdr:col>
      <xdr:colOff>600870</xdr:colOff>
      <xdr:row>387</xdr:row>
      <xdr:rowOff>67469</xdr:rowOff>
    </xdr:to>
    <xdr:cxnSp macro="">
      <xdr:nvCxnSpPr>
        <xdr:cNvPr id="1136" name="Straight Connector 1135"/>
        <xdr:cNvCxnSpPr/>
      </xdr:nvCxnSpPr>
      <xdr:spPr bwMode="auto">
        <a:xfrm rot="5400000">
          <a:off x="500063" y="64755713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342903</xdr:colOff>
      <xdr:row>380</xdr:row>
      <xdr:rowOff>95250</xdr:rowOff>
    </xdr:from>
    <xdr:to>
      <xdr:col>6</xdr:col>
      <xdr:colOff>352426</xdr:colOff>
      <xdr:row>388</xdr:row>
      <xdr:rowOff>38104</xdr:rowOff>
    </xdr:to>
    <xdr:cxnSp macro="">
      <xdr:nvCxnSpPr>
        <xdr:cNvPr id="1137" name="Straight Connector 1136"/>
        <xdr:cNvCxnSpPr/>
      </xdr:nvCxnSpPr>
      <xdr:spPr bwMode="auto">
        <a:xfrm rot="5400000">
          <a:off x="3481388" y="64365190"/>
          <a:ext cx="1238254" cy="952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</xdr:colOff>
      <xdr:row>389</xdr:row>
      <xdr:rowOff>0</xdr:rowOff>
    </xdr:from>
    <xdr:to>
      <xdr:col>6</xdr:col>
      <xdr:colOff>352425</xdr:colOff>
      <xdr:row>389</xdr:row>
      <xdr:rowOff>9525</xdr:rowOff>
    </xdr:to>
    <xdr:cxnSp macro="">
      <xdr:nvCxnSpPr>
        <xdr:cNvPr id="1138" name="Straight Arrow Connector 1137"/>
        <xdr:cNvCxnSpPr/>
      </xdr:nvCxnSpPr>
      <xdr:spPr bwMode="auto">
        <a:xfrm flipV="1">
          <a:off x="619125" y="65112900"/>
          <a:ext cx="34861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342107</xdr:colOff>
      <xdr:row>388</xdr:row>
      <xdr:rowOff>19843</xdr:rowOff>
    </xdr:from>
    <xdr:to>
      <xdr:col>6</xdr:col>
      <xdr:colOff>343695</xdr:colOff>
      <xdr:row>389</xdr:row>
      <xdr:rowOff>95250</xdr:rowOff>
    </xdr:to>
    <xdr:cxnSp macro="">
      <xdr:nvCxnSpPr>
        <xdr:cNvPr id="1140" name="Straight Connector 1139"/>
        <xdr:cNvCxnSpPr/>
      </xdr:nvCxnSpPr>
      <xdr:spPr bwMode="auto">
        <a:xfrm rot="5400000">
          <a:off x="3977085" y="65088690"/>
          <a:ext cx="237332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419100</xdr:colOff>
      <xdr:row>373</xdr:row>
      <xdr:rowOff>95250</xdr:rowOff>
    </xdr:from>
    <xdr:to>
      <xdr:col>7</xdr:col>
      <xdr:colOff>438152</xdr:colOff>
      <xdr:row>379</xdr:row>
      <xdr:rowOff>152400</xdr:rowOff>
    </xdr:to>
    <xdr:cxnSp macro="">
      <xdr:nvCxnSpPr>
        <xdr:cNvPr id="1154" name="Straight Arrow Connector 1153"/>
        <xdr:cNvCxnSpPr/>
      </xdr:nvCxnSpPr>
      <xdr:spPr bwMode="auto">
        <a:xfrm rot="5400000">
          <a:off x="4276726" y="63122174"/>
          <a:ext cx="1028700" cy="1905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57150</xdr:colOff>
      <xdr:row>371</xdr:row>
      <xdr:rowOff>9525</xdr:rowOff>
    </xdr:from>
    <xdr:to>
      <xdr:col>0</xdr:col>
      <xdr:colOff>552450</xdr:colOff>
      <xdr:row>371</xdr:row>
      <xdr:rowOff>11113</xdr:rowOff>
    </xdr:to>
    <xdr:cxnSp macro="">
      <xdr:nvCxnSpPr>
        <xdr:cNvPr id="1155" name="Straight Connector 1154"/>
        <xdr:cNvCxnSpPr/>
      </xdr:nvCxnSpPr>
      <xdr:spPr bwMode="auto">
        <a:xfrm>
          <a:off x="57150" y="62207775"/>
          <a:ext cx="495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76200</xdr:colOff>
      <xdr:row>382</xdr:row>
      <xdr:rowOff>19050</xdr:rowOff>
    </xdr:from>
    <xdr:to>
      <xdr:col>0</xdr:col>
      <xdr:colOff>571500</xdr:colOff>
      <xdr:row>382</xdr:row>
      <xdr:rowOff>20638</xdr:rowOff>
    </xdr:to>
    <xdr:cxnSp macro="">
      <xdr:nvCxnSpPr>
        <xdr:cNvPr id="1156" name="Straight Connector 1155"/>
        <xdr:cNvCxnSpPr/>
      </xdr:nvCxnSpPr>
      <xdr:spPr bwMode="auto">
        <a:xfrm>
          <a:off x="76200" y="63998475"/>
          <a:ext cx="495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85724</xdr:colOff>
      <xdr:row>371</xdr:row>
      <xdr:rowOff>3</xdr:rowOff>
    </xdr:from>
    <xdr:to>
      <xdr:col>0</xdr:col>
      <xdr:colOff>95249</xdr:colOff>
      <xdr:row>382</xdr:row>
      <xdr:rowOff>9528</xdr:rowOff>
    </xdr:to>
    <xdr:cxnSp macro="">
      <xdr:nvCxnSpPr>
        <xdr:cNvPr id="1157" name="Straight Arrow Connector 1156"/>
        <xdr:cNvCxnSpPr/>
      </xdr:nvCxnSpPr>
      <xdr:spPr bwMode="auto">
        <a:xfrm rot="5400000">
          <a:off x="-804863" y="63088840"/>
          <a:ext cx="17907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400050</xdr:colOff>
      <xdr:row>379</xdr:row>
      <xdr:rowOff>19050</xdr:rowOff>
    </xdr:from>
    <xdr:to>
      <xdr:col>7</xdr:col>
      <xdr:colOff>38100</xdr:colOff>
      <xdr:row>379</xdr:row>
      <xdr:rowOff>20638</xdr:rowOff>
    </xdr:to>
    <xdr:cxnSp macro="">
      <xdr:nvCxnSpPr>
        <xdr:cNvPr id="1158" name="Straight Connector 1157"/>
        <xdr:cNvCxnSpPr/>
      </xdr:nvCxnSpPr>
      <xdr:spPr bwMode="auto">
        <a:xfrm rot="10800000">
          <a:off x="4152900" y="63512700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390525</xdr:colOff>
      <xdr:row>379</xdr:row>
      <xdr:rowOff>133350</xdr:rowOff>
    </xdr:from>
    <xdr:to>
      <xdr:col>7</xdr:col>
      <xdr:colOff>561975</xdr:colOff>
      <xdr:row>379</xdr:row>
      <xdr:rowOff>152400</xdr:rowOff>
    </xdr:to>
    <xdr:cxnSp macro="">
      <xdr:nvCxnSpPr>
        <xdr:cNvPr id="1159" name="Straight Connector 1158"/>
        <xdr:cNvCxnSpPr/>
      </xdr:nvCxnSpPr>
      <xdr:spPr bwMode="auto">
        <a:xfrm>
          <a:off x="4143375" y="63627000"/>
          <a:ext cx="78105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390525</xdr:colOff>
      <xdr:row>374</xdr:row>
      <xdr:rowOff>9525</xdr:rowOff>
    </xdr:from>
    <xdr:to>
      <xdr:col>7</xdr:col>
      <xdr:colOff>123825</xdr:colOff>
      <xdr:row>374</xdr:row>
      <xdr:rowOff>11113</xdr:rowOff>
    </xdr:to>
    <xdr:cxnSp macro="">
      <xdr:nvCxnSpPr>
        <xdr:cNvPr id="1160" name="Straight Connector 1159"/>
        <xdr:cNvCxnSpPr/>
      </xdr:nvCxnSpPr>
      <xdr:spPr bwMode="auto">
        <a:xfrm rot="10800000">
          <a:off x="4143375" y="6269355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390525</xdr:colOff>
      <xdr:row>373</xdr:row>
      <xdr:rowOff>85725</xdr:rowOff>
    </xdr:from>
    <xdr:to>
      <xdr:col>7</xdr:col>
      <xdr:colOff>504825</xdr:colOff>
      <xdr:row>373</xdr:row>
      <xdr:rowOff>87313</xdr:rowOff>
    </xdr:to>
    <xdr:cxnSp macro="">
      <xdr:nvCxnSpPr>
        <xdr:cNvPr id="1161" name="Straight Connector 1160"/>
        <xdr:cNvCxnSpPr/>
      </xdr:nvCxnSpPr>
      <xdr:spPr bwMode="auto">
        <a:xfrm>
          <a:off x="4143375" y="62607825"/>
          <a:ext cx="723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247651</xdr:colOff>
      <xdr:row>373</xdr:row>
      <xdr:rowOff>96044</xdr:rowOff>
    </xdr:from>
    <xdr:to>
      <xdr:col>5</xdr:col>
      <xdr:colOff>248446</xdr:colOff>
      <xdr:row>379</xdr:row>
      <xdr:rowOff>95253</xdr:rowOff>
    </xdr:to>
    <xdr:cxnSp macro="">
      <xdr:nvCxnSpPr>
        <xdr:cNvPr id="1162" name="Straight Arrow Connector 1161"/>
        <xdr:cNvCxnSpPr/>
      </xdr:nvCxnSpPr>
      <xdr:spPr bwMode="auto">
        <a:xfrm rot="5400000">
          <a:off x="2905919" y="63103126"/>
          <a:ext cx="970759" cy="79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608807</xdr:colOff>
      <xdr:row>372</xdr:row>
      <xdr:rowOff>86519</xdr:rowOff>
    </xdr:from>
    <xdr:to>
      <xdr:col>7</xdr:col>
      <xdr:colOff>795</xdr:colOff>
      <xdr:row>373</xdr:row>
      <xdr:rowOff>86519</xdr:rowOff>
    </xdr:to>
    <xdr:cxnSp macro="">
      <xdr:nvCxnSpPr>
        <xdr:cNvPr id="1163" name="Straight Arrow Connector 1162"/>
        <xdr:cNvCxnSpPr/>
      </xdr:nvCxnSpPr>
      <xdr:spPr bwMode="auto">
        <a:xfrm rot="5400000">
          <a:off x="4281488" y="62526863"/>
          <a:ext cx="161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608806</xdr:colOff>
      <xdr:row>380</xdr:row>
      <xdr:rowOff>19844</xdr:rowOff>
    </xdr:from>
    <xdr:to>
      <xdr:col>7</xdr:col>
      <xdr:colOff>794</xdr:colOff>
      <xdr:row>381</xdr:row>
      <xdr:rowOff>10319</xdr:rowOff>
    </xdr:to>
    <xdr:cxnSp macro="">
      <xdr:nvCxnSpPr>
        <xdr:cNvPr id="1164" name="Straight Arrow Connector 1163"/>
        <xdr:cNvCxnSpPr/>
      </xdr:nvCxnSpPr>
      <xdr:spPr bwMode="auto">
        <a:xfrm rot="5400000" flipH="1" flipV="1">
          <a:off x="4286250" y="63750825"/>
          <a:ext cx="152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580232</xdr:colOff>
      <xdr:row>374</xdr:row>
      <xdr:rowOff>19846</xdr:rowOff>
    </xdr:from>
    <xdr:to>
      <xdr:col>6</xdr:col>
      <xdr:colOff>581820</xdr:colOff>
      <xdr:row>379</xdr:row>
      <xdr:rowOff>19846</xdr:rowOff>
    </xdr:to>
    <xdr:cxnSp macro="">
      <xdr:nvCxnSpPr>
        <xdr:cNvPr id="1165" name="Straight Arrow Connector 1164"/>
        <xdr:cNvCxnSpPr/>
      </xdr:nvCxnSpPr>
      <xdr:spPr bwMode="auto">
        <a:xfrm rot="5400000">
          <a:off x="3929063" y="63107890"/>
          <a:ext cx="8096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333375</xdr:colOff>
      <xdr:row>381</xdr:row>
      <xdr:rowOff>39688</xdr:rowOff>
    </xdr:from>
    <xdr:to>
      <xdr:col>0</xdr:col>
      <xdr:colOff>561975</xdr:colOff>
      <xdr:row>381</xdr:row>
      <xdr:rowOff>47625</xdr:rowOff>
    </xdr:to>
    <xdr:cxnSp macro="">
      <xdr:nvCxnSpPr>
        <xdr:cNvPr id="1166" name="Straight Connector 1165"/>
        <xdr:cNvCxnSpPr/>
      </xdr:nvCxnSpPr>
      <xdr:spPr bwMode="auto">
        <a:xfrm flipV="1">
          <a:off x="333375" y="63857188"/>
          <a:ext cx="228600" cy="793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361950</xdr:colOff>
      <xdr:row>371</xdr:row>
      <xdr:rowOff>95250</xdr:rowOff>
    </xdr:from>
    <xdr:to>
      <xdr:col>0</xdr:col>
      <xdr:colOff>552450</xdr:colOff>
      <xdr:row>371</xdr:row>
      <xdr:rowOff>96838</xdr:rowOff>
    </xdr:to>
    <xdr:cxnSp macro="">
      <xdr:nvCxnSpPr>
        <xdr:cNvPr id="1167" name="Straight Connector 1166"/>
        <xdr:cNvCxnSpPr/>
      </xdr:nvCxnSpPr>
      <xdr:spPr bwMode="auto">
        <a:xfrm>
          <a:off x="361950" y="62293500"/>
          <a:ext cx="1905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466725</xdr:colOff>
      <xdr:row>371</xdr:row>
      <xdr:rowOff>85724</xdr:rowOff>
    </xdr:from>
    <xdr:to>
      <xdr:col>0</xdr:col>
      <xdr:colOff>476250</xdr:colOff>
      <xdr:row>381</xdr:row>
      <xdr:rowOff>57149</xdr:rowOff>
    </xdr:to>
    <xdr:cxnSp macro="">
      <xdr:nvCxnSpPr>
        <xdr:cNvPr id="1168" name="Straight Arrow Connector 1167"/>
        <xdr:cNvCxnSpPr/>
      </xdr:nvCxnSpPr>
      <xdr:spPr bwMode="auto">
        <a:xfrm rot="16200000" flipH="1">
          <a:off x="-323850" y="63074549"/>
          <a:ext cx="15906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427832</xdr:colOff>
      <xdr:row>370</xdr:row>
      <xdr:rowOff>794</xdr:rowOff>
    </xdr:from>
    <xdr:to>
      <xdr:col>0</xdr:col>
      <xdr:colOff>429420</xdr:colOff>
      <xdr:row>371</xdr:row>
      <xdr:rowOff>794</xdr:rowOff>
    </xdr:to>
    <xdr:cxnSp macro="">
      <xdr:nvCxnSpPr>
        <xdr:cNvPr id="1169" name="Straight Arrow Connector 1168"/>
        <xdr:cNvCxnSpPr/>
      </xdr:nvCxnSpPr>
      <xdr:spPr bwMode="auto">
        <a:xfrm rot="5400000">
          <a:off x="347663" y="62117288"/>
          <a:ext cx="161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465933</xdr:colOff>
      <xdr:row>382</xdr:row>
      <xdr:rowOff>48419</xdr:rowOff>
    </xdr:from>
    <xdr:to>
      <xdr:col>0</xdr:col>
      <xdr:colOff>467521</xdr:colOff>
      <xdr:row>383</xdr:row>
      <xdr:rowOff>48419</xdr:rowOff>
    </xdr:to>
    <xdr:cxnSp macro="">
      <xdr:nvCxnSpPr>
        <xdr:cNvPr id="1170" name="Straight Arrow Connector 1169"/>
        <xdr:cNvCxnSpPr/>
      </xdr:nvCxnSpPr>
      <xdr:spPr bwMode="auto">
        <a:xfrm rot="5400000" flipH="1" flipV="1">
          <a:off x="385764" y="64108013"/>
          <a:ext cx="161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0</xdr:colOff>
      <xdr:row>386</xdr:row>
      <xdr:rowOff>142875</xdr:rowOff>
    </xdr:from>
    <xdr:to>
      <xdr:col>1</xdr:col>
      <xdr:colOff>266700</xdr:colOff>
      <xdr:row>386</xdr:row>
      <xdr:rowOff>152402</xdr:rowOff>
    </xdr:to>
    <xdr:cxnSp macro="">
      <xdr:nvCxnSpPr>
        <xdr:cNvPr id="1179" name="Straight Connector 1178"/>
        <xdr:cNvCxnSpPr/>
      </xdr:nvCxnSpPr>
      <xdr:spPr bwMode="auto">
        <a:xfrm flipV="1">
          <a:off x="609600" y="64770000"/>
          <a:ext cx="266700" cy="952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238125</xdr:colOff>
      <xdr:row>387</xdr:row>
      <xdr:rowOff>9525</xdr:rowOff>
    </xdr:from>
    <xdr:to>
      <xdr:col>6</xdr:col>
      <xdr:colOff>342900</xdr:colOff>
      <xdr:row>387</xdr:row>
      <xdr:rowOff>11113</xdr:rowOff>
    </xdr:to>
    <xdr:cxnSp macro="">
      <xdr:nvCxnSpPr>
        <xdr:cNvPr id="1180" name="Straight Connector 1179"/>
        <xdr:cNvCxnSpPr/>
      </xdr:nvCxnSpPr>
      <xdr:spPr bwMode="auto">
        <a:xfrm>
          <a:off x="3381375" y="64798575"/>
          <a:ext cx="714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266699</xdr:colOff>
      <xdr:row>381</xdr:row>
      <xdr:rowOff>57150</xdr:rowOff>
    </xdr:from>
    <xdr:to>
      <xdr:col>1</xdr:col>
      <xdr:colOff>266700</xdr:colOff>
      <xdr:row>384</xdr:row>
      <xdr:rowOff>152404</xdr:rowOff>
    </xdr:to>
    <xdr:cxnSp macro="">
      <xdr:nvCxnSpPr>
        <xdr:cNvPr id="1181" name="Straight Connector 1180"/>
        <xdr:cNvCxnSpPr/>
      </xdr:nvCxnSpPr>
      <xdr:spPr bwMode="auto">
        <a:xfrm rot="16200000" flipH="1">
          <a:off x="585785" y="64165164"/>
          <a:ext cx="581029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276224</xdr:colOff>
      <xdr:row>368</xdr:row>
      <xdr:rowOff>9525</xdr:rowOff>
    </xdr:from>
    <xdr:to>
      <xdr:col>1</xdr:col>
      <xdr:colOff>276225</xdr:colOff>
      <xdr:row>371</xdr:row>
      <xdr:rowOff>104779</xdr:rowOff>
    </xdr:to>
    <xdr:cxnSp macro="">
      <xdr:nvCxnSpPr>
        <xdr:cNvPr id="1182" name="Straight Connector 1181"/>
        <xdr:cNvCxnSpPr/>
      </xdr:nvCxnSpPr>
      <xdr:spPr bwMode="auto">
        <a:xfrm rot="16200000" flipH="1">
          <a:off x="595310" y="62012514"/>
          <a:ext cx="581029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361950</xdr:colOff>
      <xdr:row>382</xdr:row>
      <xdr:rowOff>794</xdr:rowOff>
    </xdr:from>
    <xdr:to>
      <xdr:col>1</xdr:col>
      <xdr:colOff>362744</xdr:colOff>
      <xdr:row>385</xdr:row>
      <xdr:rowOff>9525</xdr:rowOff>
    </xdr:to>
    <xdr:cxnSp macro="">
      <xdr:nvCxnSpPr>
        <xdr:cNvPr id="1183" name="Straight Connector 1182"/>
        <xdr:cNvCxnSpPr/>
      </xdr:nvCxnSpPr>
      <xdr:spPr bwMode="auto">
        <a:xfrm rot="5400000">
          <a:off x="724694" y="64227075"/>
          <a:ext cx="494506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57149</xdr:colOff>
      <xdr:row>381</xdr:row>
      <xdr:rowOff>114301</xdr:rowOff>
    </xdr:from>
    <xdr:to>
      <xdr:col>2</xdr:col>
      <xdr:colOff>57150</xdr:colOff>
      <xdr:row>385</xdr:row>
      <xdr:rowOff>1</xdr:rowOff>
    </xdr:to>
    <xdr:cxnSp macro="">
      <xdr:nvCxnSpPr>
        <xdr:cNvPr id="1184" name="Straight Connector 1183"/>
        <xdr:cNvCxnSpPr/>
      </xdr:nvCxnSpPr>
      <xdr:spPr bwMode="auto">
        <a:xfrm rot="16200000" flipH="1">
          <a:off x="1009650" y="64198500"/>
          <a:ext cx="53340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361952</xdr:colOff>
      <xdr:row>368</xdr:row>
      <xdr:rowOff>9525</xdr:rowOff>
    </xdr:from>
    <xdr:to>
      <xdr:col>1</xdr:col>
      <xdr:colOff>371475</xdr:colOff>
      <xdr:row>371</xdr:row>
      <xdr:rowOff>47625</xdr:rowOff>
    </xdr:to>
    <xdr:cxnSp macro="">
      <xdr:nvCxnSpPr>
        <xdr:cNvPr id="1185" name="Straight Connector 1184"/>
        <xdr:cNvCxnSpPr/>
      </xdr:nvCxnSpPr>
      <xdr:spPr bwMode="auto">
        <a:xfrm rot="5400000">
          <a:off x="714376" y="61979176"/>
          <a:ext cx="523875" cy="952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9524</xdr:colOff>
      <xdr:row>368</xdr:row>
      <xdr:rowOff>19050</xdr:rowOff>
    </xdr:from>
    <xdr:to>
      <xdr:col>2</xdr:col>
      <xdr:colOff>9525</xdr:colOff>
      <xdr:row>371</xdr:row>
      <xdr:rowOff>114304</xdr:rowOff>
    </xdr:to>
    <xdr:cxnSp macro="">
      <xdr:nvCxnSpPr>
        <xdr:cNvPr id="1186" name="Straight Connector 1185"/>
        <xdr:cNvCxnSpPr/>
      </xdr:nvCxnSpPr>
      <xdr:spPr bwMode="auto">
        <a:xfrm rot="16200000" flipH="1">
          <a:off x="938210" y="62022039"/>
          <a:ext cx="581029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352424</xdr:colOff>
      <xdr:row>373</xdr:row>
      <xdr:rowOff>95250</xdr:rowOff>
    </xdr:from>
    <xdr:to>
      <xdr:col>6</xdr:col>
      <xdr:colOff>361949</xdr:colOff>
      <xdr:row>379</xdr:row>
      <xdr:rowOff>123825</xdr:rowOff>
    </xdr:to>
    <xdr:cxnSp macro="">
      <xdr:nvCxnSpPr>
        <xdr:cNvPr id="1193" name="Straight Connector 1192"/>
        <xdr:cNvCxnSpPr>
          <a:stCxn id="1001" idx="1"/>
          <a:endCxn id="999" idx="1"/>
        </xdr:cNvCxnSpPr>
      </xdr:nvCxnSpPr>
      <xdr:spPr bwMode="auto">
        <a:xfrm rot="5400000" flipH="1" flipV="1">
          <a:off x="3609974" y="63112650"/>
          <a:ext cx="10001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5</xdr:col>
      <xdr:colOff>256384</xdr:colOff>
      <xdr:row>380</xdr:row>
      <xdr:rowOff>48421</xdr:rowOff>
    </xdr:from>
    <xdr:to>
      <xdr:col>5</xdr:col>
      <xdr:colOff>257972</xdr:colOff>
      <xdr:row>381</xdr:row>
      <xdr:rowOff>48421</xdr:rowOff>
    </xdr:to>
    <xdr:cxnSp macro="">
      <xdr:nvCxnSpPr>
        <xdr:cNvPr id="1207" name="Straight Arrow Connector 1206"/>
        <xdr:cNvCxnSpPr/>
      </xdr:nvCxnSpPr>
      <xdr:spPr bwMode="auto">
        <a:xfrm rot="5400000" flipH="1" flipV="1">
          <a:off x="3319465" y="63784165"/>
          <a:ext cx="161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237332</xdr:colOff>
      <xdr:row>372</xdr:row>
      <xdr:rowOff>19845</xdr:rowOff>
    </xdr:from>
    <xdr:to>
      <xdr:col>5</xdr:col>
      <xdr:colOff>238920</xdr:colOff>
      <xdr:row>373</xdr:row>
      <xdr:rowOff>19845</xdr:rowOff>
    </xdr:to>
    <xdr:cxnSp macro="">
      <xdr:nvCxnSpPr>
        <xdr:cNvPr id="1208" name="Straight Arrow Connector 1207"/>
        <xdr:cNvCxnSpPr/>
      </xdr:nvCxnSpPr>
      <xdr:spPr bwMode="auto">
        <a:xfrm rot="5400000">
          <a:off x="3300413" y="62460189"/>
          <a:ext cx="161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608807</xdr:colOff>
      <xdr:row>388</xdr:row>
      <xdr:rowOff>48418</xdr:rowOff>
    </xdr:from>
    <xdr:to>
      <xdr:col>1</xdr:col>
      <xdr:colOff>795</xdr:colOff>
      <xdr:row>389</xdr:row>
      <xdr:rowOff>123825</xdr:rowOff>
    </xdr:to>
    <xdr:cxnSp macro="">
      <xdr:nvCxnSpPr>
        <xdr:cNvPr id="1221" name="Straight Connector 1220"/>
        <xdr:cNvCxnSpPr/>
      </xdr:nvCxnSpPr>
      <xdr:spPr bwMode="auto">
        <a:xfrm rot="5400000">
          <a:off x="490935" y="65117265"/>
          <a:ext cx="237332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190500</xdr:colOff>
      <xdr:row>370</xdr:row>
      <xdr:rowOff>57150</xdr:rowOff>
    </xdr:from>
    <xdr:to>
      <xdr:col>5</xdr:col>
      <xdr:colOff>457200</xdr:colOff>
      <xdr:row>372</xdr:row>
      <xdr:rowOff>19050</xdr:rowOff>
    </xdr:to>
    <xdr:sp macro="" textlink="">
      <xdr:nvSpPr>
        <xdr:cNvPr id="1223" name="Oval 1018"/>
        <xdr:cNvSpPr>
          <a:spLocks noChangeArrowheads="1"/>
        </xdr:cNvSpPr>
      </xdr:nvSpPr>
      <xdr:spPr bwMode="auto">
        <a:xfrm>
          <a:off x="3333750" y="62093475"/>
          <a:ext cx="266700" cy="2857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</xdr:col>
      <xdr:colOff>452301</xdr:colOff>
      <xdr:row>407</xdr:row>
      <xdr:rowOff>38877</xdr:rowOff>
    </xdr:from>
    <xdr:to>
      <xdr:col>2</xdr:col>
      <xdr:colOff>554005</xdr:colOff>
      <xdr:row>407</xdr:row>
      <xdr:rowOff>163674</xdr:rowOff>
    </xdr:to>
    <xdr:sp macro="" textlink="">
      <xdr:nvSpPr>
        <xdr:cNvPr id="1300" name="AutoShape 27"/>
        <xdr:cNvSpPr>
          <a:spLocks noChangeArrowheads="1"/>
        </xdr:cNvSpPr>
      </xdr:nvSpPr>
      <xdr:spPr bwMode="auto">
        <a:xfrm>
          <a:off x="1671501" y="8344677"/>
          <a:ext cx="101704" cy="124797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1</xdr:col>
      <xdr:colOff>301885</xdr:colOff>
      <xdr:row>403</xdr:row>
      <xdr:rowOff>0</xdr:rowOff>
    </xdr:from>
    <xdr:ext cx="123825" cy="180975"/>
    <xdr:sp macro="" textlink="">
      <xdr:nvSpPr>
        <xdr:cNvPr id="1302" name="Text Box 46"/>
        <xdr:cNvSpPr txBox="1">
          <a:spLocks noChangeArrowheads="1"/>
        </xdr:cNvSpPr>
      </xdr:nvSpPr>
      <xdr:spPr bwMode="auto">
        <a:xfrm>
          <a:off x="911485" y="76581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447675</xdr:colOff>
      <xdr:row>407</xdr:row>
      <xdr:rowOff>180975</xdr:rowOff>
    </xdr:from>
    <xdr:ext cx="123825" cy="180975"/>
    <xdr:sp macro="" textlink="">
      <xdr:nvSpPr>
        <xdr:cNvPr id="1304" name="Text Box 69"/>
        <xdr:cNvSpPr txBox="1">
          <a:spLocks noChangeArrowheads="1"/>
        </xdr:cNvSpPr>
      </xdr:nvSpPr>
      <xdr:spPr bwMode="auto">
        <a:xfrm>
          <a:off x="447675" y="84677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7</xdr:col>
      <xdr:colOff>581025</xdr:colOff>
      <xdr:row>410</xdr:row>
      <xdr:rowOff>142875</xdr:rowOff>
    </xdr:from>
    <xdr:to>
      <xdr:col>8</xdr:col>
      <xdr:colOff>238125</xdr:colOff>
      <xdr:row>412</xdr:row>
      <xdr:rowOff>95250</xdr:rowOff>
    </xdr:to>
    <xdr:sp macro="" textlink="">
      <xdr:nvSpPr>
        <xdr:cNvPr id="1305" name="Oval 1304"/>
        <xdr:cNvSpPr>
          <a:spLocks noChangeArrowheads="1"/>
        </xdr:cNvSpPr>
      </xdr:nvSpPr>
      <xdr:spPr bwMode="auto">
        <a:xfrm>
          <a:off x="4848225" y="8934450"/>
          <a:ext cx="266700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7</xdr:col>
      <xdr:colOff>581025</xdr:colOff>
      <xdr:row>390</xdr:row>
      <xdr:rowOff>155510</xdr:rowOff>
    </xdr:from>
    <xdr:to>
      <xdr:col>8</xdr:col>
      <xdr:colOff>238125</xdr:colOff>
      <xdr:row>392</xdr:row>
      <xdr:rowOff>95250</xdr:rowOff>
    </xdr:to>
    <xdr:sp macro="" textlink="">
      <xdr:nvSpPr>
        <xdr:cNvPr id="1306" name="Oval 1305"/>
        <xdr:cNvSpPr>
          <a:spLocks noChangeArrowheads="1"/>
        </xdr:cNvSpPr>
      </xdr:nvSpPr>
      <xdr:spPr bwMode="auto">
        <a:xfrm>
          <a:off x="4848225" y="5479985"/>
          <a:ext cx="266700" cy="29216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oneCellAnchor>
    <xdr:from>
      <xdr:col>7</xdr:col>
      <xdr:colOff>590550</xdr:colOff>
      <xdr:row>414</xdr:row>
      <xdr:rowOff>0</xdr:rowOff>
    </xdr:from>
    <xdr:ext cx="123825" cy="180975"/>
    <xdr:sp macro="" textlink="">
      <xdr:nvSpPr>
        <xdr:cNvPr id="1307" name="Text Box 86"/>
        <xdr:cNvSpPr txBox="1">
          <a:spLocks noChangeArrowheads="1"/>
        </xdr:cNvSpPr>
      </xdr:nvSpPr>
      <xdr:spPr bwMode="auto">
        <a:xfrm>
          <a:off x="4857750" y="95250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4</xdr:col>
      <xdr:colOff>361950</xdr:colOff>
      <xdr:row>414</xdr:row>
      <xdr:rowOff>0</xdr:rowOff>
    </xdr:from>
    <xdr:ext cx="123825" cy="180975"/>
    <xdr:sp macro="" textlink="">
      <xdr:nvSpPr>
        <xdr:cNvPr id="1308" name="Text Box 87"/>
        <xdr:cNvSpPr txBox="1">
          <a:spLocks noChangeArrowheads="1"/>
        </xdr:cNvSpPr>
      </xdr:nvSpPr>
      <xdr:spPr bwMode="auto">
        <a:xfrm>
          <a:off x="2800350" y="95250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609989</xdr:colOff>
      <xdr:row>395</xdr:row>
      <xdr:rowOff>20799</xdr:rowOff>
    </xdr:from>
    <xdr:to>
      <xdr:col>6</xdr:col>
      <xdr:colOff>454867</xdr:colOff>
      <xdr:row>395</xdr:row>
      <xdr:rowOff>20799</xdr:rowOff>
    </xdr:to>
    <xdr:sp macro="" textlink="">
      <xdr:nvSpPr>
        <xdr:cNvPr id="1309" name="Line 1012"/>
        <xdr:cNvSpPr>
          <a:spLocks noChangeShapeType="1"/>
        </xdr:cNvSpPr>
      </xdr:nvSpPr>
      <xdr:spPr bwMode="auto">
        <a:xfrm>
          <a:off x="3657989" y="6240624"/>
          <a:ext cx="45447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</xdr:col>
      <xdr:colOff>275059</xdr:colOff>
      <xdr:row>398</xdr:row>
      <xdr:rowOff>0</xdr:rowOff>
    </xdr:from>
    <xdr:ext cx="123825" cy="180975"/>
    <xdr:sp macro="" textlink="">
      <xdr:nvSpPr>
        <xdr:cNvPr id="1310" name="Text Box 1014"/>
        <xdr:cNvSpPr txBox="1">
          <a:spLocks noChangeArrowheads="1"/>
        </xdr:cNvSpPr>
      </xdr:nvSpPr>
      <xdr:spPr bwMode="auto">
        <a:xfrm>
          <a:off x="884659" y="67627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1</xdr:col>
      <xdr:colOff>409575</xdr:colOff>
      <xdr:row>410</xdr:row>
      <xdr:rowOff>142875</xdr:rowOff>
    </xdr:from>
    <xdr:to>
      <xdr:col>2</xdr:col>
      <xdr:colOff>66675</xdr:colOff>
      <xdr:row>412</xdr:row>
      <xdr:rowOff>85725</xdr:rowOff>
    </xdr:to>
    <xdr:sp macro="" textlink="">
      <xdr:nvSpPr>
        <xdr:cNvPr id="1311" name="Oval 1021"/>
        <xdr:cNvSpPr>
          <a:spLocks noChangeArrowheads="1"/>
        </xdr:cNvSpPr>
      </xdr:nvSpPr>
      <xdr:spPr bwMode="auto">
        <a:xfrm>
          <a:off x="1019175" y="8934450"/>
          <a:ext cx="266700" cy="2952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232163</xdr:colOff>
      <xdr:row>394</xdr:row>
      <xdr:rowOff>11144</xdr:rowOff>
    </xdr:from>
    <xdr:to>
      <xdr:col>9</xdr:col>
      <xdr:colOff>355988</xdr:colOff>
      <xdr:row>394</xdr:row>
      <xdr:rowOff>12732</xdr:rowOff>
    </xdr:to>
    <xdr:cxnSp macro="">
      <xdr:nvCxnSpPr>
        <xdr:cNvPr id="1314" name="Straight Connector 1313"/>
        <xdr:cNvCxnSpPr/>
      </xdr:nvCxnSpPr>
      <xdr:spPr bwMode="auto">
        <a:xfrm>
          <a:off x="5108963" y="6040469"/>
          <a:ext cx="733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262423</xdr:colOff>
      <xdr:row>407</xdr:row>
      <xdr:rowOff>184669</xdr:rowOff>
    </xdr:from>
    <xdr:to>
      <xdr:col>0</xdr:col>
      <xdr:colOff>544285</xdr:colOff>
      <xdr:row>408</xdr:row>
      <xdr:rowOff>1</xdr:rowOff>
    </xdr:to>
    <xdr:cxnSp macro="">
      <xdr:nvCxnSpPr>
        <xdr:cNvPr id="1315" name="Straight Connector 1314"/>
        <xdr:cNvCxnSpPr/>
      </xdr:nvCxnSpPr>
      <xdr:spPr bwMode="auto">
        <a:xfrm>
          <a:off x="262423" y="8471419"/>
          <a:ext cx="281862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391320</xdr:colOff>
      <xdr:row>409</xdr:row>
      <xdr:rowOff>794</xdr:rowOff>
    </xdr:from>
    <xdr:to>
      <xdr:col>0</xdr:col>
      <xdr:colOff>398495</xdr:colOff>
      <xdr:row>410</xdr:row>
      <xdr:rowOff>194386</xdr:rowOff>
    </xdr:to>
    <xdr:cxnSp macro="">
      <xdr:nvCxnSpPr>
        <xdr:cNvPr id="1316" name="Straight Arrow Connector 1315"/>
        <xdr:cNvCxnSpPr/>
      </xdr:nvCxnSpPr>
      <xdr:spPr bwMode="auto">
        <a:xfrm rot="16200000" flipH="1">
          <a:off x="231437" y="8790327"/>
          <a:ext cx="326942" cy="71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8</xdr:col>
      <xdr:colOff>247198</xdr:colOff>
      <xdr:row>406</xdr:row>
      <xdr:rowOff>0</xdr:rowOff>
    </xdr:from>
    <xdr:to>
      <xdr:col>9</xdr:col>
      <xdr:colOff>351973</xdr:colOff>
      <xdr:row>406</xdr:row>
      <xdr:rowOff>1588</xdr:rowOff>
    </xdr:to>
    <xdr:cxnSp macro="">
      <xdr:nvCxnSpPr>
        <xdr:cNvPr id="1317" name="Straight Connector 1316"/>
        <xdr:cNvCxnSpPr/>
      </xdr:nvCxnSpPr>
      <xdr:spPr bwMode="auto">
        <a:xfrm rot="10800000">
          <a:off x="5123998" y="8143875"/>
          <a:ext cx="714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408218</xdr:colOff>
      <xdr:row>407</xdr:row>
      <xdr:rowOff>3</xdr:rowOff>
    </xdr:from>
    <xdr:to>
      <xdr:col>0</xdr:col>
      <xdr:colOff>415796</xdr:colOff>
      <xdr:row>408</xdr:row>
      <xdr:rowOff>6</xdr:rowOff>
    </xdr:to>
    <xdr:cxnSp macro="">
      <xdr:nvCxnSpPr>
        <xdr:cNvPr id="1320" name="Straight Arrow Connector 1319"/>
        <xdr:cNvCxnSpPr/>
      </xdr:nvCxnSpPr>
      <xdr:spPr bwMode="auto">
        <a:xfrm rot="5400000">
          <a:off x="331043" y="8382978"/>
          <a:ext cx="161928" cy="757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cxnSp>
    <xdr:clientData/>
  </xdr:twoCellAnchor>
  <xdr:twoCellAnchor>
    <xdr:from>
      <xdr:col>1</xdr:col>
      <xdr:colOff>24848</xdr:colOff>
      <xdr:row>407</xdr:row>
      <xdr:rowOff>173934</xdr:rowOff>
    </xdr:from>
    <xdr:to>
      <xdr:col>7</xdr:col>
      <xdr:colOff>24848</xdr:colOff>
      <xdr:row>407</xdr:row>
      <xdr:rowOff>175522</xdr:rowOff>
    </xdr:to>
    <xdr:cxnSp macro="">
      <xdr:nvCxnSpPr>
        <xdr:cNvPr id="1322" name="Straight Connector 1321"/>
        <xdr:cNvCxnSpPr/>
      </xdr:nvCxnSpPr>
      <xdr:spPr bwMode="auto">
        <a:xfrm>
          <a:off x="634448" y="8470209"/>
          <a:ext cx="3657600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24848</xdr:colOff>
      <xdr:row>406</xdr:row>
      <xdr:rowOff>10353</xdr:rowOff>
    </xdr:from>
    <xdr:to>
      <xdr:col>8</xdr:col>
      <xdr:colOff>196298</xdr:colOff>
      <xdr:row>407</xdr:row>
      <xdr:rowOff>173935</xdr:rowOff>
    </xdr:to>
    <xdr:cxnSp macro="">
      <xdr:nvCxnSpPr>
        <xdr:cNvPr id="1323" name="Straight Connector 1322"/>
        <xdr:cNvCxnSpPr/>
      </xdr:nvCxnSpPr>
      <xdr:spPr bwMode="auto">
        <a:xfrm flipV="1">
          <a:off x="4292048" y="8154228"/>
          <a:ext cx="781050" cy="315982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12010</xdr:colOff>
      <xdr:row>407</xdr:row>
      <xdr:rowOff>141632</xdr:rowOff>
    </xdr:from>
    <xdr:to>
      <xdr:col>8</xdr:col>
      <xdr:colOff>224873</xdr:colOff>
      <xdr:row>409</xdr:row>
      <xdr:rowOff>110987</xdr:rowOff>
    </xdr:to>
    <xdr:cxnSp macro="">
      <xdr:nvCxnSpPr>
        <xdr:cNvPr id="1324" name="Straight Connector 1323"/>
        <xdr:cNvCxnSpPr/>
      </xdr:nvCxnSpPr>
      <xdr:spPr bwMode="auto">
        <a:xfrm rot="10800000" flipV="1">
          <a:off x="4279210" y="8447432"/>
          <a:ext cx="822463" cy="29320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12012</xdr:colOff>
      <xdr:row>407</xdr:row>
      <xdr:rowOff>174950</xdr:rowOff>
    </xdr:from>
    <xdr:to>
      <xdr:col>1</xdr:col>
      <xdr:colOff>19439</xdr:colOff>
      <xdr:row>410</xdr:row>
      <xdr:rowOff>114327</xdr:rowOff>
    </xdr:to>
    <xdr:cxnSp macro="">
      <xdr:nvCxnSpPr>
        <xdr:cNvPr id="1325" name="Straight Connector 1324"/>
        <xdr:cNvCxnSpPr/>
      </xdr:nvCxnSpPr>
      <xdr:spPr bwMode="auto">
        <a:xfrm rot="5400000">
          <a:off x="407987" y="8684850"/>
          <a:ext cx="434677" cy="7427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24848</xdr:colOff>
      <xdr:row>410</xdr:row>
      <xdr:rowOff>133764</xdr:rowOff>
    </xdr:from>
    <xdr:to>
      <xdr:col>1</xdr:col>
      <xdr:colOff>358223</xdr:colOff>
      <xdr:row>410</xdr:row>
      <xdr:rowOff>135352</xdr:rowOff>
    </xdr:to>
    <xdr:cxnSp macro="">
      <xdr:nvCxnSpPr>
        <xdr:cNvPr id="1326" name="Straight Connector 1325"/>
        <xdr:cNvCxnSpPr/>
      </xdr:nvCxnSpPr>
      <xdr:spPr bwMode="auto">
        <a:xfrm>
          <a:off x="634448" y="8925339"/>
          <a:ext cx="333375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348699</xdr:colOff>
      <xdr:row>408</xdr:row>
      <xdr:rowOff>135834</xdr:rowOff>
    </xdr:from>
    <xdr:to>
      <xdr:col>2</xdr:col>
      <xdr:colOff>34373</xdr:colOff>
      <xdr:row>410</xdr:row>
      <xdr:rowOff>143290</xdr:rowOff>
    </xdr:to>
    <xdr:cxnSp macro="">
      <xdr:nvCxnSpPr>
        <xdr:cNvPr id="1327" name="Straight Connector 1326"/>
        <xdr:cNvCxnSpPr/>
      </xdr:nvCxnSpPr>
      <xdr:spPr bwMode="auto">
        <a:xfrm rot="5400000" flipH="1" flipV="1">
          <a:off x="940283" y="8621575"/>
          <a:ext cx="331306" cy="295274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34373</xdr:colOff>
      <xdr:row>408</xdr:row>
      <xdr:rowOff>135834</xdr:rowOff>
    </xdr:from>
    <xdr:to>
      <xdr:col>7</xdr:col>
      <xdr:colOff>24848</xdr:colOff>
      <xdr:row>409</xdr:row>
      <xdr:rowOff>110987</xdr:rowOff>
    </xdr:to>
    <xdr:cxnSp macro="">
      <xdr:nvCxnSpPr>
        <xdr:cNvPr id="1328" name="Straight Connector 1327"/>
        <xdr:cNvCxnSpPr/>
      </xdr:nvCxnSpPr>
      <xdr:spPr bwMode="auto">
        <a:xfrm>
          <a:off x="1253573" y="8603559"/>
          <a:ext cx="3038475" cy="13707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205029</xdr:colOff>
      <xdr:row>406</xdr:row>
      <xdr:rowOff>20672</xdr:rowOff>
    </xdr:from>
    <xdr:to>
      <xdr:col>8</xdr:col>
      <xdr:colOff>206617</xdr:colOff>
      <xdr:row>407</xdr:row>
      <xdr:rowOff>161476</xdr:rowOff>
    </xdr:to>
    <xdr:cxnSp macro="">
      <xdr:nvCxnSpPr>
        <xdr:cNvPr id="1329" name="Straight Connector 1328"/>
        <xdr:cNvCxnSpPr/>
      </xdr:nvCxnSpPr>
      <xdr:spPr bwMode="auto">
        <a:xfrm rot="5400000">
          <a:off x="4931258" y="8315118"/>
          <a:ext cx="302729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426218</xdr:colOff>
      <xdr:row>399</xdr:row>
      <xdr:rowOff>19440</xdr:rowOff>
    </xdr:from>
    <xdr:to>
      <xdr:col>1</xdr:col>
      <xdr:colOff>427653</xdr:colOff>
      <xdr:row>407</xdr:row>
      <xdr:rowOff>161516</xdr:rowOff>
    </xdr:to>
    <xdr:cxnSp macro="">
      <xdr:nvCxnSpPr>
        <xdr:cNvPr id="1330" name="Straight Connector 1329"/>
        <xdr:cNvCxnSpPr/>
      </xdr:nvCxnSpPr>
      <xdr:spPr bwMode="auto">
        <a:xfrm rot="5400000">
          <a:off x="274935" y="7704998"/>
          <a:ext cx="1523201" cy="143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573444</xdr:colOff>
      <xdr:row>394</xdr:row>
      <xdr:rowOff>9718</xdr:rowOff>
    </xdr:from>
    <xdr:to>
      <xdr:col>8</xdr:col>
      <xdr:colOff>194388</xdr:colOff>
      <xdr:row>398</xdr:row>
      <xdr:rowOff>184666</xdr:rowOff>
    </xdr:to>
    <xdr:sp macro="" textlink="">
      <xdr:nvSpPr>
        <xdr:cNvPr id="1331" name="Line 1011"/>
        <xdr:cNvSpPr>
          <a:spLocks noChangeShapeType="1"/>
        </xdr:cNvSpPr>
      </xdr:nvSpPr>
      <xdr:spPr bwMode="auto">
        <a:xfrm flipV="1">
          <a:off x="2402244" y="6039043"/>
          <a:ext cx="2668944" cy="889323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295664</xdr:colOff>
      <xdr:row>410</xdr:row>
      <xdr:rowOff>179809</xdr:rowOff>
    </xdr:from>
    <xdr:to>
      <xdr:col>0</xdr:col>
      <xdr:colOff>441260</xdr:colOff>
      <xdr:row>410</xdr:row>
      <xdr:rowOff>179809</xdr:rowOff>
    </xdr:to>
    <xdr:sp macro="" textlink="">
      <xdr:nvSpPr>
        <xdr:cNvPr id="1332" name="Line 57"/>
        <xdr:cNvSpPr>
          <a:spLocks noChangeShapeType="1"/>
        </xdr:cNvSpPr>
      </xdr:nvSpPr>
      <xdr:spPr bwMode="auto">
        <a:xfrm>
          <a:off x="295664" y="8952334"/>
          <a:ext cx="1455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238579</xdr:colOff>
      <xdr:row>406</xdr:row>
      <xdr:rowOff>0</xdr:rowOff>
    </xdr:from>
    <xdr:to>
      <xdr:col>8</xdr:col>
      <xdr:colOff>403225</xdr:colOff>
      <xdr:row>406</xdr:row>
      <xdr:rowOff>0</xdr:rowOff>
    </xdr:to>
    <xdr:sp macro="" textlink="">
      <xdr:nvSpPr>
        <xdr:cNvPr id="1333" name="Line 58"/>
        <xdr:cNvSpPr>
          <a:spLocks noChangeShapeType="1"/>
        </xdr:cNvSpPr>
      </xdr:nvSpPr>
      <xdr:spPr bwMode="auto">
        <a:xfrm>
          <a:off x="5115379" y="8143875"/>
          <a:ext cx="1646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216742</xdr:colOff>
      <xdr:row>405</xdr:row>
      <xdr:rowOff>192638</xdr:rowOff>
    </xdr:from>
    <xdr:to>
      <xdr:col>6</xdr:col>
      <xdr:colOff>333763</xdr:colOff>
      <xdr:row>405</xdr:row>
      <xdr:rowOff>192638</xdr:rowOff>
    </xdr:to>
    <xdr:sp macro="" textlink="">
      <xdr:nvSpPr>
        <xdr:cNvPr id="1334" name="Line 61"/>
        <xdr:cNvSpPr>
          <a:spLocks noChangeShapeType="1"/>
        </xdr:cNvSpPr>
      </xdr:nvSpPr>
      <xdr:spPr bwMode="auto">
        <a:xfrm flipV="1">
          <a:off x="3874342" y="8146013"/>
          <a:ext cx="1170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214994</xdr:colOff>
      <xdr:row>408</xdr:row>
      <xdr:rowOff>22678</xdr:rowOff>
    </xdr:from>
    <xdr:to>
      <xdr:col>8</xdr:col>
      <xdr:colOff>214994</xdr:colOff>
      <xdr:row>411</xdr:row>
      <xdr:rowOff>41729</xdr:rowOff>
    </xdr:to>
    <xdr:sp macro="" textlink="">
      <xdr:nvSpPr>
        <xdr:cNvPr id="1335" name="Line 25"/>
        <xdr:cNvSpPr>
          <a:spLocks noChangeShapeType="1"/>
        </xdr:cNvSpPr>
      </xdr:nvSpPr>
      <xdr:spPr bwMode="auto">
        <a:xfrm flipH="1">
          <a:off x="5091794" y="8490403"/>
          <a:ext cx="0" cy="504826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8</xdr:col>
      <xdr:colOff>182790</xdr:colOff>
      <xdr:row>392</xdr:row>
      <xdr:rowOff>88899</xdr:rowOff>
    </xdr:from>
    <xdr:to>
      <xdr:col>8</xdr:col>
      <xdr:colOff>182790</xdr:colOff>
      <xdr:row>393</xdr:row>
      <xdr:rowOff>174624</xdr:rowOff>
    </xdr:to>
    <xdr:sp macro="" textlink="">
      <xdr:nvSpPr>
        <xdr:cNvPr id="1336" name="Line 26"/>
        <xdr:cNvSpPr>
          <a:spLocks noChangeShapeType="1"/>
        </xdr:cNvSpPr>
      </xdr:nvSpPr>
      <xdr:spPr bwMode="auto">
        <a:xfrm flipV="1">
          <a:off x="5059590" y="5765799"/>
          <a:ext cx="0" cy="24765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6</xdr:col>
      <xdr:colOff>601889</xdr:colOff>
      <xdr:row>393</xdr:row>
      <xdr:rowOff>73933</xdr:rowOff>
    </xdr:from>
    <xdr:to>
      <xdr:col>7</xdr:col>
      <xdr:colOff>1814</xdr:colOff>
      <xdr:row>407</xdr:row>
      <xdr:rowOff>138340</xdr:rowOff>
    </xdr:to>
    <xdr:sp macro="" textlink="">
      <xdr:nvSpPr>
        <xdr:cNvPr id="1337" name="Line 16"/>
        <xdr:cNvSpPr>
          <a:spLocks noChangeShapeType="1"/>
        </xdr:cNvSpPr>
      </xdr:nvSpPr>
      <xdr:spPr bwMode="auto">
        <a:xfrm>
          <a:off x="4354739" y="65920258"/>
          <a:ext cx="9525" cy="2474232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6</xdr:col>
      <xdr:colOff>514803</xdr:colOff>
      <xdr:row>392</xdr:row>
      <xdr:rowOff>113911</xdr:rowOff>
    </xdr:from>
    <xdr:to>
      <xdr:col>7</xdr:col>
      <xdr:colOff>171904</xdr:colOff>
      <xdr:row>394</xdr:row>
      <xdr:rowOff>75813</xdr:rowOff>
    </xdr:to>
    <xdr:sp macro="" textlink="">
      <xdr:nvSpPr>
        <xdr:cNvPr id="1338" name="Oval 1337"/>
        <xdr:cNvSpPr>
          <a:spLocks noChangeArrowheads="1"/>
        </xdr:cNvSpPr>
      </xdr:nvSpPr>
      <xdr:spPr bwMode="auto">
        <a:xfrm>
          <a:off x="4172403" y="5790811"/>
          <a:ext cx="266701" cy="314327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6</xdr:col>
      <xdr:colOff>537092</xdr:colOff>
      <xdr:row>410</xdr:row>
      <xdr:rowOff>120586</xdr:rowOff>
    </xdr:from>
    <xdr:to>
      <xdr:col>7</xdr:col>
      <xdr:colOff>194193</xdr:colOff>
      <xdr:row>412</xdr:row>
      <xdr:rowOff>82486</xdr:rowOff>
    </xdr:to>
    <xdr:sp macro="" textlink="">
      <xdr:nvSpPr>
        <xdr:cNvPr id="1339" name="Oval 1338"/>
        <xdr:cNvSpPr>
          <a:spLocks noChangeArrowheads="1"/>
        </xdr:cNvSpPr>
      </xdr:nvSpPr>
      <xdr:spPr bwMode="auto">
        <a:xfrm>
          <a:off x="4194692" y="8912161"/>
          <a:ext cx="266701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148318</xdr:colOff>
      <xdr:row>393</xdr:row>
      <xdr:rowOff>104775</xdr:rowOff>
    </xdr:from>
    <xdr:to>
      <xdr:col>5</xdr:col>
      <xdr:colOff>417739</xdr:colOff>
      <xdr:row>395</xdr:row>
      <xdr:rowOff>66676</xdr:rowOff>
    </xdr:to>
    <xdr:sp macro="" textlink="">
      <xdr:nvSpPr>
        <xdr:cNvPr id="1340" name="Oval 1018"/>
        <xdr:cNvSpPr>
          <a:spLocks noChangeArrowheads="1"/>
        </xdr:cNvSpPr>
      </xdr:nvSpPr>
      <xdr:spPr bwMode="auto">
        <a:xfrm>
          <a:off x="3196318" y="5943600"/>
          <a:ext cx="269421" cy="342901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5</xdr:col>
      <xdr:colOff>154798</xdr:colOff>
      <xdr:row>410</xdr:row>
      <xdr:rowOff>105424</xdr:rowOff>
    </xdr:from>
    <xdr:to>
      <xdr:col>5</xdr:col>
      <xdr:colOff>424219</xdr:colOff>
      <xdr:row>412</xdr:row>
      <xdr:rowOff>65704</xdr:rowOff>
    </xdr:to>
    <xdr:sp macro="" textlink="">
      <xdr:nvSpPr>
        <xdr:cNvPr id="1341" name="Oval 1018"/>
        <xdr:cNvSpPr>
          <a:spLocks noChangeArrowheads="1"/>
        </xdr:cNvSpPr>
      </xdr:nvSpPr>
      <xdr:spPr bwMode="auto">
        <a:xfrm>
          <a:off x="3202798" y="8896999"/>
          <a:ext cx="269421" cy="31270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</xdr:col>
      <xdr:colOff>568325</xdr:colOff>
      <xdr:row>395</xdr:row>
      <xdr:rowOff>65315</xdr:rowOff>
    </xdr:from>
    <xdr:to>
      <xdr:col>3</xdr:col>
      <xdr:colOff>577850</xdr:colOff>
      <xdr:row>410</xdr:row>
      <xdr:rowOff>46265</xdr:rowOff>
    </xdr:to>
    <xdr:sp macro="" textlink="">
      <xdr:nvSpPr>
        <xdr:cNvPr id="1343" name="Line 1016"/>
        <xdr:cNvSpPr>
          <a:spLocks noChangeShapeType="1"/>
        </xdr:cNvSpPr>
      </xdr:nvSpPr>
      <xdr:spPr bwMode="auto">
        <a:xfrm>
          <a:off x="2397125" y="6285140"/>
          <a:ext cx="9525" cy="25527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</xdr:col>
      <xdr:colOff>365579</xdr:colOff>
      <xdr:row>394</xdr:row>
      <xdr:rowOff>84364</xdr:rowOff>
    </xdr:from>
    <xdr:to>
      <xdr:col>4</xdr:col>
      <xdr:colOff>22678</xdr:colOff>
      <xdr:row>396</xdr:row>
      <xdr:rowOff>46265</xdr:rowOff>
    </xdr:to>
    <xdr:sp macro="" textlink="">
      <xdr:nvSpPr>
        <xdr:cNvPr id="1344" name="Oval 1018"/>
        <xdr:cNvSpPr>
          <a:spLocks noChangeArrowheads="1"/>
        </xdr:cNvSpPr>
      </xdr:nvSpPr>
      <xdr:spPr bwMode="auto">
        <a:xfrm>
          <a:off x="2194379" y="6113689"/>
          <a:ext cx="266699" cy="342901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</xdr:col>
      <xdr:colOff>530419</xdr:colOff>
      <xdr:row>410</xdr:row>
      <xdr:rowOff>114495</xdr:rowOff>
    </xdr:from>
    <xdr:to>
      <xdr:col>4</xdr:col>
      <xdr:colOff>184797</xdr:colOff>
      <xdr:row>412</xdr:row>
      <xdr:rowOff>74775</xdr:rowOff>
    </xdr:to>
    <xdr:sp macro="" textlink="">
      <xdr:nvSpPr>
        <xdr:cNvPr id="1345" name="Oval 1020"/>
        <xdr:cNvSpPr>
          <a:spLocks noChangeArrowheads="1"/>
        </xdr:cNvSpPr>
      </xdr:nvSpPr>
      <xdr:spPr bwMode="auto">
        <a:xfrm>
          <a:off x="2359219" y="8906070"/>
          <a:ext cx="263978" cy="31270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453183</xdr:colOff>
      <xdr:row>395</xdr:row>
      <xdr:rowOff>145403</xdr:rowOff>
    </xdr:from>
    <xdr:to>
      <xdr:col>1</xdr:col>
      <xdr:colOff>453183</xdr:colOff>
      <xdr:row>411</xdr:row>
      <xdr:rowOff>260</xdr:rowOff>
    </xdr:to>
    <xdr:sp macro="" textlink="">
      <xdr:nvSpPr>
        <xdr:cNvPr id="1346" name="Line 1017"/>
        <xdr:cNvSpPr>
          <a:spLocks noChangeShapeType="1"/>
        </xdr:cNvSpPr>
      </xdr:nvSpPr>
      <xdr:spPr bwMode="auto">
        <a:xfrm>
          <a:off x="1062783" y="6365228"/>
          <a:ext cx="0" cy="2588532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1</xdr:col>
      <xdr:colOff>417933</xdr:colOff>
      <xdr:row>393</xdr:row>
      <xdr:rowOff>152141</xdr:rowOff>
    </xdr:from>
    <xdr:to>
      <xdr:col>2</xdr:col>
      <xdr:colOff>106912</xdr:colOff>
      <xdr:row>395</xdr:row>
      <xdr:rowOff>114042</xdr:rowOff>
    </xdr:to>
    <xdr:sp macro="" textlink="">
      <xdr:nvSpPr>
        <xdr:cNvPr id="1347" name="Oval 1019"/>
        <xdr:cNvSpPr>
          <a:spLocks noChangeArrowheads="1"/>
        </xdr:cNvSpPr>
      </xdr:nvSpPr>
      <xdr:spPr bwMode="auto">
        <a:xfrm>
          <a:off x="1027533" y="5990966"/>
          <a:ext cx="298579" cy="342901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600982</xdr:colOff>
      <xdr:row>412</xdr:row>
      <xdr:rowOff>118271</xdr:rowOff>
    </xdr:from>
    <xdr:to>
      <xdr:col>0</xdr:col>
      <xdr:colOff>601778</xdr:colOff>
      <xdr:row>416</xdr:row>
      <xdr:rowOff>45360</xdr:rowOff>
    </xdr:to>
    <xdr:cxnSp macro="">
      <xdr:nvCxnSpPr>
        <xdr:cNvPr id="1348" name="Straight Connector 1347"/>
        <xdr:cNvCxnSpPr/>
      </xdr:nvCxnSpPr>
      <xdr:spPr bwMode="auto">
        <a:xfrm rot="5400000">
          <a:off x="256835" y="9606418"/>
          <a:ext cx="689089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236311</xdr:colOff>
      <xdr:row>413</xdr:row>
      <xdr:rowOff>64411</xdr:rowOff>
    </xdr:from>
    <xdr:to>
      <xdr:col>8</xdr:col>
      <xdr:colOff>237901</xdr:colOff>
      <xdr:row>416</xdr:row>
      <xdr:rowOff>45361</xdr:rowOff>
    </xdr:to>
    <xdr:cxnSp macro="">
      <xdr:nvCxnSpPr>
        <xdr:cNvPr id="1349" name="Straight Connector 1348"/>
        <xdr:cNvCxnSpPr/>
      </xdr:nvCxnSpPr>
      <xdr:spPr bwMode="auto">
        <a:xfrm rot="5400000">
          <a:off x="4837681" y="9674341"/>
          <a:ext cx="552450" cy="159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600982</xdr:colOff>
      <xdr:row>416</xdr:row>
      <xdr:rowOff>1</xdr:rowOff>
    </xdr:from>
    <xdr:to>
      <xdr:col>8</xdr:col>
      <xdr:colOff>238125</xdr:colOff>
      <xdr:row>416</xdr:row>
      <xdr:rowOff>11340</xdr:rowOff>
    </xdr:to>
    <xdr:cxnSp macro="">
      <xdr:nvCxnSpPr>
        <xdr:cNvPr id="1350" name="Straight Arrow Connector 1349"/>
        <xdr:cNvCxnSpPr/>
      </xdr:nvCxnSpPr>
      <xdr:spPr bwMode="auto">
        <a:xfrm flipV="1">
          <a:off x="600982" y="9906001"/>
          <a:ext cx="4513943" cy="1133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11339</xdr:colOff>
      <xdr:row>413</xdr:row>
      <xdr:rowOff>134261</xdr:rowOff>
    </xdr:from>
    <xdr:to>
      <xdr:col>7</xdr:col>
      <xdr:colOff>12927</xdr:colOff>
      <xdr:row>415</xdr:row>
      <xdr:rowOff>8168</xdr:rowOff>
    </xdr:to>
    <xdr:cxnSp macro="">
      <xdr:nvCxnSpPr>
        <xdr:cNvPr id="1351" name="Straight Connector 1350"/>
        <xdr:cNvCxnSpPr/>
      </xdr:nvCxnSpPr>
      <xdr:spPr bwMode="auto">
        <a:xfrm rot="5400000">
          <a:off x="4151879" y="9595421"/>
          <a:ext cx="25490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430893</xdr:colOff>
      <xdr:row>414</xdr:row>
      <xdr:rowOff>9532</xdr:rowOff>
    </xdr:from>
    <xdr:to>
      <xdr:col>1</xdr:col>
      <xdr:colOff>432481</xdr:colOff>
      <xdr:row>415</xdr:row>
      <xdr:rowOff>76207</xdr:rowOff>
    </xdr:to>
    <xdr:cxnSp macro="">
      <xdr:nvCxnSpPr>
        <xdr:cNvPr id="1352" name="Straight Connector 1351"/>
        <xdr:cNvCxnSpPr/>
      </xdr:nvCxnSpPr>
      <xdr:spPr bwMode="auto">
        <a:xfrm rot="5400000">
          <a:off x="912699" y="9662326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13154</xdr:colOff>
      <xdr:row>414</xdr:row>
      <xdr:rowOff>174171</xdr:rowOff>
    </xdr:from>
    <xdr:to>
      <xdr:col>8</xdr:col>
      <xdr:colOff>228600</xdr:colOff>
      <xdr:row>414</xdr:row>
      <xdr:rowOff>185510</xdr:rowOff>
    </xdr:to>
    <xdr:cxnSp macro="">
      <xdr:nvCxnSpPr>
        <xdr:cNvPr id="1353" name="Straight Arrow Connector 1352"/>
        <xdr:cNvCxnSpPr/>
      </xdr:nvCxnSpPr>
      <xdr:spPr bwMode="auto">
        <a:xfrm>
          <a:off x="4280354" y="9699171"/>
          <a:ext cx="825046" cy="1133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442233</xdr:colOff>
      <xdr:row>414</xdr:row>
      <xdr:rowOff>175985</xdr:rowOff>
    </xdr:from>
    <xdr:to>
      <xdr:col>7</xdr:col>
      <xdr:colOff>11339</xdr:colOff>
      <xdr:row>415</xdr:row>
      <xdr:rowOff>8164</xdr:rowOff>
    </xdr:to>
    <xdr:cxnSp macro="">
      <xdr:nvCxnSpPr>
        <xdr:cNvPr id="1354" name="Straight Arrow Connector 1353"/>
        <xdr:cNvCxnSpPr/>
      </xdr:nvCxnSpPr>
      <xdr:spPr bwMode="auto">
        <a:xfrm flipV="1">
          <a:off x="1051833" y="9700985"/>
          <a:ext cx="3226706" cy="2267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600982</xdr:colOff>
      <xdr:row>415</xdr:row>
      <xdr:rowOff>-1</xdr:rowOff>
    </xdr:from>
    <xdr:to>
      <xdr:col>1</xdr:col>
      <xdr:colOff>430893</xdr:colOff>
      <xdr:row>415</xdr:row>
      <xdr:rowOff>0</xdr:rowOff>
    </xdr:to>
    <xdr:cxnSp macro="">
      <xdr:nvCxnSpPr>
        <xdr:cNvPr id="1355" name="Straight Arrow Connector 1354"/>
        <xdr:cNvCxnSpPr/>
      </xdr:nvCxnSpPr>
      <xdr:spPr bwMode="auto">
        <a:xfrm>
          <a:off x="600982" y="9715499"/>
          <a:ext cx="439511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592025</xdr:colOff>
      <xdr:row>391</xdr:row>
      <xdr:rowOff>125526</xdr:rowOff>
    </xdr:from>
    <xdr:to>
      <xdr:col>3</xdr:col>
      <xdr:colOff>593613</xdr:colOff>
      <xdr:row>392</xdr:row>
      <xdr:rowOff>106476</xdr:rowOff>
    </xdr:to>
    <xdr:cxnSp macro="">
      <xdr:nvCxnSpPr>
        <xdr:cNvPr id="1356" name="Straight Connector 1355"/>
        <xdr:cNvCxnSpPr/>
      </xdr:nvCxnSpPr>
      <xdr:spPr bwMode="auto">
        <a:xfrm rot="5400000" flipH="1" flipV="1">
          <a:off x="2431144" y="65704357"/>
          <a:ext cx="1714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7371</xdr:colOff>
      <xdr:row>391</xdr:row>
      <xdr:rowOff>108290</xdr:rowOff>
    </xdr:from>
    <xdr:to>
      <xdr:col>7</xdr:col>
      <xdr:colOff>8959</xdr:colOff>
      <xdr:row>392</xdr:row>
      <xdr:rowOff>89240</xdr:rowOff>
    </xdr:to>
    <xdr:cxnSp macro="">
      <xdr:nvCxnSpPr>
        <xdr:cNvPr id="1357" name="Straight Connector 1356"/>
        <xdr:cNvCxnSpPr/>
      </xdr:nvCxnSpPr>
      <xdr:spPr bwMode="auto">
        <a:xfrm rot="5400000" flipH="1" flipV="1">
          <a:off x="4284890" y="65687121"/>
          <a:ext cx="1714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581025</xdr:colOff>
      <xdr:row>392</xdr:row>
      <xdr:rowOff>457</xdr:rowOff>
    </xdr:from>
    <xdr:to>
      <xdr:col>7</xdr:col>
      <xdr:colOff>22679</xdr:colOff>
      <xdr:row>392</xdr:row>
      <xdr:rowOff>9525</xdr:rowOff>
    </xdr:to>
    <xdr:cxnSp macro="">
      <xdr:nvCxnSpPr>
        <xdr:cNvPr id="1358" name="Straight Arrow Connector 1357"/>
        <xdr:cNvCxnSpPr/>
      </xdr:nvCxnSpPr>
      <xdr:spPr bwMode="auto">
        <a:xfrm flipV="1">
          <a:off x="2505075" y="65684857"/>
          <a:ext cx="1880054" cy="906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427654</xdr:colOff>
      <xdr:row>399</xdr:row>
      <xdr:rowOff>0</xdr:rowOff>
    </xdr:from>
    <xdr:to>
      <xdr:col>3</xdr:col>
      <xdr:colOff>573444</xdr:colOff>
      <xdr:row>399</xdr:row>
      <xdr:rowOff>9722</xdr:rowOff>
    </xdr:to>
    <xdr:cxnSp macro="">
      <xdr:nvCxnSpPr>
        <xdr:cNvPr id="1361" name="Straight Connector 1360"/>
        <xdr:cNvCxnSpPr/>
      </xdr:nvCxnSpPr>
      <xdr:spPr bwMode="auto">
        <a:xfrm flipV="1">
          <a:off x="1037254" y="6924675"/>
          <a:ext cx="1364990" cy="9722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290146</xdr:colOff>
      <xdr:row>399</xdr:row>
      <xdr:rowOff>19442</xdr:rowOff>
    </xdr:from>
    <xdr:to>
      <xdr:col>1</xdr:col>
      <xdr:colOff>291581</xdr:colOff>
      <xdr:row>407</xdr:row>
      <xdr:rowOff>161518</xdr:rowOff>
    </xdr:to>
    <xdr:cxnSp macro="">
      <xdr:nvCxnSpPr>
        <xdr:cNvPr id="1366" name="Straight Connector 1365"/>
        <xdr:cNvCxnSpPr/>
      </xdr:nvCxnSpPr>
      <xdr:spPr bwMode="auto">
        <a:xfrm rot="5400000">
          <a:off x="138863" y="7705000"/>
          <a:ext cx="1523201" cy="143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cxnSp>
    <xdr:clientData/>
  </xdr:twoCellAnchor>
  <xdr:twoCellAnchor>
    <xdr:from>
      <xdr:col>6</xdr:col>
      <xdr:colOff>300720</xdr:colOff>
      <xdr:row>405</xdr:row>
      <xdr:rowOff>190892</xdr:rowOff>
    </xdr:from>
    <xdr:to>
      <xdr:col>6</xdr:col>
      <xdr:colOff>311020</xdr:colOff>
      <xdr:row>407</xdr:row>
      <xdr:rowOff>184669</xdr:rowOff>
    </xdr:to>
    <xdr:cxnSp macro="">
      <xdr:nvCxnSpPr>
        <xdr:cNvPr id="1367" name="Straight Arrow Connector 1366"/>
        <xdr:cNvCxnSpPr/>
      </xdr:nvCxnSpPr>
      <xdr:spPr bwMode="auto">
        <a:xfrm rot="16200000" flipV="1">
          <a:off x="3799894" y="8302693"/>
          <a:ext cx="327152" cy="103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0</xdr:col>
      <xdr:colOff>242985</xdr:colOff>
      <xdr:row>409</xdr:row>
      <xdr:rowOff>0</xdr:rowOff>
    </xdr:from>
    <xdr:to>
      <xdr:col>0</xdr:col>
      <xdr:colOff>524847</xdr:colOff>
      <xdr:row>409</xdr:row>
      <xdr:rowOff>9720</xdr:rowOff>
    </xdr:to>
    <xdr:cxnSp macro="">
      <xdr:nvCxnSpPr>
        <xdr:cNvPr id="1368" name="Straight Connector 1367"/>
        <xdr:cNvCxnSpPr/>
      </xdr:nvCxnSpPr>
      <xdr:spPr bwMode="auto">
        <a:xfrm>
          <a:off x="242985" y="8629650"/>
          <a:ext cx="281862" cy="972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458430</xdr:colOff>
      <xdr:row>395</xdr:row>
      <xdr:rowOff>19439</xdr:rowOff>
    </xdr:from>
    <xdr:to>
      <xdr:col>6</xdr:col>
      <xdr:colOff>602602</xdr:colOff>
      <xdr:row>395</xdr:row>
      <xdr:rowOff>116633</xdr:rowOff>
    </xdr:to>
    <xdr:sp macro="" textlink="">
      <xdr:nvSpPr>
        <xdr:cNvPr id="1369" name="Line 1012"/>
        <xdr:cNvSpPr>
          <a:spLocks noChangeShapeType="1"/>
        </xdr:cNvSpPr>
      </xdr:nvSpPr>
      <xdr:spPr bwMode="auto">
        <a:xfrm>
          <a:off x="4116030" y="6239264"/>
          <a:ext cx="144172" cy="97194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sp>
    <xdr:clientData/>
  </xdr:twoCellAnchor>
  <xdr:twoCellAnchor>
    <xdr:from>
      <xdr:col>0</xdr:col>
      <xdr:colOff>241883</xdr:colOff>
      <xdr:row>399</xdr:row>
      <xdr:rowOff>1424</xdr:rowOff>
    </xdr:from>
    <xdr:to>
      <xdr:col>1</xdr:col>
      <xdr:colOff>365709</xdr:colOff>
      <xdr:row>399</xdr:row>
      <xdr:rowOff>3012</xdr:rowOff>
    </xdr:to>
    <xdr:cxnSp macro="">
      <xdr:nvCxnSpPr>
        <xdr:cNvPr id="1370" name="Straight Connector 1369"/>
        <xdr:cNvCxnSpPr/>
      </xdr:nvCxnSpPr>
      <xdr:spPr bwMode="auto">
        <a:xfrm>
          <a:off x="241883" y="6926099"/>
          <a:ext cx="733426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180587</xdr:colOff>
      <xdr:row>409</xdr:row>
      <xdr:rowOff>97000</xdr:rowOff>
    </xdr:from>
    <xdr:to>
      <xdr:col>1</xdr:col>
      <xdr:colOff>180587</xdr:colOff>
      <xdr:row>411</xdr:row>
      <xdr:rowOff>144624</xdr:rowOff>
    </xdr:to>
    <xdr:sp macro="" textlink="">
      <xdr:nvSpPr>
        <xdr:cNvPr id="1371" name="Line 92"/>
        <xdr:cNvSpPr>
          <a:spLocks noChangeShapeType="1"/>
        </xdr:cNvSpPr>
      </xdr:nvSpPr>
      <xdr:spPr bwMode="auto">
        <a:xfrm>
          <a:off x="790187" y="8726650"/>
          <a:ext cx="0" cy="3714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</xdr:col>
      <xdr:colOff>586078</xdr:colOff>
      <xdr:row>394</xdr:row>
      <xdr:rowOff>19438</xdr:rowOff>
    </xdr:from>
    <xdr:ext cx="175304" cy="170560"/>
    <xdr:sp macro="" textlink="">
      <xdr:nvSpPr>
        <xdr:cNvPr id="1372" name="Text Box 1014"/>
        <xdr:cNvSpPr txBox="1">
          <a:spLocks noChangeArrowheads="1"/>
        </xdr:cNvSpPr>
      </xdr:nvSpPr>
      <xdr:spPr bwMode="auto">
        <a:xfrm>
          <a:off x="3634078" y="6048763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1</xdr:col>
      <xdr:colOff>314325</xdr:colOff>
      <xdr:row>412</xdr:row>
      <xdr:rowOff>114300</xdr:rowOff>
    </xdr:from>
    <xdr:to>
      <xdr:col>1</xdr:col>
      <xdr:colOff>314325</xdr:colOff>
      <xdr:row>413</xdr:row>
      <xdr:rowOff>76200</xdr:rowOff>
    </xdr:to>
    <xdr:sp macro="" textlink="">
      <xdr:nvSpPr>
        <xdr:cNvPr id="1374" name="Line 4342"/>
        <xdr:cNvSpPr>
          <a:spLocks noChangeShapeType="1"/>
        </xdr:cNvSpPr>
      </xdr:nvSpPr>
      <xdr:spPr bwMode="auto">
        <a:xfrm>
          <a:off x="923925" y="92583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600075</xdr:colOff>
      <xdr:row>413</xdr:row>
      <xdr:rowOff>0</xdr:rowOff>
    </xdr:from>
    <xdr:to>
      <xdr:col>1</xdr:col>
      <xdr:colOff>314325</xdr:colOff>
      <xdr:row>413</xdr:row>
      <xdr:rowOff>1588</xdr:rowOff>
    </xdr:to>
    <xdr:cxnSp macro="">
      <xdr:nvCxnSpPr>
        <xdr:cNvPr id="1375" name="Straight Arrow Connector 1374"/>
        <xdr:cNvCxnSpPr/>
      </xdr:nvCxnSpPr>
      <xdr:spPr bwMode="auto">
        <a:xfrm>
          <a:off x="600075" y="9334500"/>
          <a:ext cx="3238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200025</xdr:colOff>
      <xdr:row>394</xdr:row>
      <xdr:rowOff>1</xdr:rowOff>
    </xdr:from>
    <xdr:to>
      <xdr:col>8</xdr:col>
      <xdr:colOff>201613</xdr:colOff>
      <xdr:row>406</xdr:row>
      <xdr:rowOff>66870</xdr:rowOff>
    </xdr:to>
    <xdr:cxnSp macro="">
      <xdr:nvCxnSpPr>
        <xdr:cNvPr id="1376" name="Straight Connector 1375"/>
        <xdr:cNvCxnSpPr/>
      </xdr:nvCxnSpPr>
      <xdr:spPr bwMode="auto">
        <a:xfrm rot="5400000">
          <a:off x="4110734" y="67098167"/>
          <a:ext cx="2124269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352425</xdr:colOff>
      <xdr:row>408</xdr:row>
      <xdr:rowOff>0</xdr:rowOff>
    </xdr:from>
    <xdr:to>
      <xdr:col>9</xdr:col>
      <xdr:colOff>266700</xdr:colOff>
      <xdr:row>408</xdr:row>
      <xdr:rowOff>9525</xdr:rowOff>
    </xdr:to>
    <xdr:cxnSp macro="">
      <xdr:nvCxnSpPr>
        <xdr:cNvPr id="1378" name="Straight Connector 1377"/>
        <xdr:cNvCxnSpPr/>
      </xdr:nvCxnSpPr>
      <xdr:spPr bwMode="auto">
        <a:xfrm flipV="1">
          <a:off x="5324475" y="68418075"/>
          <a:ext cx="5238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304800</xdr:colOff>
      <xdr:row>393</xdr:row>
      <xdr:rowOff>171451</xdr:rowOff>
    </xdr:from>
    <xdr:to>
      <xdr:col>8</xdr:col>
      <xdr:colOff>306388</xdr:colOff>
      <xdr:row>406</xdr:row>
      <xdr:rowOff>47820</xdr:rowOff>
    </xdr:to>
    <xdr:cxnSp macro="">
      <xdr:nvCxnSpPr>
        <xdr:cNvPr id="1379" name="Straight Connector 1378"/>
        <xdr:cNvCxnSpPr/>
      </xdr:nvCxnSpPr>
      <xdr:spPr bwMode="auto">
        <a:xfrm rot="5400000">
          <a:off x="4215509" y="67079117"/>
          <a:ext cx="2124269" cy="1588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cxnSp>
    <xdr:clientData/>
  </xdr:twoCellAnchor>
  <xdr:twoCellAnchor>
    <xdr:from>
      <xdr:col>9</xdr:col>
      <xdr:colOff>8731</xdr:colOff>
      <xdr:row>406</xdr:row>
      <xdr:rowOff>794</xdr:rowOff>
    </xdr:from>
    <xdr:to>
      <xdr:col>9</xdr:col>
      <xdr:colOff>10319</xdr:colOff>
      <xdr:row>408</xdr:row>
      <xdr:rowOff>794</xdr:rowOff>
    </xdr:to>
    <xdr:cxnSp macro="">
      <xdr:nvCxnSpPr>
        <xdr:cNvPr id="1381" name="Straight Arrow Connector 1380"/>
        <xdr:cNvCxnSpPr/>
      </xdr:nvCxnSpPr>
      <xdr:spPr bwMode="auto">
        <a:xfrm rot="5400000">
          <a:off x="5429250" y="68256150"/>
          <a:ext cx="323850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cxnSp>
    <xdr:clientData/>
  </xdr:twoCellAnchor>
  <xdr:twoCellAnchor>
    <xdr:from>
      <xdr:col>1</xdr:col>
      <xdr:colOff>533400</xdr:colOff>
      <xdr:row>392</xdr:row>
      <xdr:rowOff>9525</xdr:rowOff>
    </xdr:from>
    <xdr:to>
      <xdr:col>4</xdr:col>
      <xdr:colOff>3629</xdr:colOff>
      <xdr:row>392</xdr:row>
      <xdr:rowOff>9982</xdr:rowOff>
    </xdr:to>
    <xdr:cxnSp macro="">
      <xdr:nvCxnSpPr>
        <xdr:cNvPr id="1385" name="Straight Arrow Connector 1384"/>
        <xdr:cNvCxnSpPr/>
      </xdr:nvCxnSpPr>
      <xdr:spPr bwMode="auto">
        <a:xfrm>
          <a:off x="1143000" y="65693925"/>
          <a:ext cx="1394279" cy="45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544400</xdr:colOff>
      <xdr:row>391</xdr:row>
      <xdr:rowOff>116001</xdr:rowOff>
    </xdr:from>
    <xdr:to>
      <xdr:col>1</xdr:col>
      <xdr:colOff>545988</xdr:colOff>
      <xdr:row>392</xdr:row>
      <xdr:rowOff>96951</xdr:rowOff>
    </xdr:to>
    <xdr:cxnSp macro="">
      <xdr:nvCxnSpPr>
        <xdr:cNvPr id="1387" name="Straight Connector 1386"/>
        <xdr:cNvCxnSpPr/>
      </xdr:nvCxnSpPr>
      <xdr:spPr bwMode="auto">
        <a:xfrm rot="5400000" flipH="1" flipV="1">
          <a:off x="1069069" y="65694832"/>
          <a:ext cx="1714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361156</xdr:colOff>
      <xdr:row>277</xdr:row>
      <xdr:rowOff>76994</xdr:rowOff>
    </xdr:from>
    <xdr:to>
      <xdr:col>2</xdr:col>
      <xdr:colOff>362744</xdr:colOff>
      <xdr:row>278</xdr:row>
      <xdr:rowOff>67469</xdr:rowOff>
    </xdr:to>
    <xdr:cxnSp macro="">
      <xdr:nvCxnSpPr>
        <xdr:cNvPr id="911" name="Straight Arrow Connector 910"/>
        <xdr:cNvCxnSpPr/>
      </xdr:nvCxnSpPr>
      <xdr:spPr bwMode="auto">
        <a:xfrm rot="5400000" flipH="1" flipV="1">
          <a:off x="1504950" y="44472225"/>
          <a:ext cx="152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22</xdr:col>
      <xdr:colOff>476250</xdr:colOff>
      <xdr:row>50</xdr:row>
      <xdr:rowOff>9720</xdr:rowOff>
    </xdr:from>
    <xdr:to>
      <xdr:col>23</xdr:col>
      <xdr:colOff>272142</xdr:colOff>
      <xdr:row>53</xdr:row>
      <xdr:rowOff>29937</xdr:rowOff>
    </xdr:to>
    <xdr:sp macro="" textlink="">
      <xdr:nvSpPr>
        <xdr:cNvPr id="912" name="Moon 911"/>
        <xdr:cNvSpPr/>
      </xdr:nvSpPr>
      <xdr:spPr bwMode="auto">
        <a:xfrm flipH="1">
          <a:off x="13305842" y="8387832"/>
          <a:ext cx="408213" cy="515906"/>
        </a:xfrm>
        <a:prstGeom prst="moon">
          <a:avLst>
            <a:gd name="adj" fmla="val 249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97193</xdr:colOff>
      <xdr:row>57</xdr:row>
      <xdr:rowOff>1</xdr:rowOff>
    </xdr:from>
    <xdr:to>
      <xdr:col>12</xdr:col>
      <xdr:colOff>456811</xdr:colOff>
      <xdr:row>60</xdr:row>
      <xdr:rowOff>19439</xdr:rowOff>
    </xdr:to>
    <xdr:sp macro="" textlink="">
      <xdr:nvSpPr>
        <xdr:cNvPr id="916" name="Moon 915"/>
        <xdr:cNvSpPr/>
      </xdr:nvSpPr>
      <xdr:spPr bwMode="auto">
        <a:xfrm>
          <a:off x="6803571" y="9534720"/>
          <a:ext cx="359618" cy="515127"/>
        </a:xfrm>
        <a:prstGeom prst="moon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379057</xdr:colOff>
      <xdr:row>64</xdr:row>
      <xdr:rowOff>142873</xdr:rowOff>
    </xdr:from>
    <xdr:to>
      <xdr:col>14</xdr:col>
      <xdr:colOff>324048</xdr:colOff>
      <xdr:row>64</xdr:row>
      <xdr:rowOff>165228</xdr:rowOff>
    </xdr:to>
    <xdr:cxnSp macro="">
      <xdr:nvCxnSpPr>
        <xdr:cNvPr id="919" name="Straight Connector 918"/>
        <xdr:cNvCxnSpPr/>
      </xdr:nvCxnSpPr>
      <xdr:spPr bwMode="auto">
        <a:xfrm rot="10800000" flipV="1">
          <a:off x="7085435" y="10834200"/>
          <a:ext cx="1169633" cy="223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466531</xdr:colOff>
      <xdr:row>67</xdr:row>
      <xdr:rowOff>161923</xdr:rowOff>
    </xdr:from>
    <xdr:to>
      <xdr:col>14</xdr:col>
      <xdr:colOff>343097</xdr:colOff>
      <xdr:row>68</xdr:row>
      <xdr:rowOff>19438</xdr:rowOff>
    </xdr:to>
    <xdr:cxnSp macro="">
      <xdr:nvCxnSpPr>
        <xdr:cNvPr id="921" name="Straight Connector 920"/>
        <xdr:cNvCxnSpPr>
          <a:endCxn id="923" idx="2"/>
        </xdr:cNvCxnSpPr>
      </xdr:nvCxnSpPr>
      <xdr:spPr bwMode="auto">
        <a:xfrm rot="10800000" flipV="1">
          <a:off x="7172909" y="11348938"/>
          <a:ext cx="1101208" cy="2274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106913</xdr:colOff>
      <xdr:row>65</xdr:row>
      <xdr:rowOff>1</xdr:rowOff>
    </xdr:from>
    <xdr:to>
      <xdr:col>12</xdr:col>
      <xdr:colOff>466531</xdr:colOff>
      <xdr:row>68</xdr:row>
      <xdr:rowOff>19439</xdr:rowOff>
    </xdr:to>
    <xdr:sp macro="" textlink="">
      <xdr:nvSpPr>
        <xdr:cNvPr id="923" name="Moon 922"/>
        <xdr:cNvSpPr/>
      </xdr:nvSpPr>
      <xdr:spPr bwMode="auto">
        <a:xfrm>
          <a:off x="6813291" y="10856557"/>
          <a:ext cx="359618" cy="515127"/>
        </a:xfrm>
        <a:prstGeom prst="moon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379059</xdr:colOff>
      <xdr:row>49</xdr:row>
      <xdr:rowOff>155508</xdr:rowOff>
    </xdr:from>
    <xdr:to>
      <xdr:col>14</xdr:col>
      <xdr:colOff>314325</xdr:colOff>
      <xdr:row>49</xdr:row>
      <xdr:rowOff>171450</xdr:rowOff>
    </xdr:to>
    <xdr:cxnSp macro="">
      <xdr:nvCxnSpPr>
        <xdr:cNvPr id="925" name="Straight Connector 924"/>
        <xdr:cNvCxnSpPr/>
      </xdr:nvCxnSpPr>
      <xdr:spPr bwMode="auto">
        <a:xfrm rot="10800000">
          <a:off x="7056084" y="2374833"/>
          <a:ext cx="1154466" cy="1594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466530</xdr:colOff>
      <xdr:row>53</xdr:row>
      <xdr:rowOff>9720</xdr:rowOff>
    </xdr:from>
    <xdr:to>
      <xdr:col>14</xdr:col>
      <xdr:colOff>342900</xdr:colOff>
      <xdr:row>53</xdr:row>
      <xdr:rowOff>19051</xdr:rowOff>
    </xdr:to>
    <xdr:cxnSp macro="">
      <xdr:nvCxnSpPr>
        <xdr:cNvPr id="927" name="Straight Connector 926"/>
        <xdr:cNvCxnSpPr>
          <a:endCxn id="929" idx="2"/>
        </xdr:cNvCxnSpPr>
      </xdr:nvCxnSpPr>
      <xdr:spPr bwMode="auto">
        <a:xfrm rot="10800000">
          <a:off x="7143555" y="2991045"/>
          <a:ext cx="1095570" cy="93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106912</xdr:colOff>
      <xdr:row>49</xdr:row>
      <xdr:rowOff>155510</xdr:rowOff>
    </xdr:from>
    <xdr:to>
      <xdr:col>12</xdr:col>
      <xdr:colOff>466530</xdr:colOff>
      <xdr:row>53</xdr:row>
      <xdr:rowOff>9719</xdr:rowOff>
    </xdr:to>
    <xdr:sp macro="" textlink="">
      <xdr:nvSpPr>
        <xdr:cNvPr id="929" name="Moon 928"/>
        <xdr:cNvSpPr/>
      </xdr:nvSpPr>
      <xdr:spPr bwMode="auto">
        <a:xfrm>
          <a:off x="6813290" y="8368393"/>
          <a:ext cx="359618" cy="515127"/>
        </a:xfrm>
        <a:prstGeom prst="moon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20</xdr:col>
      <xdr:colOff>285750</xdr:colOff>
      <xdr:row>56</xdr:row>
      <xdr:rowOff>145790</xdr:rowOff>
    </xdr:from>
    <xdr:to>
      <xdr:col>22</xdr:col>
      <xdr:colOff>476250</xdr:colOff>
      <xdr:row>56</xdr:row>
      <xdr:rowOff>155510</xdr:rowOff>
    </xdr:to>
    <xdr:cxnSp macro="">
      <xdr:nvCxnSpPr>
        <xdr:cNvPr id="963" name="Straight Connector 962"/>
        <xdr:cNvCxnSpPr>
          <a:endCxn id="968" idx="0"/>
        </xdr:cNvCxnSpPr>
      </xdr:nvCxnSpPr>
      <xdr:spPr bwMode="auto">
        <a:xfrm>
          <a:off x="11890699" y="9515280"/>
          <a:ext cx="1415143" cy="972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285750</xdr:colOff>
      <xdr:row>60</xdr:row>
      <xdr:rowOff>9136</xdr:rowOff>
    </xdr:from>
    <xdr:to>
      <xdr:col>22</xdr:col>
      <xdr:colOff>476250</xdr:colOff>
      <xdr:row>60</xdr:row>
      <xdr:rowOff>10498</xdr:rowOff>
    </xdr:to>
    <xdr:cxnSp macro="">
      <xdr:nvCxnSpPr>
        <xdr:cNvPr id="966" name="Straight Connector 965"/>
        <xdr:cNvCxnSpPr>
          <a:endCxn id="968" idx="2"/>
        </xdr:cNvCxnSpPr>
      </xdr:nvCxnSpPr>
      <xdr:spPr bwMode="auto">
        <a:xfrm>
          <a:off x="11890699" y="10039544"/>
          <a:ext cx="1415143" cy="136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22</xdr:col>
      <xdr:colOff>476250</xdr:colOff>
      <xdr:row>56</xdr:row>
      <xdr:rowOff>155510</xdr:rowOff>
    </xdr:from>
    <xdr:to>
      <xdr:col>23</xdr:col>
      <xdr:colOff>272142</xdr:colOff>
      <xdr:row>60</xdr:row>
      <xdr:rowOff>10498</xdr:rowOff>
    </xdr:to>
    <xdr:sp macro="" textlink="">
      <xdr:nvSpPr>
        <xdr:cNvPr id="968" name="Moon 967"/>
        <xdr:cNvSpPr/>
      </xdr:nvSpPr>
      <xdr:spPr bwMode="auto">
        <a:xfrm flipH="1">
          <a:off x="13305842" y="9525000"/>
          <a:ext cx="408213" cy="515906"/>
        </a:xfrm>
        <a:prstGeom prst="moon">
          <a:avLst>
            <a:gd name="adj" fmla="val 249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20</xdr:col>
      <xdr:colOff>276030</xdr:colOff>
      <xdr:row>65</xdr:row>
      <xdr:rowOff>9719</xdr:rowOff>
    </xdr:from>
    <xdr:to>
      <xdr:col>22</xdr:col>
      <xdr:colOff>466530</xdr:colOff>
      <xdr:row>65</xdr:row>
      <xdr:rowOff>19439</xdr:rowOff>
    </xdr:to>
    <xdr:cxnSp macro="">
      <xdr:nvCxnSpPr>
        <xdr:cNvPr id="984" name="Straight Connector 983"/>
        <xdr:cNvCxnSpPr>
          <a:endCxn id="989" idx="0"/>
        </xdr:cNvCxnSpPr>
      </xdr:nvCxnSpPr>
      <xdr:spPr bwMode="auto">
        <a:xfrm>
          <a:off x="11880979" y="10866275"/>
          <a:ext cx="1415143" cy="972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</xdr:col>
      <xdr:colOff>276030</xdr:colOff>
      <xdr:row>68</xdr:row>
      <xdr:rowOff>38294</xdr:rowOff>
    </xdr:from>
    <xdr:to>
      <xdr:col>22</xdr:col>
      <xdr:colOff>466530</xdr:colOff>
      <xdr:row>68</xdr:row>
      <xdr:rowOff>39656</xdr:rowOff>
    </xdr:to>
    <xdr:cxnSp macro="">
      <xdr:nvCxnSpPr>
        <xdr:cNvPr id="988" name="Straight Connector 987"/>
        <xdr:cNvCxnSpPr>
          <a:endCxn id="989" idx="2"/>
        </xdr:cNvCxnSpPr>
      </xdr:nvCxnSpPr>
      <xdr:spPr bwMode="auto">
        <a:xfrm>
          <a:off x="11880979" y="11390539"/>
          <a:ext cx="1415143" cy="136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22</xdr:col>
      <xdr:colOff>466530</xdr:colOff>
      <xdr:row>65</xdr:row>
      <xdr:rowOff>19439</xdr:rowOff>
    </xdr:from>
    <xdr:to>
      <xdr:col>23</xdr:col>
      <xdr:colOff>262422</xdr:colOff>
      <xdr:row>68</xdr:row>
      <xdr:rowOff>39656</xdr:rowOff>
    </xdr:to>
    <xdr:sp macro="" textlink="">
      <xdr:nvSpPr>
        <xdr:cNvPr id="989" name="Moon 988"/>
        <xdr:cNvSpPr/>
      </xdr:nvSpPr>
      <xdr:spPr bwMode="auto">
        <a:xfrm flipH="1">
          <a:off x="13296122" y="10875995"/>
          <a:ext cx="408213" cy="515906"/>
        </a:xfrm>
        <a:prstGeom prst="moon">
          <a:avLst>
            <a:gd name="adj" fmla="val 249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192831</xdr:colOff>
      <xdr:row>59</xdr:row>
      <xdr:rowOff>97192</xdr:rowOff>
    </xdr:from>
    <xdr:to>
      <xdr:col>11</xdr:col>
      <xdr:colOff>320739</xdr:colOff>
      <xdr:row>60</xdr:row>
      <xdr:rowOff>57928</xdr:rowOff>
    </xdr:to>
    <xdr:cxnSp macro="">
      <xdr:nvCxnSpPr>
        <xdr:cNvPr id="990" name="Straight Connector 989"/>
        <xdr:cNvCxnSpPr/>
      </xdr:nvCxnSpPr>
      <xdr:spPr bwMode="auto">
        <a:xfrm flipV="1">
          <a:off x="6296607" y="9962371"/>
          <a:ext cx="127908" cy="12596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183112</xdr:colOff>
      <xdr:row>46</xdr:row>
      <xdr:rowOff>77755</xdr:rowOff>
    </xdr:from>
    <xdr:to>
      <xdr:col>11</xdr:col>
      <xdr:colOff>311020</xdr:colOff>
      <xdr:row>47</xdr:row>
      <xdr:rowOff>38491</xdr:rowOff>
    </xdr:to>
    <xdr:cxnSp macro="">
      <xdr:nvCxnSpPr>
        <xdr:cNvPr id="993" name="Straight Connector 992"/>
        <xdr:cNvCxnSpPr/>
      </xdr:nvCxnSpPr>
      <xdr:spPr bwMode="auto">
        <a:xfrm flipV="1">
          <a:off x="6286888" y="7794949"/>
          <a:ext cx="127908" cy="12596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192830</xdr:colOff>
      <xdr:row>49</xdr:row>
      <xdr:rowOff>97195</xdr:rowOff>
    </xdr:from>
    <xdr:to>
      <xdr:col>11</xdr:col>
      <xdr:colOff>320738</xdr:colOff>
      <xdr:row>50</xdr:row>
      <xdr:rowOff>57931</xdr:rowOff>
    </xdr:to>
    <xdr:cxnSp macro="">
      <xdr:nvCxnSpPr>
        <xdr:cNvPr id="994" name="Straight Connector 993"/>
        <xdr:cNvCxnSpPr/>
      </xdr:nvCxnSpPr>
      <xdr:spPr bwMode="auto">
        <a:xfrm flipV="1">
          <a:off x="6296606" y="8310078"/>
          <a:ext cx="127908" cy="12596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183112</xdr:colOff>
      <xdr:row>52</xdr:row>
      <xdr:rowOff>87475</xdr:rowOff>
    </xdr:from>
    <xdr:to>
      <xdr:col>11</xdr:col>
      <xdr:colOff>311020</xdr:colOff>
      <xdr:row>53</xdr:row>
      <xdr:rowOff>48210</xdr:rowOff>
    </xdr:to>
    <xdr:cxnSp macro="">
      <xdr:nvCxnSpPr>
        <xdr:cNvPr id="995" name="Straight Connector 994"/>
        <xdr:cNvCxnSpPr/>
      </xdr:nvCxnSpPr>
      <xdr:spPr bwMode="auto">
        <a:xfrm flipV="1">
          <a:off x="6286888" y="8796046"/>
          <a:ext cx="127908" cy="12596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</xdr:col>
      <xdr:colOff>192830</xdr:colOff>
      <xdr:row>56</xdr:row>
      <xdr:rowOff>97195</xdr:rowOff>
    </xdr:from>
    <xdr:to>
      <xdr:col>11</xdr:col>
      <xdr:colOff>320738</xdr:colOff>
      <xdr:row>57</xdr:row>
      <xdr:rowOff>57931</xdr:rowOff>
    </xdr:to>
    <xdr:cxnSp macro="">
      <xdr:nvCxnSpPr>
        <xdr:cNvPr id="996" name="Straight Connector 995"/>
        <xdr:cNvCxnSpPr/>
      </xdr:nvCxnSpPr>
      <xdr:spPr bwMode="auto">
        <a:xfrm flipV="1">
          <a:off x="6296606" y="9466685"/>
          <a:ext cx="127908" cy="12596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359620</xdr:colOff>
      <xdr:row>26</xdr:row>
      <xdr:rowOff>155509</xdr:rowOff>
    </xdr:from>
    <xdr:to>
      <xdr:col>14</xdr:col>
      <xdr:colOff>311023</xdr:colOff>
      <xdr:row>26</xdr:row>
      <xdr:rowOff>165227</xdr:rowOff>
    </xdr:to>
    <xdr:cxnSp macro="">
      <xdr:nvCxnSpPr>
        <xdr:cNvPr id="1003" name="Straight Connector 1002"/>
        <xdr:cNvCxnSpPr/>
      </xdr:nvCxnSpPr>
      <xdr:spPr bwMode="auto">
        <a:xfrm rot="10800000" flipV="1">
          <a:off x="7065998" y="4568111"/>
          <a:ext cx="1176045" cy="971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447092</xdr:colOff>
      <xdr:row>29</xdr:row>
      <xdr:rowOff>161921</xdr:rowOff>
    </xdr:from>
    <xdr:to>
      <xdr:col>14</xdr:col>
      <xdr:colOff>323658</xdr:colOff>
      <xdr:row>30</xdr:row>
      <xdr:rowOff>19438</xdr:rowOff>
    </xdr:to>
    <xdr:cxnSp macro="">
      <xdr:nvCxnSpPr>
        <xdr:cNvPr id="1004" name="Straight Connector 1003"/>
        <xdr:cNvCxnSpPr>
          <a:endCxn id="1005" idx="2"/>
        </xdr:cNvCxnSpPr>
      </xdr:nvCxnSpPr>
      <xdr:spPr bwMode="auto">
        <a:xfrm rot="10800000" flipV="1">
          <a:off x="7153470" y="5070212"/>
          <a:ext cx="1101208" cy="2274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87474</xdr:colOff>
      <xdr:row>26</xdr:row>
      <xdr:rowOff>165229</xdr:rowOff>
    </xdr:from>
    <xdr:to>
      <xdr:col>12</xdr:col>
      <xdr:colOff>447092</xdr:colOff>
      <xdr:row>30</xdr:row>
      <xdr:rowOff>19438</xdr:rowOff>
    </xdr:to>
    <xdr:sp macro="" textlink="">
      <xdr:nvSpPr>
        <xdr:cNvPr id="1005" name="Moon 1004"/>
        <xdr:cNvSpPr/>
      </xdr:nvSpPr>
      <xdr:spPr bwMode="auto">
        <a:xfrm>
          <a:off x="6793852" y="4577831"/>
          <a:ext cx="359618" cy="515127"/>
        </a:xfrm>
        <a:prstGeom prst="moon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359620</xdr:colOff>
      <xdr:row>18</xdr:row>
      <xdr:rowOff>145790</xdr:rowOff>
    </xdr:from>
    <xdr:to>
      <xdr:col>14</xdr:col>
      <xdr:colOff>311023</xdr:colOff>
      <xdr:row>18</xdr:row>
      <xdr:rowOff>155508</xdr:rowOff>
    </xdr:to>
    <xdr:cxnSp macro="">
      <xdr:nvCxnSpPr>
        <xdr:cNvPr id="1006" name="Straight Connector 1005"/>
        <xdr:cNvCxnSpPr/>
      </xdr:nvCxnSpPr>
      <xdr:spPr bwMode="auto">
        <a:xfrm rot="10800000" flipV="1">
          <a:off x="7065998" y="3236555"/>
          <a:ext cx="1176045" cy="971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447092</xdr:colOff>
      <xdr:row>21</xdr:row>
      <xdr:rowOff>152202</xdr:rowOff>
    </xdr:from>
    <xdr:to>
      <xdr:col>14</xdr:col>
      <xdr:colOff>323658</xdr:colOff>
      <xdr:row>22</xdr:row>
      <xdr:rowOff>9718</xdr:rowOff>
    </xdr:to>
    <xdr:cxnSp macro="">
      <xdr:nvCxnSpPr>
        <xdr:cNvPr id="1007" name="Straight Connector 1006"/>
        <xdr:cNvCxnSpPr>
          <a:endCxn id="1008" idx="2"/>
        </xdr:cNvCxnSpPr>
      </xdr:nvCxnSpPr>
      <xdr:spPr bwMode="auto">
        <a:xfrm rot="10800000" flipV="1">
          <a:off x="7153470" y="3738656"/>
          <a:ext cx="1101208" cy="2274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87474</xdr:colOff>
      <xdr:row>18</xdr:row>
      <xdr:rowOff>155510</xdr:rowOff>
    </xdr:from>
    <xdr:to>
      <xdr:col>12</xdr:col>
      <xdr:colOff>447092</xdr:colOff>
      <xdr:row>22</xdr:row>
      <xdr:rowOff>9718</xdr:rowOff>
    </xdr:to>
    <xdr:sp macro="" textlink="">
      <xdr:nvSpPr>
        <xdr:cNvPr id="1008" name="Moon 1007"/>
        <xdr:cNvSpPr/>
      </xdr:nvSpPr>
      <xdr:spPr bwMode="auto">
        <a:xfrm>
          <a:off x="6793852" y="3246275"/>
          <a:ext cx="359618" cy="515127"/>
        </a:xfrm>
        <a:prstGeom prst="moon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340181</xdr:colOff>
      <xdr:row>12</xdr:row>
      <xdr:rowOff>9718</xdr:rowOff>
    </xdr:from>
    <xdr:to>
      <xdr:col>14</xdr:col>
      <xdr:colOff>291584</xdr:colOff>
      <xdr:row>12</xdr:row>
      <xdr:rowOff>19436</xdr:rowOff>
    </xdr:to>
    <xdr:cxnSp macro="">
      <xdr:nvCxnSpPr>
        <xdr:cNvPr id="1009" name="Straight Connector 1008"/>
        <xdr:cNvCxnSpPr/>
      </xdr:nvCxnSpPr>
      <xdr:spPr bwMode="auto">
        <a:xfrm rot="10800000" flipV="1">
          <a:off x="7046559" y="2070228"/>
          <a:ext cx="1176045" cy="971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427653</xdr:colOff>
      <xdr:row>14</xdr:row>
      <xdr:rowOff>142482</xdr:rowOff>
    </xdr:from>
    <xdr:to>
      <xdr:col>14</xdr:col>
      <xdr:colOff>304219</xdr:colOff>
      <xdr:row>14</xdr:row>
      <xdr:rowOff>165228</xdr:rowOff>
    </xdr:to>
    <xdr:cxnSp macro="">
      <xdr:nvCxnSpPr>
        <xdr:cNvPr id="1010" name="Straight Connector 1009"/>
        <xdr:cNvCxnSpPr>
          <a:endCxn id="1011" idx="2"/>
        </xdr:cNvCxnSpPr>
      </xdr:nvCxnSpPr>
      <xdr:spPr bwMode="auto">
        <a:xfrm rot="10800000" flipV="1">
          <a:off x="7134031" y="2572329"/>
          <a:ext cx="1101208" cy="2274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68035</xdr:colOff>
      <xdr:row>12</xdr:row>
      <xdr:rowOff>19438</xdr:rowOff>
    </xdr:from>
    <xdr:to>
      <xdr:col>12</xdr:col>
      <xdr:colOff>427653</xdr:colOff>
      <xdr:row>14</xdr:row>
      <xdr:rowOff>165228</xdr:rowOff>
    </xdr:to>
    <xdr:sp macro="" textlink="">
      <xdr:nvSpPr>
        <xdr:cNvPr id="1011" name="Moon 1010"/>
        <xdr:cNvSpPr/>
      </xdr:nvSpPr>
      <xdr:spPr bwMode="auto">
        <a:xfrm>
          <a:off x="6774413" y="2079948"/>
          <a:ext cx="359618" cy="515127"/>
        </a:xfrm>
        <a:prstGeom prst="moon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240507</xdr:colOff>
      <xdr:row>44</xdr:row>
      <xdr:rowOff>3161</xdr:rowOff>
    </xdr:from>
    <xdr:to>
      <xdr:col>11</xdr:col>
      <xdr:colOff>242095</xdr:colOff>
      <xdr:row>76</xdr:row>
      <xdr:rowOff>4779</xdr:rowOff>
    </xdr:to>
    <xdr:cxnSp macro="">
      <xdr:nvCxnSpPr>
        <xdr:cNvPr id="895" name="Straight Connector 894"/>
        <xdr:cNvCxnSpPr/>
      </xdr:nvCxnSpPr>
      <xdr:spPr bwMode="auto">
        <a:xfrm rot="5400000">
          <a:off x="3726642" y="9947276"/>
          <a:ext cx="5183218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28</xdr:col>
      <xdr:colOff>119063</xdr:colOff>
      <xdr:row>135</xdr:row>
      <xdr:rowOff>95250</xdr:rowOff>
    </xdr:from>
    <xdr:to>
      <xdr:col>28</xdr:col>
      <xdr:colOff>119066</xdr:colOff>
      <xdr:row>136</xdr:row>
      <xdr:rowOff>19052</xdr:rowOff>
    </xdr:to>
    <xdr:cxnSp macro="">
      <xdr:nvCxnSpPr>
        <xdr:cNvPr id="1019" name="Straight Connector 1018"/>
        <xdr:cNvCxnSpPr/>
      </xdr:nvCxnSpPr>
      <xdr:spPr bwMode="auto">
        <a:xfrm>
          <a:off x="16549688" y="22145625"/>
          <a:ext cx="3" cy="85727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54</xdr:row>
      <xdr:rowOff>9525</xdr:rowOff>
    </xdr:from>
    <xdr:to>
      <xdr:col>3</xdr:col>
      <xdr:colOff>0</xdr:colOff>
      <xdr:row>60</xdr:row>
      <xdr:rowOff>0</xdr:rowOff>
    </xdr:to>
    <xdr:sp macro="" textlink="">
      <xdr:nvSpPr>
        <xdr:cNvPr id="381205" name="Line 1"/>
        <xdr:cNvSpPr>
          <a:spLocks noChangeShapeType="1"/>
        </xdr:cNvSpPr>
      </xdr:nvSpPr>
      <xdr:spPr bwMode="auto">
        <a:xfrm>
          <a:off x="1828800" y="1828800"/>
          <a:ext cx="0" cy="962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59</xdr:row>
      <xdr:rowOff>152400</xdr:rowOff>
    </xdr:from>
    <xdr:to>
      <xdr:col>6</xdr:col>
      <xdr:colOff>9525</xdr:colOff>
      <xdr:row>59</xdr:row>
      <xdr:rowOff>152400</xdr:rowOff>
    </xdr:to>
    <xdr:sp macro="" textlink="">
      <xdr:nvSpPr>
        <xdr:cNvPr id="381206" name="Line 2"/>
        <xdr:cNvSpPr>
          <a:spLocks noChangeShapeType="1"/>
        </xdr:cNvSpPr>
      </xdr:nvSpPr>
      <xdr:spPr bwMode="auto">
        <a:xfrm>
          <a:off x="1828800" y="2781300"/>
          <a:ext cx="18383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54</xdr:row>
      <xdr:rowOff>9525</xdr:rowOff>
    </xdr:from>
    <xdr:to>
      <xdr:col>6</xdr:col>
      <xdr:colOff>0</xdr:colOff>
      <xdr:row>59</xdr:row>
      <xdr:rowOff>152400</xdr:rowOff>
    </xdr:to>
    <xdr:sp macro="" textlink="">
      <xdr:nvSpPr>
        <xdr:cNvPr id="381207" name="Line 3"/>
        <xdr:cNvSpPr>
          <a:spLocks noChangeShapeType="1"/>
        </xdr:cNvSpPr>
      </xdr:nvSpPr>
      <xdr:spPr bwMode="auto">
        <a:xfrm flipV="1">
          <a:off x="3657600" y="1828800"/>
          <a:ext cx="0" cy="952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114300</xdr:colOff>
      <xdr:row>54</xdr:row>
      <xdr:rowOff>0</xdr:rowOff>
    </xdr:from>
    <xdr:to>
      <xdr:col>3</xdr:col>
      <xdr:colOff>114300</xdr:colOff>
      <xdr:row>59</xdr:row>
      <xdr:rowOff>0</xdr:rowOff>
    </xdr:to>
    <xdr:sp macro="" textlink="">
      <xdr:nvSpPr>
        <xdr:cNvPr id="381208" name="Line 4"/>
        <xdr:cNvSpPr>
          <a:spLocks noChangeShapeType="1"/>
        </xdr:cNvSpPr>
      </xdr:nvSpPr>
      <xdr:spPr bwMode="auto">
        <a:xfrm>
          <a:off x="1943100" y="18192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54</xdr:row>
      <xdr:rowOff>0</xdr:rowOff>
    </xdr:from>
    <xdr:to>
      <xdr:col>5</xdr:col>
      <xdr:colOff>495300</xdr:colOff>
      <xdr:row>59</xdr:row>
      <xdr:rowOff>0</xdr:rowOff>
    </xdr:to>
    <xdr:sp macro="" textlink="">
      <xdr:nvSpPr>
        <xdr:cNvPr id="381209" name="Line 5"/>
        <xdr:cNvSpPr>
          <a:spLocks noChangeShapeType="1"/>
        </xdr:cNvSpPr>
      </xdr:nvSpPr>
      <xdr:spPr bwMode="auto">
        <a:xfrm>
          <a:off x="3543300" y="18192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59</xdr:row>
      <xdr:rowOff>0</xdr:rowOff>
    </xdr:from>
    <xdr:to>
      <xdr:col>5</xdr:col>
      <xdr:colOff>495300</xdr:colOff>
      <xdr:row>59</xdr:row>
      <xdr:rowOff>0</xdr:rowOff>
    </xdr:to>
    <xdr:sp macro="" textlink="">
      <xdr:nvSpPr>
        <xdr:cNvPr id="381210" name="Line 6"/>
        <xdr:cNvSpPr>
          <a:spLocks noChangeShapeType="1"/>
        </xdr:cNvSpPr>
      </xdr:nvSpPr>
      <xdr:spPr bwMode="auto">
        <a:xfrm flipH="1">
          <a:off x="1933575" y="2628900"/>
          <a:ext cx="1609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52</xdr:row>
      <xdr:rowOff>0</xdr:rowOff>
    </xdr:from>
    <xdr:to>
      <xdr:col>4</xdr:col>
      <xdr:colOff>600075</xdr:colOff>
      <xdr:row>52</xdr:row>
      <xdr:rowOff>0</xdr:rowOff>
    </xdr:to>
    <xdr:sp macro="" textlink="">
      <xdr:nvSpPr>
        <xdr:cNvPr id="381211" name="Line 7"/>
        <xdr:cNvSpPr>
          <a:spLocks noChangeShapeType="1"/>
        </xdr:cNvSpPr>
      </xdr:nvSpPr>
      <xdr:spPr bwMode="auto">
        <a:xfrm>
          <a:off x="2447925" y="1495425"/>
          <a:ext cx="590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59</xdr:row>
      <xdr:rowOff>0</xdr:rowOff>
    </xdr:from>
    <xdr:to>
      <xdr:col>4</xdr:col>
      <xdr:colOff>0</xdr:colOff>
      <xdr:row>59</xdr:row>
      <xdr:rowOff>152400</xdr:rowOff>
    </xdr:to>
    <xdr:sp macro="" textlink="">
      <xdr:nvSpPr>
        <xdr:cNvPr id="381214" name="Line 10"/>
        <xdr:cNvSpPr>
          <a:spLocks noChangeShapeType="1"/>
        </xdr:cNvSpPr>
      </xdr:nvSpPr>
      <xdr:spPr bwMode="auto">
        <a:xfrm>
          <a:off x="2438400" y="2628900"/>
          <a:ext cx="0" cy="152400"/>
        </a:xfrm>
        <a:prstGeom prst="line">
          <a:avLst/>
        </a:prstGeom>
        <a:noFill/>
        <a:ln w="6350">
          <a:solidFill>
            <a:srgbClr val="0000FF"/>
          </a:solidFill>
          <a:round/>
          <a:headEnd type="triangle" w="sm" len="sm"/>
          <a:tailEnd type="triangle" w="sm" len="sm"/>
        </a:ln>
      </xdr:spPr>
    </xdr:sp>
    <xdr:clientData/>
  </xdr:twoCellAnchor>
  <xdr:twoCellAnchor editAs="oneCell">
    <xdr:from>
      <xdr:col>8</xdr:col>
      <xdr:colOff>352425</xdr:colOff>
      <xdr:row>59</xdr:row>
      <xdr:rowOff>9525</xdr:rowOff>
    </xdr:from>
    <xdr:to>
      <xdr:col>8</xdr:col>
      <xdr:colOff>428625</xdr:colOff>
      <xdr:row>60</xdr:row>
      <xdr:rowOff>47625</xdr:rowOff>
    </xdr:to>
    <xdr:sp macro="" textlink="">
      <xdr:nvSpPr>
        <xdr:cNvPr id="381215" name="Text Box 11"/>
        <xdr:cNvSpPr txBox="1">
          <a:spLocks noChangeArrowheads="1"/>
        </xdr:cNvSpPr>
      </xdr:nvSpPr>
      <xdr:spPr bwMode="auto">
        <a:xfrm>
          <a:off x="5229225" y="26384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54</xdr:row>
      <xdr:rowOff>0</xdr:rowOff>
    </xdr:from>
    <xdr:to>
      <xdr:col>4</xdr:col>
      <xdr:colOff>0</xdr:colOff>
      <xdr:row>59</xdr:row>
      <xdr:rowOff>0</xdr:rowOff>
    </xdr:to>
    <xdr:sp macro="" textlink="">
      <xdr:nvSpPr>
        <xdr:cNvPr id="381216" name="Line 12"/>
        <xdr:cNvSpPr>
          <a:spLocks noChangeShapeType="1"/>
        </xdr:cNvSpPr>
      </xdr:nvSpPr>
      <xdr:spPr bwMode="auto">
        <a:xfrm>
          <a:off x="2438400" y="1819275"/>
          <a:ext cx="0" cy="809625"/>
        </a:xfrm>
        <a:prstGeom prst="line">
          <a:avLst/>
        </a:prstGeom>
        <a:noFill/>
        <a:ln w="9525">
          <a:solidFill>
            <a:srgbClr val="0000FF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48</xdr:row>
      <xdr:rowOff>85725</xdr:rowOff>
    </xdr:from>
    <xdr:to>
      <xdr:col>6</xdr:col>
      <xdr:colOff>0</xdr:colOff>
      <xdr:row>49</xdr:row>
      <xdr:rowOff>85725</xdr:rowOff>
    </xdr:to>
    <xdr:sp macro="" textlink="">
      <xdr:nvSpPr>
        <xdr:cNvPr id="381217" name="Line 13"/>
        <xdr:cNvSpPr>
          <a:spLocks noChangeShapeType="1"/>
        </xdr:cNvSpPr>
      </xdr:nvSpPr>
      <xdr:spPr bwMode="auto">
        <a:xfrm>
          <a:off x="3657600" y="9334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48</xdr:row>
      <xdr:rowOff>95250</xdr:rowOff>
    </xdr:from>
    <xdr:to>
      <xdr:col>5</xdr:col>
      <xdr:colOff>485775</xdr:colOff>
      <xdr:row>49</xdr:row>
      <xdr:rowOff>57150</xdr:rowOff>
    </xdr:to>
    <xdr:sp macro="" textlink="">
      <xdr:nvSpPr>
        <xdr:cNvPr id="381218" name="Line 14"/>
        <xdr:cNvSpPr>
          <a:spLocks noChangeShapeType="1"/>
        </xdr:cNvSpPr>
      </xdr:nvSpPr>
      <xdr:spPr bwMode="auto">
        <a:xfrm>
          <a:off x="3533775" y="9429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48</xdr:row>
      <xdr:rowOff>95250</xdr:rowOff>
    </xdr:from>
    <xdr:to>
      <xdr:col>3</xdr:col>
      <xdr:colOff>104775</xdr:colOff>
      <xdr:row>49</xdr:row>
      <xdr:rowOff>76200</xdr:rowOff>
    </xdr:to>
    <xdr:sp macro="" textlink="">
      <xdr:nvSpPr>
        <xdr:cNvPr id="381219" name="Line 15"/>
        <xdr:cNvSpPr>
          <a:spLocks noChangeShapeType="1"/>
        </xdr:cNvSpPr>
      </xdr:nvSpPr>
      <xdr:spPr bwMode="auto">
        <a:xfrm>
          <a:off x="1933575" y="9429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48</xdr:row>
      <xdr:rowOff>95250</xdr:rowOff>
    </xdr:from>
    <xdr:to>
      <xdr:col>3</xdr:col>
      <xdr:colOff>0</xdr:colOff>
      <xdr:row>49</xdr:row>
      <xdr:rowOff>95250</xdr:rowOff>
    </xdr:to>
    <xdr:sp macro="" textlink="">
      <xdr:nvSpPr>
        <xdr:cNvPr id="381220" name="Line 16"/>
        <xdr:cNvSpPr>
          <a:spLocks noChangeShapeType="1"/>
        </xdr:cNvSpPr>
      </xdr:nvSpPr>
      <xdr:spPr bwMode="auto">
        <a:xfrm>
          <a:off x="1828800" y="9429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48</xdr:row>
      <xdr:rowOff>152400</xdr:rowOff>
    </xdr:from>
    <xdr:to>
      <xdr:col>5</xdr:col>
      <xdr:colOff>485775</xdr:colOff>
      <xdr:row>48</xdr:row>
      <xdr:rowOff>152400</xdr:rowOff>
    </xdr:to>
    <xdr:sp macro="" textlink="">
      <xdr:nvSpPr>
        <xdr:cNvPr id="381221" name="Line 17"/>
        <xdr:cNvSpPr>
          <a:spLocks noChangeShapeType="1"/>
        </xdr:cNvSpPr>
      </xdr:nvSpPr>
      <xdr:spPr bwMode="auto">
        <a:xfrm>
          <a:off x="1933575" y="1000125"/>
          <a:ext cx="160020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0</xdr:colOff>
      <xdr:row>50</xdr:row>
      <xdr:rowOff>123825</xdr:rowOff>
    </xdr:from>
    <xdr:to>
      <xdr:col>4</xdr:col>
      <xdr:colOff>0</xdr:colOff>
      <xdr:row>51</xdr:row>
      <xdr:rowOff>85725</xdr:rowOff>
    </xdr:to>
    <xdr:sp macro="" textlink="">
      <xdr:nvSpPr>
        <xdr:cNvPr id="381222" name="Line 18"/>
        <xdr:cNvSpPr>
          <a:spLocks noChangeShapeType="1"/>
        </xdr:cNvSpPr>
      </xdr:nvSpPr>
      <xdr:spPr bwMode="auto">
        <a:xfrm>
          <a:off x="2438400" y="12954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50</xdr:row>
      <xdr:rowOff>133350</xdr:rowOff>
    </xdr:from>
    <xdr:to>
      <xdr:col>5</xdr:col>
      <xdr:colOff>0</xdr:colOff>
      <xdr:row>51</xdr:row>
      <xdr:rowOff>76200</xdr:rowOff>
    </xdr:to>
    <xdr:sp macro="" textlink="">
      <xdr:nvSpPr>
        <xdr:cNvPr id="381223" name="Line 19"/>
        <xdr:cNvSpPr>
          <a:spLocks noChangeShapeType="1"/>
        </xdr:cNvSpPr>
      </xdr:nvSpPr>
      <xdr:spPr bwMode="auto">
        <a:xfrm>
          <a:off x="3048000" y="13049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51</xdr:row>
      <xdr:rowOff>38100</xdr:rowOff>
    </xdr:from>
    <xdr:to>
      <xdr:col>5</xdr:col>
      <xdr:colOff>0</xdr:colOff>
      <xdr:row>51</xdr:row>
      <xdr:rowOff>38100</xdr:rowOff>
    </xdr:to>
    <xdr:sp macro="" textlink="">
      <xdr:nvSpPr>
        <xdr:cNvPr id="381224" name="Line 20"/>
        <xdr:cNvSpPr>
          <a:spLocks noChangeShapeType="1"/>
        </xdr:cNvSpPr>
      </xdr:nvSpPr>
      <xdr:spPr bwMode="auto">
        <a:xfrm>
          <a:off x="2438400" y="137160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52</xdr:row>
      <xdr:rowOff>0</xdr:rowOff>
    </xdr:from>
    <xdr:to>
      <xdr:col>6</xdr:col>
      <xdr:colOff>0</xdr:colOff>
      <xdr:row>53</xdr:row>
      <xdr:rowOff>152400</xdr:rowOff>
    </xdr:to>
    <xdr:sp macro="" textlink="">
      <xdr:nvSpPr>
        <xdr:cNvPr id="381225" name="Line 21"/>
        <xdr:cNvSpPr>
          <a:spLocks noChangeShapeType="1"/>
        </xdr:cNvSpPr>
      </xdr:nvSpPr>
      <xdr:spPr bwMode="auto">
        <a:xfrm>
          <a:off x="3657600" y="1495425"/>
          <a:ext cx="0" cy="314325"/>
        </a:xfrm>
        <a:prstGeom prst="line">
          <a:avLst/>
        </a:prstGeom>
        <a:noFill/>
        <a:ln w="9525">
          <a:solidFill>
            <a:srgbClr val="0000FF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581025</xdr:colOff>
      <xdr:row>52</xdr:row>
      <xdr:rowOff>0</xdr:rowOff>
    </xdr:from>
    <xdr:to>
      <xdr:col>6</xdr:col>
      <xdr:colOff>38100</xdr:colOff>
      <xdr:row>52</xdr:row>
      <xdr:rowOff>0</xdr:rowOff>
    </xdr:to>
    <xdr:sp macro="" textlink="">
      <xdr:nvSpPr>
        <xdr:cNvPr id="381226" name="Line 22"/>
        <xdr:cNvSpPr>
          <a:spLocks noChangeShapeType="1"/>
        </xdr:cNvSpPr>
      </xdr:nvSpPr>
      <xdr:spPr bwMode="auto">
        <a:xfrm>
          <a:off x="3629025" y="149542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51</xdr:row>
      <xdr:rowOff>152400</xdr:rowOff>
    </xdr:from>
    <xdr:to>
      <xdr:col>4</xdr:col>
      <xdr:colOff>447675</xdr:colOff>
      <xdr:row>52</xdr:row>
      <xdr:rowOff>47625</xdr:rowOff>
    </xdr:to>
    <xdr:sp macro="" textlink="">
      <xdr:nvSpPr>
        <xdr:cNvPr id="381227" name="Line 23"/>
        <xdr:cNvSpPr>
          <a:spLocks noChangeShapeType="1"/>
        </xdr:cNvSpPr>
      </xdr:nvSpPr>
      <xdr:spPr bwMode="auto">
        <a:xfrm flipH="1">
          <a:off x="2790825" y="14859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51</xdr:row>
      <xdr:rowOff>152400</xdr:rowOff>
    </xdr:from>
    <xdr:to>
      <xdr:col>4</xdr:col>
      <xdr:colOff>466725</xdr:colOff>
      <xdr:row>52</xdr:row>
      <xdr:rowOff>47625</xdr:rowOff>
    </xdr:to>
    <xdr:sp macro="" textlink="">
      <xdr:nvSpPr>
        <xdr:cNvPr id="381228" name="Line 24"/>
        <xdr:cNvSpPr>
          <a:spLocks noChangeShapeType="1"/>
        </xdr:cNvSpPr>
      </xdr:nvSpPr>
      <xdr:spPr bwMode="auto">
        <a:xfrm>
          <a:off x="2876550" y="14859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51</xdr:row>
      <xdr:rowOff>152400</xdr:rowOff>
    </xdr:from>
    <xdr:to>
      <xdr:col>4</xdr:col>
      <xdr:colOff>514350</xdr:colOff>
      <xdr:row>52</xdr:row>
      <xdr:rowOff>38100</xdr:rowOff>
    </xdr:to>
    <xdr:sp macro="" textlink="">
      <xdr:nvSpPr>
        <xdr:cNvPr id="381229" name="Line 25"/>
        <xdr:cNvSpPr>
          <a:spLocks noChangeShapeType="1"/>
        </xdr:cNvSpPr>
      </xdr:nvSpPr>
      <xdr:spPr bwMode="auto">
        <a:xfrm flipV="1">
          <a:off x="2857500" y="14859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51</xdr:row>
      <xdr:rowOff>152400</xdr:rowOff>
    </xdr:from>
    <xdr:to>
      <xdr:col>4</xdr:col>
      <xdr:colOff>542925</xdr:colOff>
      <xdr:row>52</xdr:row>
      <xdr:rowOff>57150</xdr:rowOff>
    </xdr:to>
    <xdr:sp macro="" textlink="">
      <xdr:nvSpPr>
        <xdr:cNvPr id="381230" name="Line 26"/>
        <xdr:cNvSpPr>
          <a:spLocks noChangeShapeType="1"/>
        </xdr:cNvSpPr>
      </xdr:nvSpPr>
      <xdr:spPr bwMode="auto">
        <a:xfrm>
          <a:off x="2933700" y="14859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51</xdr:row>
      <xdr:rowOff>152400</xdr:rowOff>
    </xdr:from>
    <xdr:to>
      <xdr:col>4</xdr:col>
      <xdr:colOff>447675</xdr:colOff>
      <xdr:row>52</xdr:row>
      <xdr:rowOff>47625</xdr:rowOff>
    </xdr:to>
    <xdr:sp macro="" textlink="">
      <xdr:nvSpPr>
        <xdr:cNvPr id="381231" name="Line 27"/>
        <xdr:cNvSpPr>
          <a:spLocks noChangeShapeType="1"/>
        </xdr:cNvSpPr>
      </xdr:nvSpPr>
      <xdr:spPr bwMode="auto">
        <a:xfrm flipH="1">
          <a:off x="2790825" y="14859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51</xdr:row>
      <xdr:rowOff>152400</xdr:rowOff>
    </xdr:from>
    <xdr:to>
      <xdr:col>4</xdr:col>
      <xdr:colOff>466725</xdr:colOff>
      <xdr:row>52</xdr:row>
      <xdr:rowOff>47625</xdr:rowOff>
    </xdr:to>
    <xdr:sp macro="" textlink="">
      <xdr:nvSpPr>
        <xdr:cNvPr id="381232" name="Line 28"/>
        <xdr:cNvSpPr>
          <a:spLocks noChangeShapeType="1"/>
        </xdr:cNvSpPr>
      </xdr:nvSpPr>
      <xdr:spPr bwMode="auto">
        <a:xfrm>
          <a:off x="2876550" y="14859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51</xdr:row>
      <xdr:rowOff>152400</xdr:rowOff>
    </xdr:from>
    <xdr:to>
      <xdr:col>4</xdr:col>
      <xdr:colOff>514350</xdr:colOff>
      <xdr:row>52</xdr:row>
      <xdr:rowOff>38100</xdr:rowOff>
    </xdr:to>
    <xdr:sp macro="" textlink="">
      <xdr:nvSpPr>
        <xdr:cNvPr id="381233" name="Line 29"/>
        <xdr:cNvSpPr>
          <a:spLocks noChangeShapeType="1"/>
        </xdr:cNvSpPr>
      </xdr:nvSpPr>
      <xdr:spPr bwMode="auto">
        <a:xfrm flipV="1">
          <a:off x="2857500" y="14859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51</xdr:row>
      <xdr:rowOff>152400</xdr:rowOff>
    </xdr:from>
    <xdr:to>
      <xdr:col>4</xdr:col>
      <xdr:colOff>542925</xdr:colOff>
      <xdr:row>52</xdr:row>
      <xdr:rowOff>57150</xdr:rowOff>
    </xdr:to>
    <xdr:sp macro="" textlink="">
      <xdr:nvSpPr>
        <xdr:cNvPr id="381234" name="Line 30"/>
        <xdr:cNvSpPr>
          <a:spLocks noChangeShapeType="1"/>
        </xdr:cNvSpPr>
      </xdr:nvSpPr>
      <xdr:spPr bwMode="auto">
        <a:xfrm>
          <a:off x="2933700" y="14859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47</xdr:row>
      <xdr:rowOff>19050</xdr:rowOff>
    </xdr:from>
    <xdr:to>
      <xdr:col>3</xdr:col>
      <xdr:colOff>0</xdr:colOff>
      <xdr:row>47</xdr:row>
      <xdr:rowOff>123825</xdr:rowOff>
    </xdr:to>
    <xdr:sp macro="" textlink="">
      <xdr:nvSpPr>
        <xdr:cNvPr id="381235" name="Line 31"/>
        <xdr:cNvSpPr>
          <a:spLocks noChangeShapeType="1"/>
        </xdr:cNvSpPr>
      </xdr:nvSpPr>
      <xdr:spPr bwMode="auto">
        <a:xfrm>
          <a:off x="1828800" y="7048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95250</xdr:colOff>
      <xdr:row>47</xdr:row>
      <xdr:rowOff>9525</xdr:rowOff>
    </xdr:from>
    <xdr:to>
      <xdr:col>3</xdr:col>
      <xdr:colOff>95250</xdr:colOff>
      <xdr:row>47</xdr:row>
      <xdr:rowOff>152400</xdr:rowOff>
    </xdr:to>
    <xdr:sp macro="" textlink="">
      <xdr:nvSpPr>
        <xdr:cNvPr id="381236" name="Line 32"/>
        <xdr:cNvSpPr>
          <a:spLocks noChangeShapeType="1"/>
        </xdr:cNvSpPr>
      </xdr:nvSpPr>
      <xdr:spPr bwMode="auto">
        <a:xfrm>
          <a:off x="1924050" y="6953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47</xdr:row>
      <xdr:rowOff>9525</xdr:rowOff>
    </xdr:from>
    <xdr:to>
      <xdr:col>6</xdr:col>
      <xdr:colOff>0</xdr:colOff>
      <xdr:row>47</xdr:row>
      <xdr:rowOff>123825</xdr:rowOff>
    </xdr:to>
    <xdr:sp macro="" textlink="">
      <xdr:nvSpPr>
        <xdr:cNvPr id="381237" name="Line 33"/>
        <xdr:cNvSpPr>
          <a:spLocks noChangeShapeType="1"/>
        </xdr:cNvSpPr>
      </xdr:nvSpPr>
      <xdr:spPr bwMode="auto">
        <a:xfrm>
          <a:off x="3657600" y="6953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47</xdr:row>
      <xdr:rowOff>0</xdr:rowOff>
    </xdr:from>
    <xdr:to>
      <xdr:col>5</xdr:col>
      <xdr:colOff>495300</xdr:colOff>
      <xdr:row>47</xdr:row>
      <xdr:rowOff>104775</xdr:rowOff>
    </xdr:to>
    <xdr:sp macro="" textlink="">
      <xdr:nvSpPr>
        <xdr:cNvPr id="381238" name="Line 34"/>
        <xdr:cNvSpPr>
          <a:spLocks noChangeShapeType="1"/>
        </xdr:cNvSpPr>
      </xdr:nvSpPr>
      <xdr:spPr bwMode="auto">
        <a:xfrm>
          <a:off x="3543300" y="6858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438150</xdr:colOff>
      <xdr:row>47</xdr:row>
      <xdr:rowOff>66675</xdr:rowOff>
    </xdr:from>
    <xdr:to>
      <xdr:col>2</xdr:col>
      <xdr:colOff>600075</xdr:colOff>
      <xdr:row>47</xdr:row>
      <xdr:rowOff>66675</xdr:rowOff>
    </xdr:to>
    <xdr:sp macro="" textlink="">
      <xdr:nvSpPr>
        <xdr:cNvPr id="381239" name="Line 35"/>
        <xdr:cNvSpPr>
          <a:spLocks noChangeShapeType="1"/>
        </xdr:cNvSpPr>
      </xdr:nvSpPr>
      <xdr:spPr bwMode="auto">
        <a:xfrm>
          <a:off x="1657350" y="7524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95250</xdr:colOff>
      <xdr:row>47</xdr:row>
      <xdr:rowOff>66675</xdr:rowOff>
    </xdr:from>
    <xdr:to>
      <xdr:col>3</xdr:col>
      <xdr:colOff>209550</xdr:colOff>
      <xdr:row>47</xdr:row>
      <xdr:rowOff>76200</xdr:rowOff>
    </xdr:to>
    <xdr:sp macro="" textlink="">
      <xdr:nvSpPr>
        <xdr:cNvPr id="381240" name="Line 36"/>
        <xdr:cNvSpPr>
          <a:spLocks noChangeShapeType="1"/>
        </xdr:cNvSpPr>
      </xdr:nvSpPr>
      <xdr:spPr bwMode="auto">
        <a:xfrm flipH="1" flipV="1">
          <a:off x="1924050" y="752475"/>
          <a:ext cx="1143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390525</xdr:colOff>
      <xdr:row>47</xdr:row>
      <xdr:rowOff>47625</xdr:rowOff>
    </xdr:from>
    <xdr:to>
      <xdr:col>5</xdr:col>
      <xdr:colOff>495300</xdr:colOff>
      <xdr:row>47</xdr:row>
      <xdr:rowOff>57150</xdr:rowOff>
    </xdr:to>
    <xdr:sp macro="" textlink="">
      <xdr:nvSpPr>
        <xdr:cNvPr id="381241" name="Line 37"/>
        <xdr:cNvSpPr>
          <a:spLocks noChangeShapeType="1"/>
        </xdr:cNvSpPr>
      </xdr:nvSpPr>
      <xdr:spPr bwMode="auto">
        <a:xfrm>
          <a:off x="3438525" y="733425"/>
          <a:ext cx="1047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9525</xdr:colOff>
      <xdr:row>47</xdr:row>
      <xdr:rowOff>57150</xdr:rowOff>
    </xdr:from>
    <xdr:to>
      <xdr:col>6</xdr:col>
      <xdr:colOff>161925</xdr:colOff>
      <xdr:row>47</xdr:row>
      <xdr:rowOff>57150</xdr:rowOff>
    </xdr:to>
    <xdr:sp macro="" textlink="">
      <xdr:nvSpPr>
        <xdr:cNvPr id="381242" name="Line 38"/>
        <xdr:cNvSpPr>
          <a:spLocks noChangeShapeType="1"/>
        </xdr:cNvSpPr>
      </xdr:nvSpPr>
      <xdr:spPr bwMode="auto">
        <a:xfrm flipH="1">
          <a:off x="3667125" y="7429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0</xdr:colOff>
      <xdr:row>54</xdr:row>
      <xdr:rowOff>9525</xdr:rowOff>
    </xdr:from>
    <xdr:to>
      <xdr:col>3</xdr:col>
      <xdr:colOff>0</xdr:colOff>
      <xdr:row>60</xdr:row>
      <xdr:rowOff>0</xdr:rowOff>
    </xdr:to>
    <xdr:sp macro="" textlink="">
      <xdr:nvSpPr>
        <xdr:cNvPr id="381244" name="Line 40"/>
        <xdr:cNvSpPr>
          <a:spLocks noChangeShapeType="1"/>
        </xdr:cNvSpPr>
      </xdr:nvSpPr>
      <xdr:spPr bwMode="auto">
        <a:xfrm>
          <a:off x="1828800" y="1828800"/>
          <a:ext cx="0" cy="962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59</xdr:row>
      <xdr:rowOff>152400</xdr:rowOff>
    </xdr:from>
    <xdr:to>
      <xdr:col>6</xdr:col>
      <xdr:colOff>9525</xdr:colOff>
      <xdr:row>59</xdr:row>
      <xdr:rowOff>152400</xdr:rowOff>
    </xdr:to>
    <xdr:sp macro="" textlink="">
      <xdr:nvSpPr>
        <xdr:cNvPr id="381245" name="Line 41"/>
        <xdr:cNvSpPr>
          <a:spLocks noChangeShapeType="1"/>
        </xdr:cNvSpPr>
      </xdr:nvSpPr>
      <xdr:spPr bwMode="auto">
        <a:xfrm>
          <a:off x="1828800" y="2781300"/>
          <a:ext cx="18383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54</xdr:row>
      <xdr:rowOff>9525</xdr:rowOff>
    </xdr:from>
    <xdr:to>
      <xdr:col>6</xdr:col>
      <xdr:colOff>0</xdr:colOff>
      <xdr:row>59</xdr:row>
      <xdr:rowOff>152400</xdr:rowOff>
    </xdr:to>
    <xdr:sp macro="" textlink="">
      <xdr:nvSpPr>
        <xdr:cNvPr id="381246" name="Line 42"/>
        <xdr:cNvSpPr>
          <a:spLocks noChangeShapeType="1"/>
        </xdr:cNvSpPr>
      </xdr:nvSpPr>
      <xdr:spPr bwMode="auto">
        <a:xfrm flipV="1">
          <a:off x="3657600" y="1828800"/>
          <a:ext cx="0" cy="952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114300</xdr:colOff>
      <xdr:row>54</xdr:row>
      <xdr:rowOff>0</xdr:rowOff>
    </xdr:from>
    <xdr:to>
      <xdr:col>3</xdr:col>
      <xdr:colOff>114300</xdr:colOff>
      <xdr:row>59</xdr:row>
      <xdr:rowOff>0</xdr:rowOff>
    </xdr:to>
    <xdr:sp macro="" textlink="">
      <xdr:nvSpPr>
        <xdr:cNvPr id="381247" name="Line 43"/>
        <xdr:cNvSpPr>
          <a:spLocks noChangeShapeType="1"/>
        </xdr:cNvSpPr>
      </xdr:nvSpPr>
      <xdr:spPr bwMode="auto">
        <a:xfrm>
          <a:off x="1943100" y="18192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54</xdr:row>
      <xdr:rowOff>0</xdr:rowOff>
    </xdr:from>
    <xdr:to>
      <xdr:col>5</xdr:col>
      <xdr:colOff>495300</xdr:colOff>
      <xdr:row>59</xdr:row>
      <xdr:rowOff>0</xdr:rowOff>
    </xdr:to>
    <xdr:sp macro="" textlink="">
      <xdr:nvSpPr>
        <xdr:cNvPr id="381248" name="Line 44"/>
        <xdr:cNvSpPr>
          <a:spLocks noChangeShapeType="1"/>
        </xdr:cNvSpPr>
      </xdr:nvSpPr>
      <xdr:spPr bwMode="auto">
        <a:xfrm>
          <a:off x="3543300" y="18192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59</xdr:row>
      <xdr:rowOff>0</xdr:rowOff>
    </xdr:from>
    <xdr:to>
      <xdr:col>5</xdr:col>
      <xdr:colOff>495300</xdr:colOff>
      <xdr:row>59</xdr:row>
      <xdr:rowOff>0</xdr:rowOff>
    </xdr:to>
    <xdr:sp macro="" textlink="">
      <xdr:nvSpPr>
        <xdr:cNvPr id="381249" name="Line 45"/>
        <xdr:cNvSpPr>
          <a:spLocks noChangeShapeType="1"/>
        </xdr:cNvSpPr>
      </xdr:nvSpPr>
      <xdr:spPr bwMode="auto">
        <a:xfrm flipH="1">
          <a:off x="1933575" y="2628900"/>
          <a:ext cx="1609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52</xdr:row>
      <xdr:rowOff>0</xdr:rowOff>
    </xdr:from>
    <xdr:to>
      <xdr:col>4</xdr:col>
      <xdr:colOff>600075</xdr:colOff>
      <xdr:row>52</xdr:row>
      <xdr:rowOff>0</xdr:rowOff>
    </xdr:to>
    <xdr:sp macro="" textlink="">
      <xdr:nvSpPr>
        <xdr:cNvPr id="381250" name="Line 46"/>
        <xdr:cNvSpPr>
          <a:spLocks noChangeShapeType="1"/>
        </xdr:cNvSpPr>
      </xdr:nvSpPr>
      <xdr:spPr bwMode="auto">
        <a:xfrm>
          <a:off x="2447925" y="1495425"/>
          <a:ext cx="590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209550</xdr:colOff>
      <xdr:row>52</xdr:row>
      <xdr:rowOff>9525</xdr:rowOff>
    </xdr:from>
    <xdr:to>
      <xdr:col>3</xdr:col>
      <xdr:colOff>600075</xdr:colOff>
      <xdr:row>54</xdr:row>
      <xdr:rowOff>0</xdr:rowOff>
    </xdr:to>
    <xdr:sp macro="" textlink="">
      <xdr:nvSpPr>
        <xdr:cNvPr id="381251" name="Line 47"/>
        <xdr:cNvSpPr>
          <a:spLocks noChangeShapeType="1"/>
        </xdr:cNvSpPr>
      </xdr:nvSpPr>
      <xdr:spPr bwMode="auto">
        <a:xfrm flipH="1">
          <a:off x="2038350" y="1504950"/>
          <a:ext cx="39052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52</xdr:row>
      <xdr:rowOff>9525</xdr:rowOff>
    </xdr:from>
    <xdr:to>
      <xdr:col>5</xdr:col>
      <xdr:colOff>419100</xdr:colOff>
      <xdr:row>54</xdr:row>
      <xdr:rowOff>9525</xdr:rowOff>
    </xdr:to>
    <xdr:sp macro="" textlink="">
      <xdr:nvSpPr>
        <xdr:cNvPr id="381252" name="Line 48"/>
        <xdr:cNvSpPr>
          <a:spLocks noChangeShapeType="1"/>
        </xdr:cNvSpPr>
      </xdr:nvSpPr>
      <xdr:spPr bwMode="auto">
        <a:xfrm>
          <a:off x="3048000" y="1504950"/>
          <a:ext cx="4191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59</xdr:row>
      <xdr:rowOff>0</xdr:rowOff>
    </xdr:from>
    <xdr:to>
      <xdr:col>4</xdr:col>
      <xdr:colOff>0</xdr:colOff>
      <xdr:row>59</xdr:row>
      <xdr:rowOff>152400</xdr:rowOff>
    </xdr:to>
    <xdr:sp macro="" textlink="">
      <xdr:nvSpPr>
        <xdr:cNvPr id="381255" name="Line 51"/>
        <xdr:cNvSpPr>
          <a:spLocks noChangeShapeType="1"/>
        </xdr:cNvSpPr>
      </xdr:nvSpPr>
      <xdr:spPr bwMode="auto">
        <a:xfrm>
          <a:off x="2438400" y="2628900"/>
          <a:ext cx="0" cy="152400"/>
        </a:xfrm>
        <a:prstGeom prst="line">
          <a:avLst/>
        </a:prstGeom>
        <a:noFill/>
        <a:ln w="6350">
          <a:solidFill>
            <a:sysClr val="windowText" lastClr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 editAs="oneCell">
    <xdr:from>
      <xdr:col>8</xdr:col>
      <xdr:colOff>352425</xdr:colOff>
      <xdr:row>59</xdr:row>
      <xdr:rowOff>9525</xdr:rowOff>
    </xdr:from>
    <xdr:to>
      <xdr:col>8</xdr:col>
      <xdr:colOff>428625</xdr:colOff>
      <xdr:row>60</xdr:row>
      <xdr:rowOff>47625</xdr:rowOff>
    </xdr:to>
    <xdr:sp macro="" textlink="">
      <xdr:nvSpPr>
        <xdr:cNvPr id="381256" name="Text Box 52"/>
        <xdr:cNvSpPr txBox="1">
          <a:spLocks noChangeArrowheads="1"/>
        </xdr:cNvSpPr>
      </xdr:nvSpPr>
      <xdr:spPr bwMode="auto">
        <a:xfrm>
          <a:off x="5229225" y="26384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54</xdr:row>
      <xdr:rowOff>0</xdr:rowOff>
    </xdr:from>
    <xdr:to>
      <xdr:col>4</xdr:col>
      <xdr:colOff>0</xdr:colOff>
      <xdr:row>59</xdr:row>
      <xdr:rowOff>0</xdr:rowOff>
    </xdr:to>
    <xdr:sp macro="" textlink="">
      <xdr:nvSpPr>
        <xdr:cNvPr id="381257" name="Line 53"/>
        <xdr:cNvSpPr>
          <a:spLocks noChangeShapeType="1"/>
        </xdr:cNvSpPr>
      </xdr:nvSpPr>
      <xdr:spPr bwMode="auto">
        <a:xfrm>
          <a:off x="2438400" y="1819275"/>
          <a:ext cx="0" cy="8096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48</xdr:row>
      <xdr:rowOff>85725</xdr:rowOff>
    </xdr:from>
    <xdr:to>
      <xdr:col>6</xdr:col>
      <xdr:colOff>0</xdr:colOff>
      <xdr:row>49</xdr:row>
      <xdr:rowOff>85725</xdr:rowOff>
    </xdr:to>
    <xdr:sp macro="" textlink="">
      <xdr:nvSpPr>
        <xdr:cNvPr id="381258" name="Line 54"/>
        <xdr:cNvSpPr>
          <a:spLocks noChangeShapeType="1"/>
        </xdr:cNvSpPr>
      </xdr:nvSpPr>
      <xdr:spPr bwMode="auto">
        <a:xfrm>
          <a:off x="3657600" y="9334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48</xdr:row>
      <xdr:rowOff>95250</xdr:rowOff>
    </xdr:from>
    <xdr:to>
      <xdr:col>5</xdr:col>
      <xdr:colOff>485775</xdr:colOff>
      <xdr:row>49</xdr:row>
      <xdr:rowOff>57150</xdr:rowOff>
    </xdr:to>
    <xdr:sp macro="" textlink="">
      <xdr:nvSpPr>
        <xdr:cNvPr id="381259" name="Line 55"/>
        <xdr:cNvSpPr>
          <a:spLocks noChangeShapeType="1"/>
        </xdr:cNvSpPr>
      </xdr:nvSpPr>
      <xdr:spPr bwMode="auto">
        <a:xfrm>
          <a:off x="3533775" y="9429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48</xdr:row>
      <xdr:rowOff>95250</xdr:rowOff>
    </xdr:from>
    <xdr:to>
      <xdr:col>3</xdr:col>
      <xdr:colOff>104775</xdr:colOff>
      <xdr:row>49</xdr:row>
      <xdr:rowOff>76200</xdr:rowOff>
    </xdr:to>
    <xdr:sp macro="" textlink="">
      <xdr:nvSpPr>
        <xdr:cNvPr id="381260" name="Line 56"/>
        <xdr:cNvSpPr>
          <a:spLocks noChangeShapeType="1"/>
        </xdr:cNvSpPr>
      </xdr:nvSpPr>
      <xdr:spPr bwMode="auto">
        <a:xfrm>
          <a:off x="1933575" y="9429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48</xdr:row>
      <xdr:rowOff>95250</xdr:rowOff>
    </xdr:from>
    <xdr:to>
      <xdr:col>3</xdr:col>
      <xdr:colOff>0</xdr:colOff>
      <xdr:row>49</xdr:row>
      <xdr:rowOff>95250</xdr:rowOff>
    </xdr:to>
    <xdr:sp macro="" textlink="">
      <xdr:nvSpPr>
        <xdr:cNvPr id="381261" name="Line 57"/>
        <xdr:cNvSpPr>
          <a:spLocks noChangeShapeType="1"/>
        </xdr:cNvSpPr>
      </xdr:nvSpPr>
      <xdr:spPr bwMode="auto">
        <a:xfrm>
          <a:off x="1828800" y="9429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48</xdr:row>
      <xdr:rowOff>152400</xdr:rowOff>
    </xdr:from>
    <xdr:to>
      <xdr:col>5</xdr:col>
      <xdr:colOff>485775</xdr:colOff>
      <xdr:row>48</xdr:row>
      <xdr:rowOff>152400</xdr:rowOff>
    </xdr:to>
    <xdr:sp macro="" textlink="">
      <xdr:nvSpPr>
        <xdr:cNvPr id="381262" name="Line 58"/>
        <xdr:cNvSpPr>
          <a:spLocks noChangeShapeType="1"/>
        </xdr:cNvSpPr>
      </xdr:nvSpPr>
      <xdr:spPr bwMode="auto">
        <a:xfrm>
          <a:off x="1933575" y="1000125"/>
          <a:ext cx="16002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0</xdr:colOff>
      <xdr:row>50</xdr:row>
      <xdr:rowOff>123825</xdr:rowOff>
    </xdr:from>
    <xdr:to>
      <xdr:col>4</xdr:col>
      <xdr:colOff>0</xdr:colOff>
      <xdr:row>51</xdr:row>
      <xdr:rowOff>85725</xdr:rowOff>
    </xdr:to>
    <xdr:sp macro="" textlink="">
      <xdr:nvSpPr>
        <xdr:cNvPr id="381263" name="Line 59"/>
        <xdr:cNvSpPr>
          <a:spLocks noChangeShapeType="1"/>
        </xdr:cNvSpPr>
      </xdr:nvSpPr>
      <xdr:spPr bwMode="auto">
        <a:xfrm>
          <a:off x="2438400" y="12954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50</xdr:row>
      <xdr:rowOff>133350</xdr:rowOff>
    </xdr:from>
    <xdr:to>
      <xdr:col>5</xdr:col>
      <xdr:colOff>0</xdr:colOff>
      <xdr:row>51</xdr:row>
      <xdr:rowOff>76200</xdr:rowOff>
    </xdr:to>
    <xdr:sp macro="" textlink="">
      <xdr:nvSpPr>
        <xdr:cNvPr id="381264" name="Line 60"/>
        <xdr:cNvSpPr>
          <a:spLocks noChangeShapeType="1"/>
        </xdr:cNvSpPr>
      </xdr:nvSpPr>
      <xdr:spPr bwMode="auto">
        <a:xfrm>
          <a:off x="3048000" y="13049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51</xdr:row>
      <xdr:rowOff>0</xdr:rowOff>
    </xdr:from>
    <xdr:to>
      <xdr:col>3</xdr:col>
      <xdr:colOff>171450</xdr:colOff>
      <xdr:row>51</xdr:row>
      <xdr:rowOff>85725</xdr:rowOff>
    </xdr:to>
    <xdr:sp macro="" textlink="">
      <xdr:nvSpPr>
        <xdr:cNvPr id="381265" name="Line 61"/>
        <xdr:cNvSpPr>
          <a:spLocks noChangeShapeType="1"/>
        </xdr:cNvSpPr>
      </xdr:nvSpPr>
      <xdr:spPr bwMode="auto">
        <a:xfrm>
          <a:off x="2000250" y="13335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409575</xdr:colOff>
      <xdr:row>50</xdr:row>
      <xdr:rowOff>142875</xdr:rowOff>
    </xdr:from>
    <xdr:to>
      <xdr:col>5</xdr:col>
      <xdr:colOff>409575</xdr:colOff>
      <xdr:row>51</xdr:row>
      <xdr:rowOff>66675</xdr:rowOff>
    </xdr:to>
    <xdr:sp macro="" textlink="">
      <xdr:nvSpPr>
        <xdr:cNvPr id="381266" name="Line 62"/>
        <xdr:cNvSpPr>
          <a:spLocks noChangeShapeType="1"/>
        </xdr:cNvSpPr>
      </xdr:nvSpPr>
      <xdr:spPr bwMode="auto">
        <a:xfrm>
          <a:off x="3457575" y="13144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51</xdr:row>
      <xdr:rowOff>38100</xdr:rowOff>
    </xdr:from>
    <xdr:to>
      <xdr:col>5</xdr:col>
      <xdr:colOff>0</xdr:colOff>
      <xdr:row>51</xdr:row>
      <xdr:rowOff>38100</xdr:rowOff>
    </xdr:to>
    <xdr:sp macro="" textlink="">
      <xdr:nvSpPr>
        <xdr:cNvPr id="381267" name="Line 63"/>
        <xdr:cNvSpPr>
          <a:spLocks noChangeShapeType="1"/>
        </xdr:cNvSpPr>
      </xdr:nvSpPr>
      <xdr:spPr bwMode="auto">
        <a:xfrm>
          <a:off x="2438400" y="1371600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52</xdr:row>
      <xdr:rowOff>0</xdr:rowOff>
    </xdr:from>
    <xdr:to>
      <xdr:col>6</xdr:col>
      <xdr:colOff>0</xdr:colOff>
      <xdr:row>53</xdr:row>
      <xdr:rowOff>152400</xdr:rowOff>
    </xdr:to>
    <xdr:sp macro="" textlink="">
      <xdr:nvSpPr>
        <xdr:cNvPr id="381268" name="Line 64"/>
        <xdr:cNvSpPr>
          <a:spLocks noChangeShapeType="1"/>
        </xdr:cNvSpPr>
      </xdr:nvSpPr>
      <xdr:spPr bwMode="auto">
        <a:xfrm>
          <a:off x="3657600" y="1495425"/>
          <a:ext cx="0" cy="3143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581025</xdr:colOff>
      <xdr:row>52</xdr:row>
      <xdr:rowOff>0</xdr:rowOff>
    </xdr:from>
    <xdr:to>
      <xdr:col>6</xdr:col>
      <xdr:colOff>38100</xdr:colOff>
      <xdr:row>52</xdr:row>
      <xdr:rowOff>0</xdr:rowOff>
    </xdr:to>
    <xdr:sp macro="" textlink="">
      <xdr:nvSpPr>
        <xdr:cNvPr id="381269" name="Line 65"/>
        <xdr:cNvSpPr>
          <a:spLocks noChangeShapeType="1"/>
        </xdr:cNvSpPr>
      </xdr:nvSpPr>
      <xdr:spPr bwMode="auto">
        <a:xfrm>
          <a:off x="3629025" y="149542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51</xdr:row>
      <xdr:rowOff>152400</xdr:rowOff>
    </xdr:from>
    <xdr:to>
      <xdr:col>4</xdr:col>
      <xdr:colOff>447675</xdr:colOff>
      <xdr:row>52</xdr:row>
      <xdr:rowOff>47625</xdr:rowOff>
    </xdr:to>
    <xdr:sp macro="" textlink="">
      <xdr:nvSpPr>
        <xdr:cNvPr id="381270" name="Line 66"/>
        <xdr:cNvSpPr>
          <a:spLocks noChangeShapeType="1"/>
        </xdr:cNvSpPr>
      </xdr:nvSpPr>
      <xdr:spPr bwMode="auto">
        <a:xfrm flipH="1">
          <a:off x="2790825" y="14859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51</xdr:row>
      <xdr:rowOff>152400</xdr:rowOff>
    </xdr:from>
    <xdr:to>
      <xdr:col>4</xdr:col>
      <xdr:colOff>466725</xdr:colOff>
      <xdr:row>52</xdr:row>
      <xdr:rowOff>47625</xdr:rowOff>
    </xdr:to>
    <xdr:sp macro="" textlink="">
      <xdr:nvSpPr>
        <xdr:cNvPr id="381271" name="Line 67"/>
        <xdr:cNvSpPr>
          <a:spLocks noChangeShapeType="1"/>
        </xdr:cNvSpPr>
      </xdr:nvSpPr>
      <xdr:spPr bwMode="auto">
        <a:xfrm>
          <a:off x="2876550" y="14859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51</xdr:row>
      <xdr:rowOff>152400</xdr:rowOff>
    </xdr:from>
    <xdr:to>
      <xdr:col>4</xdr:col>
      <xdr:colOff>514350</xdr:colOff>
      <xdr:row>52</xdr:row>
      <xdr:rowOff>38100</xdr:rowOff>
    </xdr:to>
    <xdr:sp macro="" textlink="">
      <xdr:nvSpPr>
        <xdr:cNvPr id="381272" name="Line 68"/>
        <xdr:cNvSpPr>
          <a:spLocks noChangeShapeType="1"/>
        </xdr:cNvSpPr>
      </xdr:nvSpPr>
      <xdr:spPr bwMode="auto">
        <a:xfrm flipV="1">
          <a:off x="2857500" y="14859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51</xdr:row>
      <xdr:rowOff>152400</xdr:rowOff>
    </xdr:from>
    <xdr:to>
      <xdr:col>4</xdr:col>
      <xdr:colOff>542925</xdr:colOff>
      <xdr:row>52</xdr:row>
      <xdr:rowOff>57150</xdr:rowOff>
    </xdr:to>
    <xdr:sp macro="" textlink="">
      <xdr:nvSpPr>
        <xdr:cNvPr id="381273" name="Line 69"/>
        <xdr:cNvSpPr>
          <a:spLocks noChangeShapeType="1"/>
        </xdr:cNvSpPr>
      </xdr:nvSpPr>
      <xdr:spPr bwMode="auto">
        <a:xfrm>
          <a:off x="2933700" y="14859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51</xdr:row>
      <xdr:rowOff>152400</xdr:rowOff>
    </xdr:from>
    <xdr:to>
      <xdr:col>4</xdr:col>
      <xdr:colOff>447675</xdr:colOff>
      <xdr:row>52</xdr:row>
      <xdr:rowOff>47625</xdr:rowOff>
    </xdr:to>
    <xdr:sp macro="" textlink="">
      <xdr:nvSpPr>
        <xdr:cNvPr id="381274" name="Line 70"/>
        <xdr:cNvSpPr>
          <a:spLocks noChangeShapeType="1"/>
        </xdr:cNvSpPr>
      </xdr:nvSpPr>
      <xdr:spPr bwMode="auto">
        <a:xfrm flipH="1">
          <a:off x="2790825" y="14859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51</xdr:row>
      <xdr:rowOff>152400</xdr:rowOff>
    </xdr:from>
    <xdr:to>
      <xdr:col>4</xdr:col>
      <xdr:colOff>466725</xdr:colOff>
      <xdr:row>52</xdr:row>
      <xdr:rowOff>47625</xdr:rowOff>
    </xdr:to>
    <xdr:sp macro="" textlink="">
      <xdr:nvSpPr>
        <xdr:cNvPr id="381275" name="Line 71"/>
        <xdr:cNvSpPr>
          <a:spLocks noChangeShapeType="1"/>
        </xdr:cNvSpPr>
      </xdr:nvSpPr>
      <xdr:spPr bwMode="auto">
        <a:xfrm>
          <a:off x="2876550" y="14859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51</xdr:row>
      <xdr:rowOff>152400</xdr:rowOff>
    </xdr:from>
    <xdr:to>
      <xdr:col>4</xdr:col>
      <xdr:colOff>514350</xdr:colOff>
      <xdr:row>52</xdr:row>
      <xdr:rowOff>38100</xdr:rowOff>
    </xdr:to>
    <xdr:sp macro="" textlink="">
      <xdr:nvSpPr>
        <xdr:cNvPr id="381276" name="Line 72"/>
        <xdr:cNvSpPr>
          <a:spLocks noChangeShapeType="1"/>
        </xdr:cNvSpPr>
      </xdr:nvSpPr>
      <xdr:spPr bwMode="auto">
        <a:xfrm flipV="1">
          <a:off x="2857500" y="14859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51</xdr:row>
      <xdr:rowOff>152400</xdr:rowOff>
    </xdr:from>
    <xdr:to>
      <xdr:col>4</xdr:col>
      <xdr:colOff>542925</xdr:colOff>
      <xdr:row>52</xdr:row>
      <xdr:rowOff>57150</xdr:rowOff>
    </xdr:to>
    <xdr:sp macro="" textlink="">
      <xdr:nvSpPr>
        <xdr:cNvPr id="381277" name="Line 73"/>
        <xdr:cNvSpPr>
          <a:spLocks noChangeShapeType="1"/>
        </xdr:cNvSpPr>
      </xdr:nvSpPr>
      <xdr:spPr bwMode="auto">
        <a:xfrm>
          <a:off x="2933700" y="14859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47</xdr:row>
      <xdr:rowOff>19050</xdr:rowOff>
    </xdr:from>
    <xdr:to>
      <xdr:col>3</xdr:col>
      <xdr:colOff>0</xdr:colOff>
      <xdr:row>47</xdr:row>
      <xdr:rowOff>123825</xdr:rowOff>
    </xdr:to>
    <xdr:sp macro="" textlink="">
      <xdr:nvSpPr>
        <xdr:cNvPr id="381278" name="Line 74"/>
        <xdr:cNvSpPr>
          <a:spLocks noChangeShapeType="1"/>
        </xdr:cNvSpPr>
      </xdr:nvSpPr>
      <xdr:spPr bwMode="auto">
        <a:xfrm>
          <a:off x="1828800" y="7048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95250</xdr:colOff>
      <xdr:row>47</xdr:row>
      <xdr:rowOff>9525</xdr:rowOff>
    </xdr:from>
    <xdr:to>
      <xdr:col>3</xdr:col>
      <xdr:colOff>95250</xdr:colOff>
      <xdr:row>47</xdr:row>
      <xdr:rowOff>152400</xdr:rowOff>
    </xdr:to>
    <xdr:sp macro="" textlink="">
      <xdr:nvSpPr>
        <xdr:cNvPr id="381279" name="Line 75"/>
        <xdr:cNvSpPr>
          <a:spLocks noChangeShapeType="1"/>
        </xdr:cNvSpPr>
      </xdr:nvSpPr>
      <xdr:spPr bwMode="auto">
        <a:xfrm>
          <a:off x="1924050" y="6953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47</xdr:row>
      <xdr:rowOff>9525</xdr:rowOff>
    </xdr:from>
    <xdr:to>
      <xdr:col>6</xdr:col>
      <xdr:colOff>0</xdr:colOff>
      <xdr:row>47</xdr:row>
      <xdr:rowOff>123825</xdr:rowOff>
    </xdr:to>
    <xdr:sp macro="" textlink="">
      <xdr:nvSpPr>
        <xdr:cNvPr id="381280" name="Line 76"/>
        <xdr:cNvSpPr>
          <a:spLocks noChangeShapeType="1"/>
        </xdr:cNvSpPr>
      </xdr:nvSpPr>
      <xdr:spPr bwMode="auto">
        <a:xfrm>
          <a:off x="3657600" y="6953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47</xdr:row>
      <xdr:rowOff>0</xdr:rowOff>
    </xdr:from>
    <xdr:to>
      <xdr:col>5</xdr:col>
      <xdr:colOff>495300</xdr:colOff>
      <xdr:row>47</xdr:row>
      <xdr:rowOff>104775</xdr:rowOff>
    </xdr:to>
    <xdr:sp macro="" textlink="">
      <xdr:nvSpPr>
        <xdr:cNvPr id="381281" name="Line 77"/>
        <xdr:cNvSpPr>
          <a:spLocks noChangeShapeType="1"/>
        </xdr:cNvSpPr>
      </xdr:nvSpPr>
      <xdr:spPr bwMode="auto">
        <a:xfrm>
          <a:off x="3543300" y="6858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438150</xdr:colOff>
      <xdr:row>47</xdr:row>
      <xdr:rowOff>66675</xdr:rowOff>
    </xdr:from>
    <xdr:to>
      <xdr:col>2</xdr:col>
      <xdr:colOff>600075</xdr:colOff>
      <xdr:row>47</xdr:row>
      <xdr:rowOff>66675</xdr:rowOff>
    </xdr:to>
    <xdr:sp macro="" textlink="">
      <xdr:nvSpPr>
        <xdr:cNvPr id="381282" name="Line 78"/>
        <xdr:cNvSpPr>
          <a:spLocks noChangeShapeType="1"/>
        </xdr:cNvSpPr>
      </xdr:nvSpPr>
      <xdr:spPr bwMode="auto">
        <a:xfrm>
          <a:off x="1657350" y="7524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95250</xdr:colOff>
      <xdr:row>47</xdr:row>
      <xdr:rowOff>66675</xdr:rowOff>
    </xdr:from>
    <xdr:to>
      <xdr:col>3</xdr:col>
      <xdr:colOff>209550</xdr:colOff>
      <xdr:row>47</xdr:row>
      <xdr:rowOff>76200</xdr:rowOff>
    </xdr:to>
    <xdr:sp macro="" textlink="">
      <xdr:nvSpPr>
        <xdr:cNvPr id="381283" name="Line 79"/>
        <xdr:cNvSpPr>
          <a:spLocks noChangeShapeType="1"/>
        </xdr:cNvSpPr>
      </xdr:nvSpPr>
      <xdr:spPr bwMode="auto">
        <a:xfrm flipH="1" flipV="1">
          <a:off x="1924050" y="752475"/>
          <a:ext cx="1143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390525</xdr:colOff>
      <xdr:row>47</xdr:row>
      <xdr:rowOff>47625</xdr:rowOff>
    </xdr:from>
    <xdr:to>
      <xdr:col>5</xdr:col>
      <xdr:colOff>495300</xdr:colOff>
      <xdr:row>47</xdr:row>
      <xdr:rowOff>57150</xdr:rowOff>
    </xdr:to>
    <xdr:sp macro="" textlink="">
      <xdr:nvSpPr>
        <xdr:cNvPr id="381284" name="Line 80"/>
        <xdr:cNvSpPr>
          <a:spLocks noChangeShapeType="1"/>
        </xdr:cNvSpPr>
      </xdr:nvSpPr>
      <xdr:spPr bwMode="auto">
        <a:xfrm>
          <a:off x="3438525" y="733425"/>
          <a:ext cx="1047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9525</xdr:colOff>
      <xdr:row>47</xdr:row>
      <xdr:rowOff>57150</xdr:rowOff>
    </xdr:from>
    <xdr:to>
      <xdr:col>6</xdr:col>
      <xdr:colOff>161925</xdr:colOff>
      <xdr:row>47</xdr:row>
      <xdr:rowOff>57150</xdr:rowOff>
    </xdr:to>
    <xdr:sp macro="" textlink="">
      <xdr:nvSpPr>
        <xdr:cNvPr id="381285" name="Line 81"/>
        <xdr:cNvSpPr>
          <a:spLocks noChangeShapeType="1"/>
        </xdr:cNvSpPr>
      </xdr:nvSpPr>
      <xdr:spPr bwMode="auto">
        <a:xfrm flipH="1">
          <a:off x="3667125" y="7429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 editAs="oneCell">
    <xdr:from>
      <xdr:col>3</xdr:col>
      <xdr:colOff>581025</xdr:colOff>
      <xdr:row>2</xdr:row>
      <xdr:rowOff>0</xdr:rowOff>
    </xdr:from>
    <xdr:to>
      <xdr:col>4</xdr:col>
      <xdr:colOff>219075</xdr:colOff>
      <xdr:row>3</xdr:row>
      <xdr:rowOff>133350</xdr:rowOff>
    </xdr:to>
    <xdr:sp macro="" textlink="">
      <xdr:nvSpPr>
        <xdr:cNvPr id="381286" name="Text Box 82"/>
        <xdr:cNvSpPr txBox="1">
          <a:spLocks noChangeArrowheads="1"/>
        </xdr:cNvSpPr>
      </xdr:nvSpPr>
      <xdr:spPr bwMode="auto">
        <a:xfrm>
          <a:off x="3629025" y="2952750"/>
          <a:ext cx="247650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600075</xdr:colOff>
      <xdr:row>54</xdr:row>
      <xdr:rowOff>0</xdr:rowOff>
    </xdr:from>
    <xdr:to>
      <xdr:col>3</xdr:col>
      <xdr:colOff>104775</xdr:colOff>
      <xdr:row>54</xdr:row>
      <xdr:rowOff>0</xdr:rowOff>
    </xdr:to>
    <xdr:sp macro="" textlink="">
      <xdr:nvSpPr>
        <xdr:cNvPr id="381287" name="Line 83"/>
        <xdr:cNvSpPr>
          <a:spLocks noChangeShapeType="1"/>
        </xdr:cNvSpPr>
      </xdr:nvSpPr>
      <xdr:spPr bwMode="auto">
        <a:xfrm>
          <a:off x="1819275" y="1819275"/>
          <a:ext cx="1143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54</xdr:row>
      <xdr:rowOff>9525</xdr:rowOff>
    </xdr:from>
    <xdr:to>
      <xdr:col>5</xdr:col>
      <xdr:colOff>600075</xdr:colOff>
      <xdr:row>54</xdr:row>
      <xdr:rowOff>9525</xdr:rowOff>
    </xdr:to>
    <xdr:sp macro="" textlink="">
      <xdr:nvSpPr>
        <xdr:cNvPr id="381288" name="Line 84"/>
        <xdr:cNvSpPr>
          <a:spLocks noChangeShapeType="1"/>
        </xdr:cNvSpPr>
      </xdr:nvSpPr>
      <xdr:spPr bwMode="auto">
        <a:xfrm>
          <a:off x="3533775" y="1828800"/>
          <a:ext cx="1143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51</xdr:row>
      <xdr:rowOff>152400</xdr:rowOff>
    </xdr:from>
    <xdr:to>
      <xdr:col>4</xdr:col>
      <xdr:colOff>314325</xdr:colOff>
      <xdr:row>52</xdr:row>
      <xdr:rowOff>47625</xdr:rowOff>
    </xdr:to>
    <xdr:sp macro="" textlink="">
      <xdr:nvSpPr>
        <xdr:cNvPr id="381289" name="Line 85"/>
        <xdr:cNvSpPr>
          <a:spLocks noChangeShapeType="1"/>
        </xdr:cNvSpPr>
      </xdr:nvSpPr>
      <xdr:spPr bwMode="auto">
        <a:xfrm flipH="1">
          <a:off x="2667000" y="1485900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51</xdr:row>
      <xdr:rowOff>152400</xdr:rowOff>
    </xdr:from>
    <xdr:to>
      <xdr:col>4</xdr:col>
      <xdr:colOff>390525</xdr:colOff>
      <xdr:row>52</xdr:row>
      <xdr:rowOff>66675</xdr:rowOff>
    </xdr:to>
    <xdr:sp macro="" textlink="">
      <xdr:nvSpPr>
        <xdr:cNvPr id="381290" name="Line 86"/>
        <xdr:cNvSpPr>
          <a:spLocks noChangeShapeType="1"/>
        </xdr:cNvSpPr>
      </xdr:nvSpPr>
      <xdr:spPr bwMode="auto">
        <a:xfrm>
          <a:off x="2762250" y="1485900"/>
          <a:ext cx="666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51</xdr:row>
      <xdr:rowOff>152400</xdr:rowOff>
    </xdr:from>
    <xdr:to>
      <xdr:col>4</xdr:col>
      <xdr:colOff>371475</xdr:colOff>
      <xdr:row>52</xdr:row>
      <xdr:rowOff>38100</xdr:rowOff>
    </xdr:to>
    <xdr:sp macro="" textlink="">
      <xdr:nvSpPr>
        <xdr:cNvPr id="381291" name="Line 87"/>
        <xdr:cNvSpPr>
          <a:spLocks noChangeShapeType="1"/>
        </xdr:cNvSpPr>
      </xdr:nvSpPr>
      <xdr:spPr bwMode="auto">
        <a:xfrm flipH="1">
          <a:off x="2724150" y="14859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51</xdr:row>
      <xdr:rowOff>152400</xdr:rowOff>
    </xdr:from>
    <xdr:to>
      <xdr:col>4</xdr:col>
      <xdr:colOff>438150</xdr:colOff>
      <xdr:row>52</xdr:row>
      <xdr:rowOff>57150</xdr:rowOff>
    </xdr:to>
    <xdr:sp macro="" textlink="">
      <xdr:nvSpPr>
        <xdr:cNvPr id="381292" name="Line 88"/>
        <xdr:cNvSpPr>
          <a:spLocks noChangeShapeType="1"/>
        </xdr:cNvSpPr>
      </xdr:nvSpPr>
      <xdr:spPr bwMode="auto">
        <a:xfrm>
          <a:off x="2809875" y="1485900"/>
          <a:ext cx="666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51</xdr:row>
      <xdr:rowOff>152400</xdr:rowOff>
    </xdr:from>
    <xdr:to>
      <xdr:col>4</xdr:col>
      <xdr:colOff>314325</xdr:colOff>
      <xdr:row>52</xdr:row>
      <xdr:rowOff>47625</xdr:rowOff>
    </xdr:to>
    <xdr:sp macro="" textlink="">
      <xdr:nvSpPr>
        <xdr:cNvPr id="381293" name="Line 89"/>
        <xdr:cNvSpPr>
          <a:spLocks noChangeShapeType="1"/>
        </xdr:cNvSpPr>
      </xdr:nvSpPr>
      <xdr:spPr bwMode="auto">
        <a:xfrm flipH="1">
          <a:off x="2667000" y="1485900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51</xdr:row>
      <xdr:rowOff>152400</xdr:rowOff>
    </xdr:from>
    <xdr:to>
      <xdr:col>4</xdr:col>
      <xdr:colOff>390525</xdr:colOff>
      <xdr:row>52</xdr:row>
      <xdr:rowOff>66675</xdr:rowOff>
    </xdr:to>
    <xdr:sp macro="" textlink="">
      <xdr:nvSpPr>
        <xdr:cNvPr id="381294" name="Line 90"/>
        <xdr:cNvSpPr>
          <a:spLocks noChangeShapeType="1"/>
        </xdr:cNvSpPr>
      </xdr:nvSpPr>
      <xdr:spPr bwMode="auto">
        <a:xfrm>
          <a:off x="2762250" y="1485900"/>
          <a:ext cx="666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51</xdr:row>
      <xdr:rowOff>152400</xdr:rowOff>
    </xdr:from>
    <xdr:to>
      <xdr:col>4</xdr:col>
      <xdr:colOff>371475</xdr:colOff>
      <xdr:row>52</xdr:row>
      <xdr:rowOff>38100</xdr:rowOff>
    </xdr:to>
    <xdr:sp macro="" textlink="">
      <xdr:nvSpPr>
        <xdr:cNvPr id="381295" name="Line 91"/>
        <xdr:cNvSpPr>
          <a:spLocks noChangeShapeType="1"/>
        </xdr:cNvSpPr>
      </xdr:nvSpPr>
      <xdr:spPr bwMode="auto">
        <a:xfrm flipH="1">
          <a:off x="2724150" y="14859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51</xdr:row>
      <xdr:rowOff>152400</xdr:rowOff>
    </xdr:from>
    <xdr:to>
      <xdr:col>4</xdr:col>
      <xdr:colOff>438150</xdr:colOff>
      <xdr:row>52</xdr:row>
      <xdr:rowOff>57150</xdr:rowOff>
    </xdr:to>
    <xdr:sp macro="" textlink="">
      <xdr:nvSpPr>
        <xdr:cNvPr id="381296" name="Line 92"/>
        <xdr:cNvSpPr>
          <a:spLocks noChangeShapeType="1"/>
        </xdr:cNvSpPr>
      </xdr:nvSpPr>
      <xdr:spPr bwMode="auto">
        <a:xfrm>
          <a:off x="2809875" y="1485900"/>
          <a:ext cx="666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51</xdr:row>
      <xdr:rowOff>152400</xdr:rowOff>
    </xdr:from>
    <xdr:to>
      <xdr:col>4</xdr:col>
      <xdr:colOff>314325</xdr:colOff>
      <xdr:row>52</xdr:row>
      <xdr:rowOff>47625</xdr:rowOff>
    </xdr:to>
    <xdr:sp macro="" textlink="">
      <xdr:nvSpPr>
        <xdr:cNvPr id="381297" name="Line 93"/>
        <xdr:cNvSpPr>
          <a:spLocks noChangeShapeType="1"/>
        </xdr:cNvSpPr>
      </xdr:nvSpPr>
      <xdr:spPr bwMode="auto">
        <a:xfrm flipH="1">
          <a:off x="2667000" y="1485900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51</xdr:row>
      <xdr:rowOff>152400</xdr:rowOff>
    </xdr:from>
    <xdr:to>
      <xdr:col>4</xdr:col>
      <xdr:colOff>390525</xdr:colOff>
      <xdr:row>52</xdr:row>
      <xdr:rowOff>66675</xdr:rowOff>
    </xdr:to>
    <xdr:sp macro="" textlink="">
      <xdr:nvSpPr>
        <xdr:cNvPr id="381298" name="Line 94"/>
        <xdr:cNvSpPr>
          <a:spLocks noChangeShapeType="1"/>
        </xdr:cNvSpPr>
      </xdr:nvSpPr>
      <xdr:spPr bwMode="auto">
        <a:xfrm>
          <a:off x="2762250" y="1485900"/>
          <a:ext cx="666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51</xdr:row>
      <xdr:rowOff>152400</xdr:rowOff>
    </xdr:from>
    <xdr:to>
      <xdr:col>4</xdr:col>
      <xdr:colOff>371475</xdr:colOff>
      <xdr:row>52</xdr:row>
      <xdr:rowOff>38100</xdr:rowOff>
    </xdr:to>
    <xdr:sp macro="" textlink="">
      <xdr:nvSpPr>
        <xdr:cNvPr id="381299" name="Line 95"/>
        <xdr:cNvSpPr>
          <a:spLocks noChangeShapeType="1"/>
        </xdr:cNvSpPr>
      </xdr:nvSpPr>
      <xdr:spPr bwMode="auto">
        <a:xfrm flipH="1">
          <a:off x="2724150" y="14859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51</xdr:row>
      <xdr:rowOff>152400</xdr:rowOff>
    </xdr:from>
    <xdr:to>
      <xdr:col>4</xdr:col>
      <xdr:colOff>438150</xdr:colOff>
      <xdr:row>52</xdr:row>
      <xdr:rowOff>57150</xdr:rowOff>
    </xdr:to>
    <xdr:sp macro="" textlink="">
      <xdr:nvSpPr>
        <xdr:cNvPr id="381300" name="Line 96"/>
        <xdr:cNvSpPr>
          <a:spLocks noChangeShapeType="1"/>
        </xdr:cNvSpPr>
      </xdr:nvSpPr>
      <xdr:spPr bwMode="auto">
        <a:xfrm>
          <a:off x="2809875" y="1485900"/>
          <a:ext cx="666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51</xdr:row>
      <xdr:rowOff>152400</xdr:rowOff>
    </xdr:from>
    <xdr:to>
      <xdr:col>4</xdr:col>
      <xdr:colOff>314325</xdr:colOff>
      <xdr:row>52</xdr:row>
      <xdr:rowOff>47625</xdr:rowOff>
    </xdr:to>
    <xdr:sp macro="" textlink="">
      <xdr:nvSpPr>
        <xdr:cNvPr id="381301" name="Line 97"/>
        <xdr:cNvSpPr>
          <a:spLocks noChangeShapeType="1"/>
        </xdr:cNvSpPr>
      </xdr:nvSpPr>
      <xdr:spPr bwMode="auto">
        <a:xfrm flipH="1">
          <a:off x="2667000" y="1485900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51</xdr:row>
      <xdr:rowOff>152400</xdr:rowOff>
    </xdr:from>
    <xdr:to>
      <xdr:col>4</xdr:col>
      <xdr:colOff>390525</xdr:colOff>
      <xdr:row>52</xdr:row>
      <xdr:rowOff>66675</xdr:rowOff>
    </xdr:to>
    <xdr:sp macro="" textlink="">
      <xdr:nvSpPr>
        <xdr:cNvPr id="381302" name="Line 98"/>
        <xdr:cNvSpPr>
          <a:spLocks noChangeShapeType="1"/>
        </xdr:cNvSpPr>
      </xdr:nvSpPr>
      <xdr:spPr bwMode="auto">
        <a:xfrm>
          <a:off x="2762250" y="1485900"/>
          <a:ext cx="666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51</xdr:row>
      <xdr:rowOff>152400</xdr:rowOff>
    </xdr:from>
    <xdr:to>
      <xdr:col>4</xdr:col>
      <xdr:colOff>371475</xdr:colOff>
      <xdr:row>52</xdr:row>
      <xdr:rowOff>38100</xdr:rowOff>
    </xdr:to>
    <xdr:sp macro="" textlink="">
      <xdr:nvSpPr>
        <xdr:cNvPr id="381303" name="Line 99"/>
        <xdr:cNvSpPr>
          <a:spLocks noChangeShapeType="1"/>
        </xdr:cNvSpPr>
      </xdr:nvSpPr>
      <xdr:spPr bwMode="auto">
        <a:xfrm flipH="1">
          <a:off x="2724150" y="14859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51</xdr:row>
      <xdr:rowOff>152400</xdr:rowOff>
    </xdr:from>
    <xdr:to>
      <xdr:col>4</xdr:col>
      <xdr:colOff>438150</xdr:colOff>
      <xdr:row>52</xdr:row>
      <xdr:rowOff>57150</xdr:rowOff>
    </xdr:to>
    <xdr:sp macro="" textlink="">
      <xdr:nvSpPr>
        <xdr:cNvPr id="381304" name="Line 100"/>
        <xdr:cNvSpPr>
          <a:spLocks noChangeShapeType="1"/>
        </xdr:cNvSpPr>
      </xdr:nvSpPr>
      <xdr:spPr bwMode="auto">
        <a:xfrm>
          <a:off x="2809875" y="1485900"/>
          <a:ext cx="666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333375</xdr:colOff>
      <xdr:row>54</xdr:row>
      <xdr:rowOff>0</xdr:rowOff>
    </xdr:from>
    <xdr:to>
      <xdr:col>4</xdr:col>
      <xdr:colOff>247650</xdr:colOff>
      <xdr:row>54</xdr:row>
      <xdr:rowOff>0</xdr:rowOff>
    </xdr:to>
    <xdr:sp macro="" textlink="">
      <xdr:nvSpPr>
        <xdr:cNvPr id="381305" name="Line 101"/>
        <xdr:cNvSpPr>
          <a:spLocks noChangeShapeType="1"/>
        </xdr:cNvSpPr>
      </xdr:nvSpPr>
      <xdr:spPr bwMode="auto">
        <a:xfrm>
          <a:off x="2162175" y="1819275"/>
          <a:ext cx="523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53</xdr:row>
      <xdr:rowOff>152400</xdr:rowOff>
    </xdr:from>
    <xdr:to>
      <xdr:col>3</xdr:col>
      <xdr:colOff>209550</xdr:colOff>
      <xdr:row>54</xdr:row>
      <xdr:rowOff>0</xdr:rowOff>
    </xdr:to>
    <xdr:sp macro="" textlink="">
      <xdr:nvSpPr>
        <xdr:cNvPr id="381306" name="Line 102"/>
        <xdr:cNvSpPr>
          <a:spLocks noChangeShapeType="1"/>
        </xdr:cNvSpPr>
      </xdr:nvSpPr>
      <xdr:spPr bwMode="auto">
        <a:xfrm flipV="1">
          <a:off x="1933575" y="1809750"/>
          <a:ext cx="1047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409575</xdr:colOff>
      <xdr:row>54</xdr:row>
      <xdr:rowOff>9525</xdr:rowOff>
    </xdr:from>
    <xdr:to>
      <xdr:col>5</xdr:col>
      <xdr:colOff>485775</xdr:colOff>
      <xdr:row>54</xdr:row>
      <xdr:rowOff>9525</xdr:rowOff>
    </xdr:to>
    <xdr:sp macro="" textlink="">
      <xdr:nvSpPr>
        <xdr:cNvPr id="381307" name="Line 103"/>
        <xdr:cNvSpPr>
          <a:spLocks noChangeShapeType="1"/>
        </xdr:cNvSpPr>
      </xdr:nvSpPr>
      <xdr:spPr bwMode="auto">
        <a:xfrm>
          <a:off x="3457575" y="1828800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51</xdr:row>
      <xdr:rowOff>19050</xdr:rowOff>
    </xdr:from>
    <xdr:to>
      <xdr:col>4</xdr:col>
      <xdr:colOff>9525</xdr:colOff>
      <xdr:row>51</xdr:row>
      <xdr:rowOff>19050</xdr:rowOff>
    </xdr:to>
    <xdr:sp macro="" textlink="">
      <xdr:nvSpPr>
        <xdr:cNvPr id="381308" name="Line 104"/>
        <xdr:cNvSpPr>
          <a:spLocks noChangeShapeType="1"/>
        </xdr:cNvSpPr>
      </xdr:nvSpPr>
      <xdr:spPr bwMode="auto">
        <a:xfrm>
          <a:off x="2000250" y="1352550"/>
          <a:ext cx="447675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5</xdr:col>
      <xdr:colOff>0</xdr:colOff>
      <xdr:row>51</xdr:row>
      <xdr:rowOff>28575</xdr:rowOff>
    </xdr:from>
    <xdr:to>
      <xdr:col>5</xdr:col>
      <xdr:colOff>409575</xdr:colOff>
      <xdr:row>51</xdr:row>
      <xdr:rowOff>28575</xdr:rowOff>
    </xdr:to>
    <xdr:sp macro="" textlink="">
      <xdr:nvSpPr>
        <xdr:cNvPr id="381309" name="Line 105"/>
        <xdr:cNvSpPr>
          <a:spLocks noChangeShapeType="1"/>
        </xdr:cNvSpPr>
      </xdr:nvSpPr>
      <xdr:spPr bwMode="auto">
        <a:xfrm>
          <a:off x="3048000" y="1362075"/>
          <a:ext cx="409575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5</xdr:col>
      <xdr:colOff>285750</xdr:colOff>
      <xdr:row>58</xdr:row>
      <xdr:rowOff>0</xdr:rowOff>
    </xdr:from>
    <xdr:ext cx="123825" cy="180975"/>
    <xdr:sp macro="" textlink="">
      <xdr:nvSpPr>
        <xdr:cNvPr id="10351" name="Text Box 111"/>
        <xdr:cNvSpPr txBox="1">
          <a:spLocks noChangeArrowheads="1"/>
        </xdr:cNvSpPr>
      </xdr:nvSpPr>
      <xdr:spPr bwMode="auto">
        <a:xfrm>
          <a:off x="3333750" y="2466975"/>
          <a:ext cx="1809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1</xdr:col>
      <xdr:colOff>361950</xdr:colOff>
      <xdr:row>54</xdr:row>
      <xdr:rowOff>0</xdr:rowOff>
    </xdr:from>
    <xdr:to>
      <xdr:col>2</xdr:col>
      <xdr:colOff>561975</xdr:colOff>
      <xdr:row>54</xdr:row>
      <xdr:rowOff>0</xdr:rowOff>
    </xdr:to>
    <xdr:sp macro="" textlink="">
      <xdr:nvSpPr>
        <xdr:cNvPr id="381316" name="Line 112"/>
        <xdr:cNvSpPr>
          <a:spLocks noChangeShapeType="1"/>
        </xdr:cNvSpPr>
      </xdr:nvSpPr>
      <xdr:spPr bwMode="auto">
        <a:xfrm>
          <a:off x="971550" y="181927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400050</xdr:colOff>
      <xdr:row>53</xdr:row>
      <xdr:rowOff>9525</xdr:rowOff>
    </xdr:from>
    <xdr:ext cx="123825" cy="180975"/>
    <xdr:sp macro="" textlink="">
      <xdr:nvSpPr>
        <xdr:cNvPr id="10353" name="Text Box 113"/>
        <xdr:cNvSpPr txBox="1">
          <a:spLocks noChangeArrowheads="1"/>
        </xdr:cNvSpPr>
      </xdr:nvSpPr>
      <xdr:spPr bwMode="auto">
        <a:xfrm>
          <a:off x="1619250" y="1666875"/>
          <a:ext cx="1809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504825</xdr:colOff>
      <xdr:row>52</xdr:row>
      <xdr:rowOff>0</xdr:rowOff>
    </xdr:from>
    <xdr:to>
      <xdr:col>7</xdr:col>
      <xdr:colOff>219075</xdr:colOff>
      <xdr:row>52</xdr:row>
      <xdr:rowOff>0</xdr:rowOff>
    </xdr:to>
    <xdr:sp macro="" textlink="">
      <xdr:nvSpPr>
        <xdr:cNvPr id="381318" name="Line 114"/>
        <xdr:cNvSpPr>
          <a:spLocks noChangeShapeType="1"/>
        </xdr:cNvSpPr>
      </xdr:nvSpPr>
      <xdr:spPr bwMode="auto">
        <a:xfrm>
          <a:off x="3552825" y="1495425"/>
          <a:ext cx="933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</xdr:col>
      <xdr:colOff>581025</xdr:colOff>
      <xdr:row>51</xdr:row>
      <xdr:rowOff>9525</xdr:rowOff>
    </xdr:from>
    <xdr:ext cx="209550" cy="180975"/>
    <xdr:sp macro="" textlink="">
      <xdr:nvSpPr>
        <xdr:cNvPr id="10355" name="Text Box 115"/>
        <xdr:cNvSpPr txBox="1">
          <a:spLocks noChangeArrowheads="1"/>
        </xdr:cNvSpPr>
      </xdr:nvSpPr>
      <xdr:spPr bwMode="auto">
        <a:xfrm>
          <a:off x="3629025" y="1343025"/>
          <a:ext cx="2667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EL.</a:t>
          </a:r>
        </a:p>
      </xdr:txBody>
    </xdr:sp>
    <xdr:clientData/>
  </xdr:oneCellAnchor>
  <xdr:oneCellAnchor>
    <xdr:from>
      <xdr:col>3</xdr:col>
      <xdr:colOff>438150</xdr:colOff>
      <xdr:row>47</xdr:row>
      <xdr:rowOff>0</xdr:rowOff>
    </xdr:from>
    <xdr:ext cx="228600" cy="180975"/>
    <xdr:sp macro="" textlink="">
      <xdr:nvSpPr>
        <xdr:cNvPr id="10356" name="Text Box 116"/>
        <xdr:cNvSpPr txBox="1">
          <a:spLocks noChangeArrowheads="1"/>
        </xdr:cNvSpPr>
      </xdr:nvSpPr>
      <xdr:spPr bwMode="auto">
        <a:xfrm>
          <a:off x="2266950" y="685800"/>
          <a:ext cx="2857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4</xdr:col>
      <xdr:colOff>466725</xdr:colOff>
      <xdr:row>47</xdr:row>
      <xdr:rowOff>152400</xdr:rowOff>
    </xdr:from>
    <xdr:ext cx="228600" cy="180975"/>
    <xdr:sp macro="" textlink="">
      <xdr:nvSpPr>
        <xdr:cNvPr id="10357" name="Text Box 117"/>
        <xdr:cNvSpPr txBox="1">
          <a:spLocks noChangeArrowheads="1"/>
        </xdr:cNvSpPr>
      </xdr:nvSpPr>
      <xdr:spPr bwMode="auto">
        <a:xfrm>
          <a:off x="2905125" y="838200"/>
          <a:ext cx="2857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5</xdr:col>
      <xdr:colOff>209550</xdr:colOff>
      <xdr:row>47</xdr:row>
      <xdr:rowOff>19050</xdr:rowOff>
    </xdr:from>
    <xdr:ext cx="228600" cy="180975"/>
    <xdr:sp macro="" textlink="">
      <xdr:nvSpPr>
        <xdr:cNvPr id="10358" name="Text Box 118"/>
        <xdr:cNvSpPr txBox="1">
          <a:spLocks noChangeArrowheads="1"/>
        </xdr:cNvSpPr>
      </xdr:nvSpPr>
      <xdr:spPr bwMode="auto">
        <a:xfrm>
          <a:off x="3257550" y="704850"/>
          <a:ext cx="2857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4</xdr:col>
      <xdr:colOff>447675</xdr:colOff>
      <xdr:row>50</xdr:row>
      <xdr:rowOff>0</xdr:rowOff>
    </xdr:from>
    <xdr:ext cx="228600" cy="180975"/>
    <xdr:sp macro="" textlink="">
      <xdr:nvSpPr>
        <xdr:cNvPr id="10359" name="Text Box 119"/>
        <xdr:cNvSpPr txBox="1">
          <a:spLocks noChangeArrowheads="1"/>
        </xdr:cNvSpPr>
      </xdr:nvSpPr>
      <xdr:spPr bwMode="auto">
        <a:xfrm>
          <a:off x="2886075" y="1171575"/>
          <a:ext cx="2857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5</xdr:col>
      <xdr:colOff>447675</xdr:colOff>
      <xdr:row>50</xdr:row>
      <xdr:rowOff>9525</xdr:rowOff>
    </xdr:from>
    <xdr:ext cx="228600" cy="180975"/>
    <xdr:sp macro="" textlink="">
      <xdr:nvSpPr>
        <xdr:cNvPr id="10360" name="Text Box 120"/>
        <xdr:cNvSpPr txBox="1">
          <a:spLocks noChangeArrowheads="1"/>
        </xdr:cNvSpPr>
      </xdr:nvSpPr>
      <xdr:spPr bwMode="auto">
        <a:xfrm>
          <a:off x="3495675" y="1181100"/>
          <a:ext cx="2857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3</xdr:col>
      <xdr:colOff>428625</xdr:colOff>
      <xdr:row>50</xdr:row>
      <xdr:rowOff>0</xdr:rowOff>
    </xdr:from>
    <xdr:ext cx="228600" cy="180975"/>
    <xdr:sp macro="" textlink="">
      <xdr:nvSpPr>
        <xdr:cNvPr id="10361" name="Text Box 121"/>
        <xdr:cNvSpPr txBox="1">
          <a:spLocks noChangeArrowheads="1"/>
        </xdr:cNvSpPr>
      </xdr:nvSpPr>
      <xdr:spPr bwMode="auto">
        <a:xfrm>
          <a:off x="2257425" y="1171575"/>
          <a:ext cx="2857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twoCellAnchor editAs="oneCell">
    <xdr:from>
      <xdr:col>3</xdr:col>
      <xdr:colOff>581025</xdr:colOff>
      <xdr:row>3</xdr:row>
      <xdr:rowOff>0</xdr:rowOff>
    </xdr:from>
    <xdr:to>
      <xdr:col>4</xdr:col>
      <xdr:colOff>219075</xdr:colOff>
      <xdr:row>4</xdr:row>
      <xdr:rowOff>133350</xdr:rowOff>
    </xdr:to>
    <xdr:sp macro="" textlink="">
      <xdr:nvSpPr>
        <xdr:cNvPr id="381326" name="Text Box 122"/>
        <xdr:cNvSpPr txBox="1">
          <a:spLocks noChangeArrowheads="1"/>
        </xdr:cNvSpPr>
      </xdr:nvSpPr>
      <xdr:spPr bwMode="auto">
        <a:xfrm>
          <a:off x="3629025" y="3114675"/>
          <a:ext cx="247650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</xdr:col>
      <xdr:colOff>581025</xdr:colOff>
      <xdr:row>6</xdr:row>
      <xdr:rowOff>0</xdr:rowOff>
    </xdr:from>
    <xdr:to>
      <xdr:col>4</xdr:col>
      <xdr:colOff>219075</xdr:colOff>
      <xdr:row>7</xdr:row>
      <xdr:rowOff>133350</xdr:rowOff>
    </xdr:to>
    <xdr:sp macro="" textlink="">
      <xdr:nvSpPr>
        <xdr:cNvPr id="381327" name="Text Box 123"/>
        <xdr:cNvSpPr txBox="1">
          <a:spLocks noChangeArrowheads="1"/>
        </xdr:cNvSpPr>
      </xdr:nvSpPr>
      <xdr:spPr bwMode="auto">
        <a:xfrm>
          <a:off x="3629025" y="3276600"/>
          <a:ext cx="247650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</xdr:col>
      <xdr:colOff>581025</xdr:colOff>
      <xdr:row>5</xdr:row>
      <xdr:rowOff>0</xdr:rowOff>
    </xdr:from>
    <xdr:to>
      <xdr:col>4</xdr:col>
      <xdr:colOff>219075</xdr:colOff>
      <xdr:row>6</xdr:row>
      <xdr:rowOff>133350</xdr:rowOff>
    </xdr:to>
    <xdr:sp macro="" textlink="">
      <xdr:nvSpPr>
        <xdr:cNvPr id="381328" name="Text Box 124"/>
        <xdr:cNvSpPr txBox="1">
          <a:spLocks noChangeArrowheads="1"/>
        </xdr:cNvSpPr>
      </xdr:nvSpPr>
      <xdr:spPr bwMode="auto">
        <a:xfrm>
          <a:off x="3629025" y="3438525"/>
          <a:ext cx="247650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542925</xdr:colOff>
      <xdr:row>46</xdr:row>
      <xdr:rowOff>0</xdr:rowOff>
    </xdr:from>
    <xdr:to>
      <xdr:col>6</xdr:col>
      <xdr:colOff>171450</xdr:colOff>
      <xdr:row>47</xdr:row>
      <xdr:rowOff>57150</xdr:rowOff>
    </xdr:to>
    <xdr:sp macro="" textlink="">
      <xdr:nvSpPr>
        <xdr:cNvPr id="126" name="Text Box 161"/>
        <xdr:cNvSpPr txBox="1">
          <a:spLocks noChangeArrowheads="1"/>
        </xdr:cNvSpPr>
      </xdr:nvSpPr>
      <xdr:spPr bwMode="auto">
        <a:xfrm>
          <a:off x="3943350" y="8848725"/>
          <a:ext cx="3333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142875</xdr:colOff>
      <xdr:row>46</xdr:row>
      <xdr:rowOff>0</xdr:rowOff>
    </xdr:from>
    <xdr:to>
      <xdr:col>6</xdr:col>
      <xdr:colOff>466725</xdr:colOff>
      <xdr:row>47</xdr:row>
      <xdr:rowOff>57150</xdr:rowOff>
    </xdr:to>
    <xdr:sp macro="" textlink="">
      <xdr:nvSpPr>
        <xdr:cNvPr id="127" name="Text Box 162"/>
        <xdr:cNvSpPr txBox="1">
          <a:spLocks noChangeArrowheads="1"/>
        </xdr:cNvSpPr>
      </xdr:nvSpPr>
      <xdr:spPr bwMode="auto">
        <a:xfrm>
          <a:off x="4248150" y="8848725"/>
          <a:ext cx="3238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142875</xdr:colOff>
      <xdr:row>46</xdr:row>
      <xdr:rowOff>0</xdr:rowOff>
    </xdr:from>
    <xdr:to>
      <xdr:col>7</xdr:col>
      <xdr:colOff>466725</xdr:colOff>
      <xdr:row>47</xdr:row>
      <xdr:rowOff>57150</xdr:rowOff>
    </xdr:to>
    <xdr:sp macro="" textlink="">
      <xdr:nvSpPr>
        <xdr:cNvPr id="128" name="Text Box 163"/>
        <xdr:cNvSpPr txBox="1">
          <a:spLocks noChangeArrowheads="1"/>
        </xdr:cNvSpPr>
      </xdr:nvSpPr>
      <xdr:spPr bwMode="auto">
        <a:xfrm>
          <a:off x="4905375" y="8848725"/>
          <a:ext cx="3238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208756</xdr:colOff>
      <xdr:row>53</xdr:row>
      <xdr:rowOff>152400</xdr:rowOff>
    </xdr:from>
    <xdr:to>
      <xdr:col>7</xdr:col>
      <xdr:colOff>428626</xdr:colOff>
      <xdr:row>60</xdr:row>
      <xdr:rowOff>29369</xdr:rowOff>
    </xdr:to>
    <xdr:grpSp>
      <xdr:nvGrpSpPr>
        <xdr:cNvPr id="2" name="Group 1"/>
        <xdr:cNvGrpSpPr/>
      </xdr:nvGrpSpPr>
      <xdr:grpSpPr>
        <a:xfrm>
          <a:off x="3866356" y="9629775"/>
          <a:ext cx="829470" cy="1010444"/>
          <a:chOff x="3866356" y="9629775"/>
          <a:chExt cx="829470" cy="1010444"/>
        </a:xfrm>
      </xdr:grpSpPr>
      <xdr:cxnSp macro="">
        <xdr:nvCxnSpPr>
          <xdr:cNvPr id="129" name="Straight Connector 128"/>
          <xdr:cNvCxnSpPr/>
        </xdr:nvCxnSpPr>
        <xdr:spPr bwMode="auto">
          <a:xfrm rot="5400000">
            <a:off x="3371850" y="10144125"/>
            <a:ext cx="99060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131" name="Straight Connector 130"/>
          <xdr:cNvCxnSpPr/>
        </xdr:nvCxnSpPr>
        <xdr:spPr bwMode="auto">
          <a:xfrm rot="5400000">
            <a:off x="3614738" y="10129837"/>
            <a:ext cx="962025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133" name="Straight Connector 132"/>
          <xdr:cNvCxnSpPr/>
        </xdr:nvCxnSpPr>
        <xdr:spPr bwMode="auto">
          <a:xfrm>
            <a:off x="3876675" y="9629775"/>
            <a:ext cx="26670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triangle" w="med" len="med"/>
            <a:tailEnd type="none" w="med" len="med"/>
          </a:ln>
          <a:effectLst/>
        </xdr:spPr>
      </xdr:cxnSp>
      <xdr:cxnSp macro="">
        <xdr:nvCxnSpPr>
          <xdr:cNvPr id="135" name="Straight Arrow Connector 134"/>
          <xdr:cNvCxnSpPr/>
        </xdr:nvCxnSpPr>
        <xdr:spPr bwMode="auto">
          <a:xfrm rot="16200000" flipH="1">
            <a:off x="3943350" y="9848850"/>
            <a:ext cx="952500" cy="552450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137" name="Straight Arrow Connector 136"/>
          <xdr:cNvCxnSpPr/>
        </xdr:nvCxnSpPr>
        <xdr:spPr bwMode="auto">
          <a:xfrm rot="10800000">
            <a:off x="3867151" y="10610851"/>
            <a:ext cx="828675" cy="9525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triangle" w="med" len="med"/>
          </a:ln>
          <a:effectLst/>
        </xdr:spPr>
      </xdr:cxnSp>
      <xdr:cxnSp macro="">
        <xdr:nvCxnSpPr>
          <xdr:cNvPr id="139" name="Straight Connector 138"/>
          <xdr:cNvCxnSpPr/>
        </xdr:nvCxnSpPr>
        <xdr:spPr bwMode="auto">
          <a:xfrm rot="5400000">
            <a:off x="4133850" y="10191750"/>
            <a:ext cx="41910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141" name="Straight Connector 140"/>
          <xdr:cNvCxnSpPr/>
        </xdr:nvCxnSpPr>
        <xdr:spPr bwMode="auto">
          <a:xfrm flipV="1">
            <a:off x="4105275" y="10401300"/>
            <a:ext cx="238125" cy="200025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143" name="Straight Arrow Connector 142"/>
          <xdr:cNvCxnSpPr/>
        </xdr:nvCxnSpPr>
        <xdr:spPr bwMode="auto">
          <a:xfrm rot="10800000">
            <a:off x="3867150" y="9953625"/>
            <a:ext cx="228600" cy="1588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arrow"/>
          </a:ln>
          <a:effectLst/>
        </xdr:spPr>
      </xdr:cxnSp>
      <xdr:cxnSp macro="">
        <xdr:nvCxnSpPr>
          <xdr:cNvPr id="145" name="Straight Arrow Connector 144"/>
          <xdr:cNvCxnSpPr/>
        </xdr:nvCxnSpPr>
        <xdr:spPr bwMode="auto">
          <a:xfrm rot="10800000" flipV="1">
            <a:off x="3867150" y="10286999"/>
            <a:ext cx="228600" cy="9525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arrow"/>
          </a:ln>
          <a:effectLst/>
        </xdr:spPr>
      </xdr:cxnSp>
      <xdr:cxnSp macro="">
        <xdr:nvCxnSpPr>
          <xdr:cNvPr id="147" name="Straight Arrow Connector 146"/>
          <xdr:cNvCxnSpPr/>
        </xdr:nvCxnSpPr>
        <xdr:spPr bwMode="auto">
          <a:xfrm rot="10800000">
            <a:off x="4095750" y="10134600"/>
            <a:ext cx="209550" cy="1588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arrow"/>
          </a:ln>
          <a:effectLst/>
        </xdr:spPr>
      </xdr:cxnSp>
    </xdr:grpSp>
    <xdr:clientData/>
  </xdr:twoCellAnchor>
  <xdr:twoCellAnchor>
    <xdr:from>
      <xdr:col>6</xdr:col>
      <xdr:colOff>447676</xdr:colOff>
      <xdr:row>55</xdr:row>
      <xdr:rowOff>66675</xdr:rowOff>
    </xdr:from>
    <xdr:to>
      <xdr:col>6</xdr:col>
      <xdr:colOff>590551</xdr:colOff>
      <xdr:row>55</xdr:row>
      <xdr:rowOff>68263</xdr:rowOff>
    </xdr:to>
    <xdr:cxnSp macro="">
      <xdr:nvCxnSpPr>
        <xdr:cNvPr id="149" name="Straight Arrow Connector 148"/>
        <xdr:cNvCxnSpPr/>
      </xdr:nvCxnSpPr>
      <xdr:spPr bwMode="auto">
        <a:xfrm rot="10800000">
          <a:off x="4105276" y="9686925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438151</xdr:colOff>
      <xdr:row>58</xdr:row>
      <xdr:rowOff>152399</xdr:rowOff>
    </xdr:from>
    <xdr:to>
      <xdr:col>7</xdr:col>
      <xdr:colOff>9528</xdr:colOff>
      <xdr:row>58</xdr:row>
      <xdr:rowOff>161924</xdr:rowOff>
    </xdr:to>
    <xdr:cxnSp macro="">
      <xdr:nvCxnSpPr>
        <xdr:cNvPr id="151" name="Straight Arrow Connector 150"/>
        <xdr:cNvCxnSpPr/>
      </xdr:nvCxnSpPr>
      <xdr:spPr bwMode="auto">
        <a:xfrm rot="10800000" flipV="1">
          <a:off x="4095751" y="10258424"/>
          <a:ext cx="180977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571500</xdr:colOff>
      <xdr:row>55</xdr:row>
      <xdr:rowOff>76200</xdr:rowOff>
    </xdr:from>
    <xdr:to>
      <xdr:col>7</xdr:col>
      <xdr:colOff>114300</xdr:colOff>
      <xdr:row>57</xdr:row>
      <xdr:rowOff>0</xdr:rowOff>
    </xdr:to>
    <xdr:cxnSp macro="">
      <xdr:nvCxnSpPr>
        <xdr:cNvPr id="154" name="Straight Arrow Connector 153"/>
        <xdr:cNvCxnSpPr/>
      </xdr:nvCxnSpPr>
      <xdr:spPr bwMode="auto">
        <a:xfrm rot="5400000">
          <a:off x="4181475" y="9744075"/>
          <a:ext cx="247650" cy="1524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19050</xdr:colOff>
      <xdr:row>59</xdr:row>
      <xdr:rowOff>0</xdr:rowOff>
    </xdr:from>
    <xdr:to>
      <xdr:col>2</xdr:col>
      <xdr:colOff>400050</xdr:colOff>
      <xdr:row>59</xdr:row>
      <xdr:rowOff>9525</xdr:rowOff>
    </xdr:to>
    <xdr:cxnSp macro="">
      <xdr:nvCxnSpPr>
        <xdr:cNvPr id="158" name="Straight Connector 157"/>
        <xdr:cNvCxnSpPr/>
      </xdr:nvCxnSpPr>
      <xdr:spPr bwMode="auto">
        <a:xfrm flipV="1">
          <a:off x="628650" y="10267950"/>
          <a:ext cx="9906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200025</xdr:colOff>
      <xdr:row>56</xdr:row>
      <xdr:rowOff>19050</xdr:rowOff>
    </xdr:from>
    <xdr:to>
      <xdr:col>2</xdr:col>
      <xdr:colOff>282575</xdr:colOff>
      <xdr:row>59</xdr:row>
      <xdr:rowOff>19050</xdr:rowOff>
    </xdr:to>
    <xdr:sp macro="" textlink="">
      <xdr:nvSpPr>
        <xdr:cNvPr id="159" name="Freeform 158"/>
        <xdr:cNvSpPr/>
      </xdr:nvSpPr>
      <xdr:spPr bwMode="auto">
        <a:xfrm>
          <a:off x="809625" y="9801225"/>
          <a:ext cx="692150" cy="485775"/>
        </a:xfrm>
        <a:custGeom>
          <a:avLst/>
          <a:gdLst>
            <a:gd name="connsiteX0" fmla="*/ 438150 w 692150"/>
            <a:gd name="connsiteY0" fmla="*/ 0 h 485775"/>
            <a:gd name="connsiteX1" fmla="*/ 619125 w 692150"/>
            <a:gd name="connsiteY1" fmla="*/ 123825 h 485775"/>
            <a:gd name="connsiteX2" fmla="*/ 0 w 692150"/>
            <a:gd name="connsiteY2" fmla="*/ 485775 h 4857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692150" h="485775">
              <a:moveTo>
                <a:pt x="438150" y="0"/>
              </a:moveTo>
              <a:cubicBezTo>
                <a:pt x="565150" y="21431"/>
                <a:pt x="692150" y="42863"/>
                <a:pt x="619125" y="123825"/>
              </a:cubicBezTo>
              <a:cubicBezTo>
                <a:pt x="546100" y="204788"/>
                <a:pt x="273050" y="345281"/>
                <a:pt x="0" y="485775"/>
              </a:cubicBez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</xdr:col>
      <xdr:colOff>600076</xdr:colOff>
      <xdr:row>54</xdr:row>
      <xdr:rowOff>9525</xdr:rowOff>
    </xdr:from>
    <xdr:to>
      <xdr:col>2</xdr:col>
      <xdr:colOff>1</xdr:colOff>
      <xdr:row>59</xdr:row>
      <xdr:rowOff>28575</xdr:rowOff>
    </xdr:to>
    <xdr:cxnSp macro="">
      <xdr:nvCxnSpPr>
        <xdr:cNvPr id="163" name="Straight Connector 162"/>
        <xdr:cNvCxnSpPr/>
      </xdr:nvCxnSpPr>
      <xdr:spPr bwMode="auto">
        <a:xfrm rot="5400000">
          <a:off x="800101" y="9877425"/>
          <a:ext cx="8286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342900</xdr:colOff>
      <xdr:row>73</xdr:row>
      <xdr:rowOff>38100</xdr:rowOff>
    </xdr:from>
    <xdr:to>
      <xdr:col>8</xdr:col>
      <xdr:colOff>200025</xdr:colOff>
      <xdr:row>73</xdr:row>
      <xdr:rowOff>47625</xdr:rowOff>
    </xdr:to>
    <xdr:cxnSp macro="">
      <xdr:nvCxnSpPr>
        <xdr:cNvPr id="165" name="Straight Connector 164"/>
        <xdr:cNvCxnSpPr/>
      </xdr:nvCxnSpPr>
      <xdr:spPr bwMode="auto">
        <a:xfrm flipV="1">
          <a:off x="3390900" y="11763375"/>
          <a:ext cx="16859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324645</xdr:colOff>
      <xdr:row>73</xdr:row>
      <xdr:rowOff>143670</xdr:rowOff>
    </xdr:from>
    <xdr:to>
      <xdr:col>5</xdr:col>
      <xdr:colOff>333375</xdr:colOff>
      <xdr:row>74</xdr:row>
      <xdr:rowOff>171453</xdr:rowOff>
    </xdr:to>
    <xdr:cxnSp macro="">
      <xdr:nvCxnSpPr>
        <xdr:cNvPr id="167" name="Straight Connector 166"/>
        <xdr:cNvCxnSpPr/>
      </xdr:nvCxnSpPr>
      <xdr:spPr bwMode="auto">
        <a:xfrm rot="16200000" flipH="1">
          <a:off x="3282156" y="12797634"/>
          <a:ext cx="189708" cy="873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200821</xdr:colOff>
      <xdr:row>74</xdr:row>
      <xdr:rowOff>794</xdr:rowOff>
    </xdr:from>
    <xdr:to>
      <xdr:col>8</xdr:col>
      <xdr:colOff>209551</xdr:colOff>
      <xdr:row>75</xdr:row>
      <xdr:rowOff>123824</xdr:rowOff>
    </xdr:to>
    <xdr:cxnSp macro="">
      <xdr:nvCxnSpPr>
        <xdr:cNvPr id="169" name="Straight Connector 168"/>
        <xdr:cNvCxnSpPr/>
      </xdr:nvCxnSpPr>
      <xdr:spPr bwMode="auto">
        <a:xfrm rot="16200000" flipH="1">
          <a:off x="4929983" y="12873832"/>
          <a:ext cx="304005" cy="873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342900</xdr:colOff>
      <xdr:row>72</xdr:row>
      <xdr:rowOff>7937</xdr:rowOff>
    </xdr:from>
    <xdr:to>
      <xdr:col>8</xdr:col>
      <xdr:colOff>174625</xdr:colOff>
      <xdr:row>73</xdr:row>
      <xdr:rowOff>25400</xdr:rowOff>
    </xdr:to>
    <xdr:sp macro="" textlink="">
      <xdr:nvSpPr>
        <xdr:cNvPr id="170" name="Freeform 169"/>
        <xdr:cNvSpPr/>
      </xdr:nvSpPr>
      <xdr:spPr bwMode="auto">
        <a:xfrm>
          <a:off x="3390900" y="11571287"/>
          <a:ext cx="1660525" cy="179388"/>
        </a:xfrm>
        <a:custGeom>
          <a:avLst/>
          <a:gdLst>
            <a:gd name="connsiteX0" fmla="*/ 0 w 1660525"/>
            <a:gd name="connsiteY0" fmla="*/ 144463 h 179388"/>
            <a:gd name="connsiteX1" fmla="*/ 133350 w 1660525"/>
            <a:gd name="connsiteY1" fmla="*/ 49213 h 179388"/>
            <a:gd name="connsiteX2" fmla="*/ 209550 w 1660525"/>
            <a:gd name="connsiteY2" fmla="*/ 173038 h 179388"/>
            <a:gd name="connsiteX3" fmla="*/ 333375 w 1660525"/>
            <a:gd name="connsiteY3" fmla="*/ 11113 h 179388"/>
            <a:gd name="connsiteX4" fmla="*/ 438150 w 1660525"/>
            <a:gd name="connsiteY4" fmla="*/ 173038 h 179388"/>
            <a:gd name="connsiteX5" fmla="*/ 571500 w 1660525"/>
            <a:gd name="connsiteY5" fmla="*/ 20638 h 179388"/>
            <a:gd name="connsiteX6" fmla="*/ 657225 w 1660525"/>
            <a:gd name="connsiteY6" fmla="*/ 144463 h 179388"/>
            <a:gd name="connsiteX7" fmla="*/ 733425 w 1660525"/>
            <a:gd name="connsiteY7" fmla="*/ 20638 h 179388"/>
            <a:gd name="connsiteX8" fmla="*/ 838200 w 1660525"/>
            <a:gd name="connsiteY8" fmla="*/ 134938 h 179388"/>
            <a:gd name="connsiteX9" fmla="*/ 895350 w 1660525"/>
            <a:gd name="connsiteY9" fmla="*/ 11113 h 179388"/>
            <a:gd name="connsiteX10" fmla="*/ 1019175 w 1660525"/>
            <a:gd name="connsiteY10" fmla="*/ 134938 h 179388"/>
            <a:gd name="connsiteX11" fmla="*/ 1057275 w 1660525"/>
            <a:gd name="connsiteY11" fmla="*/ 20638 h 179388"/>
            <a:gd name="connsiteX12" fmla="*/ 1162050 w 1660525"/>
            <a:gd name="connsiteY12" fmla="*/ 144463 h 179388"/>
            <a:gd name="connsiteX13" fmla="*/ 1238250 w 1660525"/>
            <a:gd name="connsiteY13" fmla="*/ 1588 h 179388"/>
            <a:gd name="connsiteX14" fmla="*/ 1362075 w 1660525"/>
            <a:gd name="connsiteY14" fmla="*/ 134938 h 179388"/>
            <a:gd name="connsiteX15" fmla="*/ 1400175 w 1660525"/>
            <a:gd name="connsiteY15" fmla="*/ 1588 h 179388"/>
            <a:gd name="connsiteX16" fmla="*/ 1495425 w 1660525"/>
            <a:gd name="connsiteY16" fmla="*/ 134938 h 179388"/>
            <a:gd name="connsiteX17" fmla="*/ 1514475 w 1660525"/>
            <a:gd name="connsiteY17" fmla="*/ 1588 h 179388"/>
            <a:gd name="connsiteX18" fmla="*/ 1638300 w 1660525"/>
            <a:gd name="connsiteY18" fmla="*/ 125413 h 179388"/>
            <a:gd name="connsiteX19" fmla="*/ 1647825 w 1660525"/>
            <a:gd name="connsiteY19" fmla="*/ 163513 h 1793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660525" h="179388">
              <a:moveTo>
                <a:pt x="0" y="144463"/>
              </a:moveTo>
              <a:cubicBezTo>
                <a:pt x="49212" y="94457"/>
                <a:pt x="98425" y="44451"/>
                <a:pt x="133350" y="49213"/>
              </a:cubicBezTo>
              <a:cubicBezTo>
                <a:pt x="168275" y="53976"/>
                <a:pt x="176213" y="179388"/>
                <a:pt x="209550" y="173038"/>
              </a:cubicBezTo>
              <a:cubicBezTo>
                <a:pt x="242888" y="166688"/>
                <a:pt x="295275" y="11113"/>
                <a:pt x="333375" y="11113"/>
              </a:cubicBezTo>
              <a:cubicBezTo>
                <a:pt x="371475" y="11113"/>
                <a:pt x="398463" y="171451"/>
                <a:pt x="438150" y="173038"/>
              </a:cubicBezTo>
              <a:cubicBezTo>
                <a:pt x="477837" y="174625"/>
                <a:pt x="534988" y="25401"/>
                <a:pt x="571500" y="20638"/>
              </a:cubicBezTo>
              <a:cubicBezTo>
                <a:pt x="608013" y="15876"/>
                <a:pt x="630238" y="144463"/>
                <a:pt x="657225" y="144463"/>
              </a:cubicBezTo>
              <a:cubicBezTo>
                <a:pt x="684212" y="144463"/>
                <a:pt x="703263" y="22225"/>
                <a:pt x="733425" y="20638"/>
              </a:cubicBezTo>
              <a:cubicBezTo>
                <a:pt x="763587" y="19051"/>
                <a:pt x="811213" y="136525"/>
                <a:pt x="838200" y="134938"/>
              </a:cubicBezTo>
              <a:cubicBezTo>
                <a:pt x="865187" y="133351"/>
                <a:pt x="865188" y="11113"/>
                <a:pt x="895350" y="11113"/>
              </a:cubicBezTo>
              <a:cubicBezTo>
                <a:pt x="925512" y="11113"/>
                <a:pt x="992188" y="133351"/>
                <a:pt x="1019175" y="134938"/>
              </a:cubicBezTo>
              <a:cubicBezTo>
                <a:pt x="1046162" y="136525"/>
                <a:pt x="1033462" y="19050"/>
                <a:pt x="1057275" y="20638"/>
              </a:cubicBezTo>
              <a:cubicBezTo>
                <a:pt x="1081088" y="22226"/>
                <a:pt x="1131887" y="147638"/>
                <a:pt x="1162050" y="144463"/>
              </a:cubicBezTo>
              <a:cubicBezTo>
                <a:pt x="1192213" y="141288"/>
                <a:pt x="1204913" y="3175"/>
                <a:pt x="1238250" y="1588"/>
              </a:cubicBezTo>
              <a:cubicBezTo>
                <a:pt x="1271587" y="1"/>
                <a:pt x="1335088" y="134938"/>
                <a:pt x="1362075" y="134938"/>
              </a:cubicBezTo>
              <a:cubicBezTo>
                <a:pt x="1389062" y="134938"/>
                <a:pt x="1377950" y="1588"/>
                <a:pt x="1400175" y="1588"/>
              </a:cubicBezTo>
              <a:cubicBezTo>
                <a:pt x="1422400" y="1588"/>
                <a:pt x="1476375" y="134938"/>
                <a:pt x="1495425" y="134938"/>
              </a:cubicBezTo>
              <a:cubicBezTo>
                <a:pt x="1514475" y="134938"/>
                <a:pt x="1490662" y="3176"/>
                <a:pt x="1514475" y="1588"/>
              </a:cubicBezTo>
              <a:cubicBezTo>
                <a:pt x="1538288" y="0"/>
                <a:pt x="1616075" y="98426"/>
                <a:pt x="1638300" y="125413"/>
              </a:cubicBezTo>
              <a:cubicBezTo>
                <a:pt x="1660525" y="152400"/>
                <a:pt x="1654175" y="157956"/>
                <a:pt x="1647825" y="163513"/>
              </a:cubicBez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590554</xdr:colOff>
      <xdr:row>86</xdr:row>
      <xdr:rowOff>19050</xdr:rowOff>
    </xdr:from>
    <xdr:to>
      <xdr:col>7</xdr:col>
      <xdr:colOff>600079</xdr:colOff>
      <xdr:row>93</xdr:row>
      <xdr:rowOff>57155</xdr:rowOff>
    </xdr:to>
    <xdr:cxnSp macro="">
      <xdr:nvCxnSpPr>
        <xdr:cNvPr id="171" name="Straight Connector 170"/>
        <xdr:cNvCxnSpPr/>
      </xdr:nvCxnSpPr>
      <xdr:spPr bwMode="auto">
        <a:xfrm rot="16200000" flipV="1">
          <a:off x="4262439" y="15330490"/>
          <a:ext cx="120015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229394</xdr:colOff>
      <xdr:row>71</xdr:row>
      <xdr:rowOff>85725</xdr:rowOff>
    </xdr:from>
    <xdr:to>
      <xdr:col>5</xdr:col>
      <xdr:colOff>247649</xdr:colOff>
      <xdr:row>74</xdr:row>
      <xdr:rowOff>133350</xdr:rowOff>
    </xdr:to>
    <xdr:cxnSp macro="">
      <xdr:nvCxnSpPr>
        <xdr:cNvPr id="172" name="Straight Connector 171"/>
        <xdr:cNvCxnSpPr/>
      </xdr:nvCxnSpPr>
      <xdr:spPr bwMode="auto">
        <a:xfrm rot="16200000" flipH="1">
          <a:off x="3019822" y="12582922"/>
          <a:ext cx="533400" cy="182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795</xdr:colOff>
      <xdr:row>93</xdr:row>
      <xdr:rowOff>47625</xdr:rowOff>
    </xdr:from>
    <xdr:to>
      <xdr:col>8</xdr:col>
      <xdr:colOff>419100</xdr:colOff>
      <xdr:row>93</xdr:row>
      <xdr:rowOff>57944</xdr:rowOff>
    </xdr:to>
    <xdr:cxnSp macro="">
      <xdr:nvCxnSpPr>
        <xdr:cNvPr id="173" name="Straight Connector 172"/>
        <xdr:cNvCxnSpPr/>
      </xdr:nvCxnSpPr>
      <xdr:spPr bwMode="auto">
        <a:xfrm flipV="1">
          <a:off x="4877595" y="16106775"/>
          <a:ext cx="418305" cy="1031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479425</xdr:colOff>
      <xdr:row>71</xdr:row>
      <xdr:rowOff>53975</xdr:rowOff>
    </xdr:from>
    <xdr:to>
      <xdr:col>7</xdr:col>
      <xdr:colOff>295275</xdr:colOff>
      <xdr:row>72</xdr:row>
      <xdr:rowOff>26987</xdr:rowOff>
    </xdr:to>
    <xdr:sp macro="" textlink="">
      <xdr:nvSpPr>
        <xdr:cNvPr id="181" name="Freeform 180"/>
        <xdr:cNvSpPr/>
      </xdr:nvSpPr>
      <xdr:spPr bwMode="auto">
        <a:xfrm>
          <a:off x="4137025" y="12293600"/>
          <a:ext cx="425450" cy="134937"/>
        </a:xfrm>
        <a:custGeom>
          <a:avLst/>
          <a:gdLst>
            <a:gd name="connsiteX0" fmla="*/ 425450 w 425450"/>
            <a:gd name="connsiteY0" fmla="*/ 41275 h 134937"/>
            <a:gd name="connsiteX1" fmla="*/ 101600 w 425450"/>
            <a:gd name="connsiteY1" fmla="*/ 12700 h 134937"/>
            <a:gd name="connsiteX2" fmla="*/ 15875 w 425450"/>
            <a:gd name="connsiteY2" fmla="*/ 117475 h 134937"/>
            <a:gd name="connsiteX3" fmla="*/ 6350 w 425450"/>
            <a:gd name="connsiteY3" fmla="*/ 117475 h 1349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25450" h="134937">
              <a:moveTo>
                <a:pt x="425450" y="41275"/>
              </a:moveTo>
              <a:cubicBezTo>
                <a:pt x="297656" y="20637"/>
                <a:pt x="169863" y="0"/>
                <a:pt x="101600" y="12700"/>
              </a:cubicBezTo>
              <a:cubicBezTo>
                <a:pt x="33337" y="25400"/>
                <a:pt x="31750" y="100013"/>
                <a:pt x="15875" y="117475"/>
              </a:cubicBezTo>
              <a:cubicBezTo>
                <a:pt x="0" y="134937"/>
                <a:pt x="3175" y="126206"/>
                <a:pt x="6350" y="117475"/>
              </a:cubicBez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 editAs="oneCell">
    <xdr:from>
      <xdr:col>2</xdr:col>
      <xdr:colOff>28575</xdr:colOff>
      <xdr:row>100</xdr:row>
      <xdr:rowOff>0</xdr:rowOff>
    </xdr:from>
    <xdr:to>
      <xdr:col>2</xdr:col>
      <xdr:colOff>123825</xdr:colOff>
      <xdr:row>101</xdr:row>
      <xdr:rowOff>38100</xdr:rowOff>
    </xdr:to>
    <xdr:sp macro="" textlink="">
      <xdr:nvSpPr>
        <xdr:cNvPr id="182" name="Text Box 264"/>
        <xdr:cNvSpPr txBox="1">
          <a:spLocks noChangeArrowheads="1"/>
        </xdr:cNvSpPr>
      </xdr:nvSpPr>
      <xdr:spPr bwMode="auto">
        <a:xfrm>
          <a:off x="1276350" y="8866822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333375</xdr:colOff>
      <xdr:row>100</xdr:row>
      <xdr:rowOff>0</xdr:rowOff>
    </xdr:from>
    <xdr:to>
      <xdr:col>2</xdr:col>
      <xdr:colOff>428625</xdr:colOff>
      <xdr:row>101</xdr:row>
      <xdr:rowOff>38100</xdr:rowOff>
    </xdr:to>
    <xdr:sp macro="" textlink="">
      <xdr:nvSpPr>
        <xdr:cNvPr id="183" name="Text Box 266"/>
        <xdr:cNvSpPr txBox="1">
          <a:spLocks noChangeArrowheads="1"/>
        </xdr:cNvSpPr>
      </xdr:nvSpPr>
      <xdr:spPr bwMode="auto">
        <a:xfrm>
          <a:off x="1581150" y="8866822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466725</xdr:colOff>
      <xdr:row>100</xdr:row>
      <xdr:rowOff>0</xdr:rowOff>
    </xdr:from>
    <xdr:to>
      <xdr:col>5</xdr:col>
      <xdr:colOff>561975</xdr:colOff>
      <xdr:row>101</xdr:row>
      <xdr:rowOff>38100</xdr:rowOff>
    </xdr:to>
    <xdr:sp macro="" textlink="">
      <xdr:nvSpPr>
        <xdr:cNvPr id="184" name="Text Box 333"/>
        <xdr:cNvSpPr txBox="1">
          <a:spLocks noChangeArrowheads="1"/>
        </xdr:cNvSpPr>
      </xdr:nvSpPr>
      <xdr:spPr bwMode="auto">
        <a:xfrm>
          <a:off x="3867150" y="8866822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600075</xdr:colOff>
      <xdr:row>100</xdr:row>
      <xdr:rowOff>0</xdr:rowOff>
    </xdr:from>
    <xdr:to>
      <xdr:col>3</xdr:col>
      <xdr:colOff>38100</xdr:colOff>
      <xdr:row>101</xdr:row>
      <xdr:rowOff>38100</xdr:rowOff>
    </xdr:to>
    <xdr:sp macro="" textlink="">
      <xdr:nvSpPr>
        <xdr:cNvPr id="185" name="Text Box 335"/>
        <xdr:cNvSpPr txBox="1">
          <a:spLocks noChangeArrowheads="1"/>
        </xdr:cNvSpPr>
      </xdr:nvSpPr>
      <xdr:spPr bwMode="auto">
        <a:xfrm>
          <a:off x="1847850" y="8866822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123825</xdr:colOff>
      <xdr:row>100</xdr:row>
      <xdr:rowOff>0</xdr:rowOff>
    </xdr:from>
    <xdr:to>
      <xdr:col>5</xdr:col>
      <xdr:colOff>219075</xdr:colOff>
      <xdr:row>101</xdr:row>
      <xdr:rowOff>38100</xdr:rowOff>
    </xdr:to>
    <xdr:sp macro="" textlink="">
      <xdr:nvSpPr>
        <xdr:cNvPr id="186" name="Text Box 442"/>
        <xdr:cNvSpPr txBox="1">
          <a:spLocks noChangeArrowheads="1"/>
        </xdr:cNvSpPr>
      </xdr:nvSpPr>
      <xdr:spPr bwMode="auto">
        <a:xfrm>
          <a:off x="3524250" y="8866822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542925</xdr:colOff>
      <xdr:row>100</xdr:row>
      <xdr:rowOff>0</xdr:rowOff>
    </xdr:from>
    <xdr:to>
      <xdr:col>5</xdr:col>
      <xdr:colOff>66675</xdr:colOff>
      <xdr:row>101</xdr:row>
      <xdr:rowOff>9525</xdr:rowOff>
    </xdr:to>
    <xdr:sp macro="" textlink="">
      <xdr:nvSpPr>
        <xdr:cNvPr id="187" name="Text Box 456"/>
        <xdr:cNvSpPr txBox="1">
          <a:spLocks noChangeArrowheads="1"/>
        </xdr:cNvSpPr>
      </xdr:nvSpPr>
      <xdr:spPr bwMode="auto">
        <a:xfrm>
          <a:off x="3133725" y="88668225"/>
          <a:ext cx="3333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142875</xdr:colOff>
      <xdr:row>100</xdr:row>
      <xdr:rowOff>0</xdr:rowOff>
    </xdr:from>
    <xdr:to>
      <xdr:col>5</xdr:col>
      <xdr:colOff>466725</xdr:colOff>
      <xdr:row>101</xdr:row>
      <xdr:rowOff>9525</xdr:rowOff>
    </xdr:to>
    <xdr:sp macro="" textlink="">
      <xdr:nvSpPr>
        <xdr:cNvPr id="188" name="Text Box 457"/>
        <xdr:cNvSpPr txBox="1">
          <a:spLocks noChangeArrowheads="1"/>
        </xdr:cNvSpPr>
      </xdr:nvSpPr>
      <xdr:spPr bwMode="auto">
        <a:xfrm>
          <a:off x="3543300" y="88668225"/>
          <a:ext cx="3238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542925</xdr:colOff>
      <xdr:row>100</xdr:row>
      <xdr:rowOff>0</xdr:rowOff>
    </xdr:from>
    <xdr:to>
      <xdr:col>5</xdr:col>
      <xdr:colOff>66675</xdr:colOff>
      <xdr:row>101</xdr:row>
      <xdr:rowOff>9525</xdr:rowOff>
    </xdr:to>
    <xdr:sp macro="" textlink="">
      <xdr:nvSpPr>
        <xdr:cNvPr id="189" name="Text Box 459"/>
        <xdr:cNvSpPr txBox="1">
          <a:spLocks noChangeArrowheads="1"/>
        </xdr:cNvSpPr>
      </xdr:nvSpPr>
      <xdr:spPr bwMode="auto">
        <a:xfrm>
          <a:off x="3133725" y="88668225"/>
          <a:ext cx="3333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142875</xdr:colOff>
      <xdr:row>100</xdr:row>
      <xdr:rowOff>0</xdr:rowOff>
    </xdr:from>
    <xdr:to>
      <xdr:col>5</xdr:col>
      <xdr:colOff>466725</xdr:colOff>
      <xdr:row>101</xdr:row>
      <xdr:rowOff>9525</xdr:rowOff>
    </xdr:to>
    <xdr:sp macro="" textlink="">
      <xdr:nvSpPr>
        <xdr:cNvPr id="190" name="Text Box 460"/>
        <xdr:cNvSpPr txBox="1">
          <a:spLocks noChangeArrowheads="1"/>
        </xdr:cNvSpPr>
      </xdr:nvSpPr>
      <xdr:spPr bwMode="auto">
        <a:xfrm>
          <a:off x="3543300" y="88668225"/>
          <a:ext cx="3238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542925</xdr:colOff>
      <xdr:row>100</xdr:row>
      <xdr:rowOff>0</xdr:rowOff>
    </xdr:from>
    <xdr:to>
      <xdr:col>7</xdr:col>
      <xdr:colOff>219075</xdr:colOff>
      <xdr:row>101</xdr:row>
      <xdr:rowOff>9525</xdr:rowOff>
    </xdr:to>
    <xdr:sp macro="" textlink="">
      <xdr:nvSpPr>
        <xdr:cNvPr id="191" name="Text Box 462"/>
        <xdr:cNvSpPr txBox="1">
          <a:spLocks noChangeArrowheads="1"/>
        </xdr:cNvSpPr>
      </xdr:nvSpPr>
      <xdr:spPr bwMode="auto">
        <a:xfrm>
          <a:off x="4648200" y="88668225"/>
          <a:ext cx="3333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142875</xdr:colOff>
      <xdr:row>100</xdr:row>
      <xdr:rowOff>0</xdr:rowOff>
    </xdr:from>
    <xdr:to>
      <xdr:col>7</xdr:col>
      <xdr:colOff>466725</xdr:colOff>
      <xdr:row>101</xdr:row>
      <xdr:rowOff>9525</xdr:rowOff>
    </xdr:to>
    <xdr:sp macro="" textlink="">
      <xdr:nvSpPr>
        <xdr:cNvPr id="192" name="Text Box 463"/>
        <xdr:cNvSpPr txBox="1">
          <a:spLocks noChangeArrowheads="1"/>
        </xdr:cNvSpPr>
      </xdr:nvSpPr>
      <xdr:spPr bwMode="auto">
        <a:xfrm>
          <a:off x="4905375" y="88668225"/>
          <a:ext cx="3238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542925</xdr:colOff>
      <xdr:row>100</xdr:row>
      <xdr:rowOff>0</xdr:rowOff>
    </xdr:from>
    <xdr:to>
      <xdr:col>7</xdr:col>
      <xdr:colOff>219075</xdr:colOff>
      <xdr:row>101</xdr:row>
      <xdr:rowOff>9525</xdr:rowOff>
    </xdr:to>
    <xdr:sp macro="" textlink="">
      <xdr:nvSpPr>
        <xdr:cNvPr id="193" name="Text Box 464"/>
        <xdr:cNvSpPr txBox="1">
          <a:spLocks noChangeArrowheads="1"/>
        </xdr:cNvSpPr>
      </xdr:nvSpPr>
      <xdr:spPr bwMode="auto">
        <a:xfrm>
          <a:off x="4648200" y="88668225"/>
          <a:ext cx="3333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542925</xdr:colOff>
      <xdr:row>100</xdr:row>
      <xdr:rowOff>0</xdr:rowOff>
    </xdr:from>
    <xdr:to>
      <xdr:col>8</xdr:col>
      <xdr:colOff>209550</xdr:colOff>
      <xdr:row>101</xdr:row>
      <xdr:rowOff>9525</xdr:rowOff>
    </xdr:to>
    <xdr:sp macro="" textlink="">
      <xdr:nvSpPr>
        <xdr:cNvPr id="194" name="Text Box 462"/>
        <xdr:cNvSpPr txBox="1">
          <a:spLocks noChangeArrowheads="1"/>
        </xdr:cNvSpPr>
      </xdr:nvSpPr>
      <xdr:spPr bwMode="auto">
        <a:xfrm>
          <a:off x="5305425" y="88668225"/>
          <a:ext cx="4762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542925</xdr:colOff>
      <xdr:row>100</xdr:row>
      <xdr:rowOff>0</xdr:rowOff>
    </xdr:from>
    <xdr:to>
      <xdr:col>8</xdr:col>
      <xdr:colOff>209550</xdr:colOff>
      <xdr:row>101</xdr:row>
      <xdr:rowOff>9525</xdr:rowOff>
    </xdr:to>
    <xdr:sp macro="" textlink="">
      <xdr:nvSpPr>
        <xdr:cNvPr id="195" name="Text Box 464"/>
        <xdr:cNvSpPr txBox="1">
          <a:spLocks noChangeArrowheads="1"/>
        </xdr:cNvSpPr>
      </xdr:nvSpPr>
      <xdr:spPr bwMode="auto">
        <a:xfrm>
          <a:off x="5305425" y="88668225"/>
          <a:ext cx="4762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115</xdr:row>
      <xdr:rowOff>0</xdr:rowOff>
    </xdr:from>
    <xdr:to>
      <xdr:col>5</xdr:col>
      <xdr:colOff>0</xdr:colOff>
      <xdr:row>115</xdr:row>
      <xdr:rowOff>161925</xdr:rowOff>
    </xdr:to>
    <xdr:sp macro="" textlink="">
      <xdr:nvSpPr>
        <xdr:cNvPr id="196" name="Text Box 154"/>
        <xdr:cNvSpPr txBox="1">
          <a:spLocks noChangeArrowheads="1"/>
        </xdr:cNvSpPr>
      </xdr:nvSpPr>
      <xdr:spPr bwMode="auto">
        <a:xfrm>
          <a:off x="3190875" y="91478100"/>
          <a:ext cx="20955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117</xdr:row>
      <xdr:rowOff>0</xdr:rowOff>
    </xdr:from>
    <xdr:to>
      <xdr:col>5</xdr:col>
      <xdr:colOff>0</xdr:colOff>
      <xdr:row>117</xdr:row>
      <xdr:rowOff>161925</xdr:rowOff>
    </xdr:to>
    <xdr:sp macro="" textlink="">
      <xdr:nvSpPr>
        <xdr:cNvPr id="197" name="Text Box 154"/>
        <xdr:cNvSpPr txBox="1">
          <a:spLocks noChangeArrowheads="1"/>
        </xdr:cNvSpPr>
      </xdr:nvSpPr>
      <xdr:spPr bwMode="auto">
        <a:xfrm>
          <a:off x="3190875" y="91868625"/>
          <a:ext cx="2095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118</xdr:row>
      <xdr:rowOff>0</xdr:rowOff>
    </xdr:from>
    <xdr:to>
      <xdr:col>5</xdr:col>
      <xdr:colOff>0</xdr:colOff>
      <xdr:row>118</xdr:row>
      <xdr:rowOff>161925</xdr:rowOff>
    </xdr:to>
    <xdr:sp macro="" textlink="">
      <xdr:nvSpPr>
        <xdr:cNvPr id="198" name="Text Box 154"/>
        <xdr:cNvSpPr txBox="1">
          <a:spLocks noChangeArrowheads="1"/>
        </xdr:cNvSpPr>
      </xdr:nvSpPr>
      <xdr:spPr bwMode="auto">
        <a:xfrm>
          <a:off x="3190875" y="92068650"/>
          <a:ext cx="2095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114</xdr:row>
      <xdr:rowOff>0</xdr:rowOff>
    </xdr:from>
    <xdr:to>
      <xdr:col>5</xdr:col>
      <xdr:colOff>0</xdr:colOff>
      <xdr:row>114</xdr:row>
      <xdr:rowOff>161925</xdr:rowOff>
    </xdr:to>
    <xdr:sp macro="" textlink="">
      <xdr:nvSpPr>
        <xdr:cNvPr id="199" name="Text Box 154"/>
        <xdr:cNvSpPr txBox="1">
          <a:spLocks noChangeArrowheads="1"/>
        </xdr:cNvSpPr>
      </xdr:nvSpPr>
      <xdr:spPr bwMode="auto">
        <a:xfrm>
          <a:off x="3190875" y="91278075"/>
          <a:ext cx="2095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476249</xdr:colOff>
      <xdr:row>86</xdr:row>
      <xdr:rowOff>19050</xdr:rowOff>
    </xdr:from>
    <xdr:to>
      <xdr:col>7</xdr:col>
      <xdr:colOff>485774</xdr:colOff>
      <xdr:row>94</xdr:row>
      <xdr:rowOff>9525</xdr:rowOff>
    </xdr:to>
    <xdr:cxnSp macro="">
      <xdr:nvCxnSpPr>
        <xdr:cNvPr id="168" name="Straight Connector 167"/>
        <xdr:cNvCxnSpPr/>
      </xdr:nvCxnSpPr>
      <xdr:spPr bwMode="auto">
        <a:xfrm rot="16200000" flipH="1">
          <a:off x="4090987" y="15387637"/>
          <a:ext cx="13144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495300</xdr:colOff>
      <xdr:row>94</xdr:row>
      <xdr:rowOff>0</xdr:rowOff>
    </xdr:from>
    <xdr:to>
      <xdr:col>8</xdr:col>
      <xdr:colOff>428625</xdr:colOff>
      <xdr:row>94</xdr:row>
      <xdr:rowOff>1588</xdr:rowOff>
    </xdr:to>
    <xdr:cxnSp macro="">
      <xdr:nvCxnSpPr>
        <xdr:cNvPr id="176" name="Straight Connector 175"/>
        <xdr:cNvCxnSpPr/>
      </xdr:nvCxnSpPr>
      <xdr:spPr bwMode="auto">
        <a:xfrm>
          <a:off x="4762500" y="16040100"/>
          <a:ext cx="5429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476250</xdr:colOff>
      <xdr:row>86</xdr:row>
      <xdr:rowOff>19050</xdr:rowOff>
    </xdr:from>
    <xdr:to>
      <xdr:col>7</xdr:col>
      <xdr:colOff>590550</xdr:colOff>
      <xdr:row>86</xdr:row>
      <xdr:rowOff>20638</xdr:rowOff>
    </xdr:to>
    <xdr:cxnSp macro="">
      <xdr:nvCxnSpPr>
        <xdr:cNvPr id="179" name="Straight Connector 178"/>
        <xdr:cNvCxnSpPr/>
      </xdr:nvCxnSpPr>
      <xdr:spPr bwMode="auto">
        <a:xfrm>
          <a:off x="4743450" y="14735175"/>
          <a:ext cx="114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342900</xdr:colOff>
      <xdr:row>73</xdr:row>
      <xdr:rowOff>142875</xdr:rowOff>
    </xdr:from>
    <xdr:to>
      <xdr:col>8</xdr:col>
      <xdr:colOff>219075</xdr:colOff>
      <xdr:row>74</xdr:row>
      <xdr:rowOff>0</xdr:rowOff>
    </xdr:to>
    <xdr:cxnSp macro="">
      <xdr:nvCxnSpPr>
        <xdr:cNvPr id="201" name="Straight Connector 200"/>
        <xdr:cNvCxnSpPr/>
      </xdr:nvCxnSpPr>
      <xdr:spPr bwMode="auto">
        <a:xfrm flipV="1">
          <a:off x="3390900" y="12706350"/>
          <a:ext cx="170497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314328</xdr:colOff>
      <xdr:row>71</xdr:row>
      <xdr:rowOff>95250</xdr:rowOff>
    </xdr:from>
    <xdr:to>
      <xdr:col>5</xdr:col>
      <xdr:colOff>333376</xdr:colOff>
      <xdr:row>73</xdr:row>
      <xdr:rowOff>38102</xdr:rowOff>
    </xdr:to>
    <xdr:cxnSp macro="">
      <xdr:nvCxnSpPr>
        <xdr:cNvPr id="205" name="Straight Connector 204"/>
        <xdr:cNvCxnSpPr/>
      </xdr:nvCxnSpPr>
      <xdr:spPr bwMode="auto">
        <a:xfrm rot="16200000" flipV="1">
          <a:off x="3238501" y="12458702"/>
          <a:ext cx="266702" cy="1904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190500</xdr:colOff>
      <xdr:row>71</xdr:row>
      <xdr:rowOff>47625</xdr:rowOff>
    </xdr:from>
    <xdr:to>
      <xdr:col>8</xdr:col>
      <xdr:colOff>192088</xdr:colOff>
      <xdr:row>73</xdr:row>
      <xdr:rowOff>38100</xdr:rowOff>
    </xdr:to>
    <xdr:cxnSp macro="">
      <xdr:nvCxnSpPr>
        <xdr:cNvPr id="207" name="Straight Connector 206"/>
        <xdr:cNvCxnSpPr/>
      </xdr:nvCxnSpPr>
      <xdr:spPr bwMode="auto">
        <a:xfrm flipV="1">
          <a:off x="5067300" y="12287250"/>
          <a:ext cx="1588" cy="3143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295275</xdr:colOff>
      <xdr:row>71</xdr:row>
      <xdr:rowOff>66678</xdr:rowOff>
    </xdr:from>
    <xdr:to>
      <xdr:col>8</xdr:col>
      <xdr:colOff>304801</xdr:colOff>
      <xdr:row>75</xdr:row>
      <xdr:rowOff>76200</xdr:rowOff>
    </xdr:to>
    <xdr:cxnSp macro="">
      <xdr:nvCxnSpPr>
        <xdr:cNvPr id="209" name="Straight Connector 208"/>
        <xdr:cNvCxnSpPr/>
      </xdr:nvCxnSpPr>
      <xdr:spPr bwMode="auto">
        <a:xfrm rot="16200000" flipH="1">
          <a:off x="4838702" y="12639676"/>
          <a:ext cx="676272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 editAs="oneCell">
    <xdr:from>
      <xdr:col>13</xdr:col>
      <xdr:colOff>600075</xdr:colOff>
      <xdr:row>117</xdr:row>
      <xdr:rowOff>0</xdr:rowOff>
    </xdr:from>
    <xdr:to>
      <xdr:col>14</xdr:col>
      <xdr:colOff>0</xdr:colOff>
      <xdr:row>117</xdr:row>
      <xdr:rowOff>161925</xdr:rowOff>
    </xdr:to>
    <xdr:sp macro="" textlink="">
      <xdr:nvSpPr>
        <xdr:cNvPr id="175" name="Text Box 154"/>
        <xdr:cNvSpPr txBox="1">
          <a:spLocks noChangeArrowheads="1"/>
        </xdr:cNvSpPr>
      </xdr:nvSpPr>
      <xdr:spPr bwMode="auto">
        <a:xfrm>
          <a:off x="3038475" y="200977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18256</xdr:colOff>
      <xdr:row>85</xdr:row>
      <xdr:rowOff>152400</xdr:rowOff>
    </xdr:from>
    <xdr:to>
      <xdr:col>9</xdr:col>
      <xdr:colOff>238126</xdr:colOff>
      <xdr:row>92</xdr:row>
      <xdr:rowOff>794</xdr:rowOff>
    </xdr:to>
    <xdr:grpSp>
      <xdr:nvGrpSpPr>
        <xdr:cNvPr id="177" name="Group 176"/>
        <xdr:cNvGrpSpPr/>
      </xdr:nvGrpSpPr>
      <xdr:grpSpPr>
        <a:xfrm>
          <a:off x="4895056" y="14887575"/>
          <a:ext cx="829470" cy="1010444"/>
          <a:chOff x="3866356" y="9629775"/>
          <a:chExt cx="829470" cy="1010444"/>
        </a:xfrm>
      </xdr:grpSpPr>
      <xdr:cxnSp macro="">
        <xdr:nvCxnSpPr>
          <xdr:cNvPr id="178" name="Straight Connector 177"/>
          <xdr:cNvCxnSpPr/>
        </xdr:nvCxnSpPr>
        <xdr:spPr bwMode="auto">
          <a:xfrm rot="5400000">
            <a:off x="3371850" y="10144125"/>
            <a:ext cx="99060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180" name="Straight Connector 179"/>
          <xdr:cNvCxnSpPr/>
        </xdr:nvCxnSpPr>
        <xdr:spPr bwMode="auto">
          <a:xfrm rot="5400000">
            <a:off x="3614738" y="10129837"/>
            <a:ext cx="962025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200" name="Straight Connector 199"/>
          <xdr:cNvCxnSpPr/>
        </xdr:nvCxnSpPr>
        <xdr:spPr bwMode="auto">
          <a:xfrm>
            <a:off x="3876675" y="9629775"/>
            <a:ext cx="26670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triangle" w="med" len="med"/>
            <a:tailEnd type="none" w="med" len="med"/>
          </a:ln>
          <a:effectLst/>
        </xdr:spPr>
      </xdr:cxnSp>
      <xdr:cxnSp macro="">
        <xdr:nvCxnSpPr>
          <xdr:cNvPr id="202" name="Straight Arrow Connector 201"/>
          <xdr:cNvCxnSpPr/>
        </xdr:nvCxnSpPr>
        <xdr:spPr bwMode="auto">
          <a:xfrm rot="16200000" flipH="1">
            <a:off x="3943350" y="9848850"/>
            <a:ext cx="952500" cy="552450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203" name="Straight Arrow Connector 202"/>
          <xdr:cNvCxnSpPr/>
        </xdr:nvCxnSpPr>
        <xdr:spPr bwMode="auto">
          <a:xfrm rot="10800000">
            <a:off x="3867151" y="10610851"/>
            <a:ext cx="828675" cy="9525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triangle" w="med" len="med"/>
          </a:ln>
          <a:effectLst/>
        </xdr:spPr>
      </xdr:cxnSp>
      <xdr:cxnSp macro="">
        <xdr:nvCxnSpPr>
          <xdr:cNvPr id="204" name="Straight Connector 203"/>
          <xdr:cNvCxnSpPr/>
        </xdr:nvCxnSpPr>
        <xdr:spPr bwMode="auto">
          <a:xfrm rot="5400000">
            <a:off x="4133850" y="10191750"/>
            <a:ext cx="41910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206" name="Straight Connector 205"/>
          <xdr:cNvCxnSpPr/>
        </xdr:nvCxnSpPr>
        <xdr:spPr bwMode="auto">
          <a:xfrm flipV="1">
            <a:off x="4105275" y="10401300"/>
            <a:ext cx="238125" cy="200025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208" name="Straight Arrow Connector 207"/>
          <xdr:cNvCxnSpPr/>
        </xdr:nvCxnSpPr>
        <xdr:spPr bwMode="auto">
          <a:xfrm rot="10800000">
            <a:off x="3867150" y="9953625"/>
            <a:ext cx="228600" cy="1588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arrow"/>
          </a:ln>
          <a:effectLst/>
        </xdr:spPr>
      </xdr:cxnSp>
      <xdr:cxnSp macro="">
        <xdr:nvCxnSpPr>
          <xdr:cNvPr id="210" name="Straight Arrow Connector 209"/>
          <xdr:cNvCxnSpPr/>
        </xdr:nvCxnSpPr>
        <xdr:spPr bwMode="auto">
          <a:xfrm rot="10800000" flipV="1">
            <a:off x="3867150" y="10286999"/>
            <a:ext cx="228600" cy="9525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arrow"/>
          </a:ln>
          <a:effectLst/>
        </xdr:spPr>
      </xdr:cxnSp>
      <xdr:cxnSp macro="">
        <xdr:nvCxnSpPr>
          <xdr:cNvPr id="211" name="Straight Arrow Connector 210"/>
          <xdr:cNvCxnSpPr/>
        </xdr:nvCxnSpPr>
        <xdr:spPr bwMode="auto">
          <a:xfrm rot="10800000">
            <a:off x="4095750" y="10134600"/>
            <a:ext cx="209550" cy="1588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arrow"/>
          </a:ln>
          <a:effectLst/>
        </xdr:spPr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52</xdr:row>
      <xdr:rowOff>9525</xdr:rowOff>
    </xdr:from>
    <xdr:to>
      <xdr:col>3</xdr:col>
      <xdr:colOff>0</xdr:colOff>
      <xdr:row>58</xdr:row>
      <xdr:rowOff>0</xdr:rowOff>
    </xdr:to>
    <xdr:sp macro="" textlink="">
      <xdr:nvSpPr>
        <xdr:cNvPr id="395659" name="Line 1"/>
        <xdr:cNvSpPr>
          <a:spLocks noChangeShapeType="1"/>
        </xdr:cNvSpPr>
      </xdr:nvSpPr>
      <xdr:spPr bwMode="auto">
        <a:xfrm>
          <a:off x="1828800" y="1828800"/>
          <a:ext cx="0" cy="962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57</xdr:row>
      <xdr:rowOff>152400</xdr:rowOff>
    </xdr:from>
    <xdr:to>
      <xdr:col>6</xdr:col>
      <xdr:colOff>9525</xdr:colOff>
      <xdr:row>57</xdr:row>
      <xdr:rowOff>152400</xdr:rowOff>
    </xdr:to>
    <xdr:sp macro="" textlink="">
      <xdr:nvSpPr>
        <xdr:cNvPr id="395660" name="Line 2"/>
        <xdr:cNvSpPr>
          <a:spLocks noChangeShapeType="1"/>
        </xdr:cNvSpPr>
      </xdr:nvSpPr>
      <xdr:spPr bwMode="auto">
        <a:xfrm>
          <a:off x="1828800" y="2781300"/>
          <a:ext cx="18383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52</xdr:row>
      <xdr:rowOff>9525</xdr:rowOff>
    </xdr:from>
    <xdr:to>
      <xdr:col>6</xdr:col>
      <xdr:colOff>0</xdr:colOff>
      <xdr:row>57</xdr:row>
      <xdr:rowOff>152400</xdr:rowOff>
    </xdr:to>
    <xdr:sp macro="" textlink="">
      <xdr:nvSpPr>
        <xdr:cNvPr id="395661" name="Line 3"/>
        <xdr:cNvSpPr>
          <a:spLocks noChangeShapeType="1"/>
        </xdr:cNvSpPr>
      </xdr:nvSpPr>
      <xdr:spPr bwMode="auto">
        <a:xfrm flipV="1">
          <a:off x="3657600" y="1828800"/>
          <a:ext cx="0" cy="952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114300</xdr:colOff>
      <xdr:row>52</xdr:row>
      <xdr:rowOff>0</xdr:rowOff>
    </xdr:from>
    <xdr:to>
      <xdr:col>3</xdr:col>
      <xdr:colOff>114300</xdr:colOff>
      <xdr:row>57</xdr:row>
      <xdr:rowOff>0</xdr:rowOff>
    </xdr:to>
    <xdr:sp macro="" textlink="">
      <xdr:nvSpPr>
        <xdr:cNvPr id="395662" name="Line 4"/>
        <xdr:cNvSpPr>
          <a:spLocks noChangeShapeType="1"/>
        </xdr:cNvSpPr>
      </xdr:nvSpPr>
      <xdr:spPr bwMode="auto">
        <a:xfrm>
          <a:off x="1943100" y="18192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52</xdr:row>
      <xdr:rowOff>0</xdr:rowOff>
    </xdr:from>
    <xdr:to>
      <xdr:col>5</xdr:col>
      <xdr:colOff>495300</xdr:colOff>
      <xdr:row>57</xdr:row>
      <xdr:rowOff>0</xdr:rowOff>
    </xdr:to>
    <xdr:sp macro="" textlink="">
      <xdr:nvSpPr>
        <xdr:cNvPr id="395663" name="Line 5"/>
        <xdr:cNvSpPr>
          <a:spLocks noChangeShapeType="1"/>
        </xdr:cNvSpPr>
      </xdr:nvSpPr>
      <xdr:spPr bwMode="auto">
        <a:xfrm>
          <a:off x="3543300" y="18192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57</xdr:row>
      <xdr:rowOff>0</xdr:rowOff>
    </xdr:from>
    <xdr:to>
      <xdr:col>5</xdr:col>
      <xdr:colOff>495300</xdr:colOff>
      <xdr:row>57</xdr:row>
      <xdr:rowOff>0</xdr:rowOff>
    </xdr:to>
    <xdr:sp macro="" textlink="">
      <xdr:nvSpPr>
        <xdr:cNvPr id="395664" name="Line 6"/>
        <xdr:cNvSpPr>
          <a:spLocks noChangeShapeType="1"/>
        </xdr:cNvSpPr>
      </xdr:nvSpPr>
      <xdr:spPr bwMode="auto">
        <a:xfrm flipH="1">
          <a:off x="1933575" y="2628900"/>
          <a:ext cx="1609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50</xdr:row>
      <xdr:rowOff>0</xdr:rowOff>
    </xdr:from>
    <xdr:to>
      <xdr:col>4</xdr:col>
      <xdr:colOff>600075</xdr:colOff>
      <xdr:row>50</xdr:row>
      <xdr:rowOff>0</xdr:rowOff>
    </xdr:to>
    <xdr:sp macro="" textlink="">
      <xdr:nvSpPr>
        <xdr:cNvPr id="395665" name="Line 7"/>
        <xdr:cNvSpPr>
          <a:spLocks noChangeShapeType="1"/>
        </xdr:cNvSpPr>
      </xdr:nvSpPr>
      <xdr:spPr bwMode="auto">
        <a:xfrm>
          <a:off x="2447925" y="1495425"/>
          <a:ext cx="590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76200</xdr:colOff>
      <xdr:row>13</xdr:row>
      <xdr:rowOff>38100</xdr:rowOff>
    </xdr:to>
    <xdr:sp macro="" textlink="">
      <xdr:nvSpPr>
        <xdr:cNvPr id="395666" name="Text Box 8"/>
        <xdr:cNvSpPr txBox="1">
          <a:spLocks noChangeArrowheads="1"/>
        </xdr:cNvSpPr>
      </xdr:nvSpPr>
      <xdr:spPr bwMode="auto">
        <a:xfrm>
          <a:off x="2438400" y="29527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57</xdr:row>
      <xdr:rowOff>0</xdr:rowOff>
    </xdr:from>
    <xdr:to>
      <xdr:col>4</xdr:col>
      <xdr:colOff>0</xdr:colOff>
      <xdr:row>57</xdr:row>
      <xdr:rowOff>152400</xdr:rowOff>
    </xdr:to>
    <xdr:sp macro="" textlink="">
      <xdr:nvSpPr>
        <xdr:cNvPr id="395668" name="Line 10"/>
        <xdr:cNvSpPr>
          <a:spLocks noChangeShapeType="1"/>
        </xdr:cNvSpPr>
      </xdr:nvSpPr>
      <xdr:spPr bwMode="auto">
        <a:xfrm>
          <a:off x="2438400" y="2628900"/>
          <a:ext cx="0" cy="152400"/>
        </a:xfrm>
        <a:prstGeom prst="line">
          <a:avLst/>
        </a:prstGeom>
        <a:noFill/>
        <a:ln w="6350">
          <a:solidFill>
            <a:srgbClr val="0000FF"/>
          </a:solidFill>
          <a:round/>
          <a:headEnd type="triangle" w="sm" len="sm"/>
          <a:tailEnd type="triangle" w="sm" len="sm"/>
        </a:ln>
      </xdr:spPr>
    </xdr:sp>
    <xdr:clientData/>
  </xdr:twoCellAnchor>
  <xdr:twoCellAnchor editAs="oneCell">
    <xdr:from>
      <xdr:col>8</xdr:col>
      <xdr:colOff>352425</xdr:colOff>
      <xdr:row>57</xdr:row>
      <xdr:rowOff>9525</xdr:rowOff>
    </xdr:from>
    <xdr:to>
      <xdr:col>8</xdr:col>
      <xdr:colOff>428625</xdr:colOff>
      <xdr:row>58</xdr:row>
      <xdr:rowOff>47625</xdr:rowOff>
    </xdr:to>
    <xdr:sp macro="" textlink="">
      <xdr:nvSpPr>
        <xdr:cNvPr id="395669" name="Text Box 11"/>
        <xdr:cNvSpPr txBox="1">
          <a:spLocks noChangeArrowheads="1"/>
        </xdr:cNvSpPr>
      </xdr:nvSpPr>
      <xdr:spPr bwMode="auto">
        <a:xfrm>
          <a:off x="5229225" y="26384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4</xdr:col>
      <xdr:colOff>0</xdr:colOff>
      <xdr:row>57</xdr:row>
      <xdr:rowOff>0</xdr:rowOff>
    </xdr:to>
    <xdr:sp macro="" textlink="">
      <xdr:nvSpPr>
        <xdr:cNvPr id="395670" name="Line 12"/>
        <xdr:cNvSpPr>
          <a:spLocks noChangeShapeType="1"/>
        </xdr:cNvSpPr>
      </xdr:nvSpPr>
      <xdr:spPr bwMode="auto">
        <a:xfrm>
          <a:off x="2438400" y="1819275"/>
          <a:ext cx="0" cy="809625"/>
        </a:xfrm>
        <a:prstGeom prst="line">
          <a:avLst/>
        </a:prstGeom>
        <a:noFill/>
        <a:ln w="9525">
          <a:solidFill>
            <a:srgbClr val="0000FF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46</xdr:row>
      <xdr:rowOff>85725</xdr:rowOff>
    </xdr:from>
    <xdr:to>
      <xdr:col>6</xdr:col>
      <xdr:colOff>0</xdr:colOff>
      <xdr:row>47</xdr:row>
      <xdr:rowOff>85725</xdr:rowOff>
    </xdr:to>
    <xdr:sp macro="" textlink="">
      <xdr:nvSpPr>
        <xdr:cNvPr id="395671" name="Line 13"/>
        <xdr:cNvSpPr>
          <a:spLocks noChangeShapeType="1"/>
        </xdr:cNvSpPr>
      </xdr:nvSpPr>
      <xdr:spPr bwMode="auto">
        <a:xfrm>
          <a:off x="3657600" y="9334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46</xdr:row>
      <xdr:rowOff>95250</xdr:rowOff>
    </xdr:from>
    <xdr:to>
      <xdr:col>5</xdr:col>
      <xdr:colOff>485775</xdr:colOff>
      <xdr:row>47</xdr:row>
      <xdr:rowOff>57150</xdr:rowOff>
    </xdr:to>
    <xdr:sp macro="" textlink="">
      <xdr:nvSpPr>
        <xdr:cNvPr id="395672" name="Line 14"/>
        <xdr:cNvSpPr>
          <a:spLocks noChangeShapeType="1"/>
        </xdr:cNvSpPr>
      </xdr:nvSpPr>
      <xdr:spPr bwMode="auto">
        <a:xfrm>
          <a:off x="3533775" y="9429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46</xdr:row>
      <xdr:rowOff>95250</xdr:rowOff>
    </xdr:from>
    <xdr:to>
      <xdr:col>3</xdr:col>
      <xdr:colOff>104775</xdr:colOff>
      <xdr:row>47</xdr:row>
      <xdr:rowOff>76200</xdr:rowOff>
    </xdr:to>
    <xdr:sp macro="" textlink="">
      <xdr:nvSpPr>
        <xdr:cNvPr id="395673" name="Line 15"/>
        <xdr:cNvSpPr>
          <a:spLocks noChangeShapeType="1"/>
        </xdr:cNvSpPr>
      </xdr:nvSpPr>
      <xdr:spPr bwMode="auto">
        <a:xfrm>
          <a:off x="1933575" y="9429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46</xdr:row>
      <xdr:rowOff>95250</xdr:rowOff>
    </xdr:from>
    <xdr:to>
      <xdr:col>3</xdr:col>
      <xdr:colOff>0</xdr:colOff>
      <xdr:row>47</xdr:row>
      <xdr:rowOff>95250</xdr:rowOff>
    </xdr:to>
    <xdr:sp macro="" textlink="">
      <xdr:nvSpPr>
        <xdr:cNvPr id="395674" name="Line 16"/>
        <xdr:cNvSpPr>
          <a:spLocks noChangeShapeType="1"/>
        </xdr:cNvSpPr>
      </xdr:nvSpPr>
      <xdr:spPr bwMode="auto">
        <a:xfrm>
          <a:off x="1828800" y="9429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46</xdr:row>
      <xdr:rowOff>152400</xdr:rowOff>
    </xdr:from>
    <xdr:to>
      <xdr:col>5</xdr:col>
      <xdr:colOff>485775</xdr:colOff>
      <xdr:row>46</xdr:row>
      <xdr:rowOff>152400</xdr:rowOff>
    </xdr:to>
    <xdr:sp macro="" textlink="">
      <xdr:nvSpPr>
        <xdr:cNvPr id="395675" name="Line 17"/>
        <xdr:cNvSpPr>
          <a:spLocks noChangeShapeType="1"/>
        </xdr:cNvSpPr>
      </xdr:nvSpPr>
      <xdr:spPr bwMode="auto">
        <a:xfrm>
          <a:off x="1933575" y="1000125"/>
          <a:ext cx="160020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0</xdr:colOff>
      <xdr:row>48</xdr:row>
      <xdr:rowOff>123825</xdr:rowOff>
    </xdr:from>
    <xdr:to>
      <xdr:col>4</xdr:col>
      <xdr:colOff>0</xdr:colOff>
      <xdr:row>49</xdr:row>
      <xdr:rowOff>85725</xdr:rowOff>
    </xdr:to>
    <xdr:sp macro="" textlink="">
      <xdr:nvSpPr>
        <xdr:cNvPr id="395676" name="Line 18"/>
        <xdr:cNvSpPr>
          <a:spLocks noChangeShapeType="1"/>
        </xdr:cNvSpPr>
      </xdr:nvSpPr>
      <xdr:spPr bwMode="auto">
        <a:xfrm>
          <a:off x="2438400" y="12954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48</xdr:row>
      <xdr:rowOff>133350</xdr:rowOff>
    </xdr:from>
    <xdr:to>
      <xdr:col>5</xdr:col>
      <xdr:colOff>0</xdr:colOff>
      <xdr:row>49</xdr:row>
      <xdr:rowOff>76200</xdr:rowOff>
    </xdr:to>
    <xdr:sp macro="" textlink="">
      <xdr:nvSpPr>
        <xdr:cNvPr id="395677" name="Line 19"/>
        <xdr:cNvSpPr>
          <a:spLocks noChangeShapeType="1"/>
        </xdr:cNvSpPr>
      </xdr:nvSpPr>
      <xdr:spPr bwMode="auto">
        <a:xfrm>
          <a:off x="3048000" y="13049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49</xdr:row>
      <xdr:rowOff>38100</xdr:rowOff>
    </xdr:from>
    <xdr:to>
      <xdr:col>5</xdr:col>
      <xdr:colOff>0</xdr:colOff>
      <xdr:row>49</xdr:row>
      <xdr:rowOff>38100</xdr:rowOff>
    </xdr:to>
    <xdr:sp macro="" textlink="">
      <xdr:nvSpPr>
        <xdr:cNvPr id="395678" name="Line 20"/>
        <xdr:cNvSpPr>
          <a:spLocks noChangeShapeType="1"/>
        </xdr:cNvSpPr>
      </xdr:nvSpPr>
      <xdr:spPr bwMode="auto">
        <a:xfrm>
          <a:off x="2438400" y="137160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50</xdr:row>
      <xdr:rowOff>0</xdr:rowOff>
    </xdr:from>
    <xdr:to>
      <xdr:col>6</xdr:col>
      <xdr:colOff>0</xdr:colOff>
      <xdr:row>51</xdr:row>
      <xdr:rowOff>152400</xdr:rowOff>
    </xdr:to>
    <xdr:sp macro="" textlink="">
      <xdr:nvSpPr>
        <xdr:cNvPr id="395679" name="Line 21"/>
        <xdr:cNvSpPr>
          <a:spLocks noChangeShapeType="1"/>
        </xdr:cNvSpPr>
      </xdr:nvSpPr>
      <xdr:spPr bwMode="auto">
        <a:xfrm>
          <a:off x="3657600" y="1495425"/>
          <a:ext cx="0" cy="314325"/>
        </a:xfrm>
        <a:prstGeom prst="line">
          <a:avLst/>
        </a:prstGeom>
        <a:noFill/>
        <a:ln w="9525">
          <a:solidFill>
            <a:srgbClr val="0000FF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581025</xdr:colOff>
      <xdr:row>50</xdr:row>
      <xdr:rowOff>0</xdr:rowOff>
    </xdr:from>
    <xdr:to>
      <xdr:col>6</xdr:col>
      <xdr:colOff>38100</xdr:colOff>
      <xdr:row>50</xdr:row>
      <xdr:rowOff>0</xdr:rowOff>
    </xdr:to>
    <xdr:sp macro="" textlink="">
      <xdr:nvSpPr>
        <xdr:cNvPr id="395680" name="Line 22"/>
        <xdr:cNvSpPr>
          <a:spLocks noChangeShapeType="1"/>
        </xdr:cNvSpPr>
      </xdr:nvSpPr>
      <xdr:spPr bwMode="auto">
        <a:xfrm>
          <a:off x="3629025" y="149542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49</xdr:row>
      <xdr:rowOff>152400</xdr:rowOff>
    </xdr:from>
    <xdr:to>
      <xdr:col>4</xdr:col>
      <xdr:colOff>447675</xdr:colOff>
      <xdr:row>50</xdr:row>
      <xdr:rowOff>47625</xdr:rowOff>
    </xdr:to>
    <xdr:sp macro="" textlink="">
      <xdr:nvSpPr>
        <xdr:cNvPr id="395681" name="Line 23"/>
        <xdr:cNvSpPr>
          <a:spLocks noChangeShapeType="1"/>
        </xdr:cNvSpPr>
      </xdr:nvSpPr>
      <xdr:spPr bwMode="auto">
        <a:xfrm flipH="1">
          <a:off x="2790825" y="14859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49</xdr:row>
      <xdr:rowOff>152400</xdr:rowOff>
    </xdr:from>
    <xdr:to>
      <xdr:col>4</xdr:col>
      <xdr:colOff>466725</xdr:colOff>
      <xdr:row>50</xdr:row>
      <xdr:rowOff>47625</xdr:rowOff>
    </xdr:to>
    <xdr:sp macro="" textlink="">
      <xdr:nvSpPr>
        <xdr:cNvPr id="395682" name="Line 24"/>
        <xdr:cNvSpPr>
          <a:spLocks noChangeShapeType="1"/>
        </xdr:cNvSpPr>
      </xdr:nvSpPr>
      <xdr:spPr bwMode="auto">
        <a:xfrm>
          <a:off x="2876550" y="14859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49</xdr:row>
      <xdr:rowOff>152400</xdr:rowOff>
    </xdr:from>
    <xdr:to>
      <xdr:col>4</xdr:col>
      <xdr:colOff>514350</xdr:colOff>
      <xdr:row>50</xdr:row>
      <xdr:rowOff>38100</xdr:rowOff>
    </xdr:to>
    <xdr:sp macro="" textlink="">
      <xdr:nvSpPr>
        <xdr:cNvPr id="395683" name="Line 25"/>
        <xdr:cNvSpPr>
          <a:spLocks noChangeShapeType="1"/>
        </xdr:cNvSpPr>
      </xdr:nvSpPr>
      <xdr:spPr bwMode="auto">
        <a:xfrm flipV="1">
          <a:off x="2857500" y="14859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49</xdr:row>
      <xdr:rowOff>152400</xdr:rowOff>
    </xdr:from>
    <xdr:to>
      <xdr:col>4</xdr:col>
      <xdr:colOff>542925</xdr:colOff>
      <xdr:row>50</xdr:row>
      <xdr:rowOff>57150</xdr:rowOff>
    </xdr:to>
    <xdr:sp macro="" textlink="">
      <xdr:nvSpPr>
        <xdr:cNvPr id="395684" name="Line 26"/>
        <xdr:cNvSpPr>
          <a:spLocks noChangeShapeType="1"/>
        </xdr:cNvSpPr>
      </xdr:nvSpPr>
      <xdr:spPr bwMode="auto">
        <a:xfrm>
          <a:off x="2933700" y="14859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49</xdr:row>
      <xdr:rowOff>152400</xdr:rowOff>
    </xdr:from>
    <xdr:to>
      <xdr:col>4</xdr:col>
      <xdr:colOff>447675</xdr:colOff>
      <xdr:row>50</xdr:row>
      <xdr:rowOff>47625</xdr:rowOff>
    </xdr:to>
    <xdr:sp macro="" textlink="">
      <xdr:nvSpPr>
        <xdr:cNvPr id="395685" name="Line 27"/>
        <xdr:cNvSpPr>
          <a:spLocks noChangeShapeType="1"/>
        </xdr:cNvSpPr>
      </xdr:nvSpPr>
      <xdr:spPr bwMode="auto">
        <a:xfrm flipH="1">
          <a:off x="2790825" y="14859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49</xdr:row>
      <xdr:rowOff>152400</xdr:rowOff>
    </xdr:from>
    <xdr:to>
      <xdr:col>4</xdr:col>
      <xdr:colOff>466725</xdr:colOff>
      <xdr:row>50</xdr:row>
      <xdr:rowOff>47625</xdr:rowOff>
    </xdr:to>
    <xdr:sp macro="" textlink="">
      <xdr:nvSpPr>
        <xdr:cNvPr id="395686" name="Line 28"/>
        <xdr:cNvSpPr>
          <a:spLocks noChangeShapeType="1"/>
        </xdr:cNvSpPr>
      </xdr:nvSpPr>
      <xdr:spPr bwMode="auto">
        <a:xfrm>
          <a:off x="2876550" y="14859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49</xdr:row>
      <xdr:rowOff>152400</xdr:rowOff>
    </xdr:from>
    <xdr:to>
      <xdr:col>4</xdr:col>
      <xdr:colOff>514350</xdr:colOff>
      <xdr:row>50</xdr:row>
      <xdr:rowOff>38100</xdr:rowOff>
    </xdr:to>
    <xdr:sp macro="" textlink="">
      <xdr:nvSpPr>
        <xdr:cNvPr id="395687" name="Line 29"/>
        <xdr:cNvSpPr>
          <a:spLocks noChangeShapeType="1"/>
        </xdr:cNvSpPr>
      </xdr:nvSpPr>
      <xdr:spPr bwMode="auto">
        <a:xfrm flipV="1">
          <a:off x="2857500" y="14859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49</xdr:row>
      <xdr:rowOff>152400</xdr:rowOff>
    </xdr:from>
    <xdr:to>
      <xdr:col>4</xdr:col>
      <xdr:colOff>542925</xdr:colOff>
      <xdr:row>50</xdr:row>
      <xdr:rowOff>57150</xdr:rowOff>
    </xdr:to>
    <xdr:sp macro="" textlink="">
      <xdr:nvSpPr>
        <xdr:cNvPr id="395688" name="Line 30"/>
        <xdr:cNvSpPr>
          <a:spLocks noChangeShapeType="1"/>
        </xdr:cNvSpPr>
      </xdr:nvSpPr>
      <xdr:spPr bwMode="auto">
        <a:xfrm>
          <a:off x="2933700" y="14859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45</xdr:row>
      <xdr:rowOff>19050</xdr:rowOff>
    </xdr:from>
    <xdr:to>
      <xdr:col>3</xdr:col>
      <xdr:colOff>0</xdr:colOff>
      <xdr:row>45</xdr:row>
      <xdr:rowOff>123825</xdr:rowOff>
    </xdr:to>
    <xdr:sp macro="" textlink="">
      <xdr:nvSpPr>
        <xdr:cNvPr id="395689" name="Line 31"/>
        <xdr:cNvSpPr>
          <a:spLocks noChangeShapeType="1"/>
        </xdr:cNvSpPr>
      </xdr:nvSpPr>
      <xdr:spPr bwMode="auto">
        <a:xfrm>
          <a:off x="1828800" y="7048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95250</xdr:colOff>
      <xdr:row>45</xdr:row>
      <xdr:rowOff>9525</xdr:rowOff>
    </xdr:from>
    <xdr:to>
      <xdr:col>3</xdr:col>
      <xdr:colOff>95250</xdr:colOff>
      <xdr:row>45</xdr:row>
      <xdr:rowOff>152400</xdr:rowOff>
    </xdr:to>
    <xdr:sp macro="" textlink="">
      <xdr:nvSpPr>
        <xdr:cNvPr id="395690" name="Line 32"/>
        <xdr:cNvSpPr>
          <a:spLocks noChangeShapeType="1"/>
        </xdr:cNvSpPr>
      </xdr:nvSpPr>
      <xdr:spPr bwMode="auto">
        <a:xfrm>
          <a:off x="1924050" y="6953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45</xdr:row>
      <xdr:rowOff>9525</xdr:rowOff>
    </xdr:from>
    <xdr:to>
      <xdr:col>6</xdr:col>
      <xdr:colOff>0</xdr:colOff>
      <xdr:row>45</xdr:row>
      <xdr:rowOff>123825</xdr:rowOff>
    </xdr:to>
    <xdr:sp macro="" textlink="">
      <xdr:nvSpPr>
        <xdr:cNvPr id="395691" name="Line 33"/>
        <xdr:cNvSpPr>
          <a:spLocks noChangeShapeType="1"/>
        </xdr:cNvSpPr>
      </xdr:nvSpPr>
      <xdr:spPr bwMode="auto">
        <a:xfrm>
          <a:off x="3657600" y="6953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45</xdr:row>
      <xdr:rowOff>0</xdr:rowOff>
    </xdr:from>
    <xdr:to>
      <xdr:col>5</xdr:col>
      <xdr:colOff>495300</xdr:colOff>
      <xdr:row>45</xdr:row>
      <xdr:rowOff>104775</xdr:rowOff>
    </xdr:to>
    <xdr:sp macro="" textlink="">
      <xdr:nvSpPr>
        <xdr:cNvPr id="395692" name="Line 34"/>
        <xdr:cNvSpPr>
          <a:spLocks noChangeShapeType="1"/>
        </xdr:cNvSpPr>
      </xdr:nvSpPr>
      <xdr:spPr bwMode="auto">
        <a:xfrm>
          <a:off x="3543300" y="6858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438150</xdr:colOff>
      <xdr:row>45</xdr:row>
      <xdr:rowOff>66675</xdr:rowOff>
    </xdr:from>
    <xdr:to>
      <xdr:col>2</xdr:col>
      <xdr:colOff>600075</xdr:colOff>
      <xdr:row>45</xdr:row>
      <xdr:rowOff>66675</xdr:rowOff>
    </xdr:to>
    <xdr:sp macro="" textlink="">
      <xdr:nvSpPr>
        <xdr:cNvPr id="395693" name="Line 35"/>
        <xdr:cNvSpPr>
          <a:spLocks noChangeShapeType="1"/>
        </xdr:cNvSpPr>
      </xdr:nvSpPr>
      <xdr:spPr bwMode="auto">
        <a:xfrm>
          <a:off x="1657350" y="7524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95250</xdr:colOff>
      <xdr:row>45</xdr:row>
      <xdr:rowOff>66675</xdr:rowOff>
    </xdr:from>
    <xdr:to>
      <xdr:col>3</xdr:col>
      <xdr:colOff>209550</xdr:colOff>
      <xdr:row>45</xdr:row>
      <xdr:rowOff>76200</xdr:rowOff>
    </xdr:to>
    <xdr:sp macro="" textlink="">
      <xdr:nvSpPr>
        <xdr:cNvPr id="395694" name="Line 36"/>
        <xdr:cNvSpPr>
          <a:spLocks noChangeShapeType="1"/>
        </xdr:cNvSpPr>
      </xdr:nvSpPr>
      <xdr:spPr bwMode="auto">
        <a:xfrm flipH="1" flipV="1">
          <a:off x="1924050" y="752475"/>
          <a:ext cx="1143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390525</xdr:colOff>
      <xdr:row>45</xdr:row>
      <xdr:rowOff>47625</xdr:rowOff>
    </xdr:from>
    <xdr:to>
      <xdr:col>5</xdr:col>
      <xdr:colOff>495300</xdr:colOff>
      <xdr:row>45</xdr:row>
      <xdr:rowOff>57150</xdr:rowOff>
    </xdr:to>
    <xdr:sp macro="" textlink="">
      <xdr:nvSpPr>
        <xdr:cNvPr id="395695" name="Line 37"/>
        <xdr:cNvSpPr>
          <a:spLocks noChangeShapeType="1"/>
        </xdr:cNvSpPr>
      </xdr:nvSpPr>
      <xdr:spPr bwMode="auto">
        <a:xfrm>
          <a:off x="3438525" y="733425"/>
          <a:ext cx="1047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9525</xdr:colOff>
      <xdr:row>45</xdr:row>
      <xdr:rowOff>57150</xdr:rowOff>
    </xdr:from>
    <xdr:to>
      <xdr:col>6</xdr:col>
      <xdr:colOff>161925</xdr:colOff>
      <xdr:row>45</xdr:row>
      <xdr:rowOff>57150</xdr:rowOff>
    </xdr:to>
    <xdr:sp macro="" textlink="">
      <xdr:nvSpPr>
        <xdr:cNvPr id="395696" name="Line 38"/>
        <xdr:cNvSpPr>
          <a:spLocks noChangeShapeType="1"/>
        </xdr:cNvSpPr>
      </xdr:nvSpPr>
      <xdr:spPr bwMode="auto">
        <a:xfrm flipH="1">
          <a:off x="3667125" y="7429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0</xdr:colOff>
      <xdr:row>52</xdr:row>
      <xdr:rowOff>9525</xdr:rowOff>
    </xdr:from>
    <xdr:to>
      <xdr:col>3</xdr:col>
      <xdr:colOff>0</xdr:colOff>
      <xdr:row>58</xdr:row>
      <xdr:rowOff>0</xdr:rowOff>
    </xdr:to>
    <xdr:sp macro="" textlink="">
      <xdr:nvSpPr>
        <xdr:cNvPr id="395698" name="Line 40"/>
        <xdr:cNvSpPr>
          <a:spLocks noChangeShapeType="1"/>
        </xdr:cNvSpPr>
      </xdr:nvSpPr>
      <xdr:spPr bwMode="auto">
        <a:xfrm>
          <a:off x="1828800" y="1828800"/>
          <a:ext cx="0" cy="962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57</xdr:row>
      <xdr:rowOff>152400</xdr:rowOff>
    </xdr:from>
    <xdr:to>
      <xdr:col>6</xdr:col>
      <xdr:colOff>9525</xdr:colOff>
      <xdr:row>57</xdr:row>
      <xdr:rowOff>152400</xdr:rowOff>
    </xdr:to>
    <xdr:sp macro="" textlink="">
      <xdr:nvSpPr>
        <xdr:cNvPr id="395699" name="Line 41"/>
        <xdr:cNvSpPr>
          <a:spLocks noChangeShapeType="1"/>
        </xdr:cNvSpPr>
      </xdr:nvSpPr>
      <xdr:spPr bwMode="auto">
        <a:xfrm>
          <a:off x="1828800" y="2781300"/>
          <a:ext cx="18383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52</xdr:row>
      <xdr:rowOff>9525</xdr:rowOff>
    </xdr:from>
    <xdr:to>
      <xdr:col>6</xdr:col>
      <xdr:colOff>0</xdr:colOff>
      <xdr:row>57</xdr:row>
      <xdr:rowOff>152400</xdr:rowOff>
    </xdr:to>
    <xdr:sp macro="" textlink="">
      <xdr:nvSpPr>
        <xdr:cNvPr id="395700" name="Line 42"/>
        <xdr:cNvSpPr>
          <a:spLocks noChangeShapeType="1"/>
        </xdr:cNvSpPr>
      </xdr:nvSpPr>
      <xdr:spPr bwMode="auto">
        <a:xfrm flipV="1">
          <a:off x="3657600" y="1828800"/>
          <a:ext cx="0" cy="952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114300</xdr:colOff>
      <xdr:row>52</xdr:row>
      <xdr:rowOff>0</xdr:rowOff>
    </xdr:from>
    <xdr:to>
      <xdr:col>3</xdr:col>
      <xdr:colOff>114300</xdr:colOff>
      <xdr:row>57</xdr:row>
      <xdr:rowOff>0</xdr:rowOff>
    </xdr:to>
    <xdr:sp macro="" textlink="">
      <xdr:nvSpPr>
        <xdr:cNvPr id="395701" name="Line 43"/>
        <xdr:cNvSpPr>
          <a:spLocks noChangeShapeType="1"/>
        </xdr:cNvSpPr>
      </xdr:nvSpPr>
      <xdr:spPr bwMode="auto">
        <a:xfrm>
          <a:off x="1943100" y="18192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52</xdr:row>
      <xdr:rowOff>0</xdr:rowOff>
    </xdr:from>
    <xdr:to>
      <xdr:col>5</xdr:col>
      <xdr:colOff>495300</xdr:colOff>
      <xdr:row>57</xdr:row>
      <xdr:rowOff>0</xdr:rowOff>
    </xdr:to>
    <xdr:sp macro="" textlink="">
      <xdr:nvSpPr>
        <xdr:cNvPr id="395702" name="Line 44"/>
        <xdr:cNvSpPr>
          <a:spLocks noChangeShapeType="1"/>
        </xdr:cNvSpPr>
      </xdr:nvSpPr>
      <xdr:spPr bwMode="auto">
        <a:xfrm>
          <a:off x="3543300" y="18192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57</xdr:row>
      <xdr:rowOff>0</xdr:rowOff>
    </xdr:from>
    <xdr:to>
      <xdr:col>5</xdr:col>
      <xdr:colOff>495300</xdr:colOff>
      <xdr:row>57</xdr:row>
      <xdr:rowOff>0</xdr:rowOff>
    </xdr:to>
    <xdr:sp macro="" textlink="">
      <xdr:nvSpPr>
        <xdr:cNvPr id="395703" name="Line 45"/>
        <xdr:cNvSpPr>
          <a:spLocks noChangeShapeType="1"/>
        </xdr:cNvSpPr>
      </xdr:nvSpPr>
      <xdr:spPr bwMode="auto">
        <a:xfrm flipH="1">
          <a:off x="1933575" y="2628900"/>
          <a:ext cx="1609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50</xdr:row>
      <xdr:rowOff>0</xdr:rowOff>
    </xdr:from>
    <xdr:to>
      <xdr:col>4</xdr:col>
      <xdr:colOff>600075</xdr:colOff>
      <xdr:row>50</xdr:row>
      <xdr:rowOff>0</xdr:rowOff>
    </xdr:to>
    <xdr:sp macro="" textlink="">
      <xdr:nvSpPr>
        <xdr:cNvPr id="395704" name="Line 46"/>
        <xdr:cNvSpPr>
          <a:spLocks noChangeShapeType="1"/>
        </xdr:cNvSpPr>
      </xdr:nvSpPr>
      <xdr:spPr bwMode="auto">
        <a:xfrm>
          <a:off x="2447925" y="1495425"/>
          <a:ext cx="590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209550</xdr:colOff>
      <xdr:row>50</xdr:row>
      <xdr:rowOff>9525</xdr:rowOff>
    </xdr:from>
    <xdr:to>
      <xdr:col>3</xdr:col>
      <xdr:colOff>600075</xdr:colOff>
      <xdr:row>52</xdr:row>
      <xdr:rowOff>0</xdr:rowOff>
    </xdr:to>
    <xdr:sp macro="" textlink="">
      <xdr:nvSpPr>
        <xdr:cNvPr id="395705" name="Line 47"/>
        <xdr:cNvSpPr>
          <a:spLocks noChangeShapeType="1"/>
        </xdr:cNvSpPr>
      </xdr:nvSpPr>
      <xdr:spPr bwMode="auto">
        <a:xfrm flipH="1">
          <a:off x="2038350" y="1504950"/>
          <a:ext cx="39052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50</xdr:row>
      <xdr:rowOff>9525</xdr:rowOff>
    </xdr:from>
    <xdr:to>
      <xdr:col>5</xdr:col>
      <xdr:colOff>419100</xdr:colOff>
      <xdr:row>52</xdr:row>
      <xdr:rowOff>9525</xdr:rowOff>
    </xdr:to>
    <xdr:sp macro="" textlink="">
      <xdr:nvSpPr>
        <xdr:cNvPr id="395706" name="Line 48"/>
        <xdr:cNvSpPr>
          <a:spLocks noChangeShapeType="1"/>
        </xdr:cNvSpPr>
      </xdr:nvSpPr>
      <xdr:spPr bwMode="auto">
        <a:xfrm>
          <a:off x="3048000" y="1504950"/>
          <a:ext cx="41910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76200</xdr:colOff>
      <xdr:row>13</xdr:row>
      <xdr:rowOff>38100</xdr:rowOff>
    </xdr:to>
    <xdr:sp macro="" textlink="">
      <xdr:nvSpPr>
        <xdr:cNvPr id="395707" name="Text Box 49"/>
        <xdr:cNvSpPr txBox="1">
          <a:spLocks noChangeArrowheads="1"/>
        </xdr:cNvSpPr>
      </xdr:nvSpPr>
      <xdr:spPr bwMode="auto">
        <a:xfrm>
          <a:off x="2438400" y="29527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57</xdr:row>
      <xdr:rowOff>0</xdr:rowOff>
    </xdr:from>
    <xdr:to>
      <xdr:col>4</xdr:col>
      <xdr:colOff>0</xdr:colOff>
      <xdr:row>57</xdr:row>
      <xdr:rowOff>152400</xdr:rowOff>
    </xdr:to>
    <xdr:sp macro="" textlink="">
      <xdr:nvSpPr>
        <xdr:cNvPr id="395709" name="Line 51"/>
        <xdr:cNvSpPr>
          <a:spLocks noChangeShapeType="1"/>
        </xdr:cNvSpPr>
      </xdr:nvSpPr>
      <xdr:spPr bwMode="auto">
        <a:xfrm>
          <a:off x="2438400" y="2628900"/>
          <a:ext cx="0" cy="152400"/>
        </a:xfrm>
        <a:prstGeom prst="line">
          <a:avLst/>
        </a:prstGeom>
        <a:noFill/>
        <a:ln w="6350">
          <a:solidFill>
            <a:sysClr val="windowText" lastClr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 editAs="oneCell">
    <xdr:from>
      <xdr:col>8</xdr:col>
      <xdr:colOff>352425</xdr:colOff>
      <xdr:row>57</xdr:row>
      <xdr:rowOff>9525</xdr:rowOff>
    </xdr:from>
    <xdr:to>
      <xdr:col>8</xdr:col>
      <xdr:colOff>428625</xdr:colOff>
      <xdr:row>58</xdr:row>
      <xdr:rowOff>47625</xdr:rowOff>
    </xdr:to>
    <xdr:sp macro="" textlink="">
      <xdr:nvSpPr>
        <xdr:cNvPr id="395710" name="Text Box 52"/>
        <xdr:cNvSpPr txBox="1">
          <a:spLocks noChangeArrowheads="1"/>
        </xdr:cNvSpPr>
      </xdr:nvSpPr>
      <xdr:spPr bwMode="auto">
        <a:xfrm>
          <a:off x="5229225" y="26384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4</xdr:col>
      <xdr:colOff>0</xdr:colOff>
      <xdr:row>57</xdr:row>
      <xdr:rowOff>0</xdr:rowOff>
    </xdr:to>
    <xdr:sp macro="" textlink="">
      <xdr:nvSpPr>
        <xdr:cNvPr id="395711" name="Line 53"/>
        <xdr:cNvSpPr>
          <a:spLocks noChangeShapeType="1"/>
        </xdr:cNvSpPr>
      </xdr:nvSpPr>
      <xdr:spPr bwMode="auto">
        <a:xfrm>
          <a:off x="2438400" y="1819275"/>
          <a:ext cx="0" cy="8096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46</xdr:row>
      <xdr:rowOff>85725</xdr:rowOff>
    </xdr:from>
    <xdr:to>
      <xdr:col>6</xdr:col>
      <xdr:colOff>0</xdr:colOff>
      <xdr:row>47</xdr:row>
      <xdr:rowOff>85725</xdr:rowOff>
    </xdr:to>
    <xdr:sp macro="" textlink="">
      <xdr:nvSpPr>
        <xdr:cNvPr id="395712" name="Line 54"/>
        <xdr:cNvSpPr>
          <a:spLocks noChangeShapeType="1"/>
        </xdr:cNvSpPr>
      </xdr:nvSpPr>
      <xdr:spPr bwMode="auto">
        <a:xfrm>
          <a:off x="3657600" y="9334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46</xdr:row>
      <xdr:rowOff>95250</xdr:rowOff>
    </xdr:from>
    <xdr:to>
      <xdr:col>5</xdr:col>
      <xdr:colOff>485775</xdr:colOff>
      <xdr:row>47</xdr:row>
      <xdr:rowOff>57150</xdr:rowOff>
    </xdr:to>
    <xdr:sp macro="" textlink="">
      <xdr:nvSpPr>
        <xdr:cNvPr id="395713" name="Line 55"/>
        <xdr:cNvSpPr>
          <a:spLocks noChangeShapeType="1"/>
        </xdr:cNvSpPr>
      </xdr:nvSpPr>
      <xdr:spPr bwMode="auto">
        <a:xfrm>
          <a:off x="3533775" y="9429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46</xdr:row>
      <xdr:rowOff>95250</xdr:rowOff>
    </xdr:from>
    <xdr:to>
      <xdr:col>3</xdr:col>
      <xdr:colOff>104775</xdr:colOff>
      <xdr:row>47</xdr:row>
      <xdr:rowOff>76200</xdr:rowOff>
    </xdr:to>
    <xdr:sp macro="" textlink="">
      <xdr:nvSpPr>
        <xdr:cNvPr id="395714" name="Line 56"/>
        <xdr:cNvSpPr>
          <a:spLocks noChangeShapeType="1"/>
        </xdr:cNvSpPr>
      </xdr:nvSpPr>
      <xdr:spPr bwMode="auto">
        <a:xfrm>
          <a:off x="1933575" y="9429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46</xdr:row>
      <xdr:rowOff>95250</xdr:rowOff>
    </xdr:from>
    <xdr:to>
      <xdr:col>3</xdr:col>
      <xdr:colOff>0</xdr:colOff>
      <xdr:row>47</xdr:row>
      <xdr:rowOff>95250</xdr:rowOff>
    </xdr:to>
    <xdr:sp macro="" textlink="">
      <xdr:nvSpPr>
        <xdr:cNvPr id="395715" name="Line 57"/>
        <xdr:cNvSpPr>
          <a:spLocks noChangeShapeType="1"/>
        </xdr:cNvSpPr>
      </xdr:nvSpPr>
      <xdr:spPr bwMode="auto">
        <a:xfrm>
          <a:off x="1828800" y="9429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46</xdr:row>
      <xdr:rowOff>152400</xdr:rowOff>
    </xdr:from>
    <xdr:to>
      <xdr:col>5</xdr:col>
      <xdr:colOff>485775</xdr:colOff>
      <xdr:row>46</xdr:row>
      <xdr:rowOff>152400</xdr:rowOff>
    </xdr:to>
    <xdr:sp macro="" textlink="">
      <xdr:nvSpPr>
        <xdr:cNvPr id="395716" name="Line 58"/>
        <xdr:cNvSpPr>
          <a:spLocks noChangeShapeType="1"/>
        </xdr:cNvSpPr>
      </xdr:nvSpPr>
      <xdr:spPr bwMode="auto">
        <a:xfrm>
          <a:off x="1933575" y="1000125"/>
          <a:ext cx="16002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0</xdr:colOff>
      <xdr:row>48</xdr:row>
      <xdr:rowOff>123825</xdr:rowOff>
    </xdr:from>
    <xdr:to>
      <xdr:col>4</xdr:col>
      <xdr:colOff>0</xdr:colOff>
      <xdr:row>49</xdr:row>
      <xdr:rowOff>85725</xdr:rowOff>
    </xdr:to>
    <xdr:sp macro="" textlink="">
      <xdr:nvSpPr>
        <xdr:cNvPr id="395717" name="Line 59"/>
        <xdr:cNvSpPr>
          <a:spLocks noChangeShapeType="1"/>
        </xdr:cNvSpPr>
      </xdr:nvSpPr>
      <xdr:spPr bwMode="auto">
        <a:xfrm>
          <a:off x="2438400" y="12954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48</xdr:row>
      <xdr:rowOff>133350</xdr:rowOff>
    </xdr:from>
    <xdr:to>
      <xdr:col>5</xdr:col>
      <xdr:colOff>0</xdr:colOff>
      <xdr:row>49</xdr:row>
      <xdr:rowOff>76200</xdr:rowOff>
    </xdr:to>
    <xdr:sp macro="" textlink="">
      <xdr:nvSpPr>
        <xdr:cNvPr id="395718" name="Line 60"/>
        <xdr:cNvSpPr>
          <a:spLocks noChangeShapeType="1"/>
        </xdr:cNvSpPr>
      </xdr:nvSpPr>
      <xdr:spPr bwMode="auto">
        <a:xfrm>
          <a:off x="3048000" y="13049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49</xdr:row>
      <xdr:rowOff>0</xdr:rowOff>
    </xdr:from>
    <xdr:to>
      <xdr:col>3</xdr:col>
      <xdr:colOff>171450</xdr:colOff>
      <xdr:row>49</xdr:row>
      <xdr:rowOff>85725</xdr:rowOff>
    </xdr:to>
    <xdr:sp macro="" textlink="">
      <xdr:nvSpPr>
        <xdr:cNvPr id="395719" name="Line 61"/>
        <xdr:cNvSpPr>
          <a:spLocks noChangeShapeType="1"/>
        </xdr:cNvSpPr>
      </xdr:nvSpPr>
      <xdr:spPr bwMode="auto">
        <a:xfrm>
          <a:off x="2000250" y="13335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409575</xdr:colOff>
      <xdr:row>48</xdr:row>
      <xdr:rowOff>142875</xdr:rowOff>
    </xdr:from>
    <xdr:to>
      <xdr:col>5</xdr:col>
      <xdr:colOff>409575</xdr:colOff>
      <xdr:row>49</xdr:row>
      <xdr:rowOff>66675</xdr:rowOff>
    </xdr:to>
    <xdr:sp macro="" textlink="">
      <xdr:nvSpPr>
        <xdr:cNvPr id="395720" name="Line 62"/>
        <xdr:cNvSpPr>
          <a:spLocks noChangeShapeType="1"/>
        </xdr:cNvSpPr>
      </xdr:nvSpPr>
      <xdr:spPr bwMode="auto">
        <a:xfrm>
          <a:off x="3457575" y="13144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49</xdr:row>
      <xdr:rowOff>38100</xdr:rowOff>
    </xdr:from>
    <xdr:to>
      <xdr:col>5</xdr:col>
      <xdr:colOff>0</xdr:colOff>
      <xdr:row>49</xdr:row>
      <xdr:rowOff>38100</xdr:rowOff>
    </xdr:to>
    <xdr:sp macro="" textlink="">
      <xdr:nvSpPr>
        <xdr:cNvPr id="395721" name="Line 63"/>
        <xdr:cNvSpPr>
          <a:spLocks noChangeShapeType="1"/>
        </xdr:cNvSpPr>
      </xdr:nvSpPr>
      <xdr:spPr bwMode="auto">
        <a:xfrm>
          <a:off x="2438400" y="1371600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50</xdr:row>
      <xdr:rowOff>0</xdr:rowOff>
    </xdr:from>
    <xdr:to>
      <xdr:col>6</xdr:col>
      <xdr:colOff>0</xdr:colOff>
      <xdr:row>51</xdr:row>
      <xdr:rowOff>152400</xdr:rowOff>
    </xdr:to>
    <xdr:sp macro="" textlink="">
      <xdr:nvSpPr>
        <xdr:cNvPr id="395722" name="Line 64"/>
        <xdr:cNvSpPr>
          <a:spLocks noChangeShapeType="1"/>
        </xdr:cNvSpPr>
      </xdr:nvSpPr>
      <xdr:spPr bwMode="auto">
        <a:xfrm>
          <a:off x="3657600" y="1495425"/>
          <a:ext cx="0" cy="3143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581025</xdr:colOff>
      <xdr:row>50</xdr:row>
      <xdr:rowOff>0</xdr:rowOff>
    </xdr:from>
    <xdr:to>
      <xdr:col>6</xdr:col>
      <xdr:colOff>38100</xdr:colOff>
      <xdr:row>50</xdr:row>
      <xdr:rowOff>0</xdr:rowOff>
    </xdr:to>
    <xdr:sp macro="" textlink="">
      <xdr:nvSpPr>
        <xdr:cNvPr id="395723" name="Line 65"/>
        <xdr:cNvSpPr>
          <a:spLocks noChangeShapeType="1"/>
        </xdr:cNvSpPr>
      </xdr:nvSpPr>
      <xdr:spPr bwMode="auto">
        <a:xfrm>
          <a:off x="3629025" y="149542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49</xdr:row>
      <xdr:rowOff>152400</xdr:rowOff>
    </xdr:from>
    <xdr:to>
      <xdr:col>4</xdr:col>
      <xdr:colOff>447675</xdr:colOff>
      <xdr:row>50</xdr:row>
      <xdr:rowOff>47625</xdr:rowOff>
    </xdr:to>
    <xdr:sp macro="" textlink="">
      <xdr:nvSpPr>
        <xdr:cNvPr id="395724" name="Line 66"/>
        <xdr:cNvSpPr>
          <a:spLocks noChangeShapeType="1"/>
        </xdr:cNvSpPr>
      </xdr:nvSpPr>
      <xdr:spPr bwMode="auto">
        <a:xfrm flipH="1">
          <a:off x="2790825" y="14859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49</xdr:row>
      <xdr:rowOff>152400</xdr:rowOff>
    </xdr:from>
    <xdr:to>
      <xdr:col>4</xdr:col>
      <xdr:colOff>466725</xdr:colOff>
      <xdr:row>50</xdr:row>
      <xdr:rowOff>47625</xdr:rowOff>
    </xdr:to>
    <xdr:sp macro="" textlink="">
      <xdr:nvSpPr>
        <xdr:cNvPr id="395725" name="Line 67"/>
        <xdr:cNvSpPr>
          <a:spLocks noChangeShapeType="1"/>
        </xdr:cNvSpPr>
      </xdr:nvSpPr>
      <xdr:spPr bwMode="auto">
        <a:xfrm>
          <a:off x="2876550" y="14859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49</xdr:row>
      <xdr:rowOff>152400</xdr:rowOff>
    </xdr:from>
    <xdr:to>
      <xdr:col>4</xdr:col>
      <xdr:colOff>514350</xdr:colOff>
      <xdr:row>50</xdr:row>
      <xdr:rowOff>38100</xdr:rowOff>
    </xdr:to>
    <xdr:sp macro="" textlink="">
      <xdr:nvSpPr>
        <xdr:cNvPr id="395726" name="Line 68"/>
        <xdr:cNvSpPr>
          <a:spLocks noChangeShapeType="1"/>
        </xdr:cNvSpPr>
      </xdr:nvSpPr>
      <xdr:spPr bwMode="auto">
        <a:xfrm flipV="1">
          <a:off x="2857500" y="14859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49</xdr:row>
      <xdr:rowOff>152400</xdr:rowOff>
    </xdr:from>
    <xdr:to>
      <xdr:col>4</xdr:col>
      <xdr:colOff>542925</xdr:colOff>
      <xdr:row>50</xdr:row>
      <xdr:rowOff>57150</xdr:rowOff>
    </xdr:to>
    <xdr:sp macro="" textlink="">
      <xdr:nvSpPr>
        <xdr:cNvPr id="395727" name="Line 69"/>
        <xdr:cNvSpPr>
          <a:spLocks noChangeShapeType="1"/>
        </xdr:cNvSpPr>
      </xdr:nvSpPr>
      <xdr:spPr bwMode="auto">
        <a:xfrm>
          <a:off x="2933700" y="14859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49</xdr:row>
      <xdr:rowOff>152400</xdr:rowOff>
    </xdr:from>
    <xdr:to>
      <xdr:col>4</xdr:col>
      <xdr:colOff>447675</xdr:colOff>
      <xdr:row>50</xdr:row>
      <xdr:rowOff>47625</xdr:rowOff>
    </xdr:to>
    <xdr:sp macro="" textlink="">
      <xdr:nvSpPr>
        <xdr:cNvPr id="395728" name="Line 70"/>
        <xdr:cNvSpPr>
          <a:spLocks noChangeShapeType="1"/>
        </xdr:cNvSpPr>
      </xdr:nvSpPr>
      <xdr:spPr bwMode="auto">
        <a:xfrm flipH="1">
          <a:off x="2790825" y="14859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49</xdr:row>
      <xdr:rowOff>152400</xdr:rowOff>
    </xdr:from>
    <xdr:to>
      <xdr:col>4</xdr:col>
      <xdr:colOff>466725</xdr:colOff>
      <xdr:row>50</xdr:row>
      <xdr:rowOff>47625</xdr:rowOff>
    </xdr:to>
    <xdr:sp macro="" textlink="">
      <xdr:nvSpPr>
        <xdr:cNvPr id="395729" name="Line 71"/>
        <xdr:cNvSpPr>
          <a:spLocks noChangeShapeType="1"/>
        </xdr:cNvSpPr>
      </xdr:nvSpPr>
      <xdr:spPr bwMode="auto">
        <a:xfrm>
          <a:off x="2876550" y="14859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49</xdr:row>
      <xdr:rowOff>152400</xdr:rowOff>
    </xdr:from>
    <xdr:to>
      <xdr:col>4</xdr:col>
      <xdr:colOff>514350</xdr:colOff>
      <xdr:row>50</xdr:row>
      <xdr:rowOff>38100</xdr:rowOff>
    </xdr:to>
    <xdr:sp macro="" textlink="">
      <xdr:nvSpPr>
        <xdr:cNvPr id="395730" name="Line 72"/>
        <xdr:cNvSpPr>
          <a:spLocks noChangeShapeType="1"/>
        </xdr:cNvSpPr>
      </xdr:nvSpPr>
      <xdr:spPr bwMode="auto">
        <a:xfrm flipV="1">
          <a:off x="2857500" y="14859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49</xdr:row>
      <xdr:rowOff>152400</xdr:rowOff>
    </xdr:from>
    <xdr:to>
      <xdr:col>4</xdr:col>
      <xdr:colOff>542925</xdr:colOff>
      <xdr:row>50</xdr:row>
      <xdr:rowOff>57150</xdr:rowOff>
    </xdr:to>
    <xdr:sp macro="" textlink="">
      <xdr:nvSpPr>
        <xdr:cNvPr id="395731" name="Line 73"/>
        <xdr:cNvSpPr>
          <a:spLocks noChangeShapeType="1"/>
        </xdr:cNvSpPr>
      </xdr:nvSpPr>
      <xdr:spPr bwMode="auto">
        <a:xfrm>
          <a:off x="2933700" y="14859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45</xdr:row>
      <xdr:rowOff>19050</xdr:rowOff>
    </xdr:from>
    <xdr:to>
      <xdr:col>3</xdr:col>
      <xdr:colOff>0</xdr:colOff>
      <xdr:row>45</xdr:row>
      <xdr:rowOff>123825</xdr:rowOff>
    </xdr:to>
    <xdr:sp macro="" textlink="">
      <xdr:nvSpPr>
        <xdr:cNvPr id="395732" name="Line 74"/>
        <xdr:cNvSpPr>
          <a:spLocks noChangeShapeType="1"/>
        </xdr:cNvSpPr>
      </xdr:nvSpPr>
      <xdr:spPr bwMode="auto">
        <a:xfrm>
          <a:off x="1828800" y="7048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95250</xdr:colOff>
      <xdr:row>45</xdr:row>
      <xdr:rowOff>9525</xdr:rowOff>
    </xdr:from>
    <xdr:to>
      <xdr:col>3</xdr:col>
      <xdr:colOff>95250</xdr:colOff>
      <xdr:row>45</xdr:row>
      <xdr:rowOff>152400</xdr:rowOff>
    </xdr:to>
    <xdr:sp macro="" textlink="">
      <xdr:nvSpPr>
        <xdr:cNvPr id="395733" name="Line 75"/>
        <xdr:cNvSpPr>
          <a:spLocks noChangeShapeType="1"/>
        </xdr:cNvSpPr>
      </xdr:nvSpPr>
      <xdr:spPr bwMode="auto">
        <a:xfrm>
          <a:off x="1924050" y="6953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45</xdr:row>
      <xdr:rowOff>9525</xdr:rowOff>
    </xdr:from>
    <xdr:to>
      <xdr:col>6</xdr:col>
      <xdr:colOff>0</xdr:colOff>
      <xdr:row>45</xdr:row>
      <xdr:rowOff>123825</xdr:rowOff>
    </xdr:to>
    <xdr:sp macro="" textlink="">
      <xdr:nvSpPr>
        <xdr:cNvPr id="395734" name="Line 76"/>
        <xdr:cNvSpPr>
          <a:spLocks noChangeShapeType="1"/>
        </xdr:cNvSpPr>
      </xdr:nvSpPr>
      <xdr:spPr bwMode="auto">
        <a:xfrm>
          <a:off x="3657600" y="6953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45</xdr:row>
      <xdr:rowOff>0</xdr:rowOff>
    </xdr:from>
    <xdr:to>
      <xdr:col>5</xdr:col>
      <xdr:colOff>495300</xdr:colOff>
      <xdr:row>45</xdr:row>
      <xdr:rowOff>104775</xdr:rowOff>
    </xdr:to>
    <xdr:sp macro="" textlink="">
      <xdr:nvSpPr>
        <xdr:cNvPr id="395735" name="Line 77"/>
        <xdr:cNvSpPr>
          <a:spLocks noChangeShapeType="1"/>
        </xdr:cNvSpPr>
      </xdr:nvSpPr>
      <xdr:spPr bwMode="auto">
        <a:xfrm>
          <a:off x="3543300" y="6858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438150</xdr:colOff>
      <xdr:row>45</xdr:row>
      <xdr:rowOff>66675</xdr:rowOff>
    </xdr:from>
    <xdr:to>
      <xdr:col>2</xdr:col>
      <xdr:colOff>600075</xdr:colOff>
      <xdr:row>45</xdr:row>
      <xdr:rowOff>66675</xdr:rowOff>
    </xdr:to>
    <xdr:sp macro="" textlink="">
      <xdr:nvSpPr>
        <xdr:cNvPr id="395736" name="Line 78"/>
        <xdr:cNvSpPr>
          <a:spLocks noChangeShapeType="1"/>
        </xdr:cNvSpPr>
      </xdr:nvSpPr>
      <xdr:spPr bwMode="auto">
        <a:xfrm>
          <a:off x="1657350" y="7524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95250</xdr:colOff>
      <xdr:row>45</xdr:row>
      <xdr:rowOff>66675</xdr:rowOff>
    </xdr:from>
    <xdr:to>
      <xdr:col>3</xdr:col>
      <xdr:colOff>209550</xdr:colOff>
      <xdr:row>45</xdr:row>
      <xdr:rowOff>76200</xdr:rowOff>
    </xdr:to>
    <xdr:sp macro="" textlink="">
      <xdr:nvSpPr>
        <xdr:cNvPr id="395737" name="Line 79"/>
        <xdr:cNvSpPr>
          <a:spLocks noChangeShapeType="1"/>
        </xdr:cNvSpPr>
      </xdr:nvSpPr>
      <xdr:spPr bwMode="auto">
        <a:xfrm flipH="1" flipV="1">
          <a:off x="1924050" y="752475"/>
          <a:ext cx="1143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390525</xdr:colOff>
      <xdr:row>45</xdr:row>
      <xdr:rowOff>47625</xdr:rowOff>
    </xdr:from>
    <xdr:to>
      <xdr:col>5</xdr:col>
      <xdr:colOff>495300</xdr:colOff>
      <xdr:row>45</xdr:row>
      <xdr:rowOff>57150</xdr:rowOff>
    </xdr:to>
    <xdr:sp macro="" textlink="">
      <xdr:nvSpPr>
        <xdr:cNvPr id="395738" name="Line 80"/>
        <xdr:cNvSpPr>
          <a:spLocks noChangeShapeType="1"/>
        </xdr:cNvSpPr>
      </xdr:nvSpPr>
      <xdr:spPr bwMode="auto">
        <a:xfrm>
          <a:off x="3438525" y="733425"/>
          <a:ext cx="1047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9525</xdr:colOff>
      <xdr:row>45</xdr:row>
      <xdr:rowOff>57150</xdr:rowOff>
    </xdr:from>
    <xdr:to>
      <xdr:col>6</xdr:col>
      <xdr:colOff>161925</xdr:colOff>
      <xdr:row>45</xdr:row>
      <xdr:rowOff>57150</xdr:rowOff>
    </xdr:to>
    <xdr:sp macro="" textlink="">
      <xdr:nvSpPr>
        <xdr:cNvPr id="395739" name="Line 81"/>
        <xdr:cNvSpPr>
          <a:spLocks noChangeShapeType="1"/>
        </xdr:cNvSpPr>
      </xdr:nvSpPr>
      <xdr:spPr bwMode="auto">
        <a:xfrm flipH="1">
          <a:off x="3667125" y="7429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600075</xdr:colOff>
      <xdr:row>52</xdr:row>
      <xdr:rowOff>0</xdr:rowOff>
    </xdr:from>
    <xdr:to>
      <xdr:col>3</xdr:col>
      <xdr:colOff>104775</xdr:colOff>
      <xdr:row>52</xdr:row>
      <xdr:rowOff>0</xdr:rowOff>
    </xdr:to>
    <xdr:sp macro="" textlink="">
      <xdr:nvSpPr>
        <xdr:cNvPr id="395741" name="Line 83"/>
        <xdr:cNvSpPr>
          <a:spLocks noChangeShapeType="1"/>
        </xdr:cNvSpPr>
      </xdr:nvSpPr>
      <xdr:spPr bwMode="auto">
        <a:xfrm>
          <a:off x="1819275" y="1819275"/>
          <a:ext cx="1143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52</xdr:row>
      <xdr:rowOff>9525</xdr:rowOff>
    </xdr:from>
    <xdr:to>
      <xdr:col>5</xdr:col>
      <xdr:colOff>600075</xdr:colOff>
      <xdr:row>52</xdr:row>
      <xdr:rowOff>9525</xdr:rowOff>
    </xdr:to>
    <xdr:sp macro="" textlink="">
      <xdr:nvSpPr>
        <xdr:cNvPr id="395742" name="Line 84"/>
        <xdr:cNvSpPr>
          <a:spLocks noChangeShapeType="1"/>
        </xdr:cNvSpPr>
      </xdr:nvSpPr>
      <xdr:spPr bwMode="auto">
        <a:xfrm>
          <a:off x="3533775" y="1828800"/>
          <a:ext cx="1143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49</xdr:row>
      <xdr:rowOff>152400</xdr:rowOff>
    </xdr:from>
    <xdr:to>
      <xdr:col>4</xdr:col>
      <xdr:colOff>314325</xdr:colOff>
      <xdr:row>50</xdr:row>
      <xdr:rowOff>47625</xdr:rowOff>
    </xdr:to>
    <xdr:sp macro="" textlink="">
      <xdr:nvSpPr>
        <xdr:cNvPr id="395743" name="Line 85"/>
        <xdr:cNvSpPr>
          <a:spLocks noChangeShapeType="1"/>
        </xdr:cNvSpPr>
      </xdr:nvSpPr>
      <xdr:spPr bwMode="auto">
        <a:xfrm flipH="1">
          <a:off x="2667000" y="1485900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49</xdr:row>
      <xdr:rowOff>152400</xdr:rowOff>
    </xdr:from>
    <xdr:to>
      <xdr:col>4</xdr:col>
      <xdr:colOff>390525</xdr:colOff>
      <xdr:row>50</xdr:row>
      <xdr:rowOff>66675</xdr:rowOff>
    </xdr:to>
    <xdr:sp macro="" textlink="">
      <xdr:nvSpPr>
        <xdr:cNvPr id="395744" name="Line 86"/>
        <xdr:cNvSpPr>
          <a:spLocks noChangeShapeType="1"/>
        </xdr:cNvSpPr>
      </xdr:nvSpPr>
      <xdr:spPr bwMode="auto">
        <a:xfrm>
          <a:off x="2762250" y="1485900"/>
          <a:ext cx="666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49</xdr:row>
      <xdr:rowOff>152400</xdr:rowOff>
    </xdr:from>
    <xdr:to>
      <xdr:col>4</xdr:col>
      <xdr:colOff>371475</xdr:colOff>
      <xdr:row>50</xdr:row>
      <xdr:rowOff>38100</xdr:rowOff>
    </xdr:to>
    <xdr:sp macro="" textlink="">
      <xdr:nvSpPr>
        <xdr:cNvPr id="395745" name="Line 87"/>
        <xdr:cNvSpPr>
          <a:spLocks noChangeShapeType="1"/>
        </xdr:cNvSpPr>
      </xdr:nvSpPr>
      <xdr:spPr bwMode="auto">
        <a:xfrm flipH="1">
          <a:off x="2724150" y="14859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49</xdr:row>
      <xdr:rowOff>152400</xdr:rowOff>
    </xdr:from>
    <xdr:to>
      <xdr:col>4</xdr:col>
      <xdr:colOff>438150</xdr:colOff>
      <xdr:row>50</xdr:row>
      <xdr:rowOff>57150</xdr:rowOff>
    </xdr:to>
    <xdr:sp macro="" textlink="">
      <xdr:nvSpPr>
        <xdr:cNvPr id="395746" name="Line 88"/>
        <xdr:cNvSpPr>
          <a:spLocks noChangeShapeType="1"/>
        </xdr:cNvSpPr>
      </xdr:nvSpPr>
      <xdr:spPr bwMode="auto">
        <a:xfrm>
          <a:off x="2809875" y="1485900"/>
          <a:ext cx="666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49</xdr:row>
      <xdr:rowOff>152400</xdr:rowOff>
    </xdr:from>
    <xdr:to>
      <xdr:col>4</xdr:col>
      <xdr:colOff>314325</xdr:colOff>
      <xdr:row>50</xdr:row>
      <xdr:rowOff>47625</xdr:rowOff>
    </xdr:to>
    <xdr:sp macro="" textlink="">
      <xdr:nvSpPr>
        <xdr:cNvPr id="395747" name="Line 89"/>
        <xdr:cNvSpPr>
          <a:spLocks noChangeShapeType="1"/>
        </xdr:cNvSpPr>
      </xdr:nvSpPr>
      <xdr:spPr bwMode="auto">
        <a:xfrm flipH="1">
          <a:off x="2667000" y="1485900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49</xdr:row>
      <xdr:rowOff>152400</xdr:rowOff>
    </xdr:from>
    <xdr:to>
      <xdr:col>4</xdr:col>
      <xdr:colOff>390525</xdr:colOff>
      <xdr:row>50</xdr:row>
      <xdr:rowOff>66675</xdr:rowOff>
    </xdr:to>
    <xdr:sp macro="" textlink="">
      <xdr:nvSpPr>
        <xdr:cNvPr id="395748" name="Line 90"/>
        <xdr:cNvSpPr>
          <a:spLocks noChangeShapeType="1"/>
        </xdr:cNvSpPr>
      </xdr:nvSpPr>
      <xdr:spPr bwMode="auto">
        <a:xfrm>
          <a:off x="2762250" y="1485900"/>
          <a:ext cx="666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49</xdr:row>
      <xdr:rowOff>152400</xdr:rowOff>
    </xdr:from>
    <xdr:to>
      <xdr:col>4</xdr:col>
      <xdr:colOff>371475</xdr:colOff>
      <xdr:row>50</xdr:row>
      <xdr:rowOff>38100</xdr:rowOff>
    </xdr:to>
    <xdr:sp macro="" textlink="">
      <xdr:nvSpPr>
        <xdr:cNvPr id="395749" name="Line 91"/>
        <xdr:cNvSpPr>
          <a:spLocks noChangeShapeType="1"/>
        </xdr:cNvSpPr>
      </xdr:nvSpPr>
      <xdr:spPr bwMode="auto">
        <a:xfrm flipH="1">
          <a:off x="2724150" y="14859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49</xdr:row>
      <xdr:rowOff>152400</xdr:rowOff>
    </xdr:from>
    <xdr:to>
      <xdr:col>4</xdr:col>
      <xdr:colOff>438150</xdr:colOff>
      <xdr:row>50</xdr:row>
      <xdr:rowOff>57150</xdr:rowOff>
    </xdr:to>
    <xdr:sp macro="" textlink="">
      <xdr:nvSpPr>
        <xdr:cNvPr id="395750" name="Line 92"/>
        <xdr:cNvSpPr>
          <a:spLocks noChangeShapeType="1"/>
        </xdr:cNvSpPr>
      </xdr:nvSpPr>
      <xdr:spPr bwMode="auto">
        <a:xfrm>
          <a:off x="2809875" y="1485900"/>
          <a:ext cx="666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49</xdr:row>
      <xdr:rowOff>152400</xdr:rowOff>
    </xdr:from>
    <xdr:to>
      <xdr:col>4</xdr:col>
      <xdr:colOff>314325</xdr:colOff>
      <xdr:row>50</xdr:row>
      <xdr:rowOff>47625</xdr:rowOff>
    </xdr:to>
    <xdr:sp macro="" textlink="">
      <xdr:nvSpPr>
        <xdr:cNvPr id="395751" name="Line 93"/>
        <xdr:cNvSpPr>
          <a:spLocks noChangeShapeType="1"/>
        </xdr:cNvSpPr>
      </xdr:nvSpPr>
      <xdr:spPr bwMode="auto">
        <a:xfrm flipH="1">
          <a:off x="2667000" y="1485900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49</xdr:row>
      <xdr:rowOff>152400</xdr:rowOff>
    </xdr:from>
    <xdr:to>
      <xdr:col>4</xdr:col>
      <xdr:colOff>390525</xdr:colOff>
      <xdr:row>50</xdr:row>
      <xdr:rowOff>66675</xdr:rowOff>
    </xdr:to>
    <xdr:sp macro="" textlink="">
      <xdr:nvSpPr>
        <xdr:cNvPr id="395752" name="Line 94"/>
        <xdr:cNvSpPr>
          <a:spLocks noChangeShapeType="1"/>
        </xdr:cNvSpPr>
      </xdr:nvSpPr>
      <xdr:spPr bwMode="auto">
        <a:xfrm>
          <a:off x="2762250" y="1485900"/>
          <a:ext cx="666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49</xdr:row>
      <xdr:rowOff>152400</xdr:rowOff>
    </xdr:from>
    <xdr:to>
      <xdr:col>4</xdr:col>
      <xdr:colOff>371475</xdr:colOff>
      <xdr:row>50</xdr:row>
      <xdr:rowOff>38100</xdr:rowOff>
    </xdr:to>
    <xdr:sp macro="" textlink="">
      <xdr:nvSpPr>
        <xdr:cNvPr id="395753" name="Line 95"/>
        <xdr:cNvSpPr>
          <a:spLocks noChangeShapeType="1"/>
        </xdr:cNvSpPr>
      </xdr:nvSpPr>
      <xdr:spPr bwMode="auto">
        <a:xfrm flipH="1">
          <a:off x="2724150" y="14859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49</xdr:row>
      <xdr:rowOff>152400</xdr:rowOff>
    </xdr:from>
    <xdr:to>
      <xdr:col>4</xdr:col>
      <xdr:colOff>438150</xdr:colOff>
      <xdr:row>50</xdr:row>
      <xdr:rowOff>57150</xdr:rowOff>
    </xdr:to>
    <xdr:sp macro="" textlink="">
      <xdr:nvSpPr>
        <xdr:cNvPr id="395754" name="Line 96"/>
        <xdr:cNvSpPr>
          <a:spLocks noChangeShapeType="1"/>
        </xdr:cNvSpPr>
      </xdr:nvSpPr>
      <xdr:spPr bwMode="auto">
        <a:xfrm>
          <a:off x="2809875" y="1485900"/>
          <a:ext cx="666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49</xdr:row>
      <xdr:rowOff>152400</xdr:rowOff>
    </xdr:from>
    <xdr:to>
      <xdr:col>4</xdr:col>
      <xdr:colOff>314325</xdr:colOff>
      <xdr:row>50</xdr:row>
      <xdr:rowOff>47625</xdr:rowOff>
    </xdr:to>
    <xdr:sp macro="" textlink="">
      <xdr:nvSpPr>
        <xdr:cNvPr id="395755" name="Line 97"/>
        <xdr:cNvSpPr>
          <a:spLocks noChangeShapeType="1"/>
        </xdr:cNvSpPr>
      </xdr:nvSpPr>
      <xdr:spPr bwMode="auto">
        <a:xfrm flipH="1">
          <a:off x="2667000" y="1485900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49</xdr:row>
      <xdr:rowOff>152400</xdr:rowOff>
    </xdr:from>
    <xdr:to>
      <xdr:col>4</xdr:col>
      <xdr:colOff>390525</xdr:colOff>
      <xdr:row>50</xdr:row>
      <xdr:rowOff>66675</xdr:rowOff>
    </xdr:to>
    <xdr:sp macro="" textlink="">
      <xdr:nvSpPr>
        <xdr:cNvPr id="395756" name="Line 98"/>
        <xdr:cNvSpPr>
          <a:spLocks noChangeShapeType="1"/>
        </xdr:cNvSpPr>
      </xdr:nvSpPr>
      <xdr:spPr bwMode="auto">
        <a:xfrm>
          <a:off x="2762250" y="1485900"/>
          <a:ext cx="666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49</xdr:row>
      <xdr:rowOff>152400</xdr:rowOff>
    </xdr:from>
    <xdr:to>
      <xdr:col>4</xdr:col>
      <xdr:colOff>371475</xdr:colOff>
      <xdr:row>50</xdr:row>
      <xdr:rowOff>38100</xdr:rowOff>
    </xdr:to>
    <xdr:sp macro="" textlink="">
      <xdr:nvSpPr>
        <xdr:cNvPr id="395757" name="Line 99"/>
        <xdr:cNvSpPr>
          <a:spLocks noChangeShapeType="1"/>
        </xdr:cNvSpPr>
      </xdr:nvSpPr>
      <xdr:spPr bwMode="auto">
        <a:xfrm flipH="1">
          <a:off x="2724150" y="14859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49</xdr:row>
      <xdr:rowOff>152400</xdr:rowOff>
    </xdr:from>
    <xdr:to>
      <xdr:col>4</xdr:col>
      <xdr:colOff>438150</xdr:colOff>
      <xdr:row>50</xdr:row>
      <xdr:rowOff>57150</xdr:rowOff>
    </xdr:to>
    <xdr:sp macro="" textlink="">
      <xdr:nvSpPr>
        <xdr:cNvPr id="395758" name="Line 100"/>
        <xdr:cNvSpPr>
          <a:spLocks noChangeShapeType="1"/>
        </xdr:cNvSpPr>
      </xdr:nvSpPr>
      <xdr:spPr bwMode="auto">
        <a:xfrm>
          <a:off x="2809875" y="1485900"/>
          <a:ext cx="666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333375</xdr:colOff>
      <xdr:row>52</xdr:row>
      <xdr:rowOff>0</xdr:rowOff>
    </xdr:from>
    <xdr:to>
      <xdr:col>4</xdr:col>
      <xdr:colOff>247650</xdr:colOff>
      <xdr:row>52</xdr:row>
      <xdr:rowOff>0</xdr:rowOff>
    </xdr:to>
    <xdr:sp macro="" textlink="">
      <xdr:nvSpPr>
        <xdr:cNvPr id="395759" name="Line 101"/>
        <xdr:cNvSpPr>
          <a:spLocks noChangeShapeType="1"/>
        </xdr:cNvSpPr>
      </xdr:nvSpPr>
      <xdr:spPr bwMode="auto">
        <a:xfrm>
          <a:off x="2162175" y="1819275"/>
          <a:ext cx="523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51</xdr:row>
      <xdr:rowOff>152400</xdr:rowOff>
    </xdr:from>
    <xdr:to>
      <xdr:col>3</xdr:col>
      <xdr:colOff>209550</xdr:colOff>
      <xdr:row>52</xdr:row>
      <xdr:rowOff>0</xdr:rowOff>
    </xdr:to>
    <xdr:sp macro="" textlink="">
      <xdr:nvSpPr>
        <xdr:cNvPr id="395760" name="Line 102"/>
        <xdr:cNvSpPr>
          <a:spLocks noChangeShapeType="1"/>
        </xdr:cNvSpPr>
      </xdr:nvSpPr>
      <xdr:spPr bwMode="auto">
        <a:xfrm flipV="1">
          <a:off x="1933575" y="1809750"/>
          <a:ext cx="1047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409575</xdr:colOff>
      <xdr:row>52</xdr:row>
      <xdr:rowOff>9525</xdr:rowOff>
    </xdr:from>
    <xdr:to>
      <xdr:col>5</xdr:col>
      <xdr:colOff>485775</xdr:colOff>
      <xdr:row>52</xdr:row>
      <xdr:rowOff>9525</xdr:rowOff>
    </xdr:to>
    <xdr:sp macro="" textlink="">
      <xdr:nvSpPr>
        <xdr:cNvPr id="395761" name="Line 103"/>
        <xdr:cNvSpPr>
          <a:spLocks noChangeShapeType="1"/>
        </xdr:cNvSpPr>
      </xdr:nvSpPr>
      <xdr:spPr bwMode="auto">
        <a:xfrm>
          <a:off x="3457575" y="1828800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171450</xdr:colOff>
      <xdr:row>49</xdr:row>
      <xdr:rowOff>28575</xdr:rowOff>
    </xdr:from>
    <xdr:to>
      <xdr:col>4</xdr:col>
      <xdr:colOff>9525</xdr:colOff>
      <xdr:row>49</xdr:row>
      <xdr:rowOff>28575</xdr:rowOff>
    </xdr:to>
    <xdr:sp macro="" textlink="">
      <xdr:nvSpPr>
        <xdr:cNvPr id="395762" name="Line 104"/>
        <xdr:cNvSpPr>
          <a:spLocks noChangeShapeType="1"/>
        </xdr:cNvSpPr>
      </xdr:nvSpPr>
      <xdr:spPr bwMode="auto">
        <a:xfrm>
          <a:off x="2000250" y="1362075"/>
          <a:ext cx="447675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5</xdr:col>
      <xdr:colOff>0</xdr:colOff>
      <xdr:row>49</xdr:row>
      <xdr:rowOff>28575</xdr:rowOff>
    </xdr:from>
    <xdr:to>
      <xdr:col>5</xdr:col>
      <xdr:colOff>409575</xdr:colOff>
      <xdr:row>49</xdr:row>
      <xdr:rowOff>28575</xdr:rowOff>
    </xdr:to>
    <xdr:sp macro="" textlink="">
      <xdr:nvSpPr>
        <xdr:cNvPr id="395763" name="Line 105"/>
        <xdr:cNvSpPr>
          <a:spLocks noChangeShapeType="1"/>
        </xdr:cNvSpPr>
      </xdr:nvSpPr>
      <xdr:spPr bwMode="auto">
        <a:xfrm>
          <a:off x="3048000" y="1362075"/>
          <a:ext cx="409575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 editAs="oneCell">
    <xdr:from>
      <xdr:col>4</xdr:col>
      <xdr:colOff>581025</xdr:colOff>
      <xdr:row>72</xdr:row>
      <xdr:rowOff>114300</xdr:rowOff>
    </xdr:from>
    <xdr:to>
      <xdr:col>5</xdr:col>
      <xdr:colOff>47625</xdr:colOff>
      <xdr:row>73</xdr:row>
      <xdr:rowOff>152400</xdr:rowOff>
    </xdr:to>
    <xdr:sp macro="" textlink="">
      <xdr:nvSpPr>
        <xdr:cNvPr id="395764" name="Text Box 106"/>
        <xdr:cNvSpPr txBox="1">
          <a:spLocks noChangeArrowheads="1"/>
        </xdr:cNvSpPr>
      </xdr:nvSpPr>
      <xdr:spPr bwMode="auto">
        <a:xfrm>
          <a:off x="2409825" y="79914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</xdr:col>
      <xdr:colOff>400050</xdr:colOff>
      <xdr:row>72</xdr:row>
      <xdr:rowOff>152400</xdr:rowOff>
    </xdr:from>
    <xdr:to>
      <xdr:col>3</xdr:col>
      <xdr:colOff>476250</xdr:colOff>
      <xdr:row>74</xdr:row>
      <xdr:rowOff>28575</xdr:rowOff>
    </xdr:to>
    <xdr:sp macro="" textlink="">
      <xdr:nvSpPr>
        <xdr:cNvPr id="395765" name="Text Box 107"/>
        <xdr:cNvSpPr txBox="1">
          <a:spLocks noChangeArrowheads="1"/>
        </xdr:cNvSpPr>
      </xdr:nvSpPr>
      <xdr:spPr bwMode="auto">
        <a:xfrm>
          <a:off x="2228850" y="80295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581025</xdr:colOff>
      <xdr:row>72</xdr:row>
      <xdr:rowOff>0</xdr:rowOff>
    </xdr:from>
    <xdr:to>
      <xdr:col>1</xdr:col>
      <xdr:colOff>581025</xdr:colOff>
      <xdr:row>73</xdr:row>
      <xdr:rowOff>152400</xdr:rowOff>
    </xdr:to>
    <xdr:sp macro="" textlink="">
      <xdr:nvSpPr>
        <xdr:cNvPr id="395767" name="Line 109"/>
        <xdr:cNvSpPr>
          <a:spLocks noChangeShapeType="1"/>
        </xdr:cNvSpPr>
      </xdr:nvSpPr>
      <xdr:spPr bwMode="auto">
        <a:xfrm>
          <a:off x="1190625" y="78771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</xdr:colOff>
      <xdr:row>72</xdr:row>
      <xdr:rowOff>0</xdr:rowOff>
    </xdr:from>
    <xdr:to>
      <xdr:col>2</xdr:col>
      <xdr:colOff>28575</xdr:colOff>
      <xdr:row>74</xdr:row>
      <xdr:rowOff>0</xdr:rowOff>
    </xdr:to>
    <xdr:sp macro="" textlink="">
      <xdr:nvSpPr>
        <xdr:cNvPr id="395768" name="Line 110"/>
        <xdr:cNvSpPr>
          <a:spLocks noChangeShapeType="1"/>
        </xdr:cNvSpPr>
      </xdr:nvSpPr>
      <xdr:spPr bwMode="auto">
        <a:xfrm>
          <a:off x="1247775" y="78771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590550</xdr:colOff>
      <xdr:row>72</xdr:row>
      <xdr:rowOff>0</xdr:rowOff>
    </xdr:from>
    <xdr:to>
      <xdr:col>2</xdr:col>
      <xdr:colOff>590550</xdr:colOff>
      <xdr:row>74</xdr:row>
      <xdr:rowOff>0</xdr:rowOff>
    </xdr:to>
    <xdr:sp macro="" textlink="">
      <xdr:nvSpPr>
        <xdr:cNvPr id="395769" name="Line 111"/>
        <xdr:cNvSpPr>
          <a:spLocks noChangeShapeType="1"/>
        </xdr:cNvSpPr>
      </xdr:nvSpPr>
      <xdr:spPr bwMode="auto">
        <a:xfrm>
          <a:off x="1809750" y="78771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72</xdr:row>
      <xdr:rowOff>0</xdr:rowOff>
    </xdr:from>
    <xdr:to>
      <xdr:col>3</xdr:col>
      <xdr:colOff>38100</xdr:colOff>
      <xdr:row>73</xdr:row>
      <xdr:rowOff>152400</xdr:rowOff>
    </xdr:to>
    <xdr:sp macro="" textlink="">
      <xdr:nvSpPr>
        <xdr:cNvPr id="395770" name="Line 112"/>
        <xdr:cNvSpPr>
          <a:spLocks noChangeShapeType="1"/>
        </xdr:cNvSpPr>
      </xdr:nvSpPr>
      <xdr:spPr bwMode="auto">
        <a:xfrm>
          <a:off x="1866900" y="78771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581025</xdr:colOff>
      <xdr:row>72</xdr:row>
      <xdr:rowOff>0</xdr:rowOff>
    </xdr:from>
    <xdr:to>
      <xdr:col>2</xdr:col>
      <xdr:colOff>38100</xdr:colOff>
      <xdr:row>72</xdr:row>
      <xdr:rowOff>9525</xdr:rowOff>
    </xdr:to>
    <xdr:sp macro="" textlink="">
      <xdr:nvSpPr>
        <xdr:cNvPr id="395771" name="Line 113"/>
        <xdr:cNvSpPr>
          <a:spLocks noChangeShapeType="1"/>
        </xdr:cNvSpPr>
      </xdr:nvSpPr>
      <xdr:spPr bwMode="auto">
        <a:xfrm>
          <a:off x="1190625" y="7877175"/>
          <a:ext cx="666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590550</xdr:colOff>
      <xdr:row>72</xdr:row>
      <xdr:rowOff>0</xdr:rowOff>
    </xdr:from>
    <xdr:to>
      <xdr:col>3</xdr:col>
      <xdr:colOff>47625</xdr:colOff>
      <xdr:row>72</xdr:row>
      <xdr:rowOff>0</xdr:rowOff>
    </xdr:to>
    <xdr:sp macro="" textlink="">
      <xdr:nvSpPr>
        <xdr:cNvPr id="395772" name="Line 114"/>
        <xdr:cNvSpPr>
          <a:spLocks noChangeShapeType="1"/>
        </xdr:cNvSpPr>
      </xdr:nvSpPr>
      <xdr:spPr bwMode="auto">
        <a:xfrm>
          <a:off x="1809750" y="787717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114300</xdr:colOff>
      <xdr:row>73</xdr:row>
      <xdr:rowOff>152400</xdr:rowOff>
    </xdr:from>
    <xdr:to>
      <xdr:col>2</xdr:col>
      <xdr:colOff>0</xdr:colOff>
      <xdr:row>77</xdr:row>
      <xdr:rowOff>19050</xdr:rowOff>
    </xdr:to>
    <xdr:sp macro="" textlink="">
      <xdr:nvSpPr>
        <xdr:cNvPr id="395773" name="Line 115"/>
        <xdr:cNvSpPr>
          <a:spLocks noChangeShapeType="1"/>
        </xdr:cNvSpPr>
      </xdr:nvSpPr>
      <xdr:spPr bwMode="auto">
        <a:xfrm flipH="1">
          <a:off x="723900" y="8191500"/>
          <a:ext cx="495300" cy="51435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</xdr:col>
      <xdr:colOff>0</xdr:colOff>
      <xdr:row>74</xdr:row>
      <xdr:rowOff>0</xdr:rowOff>
    </xdr:from>
    <xdr:to>
      <xdr:col>2</xdr:col>
      <xdr:colOff>457200</xdr:colOff>
      <xdr:row>77</xdr:row>
      <xdr:rowOff>9525</xdr:rowOff>
    </xdr:to>
    <xdr:sp macro="" textlink="">
      <xdr:nvSpPr>
        <xdr:cNvPr id="395774" name="Line 116"/>
        <xdr:cNvSpPr>
          <a:spLocks noChangeShapeType="1"/>
        </xdr:cNvSpPr>
      </xdr:nvSpPr>
      <xdr:spPr bwMode="auto">
        <a:xfrm>
          <a:off x="1219200" y="8201025"/>
          <a:ext cx="457200" cy="49530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</xdr:col>
      <xdr:colOff>142875</xdr:colOff>
      <xdr:row>73</xdr:row>
      <xdr:rowOff>152400</xdr:rowOff>
    </xdr:from>
    <xdr:to>
      <xdr:col>3</xdr:col>
      <xdr:colOff>9525</xdr:colOff>
      <xdr:row>77</xdr:row>
      <xdr:rowOff>0</xdr:rowOff>
    </xdr:to>
    <xdr:sp macro="" textlink="">
      <xdr:nvSpPr>
        <xdr:cNvPr id="395775" name="Line 117"/>
        <xdr:cNvSpPr>
          <a:spLocks noChangeShapeType="1"/>
        </xdr:cNvSpPr>
      </xdr:nvSpPr>
      <xdr:spPr bwMode="auto">
        <a:xfrm flipH="1">
          <a:off x="1362075" y="8191500"/>
          <a:ext cx="476250" cy="49530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0</xdr:colOff>
      <xdr:row>73</xdr:row>
      <xdr:rowOff>152400</xdr:rowOff>
    </xdr:from>
    <xdr:to>
      <xdr:col>3</xdr:col>
      <xdr:colOff>457200</xdr:colOff>
      <xdr:row>77</xdr:row>
      <xdr:rowOff>0</xdr:rowOff>
    </xdr:to>
    <xdr:sp macro="" textlink="">
      <xdr:nvSpPr>
        <xdr:cNvPr id="395776" name="Line 118"/>
        <xdr:cNvSpPr>
          <a:spLocks noChangeShapeType="1"/>
        </xdr:cNvSpPr>
      </xdr:nvSpPr>
      <xdr:spPr bwMode="auto">
        <a:xfrm>
          <a:off x="1828800" y="8191500"/>
          <a:ext cx="457200" cy="49530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133350</xdr:colOff>
      <xdr:row>72</xdr:row>
      <xdr:rowOff>123825</xdr:rowOff>
    </xdr:from>
    <xdr:to>
      <xdr:col>5</xdr:col>
      <xdr:colOff>133350</xdr:colOff>
      <xdr:row>75</xdr:row>
      <xdr:rowOff>0</xdr:rowOff>
    </xdr:to>
    <xdr:sp macro="" textlink="">
      <xdr:nvSpPr>
        <xdr:cNvPr id="395782" name="Line 124"/>
        <xdr:cNvSpPr>
          <a:spLocks noChangeShapeType="1"/>
        </xdr:cNvSpPr>
      </xdr:nvSpPr>
      <xdr:spPr bwMode="auto">
        <a:xfrm>
          <a:off x="2571750" y="8001000"/>
          <a:ext cx="0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</xdr:colOff>
      <xdr:row>75</xdr:row>
      <xdr:rowOff>0</xdr:rowOff>
    </xdr:from>
    <xdr:to>
      <xdr:col>5</xdr:col>
      <xdr:colOff>142875</xdr:colOff>
      <xdr:row>75</xdr:row>
      <xdr:rowOff>0</xdr:rowOff>
    </xdr:to>
    <xdr:sp macro="" textlink="">
      <xdr:nvSpPr>
        <xdr:cNvPr id="395783" name="Line 125"/>
        <xdr:cNvSpPr>
          <a:spLocks noChangeShapeType="1"/>
        </xdr:cNvSpPr>
      </xdr:nvSpPr>
      <xdr:spPr bwMode="auto">
        <a:xfrm flipH="1">
          <a:off x="2486025" y="83629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57150</xdr:colOff>
      <xdr:row>75</xdr:row>
      <xdr:rowOff>9525</xdr:rowOff>
    </xdr:from>
    <xdr:to>
      <xdr:col>5</xdr:col>
      <xdr:colOff>247650</xdr:colOff>
      <xdr:row>76</xdr:row>
      <xdr:rowOff>9525</xdr:rowOff>
    </xdr:to>
    <xdr:sp macro="" textlink="">
      <xdr:nvSpPr>
        <xdr:cNvPr id="395784" name="Line 126"/>
        <xdr:cNvSpPr>
          <a:spLocks noChangeShapeType="1"/>
        </xdr:cNvSpPr>
      </xdr:nvSpPr>
      <xdr:spPr bwMode="auto">
        <a:xfrm>
          <a:off x="2495550" y="8372475"/>
          <a:ext cx="1905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142875</xdr:colOff>
      <xdr:row>76</xdr:row>
      <xdr:rowOff>9525</xdr:rowOff>
    </xdr:from>
    <xdr:to>
      <xdr:col>5</xdr:col>
      <xdr:colOff>238125</xdr:colOff>
      <xdr:row>76</xdr:row>
      <xdr:rowOff>38100</xdr:rowOff>
    </xdr:to>
    <xdr:sp macro="" textlink="">
      <xdr:nvSpPr>
        <xdr:cNvPr id="395785" name="Line 127"/>
        <xdr:cNvSpPr>
          <a:spLocks noChangeShapeType="1"/>
        </xdr:cNvSpPr>
      </xdr:nvSpPr>
      <xdr:spPr bwMode="auto">
        <a:xfrm flipH="1">
          <a:off x="2581275" y="8534400"/>
          <a:ext cx="95250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133350</xdr:colOff>
      <xdr:row>76</xdr:row>
      <xdr:rowOff>47625</xdr:rowOff>
    </xdr:from>
    <xdr:to>
      <xdr:col>5</xdr:col>
      <xdr:colOff>142875</xdr:colOff>
      <xdr:row>78</xdr:row>
      <xdr:rowOff>123825</xdr:rowOff>
    </xdr:to>
    <xdr:sp macro="" textlink="">
      <xdr:nvSpPr>
        <xdr:cNvPr id="395786" name="Line 128"/>
        <xdr:cNvSpPr>
          <a:spLocks noChangeShapeType="1"/>
        </xdr:cNvSpPr>
      </xdr:nvSpPr>
      <xdr:spPr bwMode="auto">
        <a:xfrm flipH="1">
          <a:off x="2571750" y="8572500"/>
          <a:ext cx="9525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133350</xdr:colOff>
      <xdr:row>74</xdr:row>
      <xdr:rowOff>0</xdr:rowOff>
    </xdr:from>
    <xdr:to>
      <xdr:col>8</xdr:col>
      <xdr:colOff>200025</xdr:colOff>
      <xdr:row>74</xdr:row>
      <xdr:rowOff>0</xdr:rowOff>
    </xdr:to>
    <xdr:sp macro="" textlink="">
      <xdr:nvSpPr>
        <xdr:cNvPr id="395787" name="Line 129"/>
        <xdr:cNvSpPr>
          <a:spLocks noChangeShapeType="1"/>
        </xdr:cNvSpPr>
      </xdr:nvSpPr>
      <xdr:spPr bwMode="auto">
        <a:xfrm>
          <a:off x="2571750" y="8201025"/>
          <a:ext cx="1895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73</xdr:row>
      <xdr:rowOff>66675</xdr:rowOff>
    </xdr:from>
    <xdr:to>
      <xdr:col>7</xdr:col>
      <xdr:colOff>28575</xdr:colOff>
      <xdr:row>73</xdr:row>
      <xdr:rowOff>152400</xdr:rowOff>
    </xdr:to>
    <xdr:sp macro="" textlink="">
      <xdr:nvSpPr>
        <xdr:cNvPr id="395788" name="Oval 130"/>
        <xdr:cNvSpPr>
          <a:spLocks noChangeArrowheads="1"/>
        </xdr:cNvSpPr>
      </xdr:nvSpPr>
      <xdr:spPr bwMode="auto">
        <a:xfrm>
          <a:off x="3609975" y="8105775"/>
          <a:ext cx="76200" cy="857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504825</xdr:colOff>
      <xdr:row>72</xdr:row>
      <xdr:rowOff>123825</xdr:rowOff>
    </xdr:from>
    <xdr:to>
      <xdr:col>7</xdr:col>
      <xdr:colOff>95250</xdr:colOff>
      <xdr:row>74</xdr:row>
      <xdr:rowOff>0</xdr:rowOff>
    </xdr:to>
    <xdr:sp macro="" textlink="">
      <xdr:nvSpPr>
        <xdr:cNvPr id="395789" name="Oval 131"/>
        <xdr:cNvSpPr>
          <a:spLocks noChangeArrowheads="1"/>
        </xdr:cNvSpPr>
      </xdr:nvSpPr>
      <xdr:spPr bwMode="auto">
        <a:xfrm>
          <a:off x="3552825" y="8001000"/>
          <a:ext cx="200025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190500</xdr:colOff>
      <xdr:row>74</xdr:row>
      <xdr:rowOff>0</xdr:rowOff>
    </xdr:from>
    <xdr:to>
      <xdr:col>7</xdr:col>
      <xdr:colOff>0</xdr:colOff>
      <xdr:row>77</xdr:row>
      <xdr:rowOff>9525</xdr:rowOff>
    </xdr:to>
    <xdr:sp macro="" textlink="">
      <xdr:nvSpPr>
        <xdr:cNvPr id="395790" name="Line 132"/>
        <xdr:cNvSpPr>
          <a:spLocks noChangeShapeType="1"/>
        </xdr:cNvSpPr>
      </xdr:nvSpPr>
      <xdr:spPr bwMode="auto">
        <a:xfrm flipH="1">
          <a:off x="3238500" y="8201025"/>
          <a:ext cx="419100" cy="49530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7</xdr:col>
      <xdr:colOff>9525</xdr:colOff>
      <xdr:row>74</xdr:row>
      <xdr:rowOff>0</xdr:rowOff>
    </xdr:from>
    <xdr:to>
      <xdr:col>7</xdr:col>
      <xdr:colOff>438150</xdr:colOff>
      <xdr:row>77</xdr:row>
      <xdr:rowOff>9525</xdr:rowOff>
    </xdr:to>
    <xdr:sp macro="" textlink="">
      <xdr:nvSpPr>
        <xdr:cNvPr id="395791" name="Line 133"/>
        <xdr:cNvSpPr>
          <a:spLocks noChangeShapeType="1"/>
        </xdr:cNvSpPr>
      </xdr:nvSpPr>
      <xdr:spPr bwMode="auto">
        <a:xfrm>
          <a:off x="3667125" y="8201025"/>
          <a:ext cx="428625" cy="49530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1</xdr:col>
      <xdr:colOff>0</xdr:colOff>
      <xdr:row>77</xdr:row>
      <xdr:rowOff>0</xdr:rowOff>
    </xdr:from>
    <xdr:to>
      <xdr:col>4</xdr:col>
      <xdr:colOff>0</xdr:colOff>
      <xdr:row>77</xdr:row>
      <xdr:rowOff>0</xdr:rowOff>
    </xdr:to>
    <xdr:sp macro="" textlink="">
      <xdr:nvSpPr>
        <xdr:cNvPr id="395792" name="Line 134"/>
        <xdr:cNvSpPr>
          <a:spLocks noChangeShapeType="1"/>
        </xdr:cNvSpPr>
      </xdr:nvSpPr>
      <xdr:spPr bwMode="auto">
        <a:xfrm>
          <a:off x="609600" y="8686800"/>
          <a:ext cx="1828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133350</xdr:colOff>
      <xdr:row>77</xdr:row>
      <xdr:rowOff>0</xdr:rowOff>
    </xdr:from>
    <xdr:to>
      <xdr:col>8</xdr:col>
      <xdr:colOff>209550</xdr:colOff>
      <xdr:row>77</xdr:row>
      <xdr:rowOff>0</xdr:rowOff>
    </xdr:to>
    <xdr:sp macro="" textlink="">
      <xdr:nvSpPr>
        <xdr:cNvPr id="395793" name="Line 135"/>
        <xdr:cNvSpPr>
          <a:spLocks noChangeShapeType="1"/>
        </xdr:cNvSpPr>
      </xdr:nvSpPr>
      <xdr:spPr bwMode="auto">
        <a:xfrm>
          <a:off x="2571750" y="8686800"/>
          <a:ext cx="1905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72</xdr:row>
      <xdr:rowOff>47625</xdr:rowOff>
    </xdr:from>
    <xdr:to>
      <xdr:col>3</xdr:col>
      <xdr:colOff>19050</xdr:colOff>
      <xdr:row>72</xdr:row>
      <xdr:rowOff>47625</xdr:rowOff>
    </xdr:to>
    <xdr:sp macro="" textlink="">
      <xdr:nvSpPr>
        <xdr:cNvPr id="395794" name="Line 136"/>
        <xdr:cNvSpPr>
          <a:spLocks noChangeShapeType="1"/>
        </xdr:cNvSpPr>
      </xdr:nvSpPr>
      <xdr:spPr bwMode="auto">
        <a:xfrm>
          <a:off x="1228725" y="792480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200025</xdr:colOff>
      <xdr:row>78</xdr:row>
      <xdr:rowOff>152400</xdr:rowOff>
    </xdr:from>
    <xdr:to>
      <xdr:col>7</xdr:col>
      <xdr:colOff>447675</xdr:colOff>
      <xdr:row>78</xdr:row>
      <xdr:rowOff>152400</xdr:rowOff>
    </xdr:to>
    <xdr:sp macro="" textlink="">
      <xdr:nvSpPr>
        <xdr:cNvPr id="395795" name="Line 137"/>
        <xdr:cNvSpPr>
          <a:spLocks noChangeShapeType="1"/>
        </xdr:cNvSpPr>
      </xdr:nvSpPr>
      <xdr:spPr bwMode="auto">
        <a:xfrm>
          <a:off x="3248025" y="9001125"/>
          <a:ext cx="857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6</xdr:col>
      <xdr:colOff>200025</xdr:colOff>
      <xdr:row>78</xdr:row>
      <xdr:rowOff>76200</xdr:rowOff>
    </xdr:from>
    <xdr:to>
      <xdr:col>6</xdr:col>
      <xdr:colOff>200025</xdr:colOff>
      <xdr:row>79</xdr:row>
      <xdr:rowOff>0</xdr:rowOff>
    </xdr:to>
    <xdr:sp macro="" textlink="">
      <xdr:nvSpPr>
        <xdr:cNvPr id="395796" name="Line 138"/>
        <xdr:cNvSpPr>
          <a:spLocks noChangeShapeType="1"/>
        </xdr:cNvSpPr>
      </xdr:nvSpPr>
      <xdr:spPr bwMode="auto">
        <a:xfrm>
          <a:off x="3248025" y="89249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447675</xdr:colOff>
      <xdr:row>78</xdr:row>
      <xdr:rowOff>95250</xdr:rowOff>
    </xdr:from>
    <xdr:to>
      <xdr:col>7</xdr:col>
      <xdr:colOff>447675</xdr:colOff>
      <xdr:row>79</xdr:row>
      <xdr:rowOff>19050</xdr:rowOff>
    </xdr:to>
    <xdr:sp macro="" textlink="">
      <xdr:nvSpPr>
        <xdr:cNvPr id="395797" name="Line 139"/>
        <xdr:cNvSpPr>
          <a:spLocks noChangeShapeType="1"/>
        </xdr:cNvSpPr>
      </xdr:nvSpPr>
      <xdr:spPr bwMode="auto">
        <a:xfrm>
          <a:off x="4105275" y="89439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6</xdr:col>
      <xdr:colOff>428625</xdr:colOff>
      <xdr:row>78</xdr:row>
      <xdr:rowOff>0</xdr:rowOff>
    </xdr:from>
    <xdr:ext cx="323850" cy="342900"/>
    <xdr:sp macro="" textlink="">
      <xdr:nvSpPr>
        <xdr:cNvPr id="11404" name="Text Box 140"/>
        <xdr:cNvSpPr txBox="1">
          <a:spLocks noChangeArrowheads="1"/>
        </xdr:cNvSpPr>
      </xdr:nvSpPr>
      <xdr:spPr bwMode="auto">
        <a:xfrm>
          <a:off x="3476625" y="8848725"/>
          <a:ext cx="38100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1.75h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8</xdr:col>
      <xdr:colOff>0</xdr:colOff>
      <xdr:row>74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395799" name="Line 141"/>
        <xdr:cNvSpPr>
          <a:spLocks noChangeShapeType="1"/>
        </xdr:cNvSpPr>
      </xdr:nvSpPr>
      <xdr:spPr bwMode="auto">
        <a:xfrm>
          <a:off x="4267200" y="82010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90384</xdr:colOff>
      <xdr:row>70</xdr:row>
      <xdr:rowOff>83431</xdr:rowOff>
    </xdr:from>
    <xdr:to>
      <xdr:col>4</xdr:col>
      <xdr:colOff>99909</xdr:colOff>
      <xdr:row>70</xdr:row>
      <xdr:rowOff>83431</xdr:rowOff>
    </xdr:to>
    <xdr:sp macro="" textlink="">
      <xdr:nvSpPr>
        <xdr:cNvPr id="395800" name="Line 142"/>
        <xdr:cNvSpPr>
          <a:spLocks noChangeShapeType="1"/>
        </xdr:cNvSpPr>
      </xdr:nvSpPr>
      <xdr:spPr bwMode="auto">
        <a:xfrm>
          <a:off x="698733" y="11923632"/>
          <a:ext cx="18345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600075</xdr:colOff>
      <xdr:row>77</xdr:row>
      <xdr:rowOff>152400</xdr:rowOff>
    </xdr:from>
    <xdr:to>
      <xdr:col>7</xdr:col>
      <xdr:colOff>600075</xdr:colOff>
      <xdr:row>77</xdr:row>
      <xdr:rowOff>152400</xdr:rowOff>
    </xdr:to>
    <xdr:sp macro="" textlink="">
      <xdr:nvSpPr>
        <xdr:cNvPr id="395801" name="Line 143"/>
        <xdr:cNvSpPr>
          <a:spLocks noChangeShapeType="1"/>
        </xdr:cNvSpPr>
      </xdr:nvSpPr>
      <xdr:spPr bwMode="auto">
        <a:xfrm flipV="1">
          <a:off x="3038475" y="883920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600075</xdr:colOff>
      <xdr:row>77</xdr:row>
      <xdr:rowOff>152400</xdr:rowOff>
    </xdr:from>
    <xdr:to>
      <xdr:col>5</xdr:col>
      <xdr:colOff>600075</xdr:colOff>
      <xdr:row>79</xdr:row>
      <xdr:rowOff>66675</xdr:rowOff>
    </xdr:to>
    <xdr:sp macro="" textlink="">
      <xdr:nvSpPr>
        <xdr:cNvPr id="395802" name="Line 144"/>
        <xdr:cNvSpPr>
          <a:spLocks noChangeShapeType="1"/>
        </xdr:cNvSpPr>
      </xdr:nvSpPr>
      <xdr:spPr bwMode="auto">
        <a:xfrm>
          <a:off x="3038475" y="883920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78</xdr:row>
      <xdr:rowOff>0</xdr:rowOff>
    </xdr:from>
    <xdr:to>
      <xdr:col>7</xdr:col>
      <xdr:colOff>600075</xdr:colOff>
      <xdr:row>79</xdr:row>
      <xdr:rowOff>47625</xdr:rowOff>
    </xdr:to>
    <xdr:sp macro="" textlink="">
      <xdr:nvSpPr>
        <xdr:cNvPr id="395803" name="Line 145"/>
        <xdr:cNvSpPr>
          <a:spLocks noChangeShapeType="1"/>
        </xdr:cNvSpPr>
      </xdr:nvSpPr>
      <xdr:spPr bwMode="auto">
        <a:xfrm>
          <a:off x="4257675" y="884872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409575</xdr:colOff>
      <xdr:row>78</xdr:row>
      <xdr:rowOff>0</xdr:rowOff>
    </xdr:from>
    <xdr:to>
      <xdr:col>5</xdr:col>
      <xdr:colOff>409575</xdr:colOff>
      <xdr:row>79</xdr:row>
      <xdr:rowOff>47625</xdr:rowOff>
    </xdr:to>
    <xdr:sp macro="" textlink="">
      <xdr:nvSpPr>
        <xdr:cNvPr id="395804" name="Line 146"/>
        <xdr:cNvSpPr>
          <a:spLocks noChangeShapeType="1"/>
        </xdr:cNvSpPr>
      </xdr:nvSpPr>
      <xdr:spPr bwMode="auto">
        <a:xfrm>
          <a:off x="2847975" y="884872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171450</xdr:colOff>
      <xdr:row>78</xdr:row>
      <xdr:rowOff>0</xdr:rowOff>
    </xdr:from>
    <xdr:to>
      <xdr:col>8</xdr:col>
      <xdr:colOff>171450</xdr:colOff>
      <xdr:row>79</xdr:row>
      <xdr:rowOff>47625</xdr:rowOff>
    </xdr:to>
    <xdr:sp macro="" textlink="">
      <xdr:nvSpPr>
        <xdr:cNvPr id="395805" name="Line 147"/>
        <xdr:cNvSpPr>
          <a:spLocks noChangeShapeType="1"/>
        </xdr:cNvSpPr>
      </xdr:nvSpPr>
      <xdr:spPr bwMode="auto">
        <a:xfrm>
          <a:off x="4438650" y="884872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78</xdr:row>
      <xdr:rowOff>0</xdr:rowOff>
    </xdr:from>
    <xdr:to>
      <xdr:col>5</xdr:col>
      <xdr:colOff>409575</xdr:colOff>
      <xdr:row>78</xdr:row>
      <xdr:rowOff>0</xdr:rowOff>
    </xdr:to>
    <xdr:sp macro="" textlink="">
      <xdr:nvSpPr>
        <xdr:cNvPr id="395806" name="Line 148"/>
        <xdr:cNvSpPr>
          <a:spLocks noChangeShapeType="1"/>
        </xdr:cNvSpPr>
      </xdr:nvSpPr>
      <xdr:spPr bwMode="auto">
        <a:xfrm>
          <a:off x="2552700" y="884872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152400</xdr:colOff>
      <xdr:row>77</xdr:row>
      <xdr:rowOff>152400</xdr:rowOff>
    </xdr:from>
    <xdr:to>
      <xdr:col>8</xdr:col>
      <xdr:colOff>200025</xdr:colOff>
      <xdr:row>78</xdr:row>
      <xdr:rowOff>9525</xdr:rowOff>
    </xdr:to>
    <xdr:sp macro="" textlink="">
      <xdr:nvSpPr>
        <xdr:cNvPr id="395807" name="Line 149"/>
        <xdr:cNvSpPr>
          <a:spLocks noChangeShapeType="1"/>
        </xdr:cNvSpPr>
      </xdr:nvSpPr>
      <xdr:spPr bwMode="auto">
        <a:xfrm flipV="1">
          <a:off x="4419600" y="8839200"/>
          <a:ext cx="47625" cy="19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209550</xdr:colOff>
      <xdr:row>73</xdr:row>
      <xdr:rowOff>104775</xdr:rowOff>
    </xdr:from>
    <xdr:to>
      <xdr:col>8</xdr:col>
      <xdr:colOff>209550</xdr:colOff>
      <xdr:row>76</xdr:row>
      <xdr:rowOff>9525</xdr:rowOff>
    </xdr:to>
    <xdr:sp macro="" textlink="">
      <xdr:nvSpPr>
        <xdr:cNvPr id="395808" name="Line 150"/>
        <xdr:cNvSpPr>
          <a:spLocks noChangeShapeType="1"/>
        </xdr:cNvSpPr>
      </xdr:nvSpPr>
      <xdr:spPr bwMode="auto">
        <a:xfrm>
          <a:off x="4476750" y="814387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152400</xdr:colOff>
      <xdr:row>76</xdr:row>
      <xdr:rowOff>9525</xdr:rowOff>
    </xdr:from>
    <xdr:to>
      <xdr:col>8</xdr:col>
      <xdr:colOff>209550</xdr:colOff>
      <xdr:row>76</xdr:row>
      <xdr:rowOff>9525</xdr:rowOff>
    </xdr:to>
    <xdr:sp macro="" textlink="">
      <xdr:nvSpPr>
        <xdr:cNvPr id="395809" name="Line 151"/>
        <xdr:cNvSpPr>
          <a:spLocks noChangeShapeType="1"/>
        </xdr:cNvSpPr>
      </xdr:nvSpPr>
      <xdr:spPr bwMode="auto">
        <a:xfrm flipH="1">
          <a:off x="4419600" y="8534400"/>
          <a:ext cx="57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161925</xdr:colOff>
      <xdr:row>76</xdr:row>
      <xdr:rowOff>19050</xdr:rowOff>
    </xdr:from>
    <xdr:to>
      <xdr:col>8</xdr:col>
      <xdr:colOff>257175</xdr:colOff>
      <xdr:row>76</xdr:row>
      <xdr:rowOff>66675</xdr:rowOff>
    </xdr:to>
    <xdr:sp macro="" textlink="">
      <xdr:nvSpPr>
        <xdr:cNvPr id="395810" name="Line 152"/>
        <xdr:cNvSpPr>
          <a:spLocks noChangeShapeType="1"/>
        </xdr:cNvSpPr>
      </xdr:nvSpPr>
      <xdr:spPr bwMode="auto">
        <a:xfrm>
          <a:off x="4429125" y="8543925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209550</xdr:colOff>
      <xdr:row>76</xdr:row>
      <xdr:rowOff>76200</xdr:rowOff>
    </xdr:from>
    <xdr:to>
      <xdr:col>8</xdr:col>
      <xdr:colOff>257175</xdr:colOff>
      <xdr:row>76</xdr:row>
      <xdr:rowOff>114300</xdr:rowOff>
    </xdr:to>
    <xdr:sp macro="" textlink="">
      <xdr:nvSpPr>
        <xdr:cNvPr id="395811" name="Line 153"/>
        <xdr:cNvSpPr>
          <a:spLocks noChangeShapeType="1"/>
        </xdr:cNvSpPr>
      </xdr:nvSpPr>
      <xdr:spPr bwMode="auto">
        <a:xfrm flipH="1">
          <a:off x="4476750" y="8601075"/>
          <a:ext cx="47625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209550</xdr:colOff>
      <xdr:row>76</xdr:row>
      <xdr:rowOff>114300</xdr:rowOff>
    </xdr:from>
    <xdr:to>
      <xdr:col>8</xdr:col>
      <xdr:colOff>209550</xdr:colOff>
      <xdr:row>79</xdr:row>
      <xdr:rowOff>19050</xdr:rowOff>
    </xdr:to>
    <xdr:sp macro="" textlink="">
      <xdr:nvSpPr>
        <xdr:cNvPr id="395812" name="Line 154"/>
        <xdr:cNvSpPr>
          <a:spLocks noChangeShapeType="1"/>
        </xdr:cNvSpPr>
      </xdr:nvSpPr>
      <xdr:spPr bwMode="auto">
        <a:xfrm>
          <a:off x="4476750" y="863917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276225</xdr:colOff>
      <xdr:row>79</xdr:row>
      <xdr:rowOff>57150</xdr:rowOff>
    </xdr:from>
    <xdr:to>
      <xdr:col>5</xdr:col>
      <xdr:colOff>447675</xdr:colOff>
      <xdr:row>79</xdr:row>
      <xdr:rowOff>57150</xdr:rowOff>
    </xdr:to>
    <xdr:sp macro="" textlink="">
      <xdr:nvSpPr>
        <xdr:cNvPr id="395813" name="Line 155"/>
        <xdr:cNvSpPr>
          <a:spLocks noChangeShapeType="1"/>
        </xdr:cNvSpPr>
      </xdr:nvSpPr>
      <xdr:spPr bwMode="auto">
        <a:xfrm>
          <a:off x="2714625" y="90678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542925</xdr:colOff>
      <xdr:row>79</xdr:row>
      <xdr:rowOff>57150</xdr:rowOff>
    </xdr:from>
    <xdr:to>
      <xdr:col>6</xdr:col>
      <xdr:colOff>38100</xdr:colOff>
      <xdr:row>79</xdr:row>
      <xdr:rowOff>57150</xdr:rowOff>
    </xdr:to>
    <xdr:sp macro="" textlink="">
      <xdr:nvSpPr>
        <xdr:cNvPr id="395814" name="Line 156"/>
        <xdr:cNvSpPr>
          <a:spLocks noChangeShapeType="1"/>
        </xdr:cNvSpPr>
      </xdr:nvSpPr>
      <xdr:spPr bwMode="auto">
        <a:xfrm>
          <a:off x="2981325" y="906780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542925</xdr:colOff>
      <xdr:row>79</xdr:row>
      <xdr:rowOff>47625</xdr:rowOff>
    </xdr:from>
    <xdr:to>
      <xdr:col>8</xdr:col>
      <xdr:colOff>38100</xdr:colOff>
      <xdr:row>79</xdr:row>
      <xdr:rowOff>47625</xdr:rowOff>
    </xdr:to>
    <xdr:sp macro="" textlink="">
      <xdr:nvSpPr>
        <xdr:cNvPr id="395815" name="Line 157"/>
        <xdr:cNvSpPr>
          <a:spLocks noChangeShapeType="1"/>
        </xdr:cNvSpPr>
      </xdr:nvSpPr>
      <xdr:spPr bwMode="auto">
        <a:xfrm>
          <a:off x="4200525" y="905827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123825</xdr:colOff>
      <xdr:row>79</xdr:row>
      <xdr:rowOff>57150</xdr:rowOff>
    </xdr:from>
    <xdr:to>
      <xdr:col>8</xdr:col>
      <xdr:colOff>238125</xdr:colOff>
      <xdr:row>79</xdr:row>
      <xdr:rowOff>57150</xdr:rowOff>
    </xdr:to>
    <xdr:sp macro="" textlink="">
      <xdr:nvSpPr>
        <xdr:cNvPr id="395816" name="Line 158"/>
        <xdr:cNvSpPr>
          <a:spLocks noChangeShapeType="1"/>
        </xdr:cNvSpPr>
      </xdr:nvSpPr>
      <xdr:spPr bwMode="auto">
        <a:xfrm>
          <a:off x="4391025" y="906780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447675</xdr:colOff>
      <xdr:row>79</xdr:row>
      <xdr:rowOff>0</xdr:rowOff>
    </xdr:from>
    <xdr:to>
      <xdr:col>5</xdr:col>
      <xdr:colOff>495300</xdr:colOff>
      <xdr:row>79</xdr:row>
      <xdr:rowOff>66675</xdr:rowOff>
    </xdr:to>
    <xdr:sp macro="" textlink="">
      <xdr:nvSpPr>
        <xdr:cNvPr id="395817" name="Line 159"/>
        <xdr:cNvSpPr>
          <a:spLocks noChangeShapeType="1"/>
        </xdr:cNvSpPr>
      </xdr:nvSpPr>
      <xdr:spPr bwMode="auto">
        <a:xfrm flipV="1">
          <a:off x="2886075" y="901065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79</xdr:row>
      <xdr:rowOff>0</xdr:rowOff>
    </xdr:from>
    <xdr:to>
      <xdr:col>5</xdr:col>
      <xdr:colOff>514350</xdr:colOff>
      <xdr:row>79</xdr:row>
      <xdr:rowOff>152400</xdr:rowOff>
    </xdr:to>
    <xdr:sp macro="" textlink="">
      <xdr:nvSpPr>
        <xdr:cNvPr id="395818" name="Line 160"/>
        <xdr:cNvSpPr>
          <a:spLocks noChangeShapeType="1"/>
        </xdr:cNvSpPr>
      </xdr:nvSpPr>
      <xdr:spPr bwMode="auto">
        <a:xfrm flipH="1">
          <a:off x="2933700" y="9010650"/>
          <a:ext cx="1905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79</xdr:row>
      <xdr:rowOff>47625</xdr:rowOff>
    </xdr:from>
    <xdr:to>
      <xdr:col>5</xdr:col>
      <xdr:colOff>533400</xdr:colOff>
      <xdr:row>80</xdr:row>
      <xdr:rowOff>9525</xdr:rowOff>
    </xdr:to>
    <xdr:sp macro="" textlink="">
      <xdr:nvSpPr>
        <xdr:cNvPr id="395819" name="Line 161"/>
        <xdr:cNvSpPr>
          <a:spLocks noChangeShapeType="1"/>
        </xdr:cNvSpPr>
      </xdr:nvSpPr>
      <xdr:spPr bwMode="auto">
        <a:xfrm flipV="1">
          <a:off x="2924175" y="9058275"/>
          <a:ext cx="476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19050</xdr:colOff>
      <xdr:row>78</xdr:row>
      <xdr:rowOff>123825</xdr:rowOff>
    </xdr:from>
    <xdr:to>
      <xdr:col>8</xdr:col>
      <xdr:colOff>66675</xdr:colOff>
      <xdr:row>79</xdr:row>
      <xdr:rowOff>47625</xdr:rowOff>
    </xdr:to>
    <xdr:sp macro="" textlink="">
      <xdr:nvSpPr>
        <xdr:cNvPr id="395820" name="Line 162"/>
        <xdr:cNvSpPr>
          <a:spLocks noChangeShapeType="1"/>
        </xdr:cNvSpPr>
      </xdr:nvSpPr>
      <xdr:spPr bwMode="auto">
        <a:xfrm flipV="1">
          <a:off x="4286250" y="8972550"/>
          <a:ext cx="476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57150</xdr:colOff>
      <xdr:row>78</xdr:row>
      <xdr:rowOff>123825</xdr:rowOff>
    </xdr:from>
    <xdr:to>
      <xdr:col>8</xdr:col>
      <xdr:colOff>66675</xdr:colOff>
      <xdr:row>79</xdr:row>
      <xdr:rowOff>123825</xdr:rowOff>
    </xdr:to>
    <xdr:sp macro="" textlink="">
      <xdr:nvSpPr>
        <xdr:cNvPr id="395821" name="Line 163"/>
        <xdr:cNvSpPr>
          <a:spLocks noChangeShapeType="1"/>
        </xdr:cNvSpPr>
      </xdr:nvSpPr>
      <xdr:spPr bwMode="auto">
        <a:xfrm flipH="1">
          <a:off x="4324350" y="8972550"/>
          <a:ext cx="952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57150</xdr:colOff>
      <xdr:row>79</xdr:row>
      <xdr:rowOff>47625</xdr:rowOff>
    </xdr:from>
    <xdr:to>
      <xdr:col>8</xdr:col>
      <xdr:colOff>114300</xdr:colOff>
      <xdr:row>79</xdr:row>
      <xdr:rowOff>133350</xdr:rowOff>
    </xdr:to>
    <xdr:sp macro="" textlink="">
      <xdr:nvSpPr>
        <xdr:cNvPr id="395822" name="Line 164"/>
        <xdr:cNvSpPr>
          <a:spLocks noChangeShapeType="1"/>
        </xdr:cNvSpPr>
      </xdr:nvSpPr>
      <xdr:spPr bwMode="auto">
        <a:xfrm flipV="1">
          <a:off x="4324350" y="9058275"/>
          <a:ext cx="5715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81484</xdr:colOff>
      <xdr:row>74</xdr:row>
      <xdr:rowOff>0</xdr:rowOff>
    </xdr:from>
    <xdr:to>
      <xdr:col>1</xdr:col>
      <xdr:colOff>81484</xdr:colOff>
      <xdr:row>77</xdr:row>
      <xdr:rowOff>0</xdr:rowOff>
    </xdr:to>
    <xdr:sp macro="" textlink="">
      <xdr:nvSpPr>
        <xdr:cNvPr id="395828" name="Line 170"/>
        <xdr:cNvSpPr>
          <a:spLocks noChangeShapeType="1"/>
        </xdr:cNvSpPr>
      </xdr:nvSpPr>
      <xdr:spPr bwMode="auto">
        <a:xfrm>
          <a:off x="689833" y="12493741"/>
          <a:ext cx="0" cy="49015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1</xdr:col>
      <xdr:colOff>66675</xdr:colOff>
      <xdr:row>75</xdr:row>
      <xdr:rowOff>9525</xdr:rowOff>
    </xdr:from>
    <xdr:ext cx="209550" cy="342900"/>
    <xdr:sp macro="" textlink="">
      <xdr:nvSpPr>
        <xdr:cNvPr id="11435" name="Text Box 171"/>
        <xdr:cNvSpPr txBox="1">
          <a:spLocks noChangeArrowheads="1"/>
        </xdr:cNvSpPr>
      </xdr:nvSpPr>
      <xdr:spPr bwMode="auto">
        <a:xfrm>
          <a:off x="676275" y="12744450"/>
          <a:ext cx="20955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h =</a:t>
          </a: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 editAs="oneCell">
    <xdr:from>
      <xdr:col>0</xdr:col>
      <xdr:colOff>581025</xdr:colOff>
      <xdr:row>12</xdr:row>
      <xdr:rowOff>0</xdr:rowOff>
    </xdr:from>
    <xdr:to>
      <xdr:col>1</xdr:col>
      <xdr:colOff>219075</xdr:colOff>
      <xdr:row>13</xdr:row>
      <xdr:rowOff>133350</xdr:rowOff>
    </xdr:to>
    <xdr:sp macro="" textlink="">
      <xdr:nvSpPr>
        <xdr:cNvPr id="395833" name="Text Box 175"/>
        <xdr:cNvSpPr txBox="1">
          <a:spLocks noChangeArrowheads="1"/>
        </xdr:cNvSpPr>
      </xdr:nvSpPr>
      <xdr:spPr bwMode="auto">
        <a:xfrm>
          <a:off x="3629025" y="3438525"/>
          <a:ext cx="247650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0</xdr:colOff>
      <xdr:row>105</xdr:row>
      <xdr:rowOff>0</xdr:rowOff>
    </xdr:from>
    <xdr:to>
      <xdr:col>6</xdr:col>
      <xdr:colOff>0</xdr:colOff>
      <xdr:row>105</xdr:row>
      <xdr:rowOff>0</xdr:rowOff>
    </xdr:to>
    <xdr:sp macro="" textlink="">
      <xdr:nvSpPr>
        <xdr:cNvPr id="395836" name="Line 178"/>
        <xdr:cNvSpPr>
          <a:spLocks noChangeShapeType="1"/>
        </xdr:cNvSpPr>
      </xdr:nvSpPr>
      <xdr:spPr bwMode="auto">
        <a:xfrm flipV="1">
          <a:off x="2438400" y="13820775"/>
          <a:ext cx="1828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108</xdr:row>
      <xdr:rowOff>0</xdr:rowOff>
    </xdr:from>
    <xdr:to>
      <xdr:col>5</xdr:col>
      <xdr:colOff>600075</xdr:colOff>
      <xdr:row>108</xdr:row>
      <xdr:rowOff>0</xdr:rowOff>
    </xdr:to>
    <xdr:sp macro="" textlink="">
      <xdr:nvSpPr>
        <xdr:cNvPr id="395837" name="Line 179"/>
        <xdr:cNvSpPr>
          <a:spLocks noChangeShapeType="1"/>
        </xdr:cNvSpPr>
      </xdr:nvSpPr>
      <xdr:spPr bwMode="auto">
        <a:xfrm flipV="1">
          <a:off x="2438400" y="14306550"/>
          <a:ext cx="1819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112</xdr:row>
      <xdr:rowOff>0</xdr:rowOff>
    </xdr:from>
    <xdr:to>
      <xdr:col>6</xdr:col>
      <xdr:colOff>0</xdr:colOff>
      <xdr:row>112</xdr:row>
      <xdr:rowOff>0</xdr:rowOff>
    </xdr:to>
    <xdr:sp macro="" textlink="">
      <xdr:nvSpPr>
        <xdr:cNvPr id="395838" name="Line 180"/>
        <xdr:cNvSpPr>
          <a:spLocks noChangeShapeType="1"/>
        </xdr:cNvSpPr>
      </xdr:nvSpPr>
      <xdr:spPr bwMode="auto">
        <a:xfrm>
          <a:off x="3048000" y="14954250"/>
          <a:ext cx="1219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112</xdr:row>
      <xdr:rowOff>9525</xdr:rowOff>
    </xdr:from>
    <xdr:to>
      <xdr:col>4</xdr:col>
      <xdr:colOff>0</xdr:colOff>
      <xdr:row>120</xdr:row>
      <xdr:rowOff>0</xdr:rowOff>
    </xdr:to>
    <xdr:sp macro="" textlink="">
      <xdr:nvSpPr>
        <xdr:cNvPr id="395839" name="Line 181"/>
        <xdr:cNvSpPr>
          <a:spLocks noChangeShapeType="1"/>
        </xdr:cNvSpPr>
      </xdr:nvSpPr>
      <xdr:spPr bwMode="auto">
        <a:xfrm>
          <a:off x="3048000" y="14963775"/>
          <a:ext cx="0" cy="1285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120</xdr:row>
      <xdr:rowOff>0</xdr:rowOff>
    </xdr:from>
    <xdr:to>
      <xdr:col>6</xdr:col>
      <xdr:colOff>9525</xdr:colOff>
      <xdr:row>120</xdr:row>
      <xdr:rowOff>0</xdr:rowOff>
    </xdr:to>
    <xdr:sp macro="" textlink="">
      <xdr:nvSpPr>
        <xdr:cNvPr id="395840" name="Line 182"/>
        <xdr:cNvSpPr>
          <a:spLocks noChangeShapeType="1"/>
        </xdr:cNvSpPr>
      </xdr:nvSpPr>
      <xdr:spPr bwMode="auto">
        <a:xfrm>
          <a:off x="3048000" y="16249650"/>
          <a:ext cx="1228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113</xdr:row>
      <xdr:rowOff>0</xdr:rowOff>
    </xdr:from>
    <xdr:to>
      <xdr:col>6</xdr:col>
      <xdr:colOff>9525</xdr:colOff>
      <xdr:row>113</xdr:row>
      <xdr:rowOff>0</xdr:rowOff>
    </xdr:to>
    <xdr:sp macro="" textlink="">
      <xdr:nvSpPr>
        <xdr:cNvPr id="395841" name="Line 183"/>
        <xdr:cNvSpPr>
          <a:spLocks noChangeShapeType="1"/>
        </xdr:cNvSpPr>
      </xdr:nvSpPr>
      <xdr:spPr bwMode="auto">
        <a:xfrm flipH="1">
          <a:off x="3181350" y="18764250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112</xdr:row>
      <xdr:rowOff>133350</xdr:rowOff>
    </xdr:from>
    <xdr:to>
      <xdr:col>4</xdr:col>
      <xdr:colOff>133350</xdr:colOff>
      <xdr:row>119</xdr:row>
      <xdr:rowOff>28575</xdr:rowOff>
    </xdr:to>
    <xdr:sp macro="" textlink="">
      <xdr:nvSpPr>
        <xdr:cNvPr id="395842" name="Line 184"/>
        <xdr:cNvSpPr>
          <a:spLocks noChangeShapeType="1"/>
        </xdr:cNvSpPr>
      </xdr:nvSpPr>
      <xdr:spPr bwMode="auto">
        <a:xfrm flipH="1">
          <a:off x="3181350" y="15087600"/>
          <a:ext cx="0" cy="1028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119</xdr:row>
      <xdr:rowOff>9525</xdr:rowOff>
    </xdr:from>
    <xdr:to>
      <xdr:col>6</xdr:col>
      <xdr:colOff>0</xdr:colOff>
      <xdr:row>119</xdr:row>
      <xdr:rowOff>9525</xdr:rowOff>
    </xdr:to>
    <xdr:sp macro="" textlink="">
      <xdr:nvSpPr>
        <xdr:cNvPr id="395843" name="Line 185"/>
        <xdr:cNvSpPr>
          <a:spLocks noChangeShapeType="1"/>
        </xdr:cNvSpPr>
      </xdr:nvSpPr>
      <xdr:spPr bwMode="auto">
        <a:xfrm>
          <a:off x="3181350" y="16097250"/>
          <a:ext cx="1085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110</xdr:row>
      <xdr:rowOff>152400</xdr:rowOff>
    </xdr:from>
    <xdr:to>
      <xdr:col>6</xdr:col>
      <xdr:colOff>0</xdr:colOff>
      <xdr:row>112</xdr:row>
      <xdr:rowOff>19050</xdr:rowOff>
    </xdr:to>
    <xdr:sp macro="" textlink="">
      <xdr:nvSpPr>
        <xdr:cNvPr id="395844" name="Line 186"/>
        <xdr:cNvSpPr>
          <a:spLocks noChangeShapeType="1"/>
        </xdr:cNvSpPr>
      </xdr:nvSpPr>
      <xdr:spPr bwMode="auto">
        <a:xfrm>
          <a:off x="4267200" y="1478280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112</xdr:row>
      <xdr:rowOff>104775</xdr:rowOff>
    </xdr:from>
    <xdr:to>
      <xdr:col>6</xdr:col>
      <xdr:colOff>0</xdr:colOff>
      <xdr:row>113</xdr:row>
      <xdr:rowOff>47625</xdr:rowOff>
    </xdr:to>
    <xdr:sp macro="" textlink="">
      <xdr:nvSpPr>
        <xdr:cNvPr id="395845" name="Line 187"/>
        <xdr:cNvSpPr>
          <a:spLocks noChangeShapeType="1"/>
        </xdr:cNvSpPr>
      </xdr:nvSpPr>
      <xdr:spPr bwMode="auto">
        <a:xfrm>
          <a:off x="4267200" y="150590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118</xdr:row>
      <xdr:rowOff>0</xdr:rowOff>
    </xdr:from>
    <xdr:to>
      <xdr:col>6</xdr:col>
      <xdr:colOff>0</xdr:colOff>
      <xdr:row>119</xdr:row>
      <xdr:rowOff>47625</xdr:rowOff>
    </xdr:to>
    <xdr:sp macro="" textlink="">
      <xdr:nvSpPr>
        <xdr:cNvPr id="395846" name="Line 188"/>
        <xdr:cNvSpPr>
          <a:spLocks noChangeShapeType="1"/>
        </xdr:cNvSpPr>
      </xdr:nvSpPr>
      <xdr:spPr bwMode="auto">
        <a:xfrm>
          <a:off x="4267200" y="1592580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119</xdr:row>
      <xdr:rowOff>142875</xdr:rowOff>
    </xdr:from>
    <xdr:to>
      <xdr:col>6</xdr:col>
      <xdr:colOff>0</xdr:colOff>
      <xdr:row>122</xdr:row>
      <xdr:rowOff>19050</xdr:rowOff>
    </xdr:to>
    <xdr:sp macro="" textlink="">
      <xdr:nvSpPr>
        <xdr:cNvPr id="395847" name="Line 189"/>
        <xdr:cNvSpPr>
          <a:spLocks noChangeShapeType="1"/>
        </xdr:cNvSpPr>
      </xdr:nvSpPr>
      <xdr:spPr bwMode="auto">
        <a:xfrm>
          <a:off x="4267200" y="20231100"/>
          <a:ext cx="0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112</xdr:row>
      <xdr:rowOff>19050</xdr:rowOff>
    </xdr:from>
    <xdr:to>
      <xdr:col>6</xdr:col>
      <xdr:colOff>57150</xdr:colOff>
      <xdr:row>112</xdr:row>
      <xdr:rowOff>19050</xdr:rowOff>
    </xdr:to>
    <xdr:sp macro="" textlink="">
      <xdr:nvSpPr>
        <xdr:cNvPr id="395848" name="Line 190"/>
        <xdr:cNvSpPr>
          <a:spLocks noChangeShapeType="1"/>
        </xdr:cNvSpPr>
      </xdr:nvSpPr>
      <xdr:spPr bwMode="auto">
        <a:xfrm>
          <a:off x="4267200" y="14973300"/>
          <a:ext cx="57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552450</xdr:colOff>
      <xdr:row>112</xdr:row>
      <xdr:rowOff>19050</xdr:rowOff>
    </xdr:from>
    <xdr:to>
      <xdr:col>6</xdr:col>
      <xdr:colOff>57150</xdr:colOff>
      <xdr:row>112</xdr:row>
      <xdr:rowOff>104775</xdr:rowOff>
    </xdr:to>
    <xdr:sp macro="" textlink="">
      <xdr:nvSpPr>
        <xdr:cNvPr id="395849" name="Line 191"/>
        <xdr:cNvSpPr>
          <a:spLocks noChangeShapeType="1"/>
        </xdr:cNvSpPr>
      </xdr:nvSpPr>
      <xdr:spPr bwMode="auto">
        <a:xfrm flipH="1">
          <a:off x="4210050" y="14973300"/>
          <a:ext cx="11430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552450</xdr:colOff>
      <xdr:row>112</xdr:row>
      <xdr:rowOff>104775</xdr:rowOff>
    </xdr:from>
    <xdr:to>
      <xdr:col>6</xdr:col>
      <xdr:colOff>0</xdr:colOff>
      <xdr:row>112</xdr:row>
      <xdr:rowOff>104775</xdr:rowOff>
    </xdr:to>
    <xdr:sp macro="" textlink="">
      <xdr:nvSpPr>
        <xdr:cNvPr id="395850" name="Line 192"/>
        <xdr:cNvSpPr>
          <a:spLocks noChangeShapeType="1"/>
        </xdr:cNvSpPr>
      </xdr:nvSpPr>
      <xdr:spPr bwMode="auto">
        <a:xfrm>
          <a:off x="4210050" y="15059025"/>
          <a:ext cx="57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119</xdr:row>
      <xdr:rowOff>47625</xdr:rowOff>
    </xdr:from>
    <xdr:to>
      <xdr:col>6</xdr:col>
      <xdr:colOff>47625</xdr:colOff>
      <xdr:row>119</xdr:row>
      <xdr:rowOff>47625</xdr:rowOff>
    </xdr:to>
    <xdr:sp macro="" textlink="">
      <xdr:nvSpPr>
        <xdr:cNvPr id="395851" name="Line 193"/>
        <xdr:cNvSpPr>
          <a:spLocks noChangeShapeType="1"/>
        </xdr:cNvSpPr>
      </xdr:nvSpPr>
      <xdr:spPr bwMode="auto">
        <a:xfrm>
          <a:off x="4267200" y="16135350"/>
          <a:ext cx="47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571500</xdr:colOff>
      <xdr:row>119</xdr:row>
      <xdr:rowOff>47625</xdr:rowOff>
    </xdr:from>
    <xdr:to>
      <xdr:col>6</xdr:col>
      <xdr:colOff>57150</xdr:colOff>
      <xdr:row>119</xdr:row>
      <xdr:rowOff>123825</xdr:rowOff>
    </xdr:to>
    <xdr:sp macro="" textlink="">
      <xdr:nvSpPr>
        <xdr:cNvPr id="395852" name="Line 194"/>
        <xdr:cNvSpPr>
          <a:spLocks noChangeShapeType="1"/>
        </xdr:cNvSpPr>
      </xdr:nvSpPr>
      <xdr:spPr bwMode="auto">
        <a:xfrm flipH="1">
          <a:off x="4229100" y="16135350"/>
          <a:ext cx="9525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581025</xdr:colOff>
      <xdr:row>119</xdr:row>
      <xdr:rowOff>123825</xdr:rowOff>
    </xdr:from>
    <xdr:to>
      <xdr:col>6</xdr:col>
      <xdr:colOff>0</xdr:colOff>
      <xdr:row>119</xdr:row>
      <xdr:rowOff>123825</xdr:rowOff>
    </xdr:to>
    <xdr:sp macro="" textlink="">
      <xdr:nvSpPr>
        <xdr:cNvPr id="395853" name="Line 195"/>
        <xdr:cNvSpPr>
          <a:spLocks noChangeShapeType="1"/>
        </xdr:cNvSpPr>
      </xdr:nvSpPr>
      <xdr:spPr bwMode="auto">
        <a:xfrm>
          <a:off x="4238625" y="16211550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</xdr:colOff>
      <xdr:row>108</xdr:row>
      <xdr:rowOff>0</xdr:rowOff>
    </xdr:from>
    <xdr:to>
      <xdr:col>5</xdr:col>
      <xdr:colOff>142875</xdr:colOff>
      <xdr:row>108</xdr:row>
      <xdr:rowOff>95250</xdr:rowOff>
    </xdr:to>
    <xdr:sp macro="" textlink="">
      <xdr:nvSpPr>
        <xdr:cNvPr id="395854" name="Line 196"/>
        <xdr:cNvSpPr>
          <a:spLocks noChangeShapeType="1"/>
        </xdr:cNvSpPr>
      </xdr:nvSpPr>
      <xdr:spPr bwMode="auto">
        <a:xfrm flipH="1">
          <a:off x="3686175" y="14306550"/>
          <a:ext cx="1143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142875</xdr:colOff>
      <xdr:row>108</xdr:row>
      <xdr:rowOff>0</xdr:rowOff>
    </xdr:from>
    <xdr:to>
      <xdr:col>5</xdr:col>
      <xdr:colOff>228600</xdr:colOff>
      <xdr:row>108</xdr:row>
      <xdr:rowOff>95250</xdr:rowOff>
    </xdr:to>
    <xdr:sp macro="" textlink="">
      <xdr:nvSpPr>
        <xdr:cNvPr id="395855" name="Line 197"/>
        <xdr:cNvSpPr>
          <a:spLocks noChangeShapeType="1"/>
        </xdr:cNvSpPr>
      </xdr:nvSpPr>
      <xdr:spPr bwMode="auto">
        <a:xfrm>
          <a:off x="3800475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123825</xdr:colOff>
      <xdr:row>108</xdr:row>
      <xdr:rowOff>0</xdr:rowOff>
    </xdr:from>
    <xdr:to>
      <xdr:col>5</xdr:col>
      <xdr:colOff>238125</xdr:colOff>
      <xdr:row>108</xdr:row>
      <xdr:rowOff>104775</xdr:rowOff>
    </xdr:to>
    <xdr:sp macro="" textlink="">
      <xdr:nvSpPr>
        <xdr:cNvPr id="395856" name="Line 198"/>
        <xdr:cNvSpPr>
          <a:spLocks noChangeShapeType="1"/>
        </xdr:cNvSpPr>
      </xdr:nvSpPr>
      <xdr:spPr bwMode="auto">
        <a:xfrm flipV="1">
          <a:off x="3781425" y="14306550"/>
          <a:ext cx="11430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247650</xdr:colOff>
      <xdr:row>108</xdr:row>
      <xdr:rowOff>0</xdr:rowOff>
    </xdr:from>
    <xdr:to>
      <xdr:col>5</xdr:col>
      <xdr:colOff>333375</xdr:colOff>
      <xdr:row>108</xdr:row>
      <xdr:rowOff>95250</xdr:rowOff>
    </xdr:to>
    <xdr:sp macro="" textlink="">
      <xdr:nvSpPr>
        <xdr:cNvPr id="395857" name="Line 199"/>
        <xdr:cNvSpPr>
          <a:spLocks noChangeShapeType="1"/>
        </xdr:cNvSpPr>
      </xdr:nvSpPr>
      <xdr:spPr bwMode="auto">
        <a:xfrm>
          <a:off x="3905250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</xdr:colOff>
      <xdr:row>108</xdr:row>
      <xdr:rowOff>0</xdr:rowOff>
    </xdr:from>
    <xdr:to>
      <xdr:col>4</xdr:col>
      <xdr:colOff>142875</xdr:colOff>
      <xdr:row>108</xdr:row>
      <xdr:rowOff>95250</xdr:rowOff>
    </xdr:to>
    <xdr:sp macro="" textlink="">
      <xdr:nvSpPr>
        <xdr:cNvPr id="395858" name="Line 200"/>
        <xdr:cNvSpPr>
          <a:spLocks noChangeShapeType="1"/>
        </xdr:cNvSpPr>
      </xdr:nvSpPr>
      <xdr:spPr bwMode="auto">
        <a:xfrm flipH="1">
          <a:off x="3076575" y="14306550"/>
          <a:ext cx="1143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142875</xdr:colOff>
      <xdr:row>108</xdr:row>
      <xdr:rowOff>0</xdr:rowOff>
    </xdr:from>
    <xdr:to>
      <xdr:col>4</xdr:col>
      <xdr:colOff>228600</xdr:colOff>
      <xdr:row>108</xdr:row>
      <xdr:rowOff>95250</xdr:rowOff>
    </xdr:to>
    <xdr:sp macro="" textlink="">
      <xdr:nvSpPr>
        <xdr:cNvPr id="395859" name="Line 201"/>
        <xdr:cNvSpPr>
          <a:spLocks noChangeShapeType="1"/>
        </xdr:cNvSpPr>
      </xdr:nvSpPr>
      <xdr:spPr bwMode="auto">
        <a:xfrm>
          <a:off x="3190875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123825</xdr:colOff>
      <xdr:row>108</xdr:row>
      <xdr:rowOff>0</xdr:rowOff>
    </xdr:from>
    <xdr:to>
      <xdr:col>4</xdr:col>
      <xdr:colOff>238125</xdr:colOff>
      <xdr:row>108</xdr:row>
      <xdr:rowOff>104775</xdr:rowOff>
    </xdr:to>
    <xdr:sp macro="" textlink="">
      <xdr:nvSpPr>
        <xdr:cNvPr id="395860" name="Line 202"/>
        <xdr:cNvSpPr>
          <a:spLocks noChangeShapeType="1"/>
        </xdr:cNvSpPr>
      </xdr:nvSpPr>
      <xdr:spPr bwMode="auto">
        <a:xfrm flipV="1">
          <a:off x="3171825" y="14306550"/>
          <a:ext cx="11430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108</xdr:row>
      <xdr:rowOff>0</xdr:rowOff>
    </xdr:from>
    <xdr:to>
      <xdr:col>4</xdr:col>
      <xdr:colOff>333375</xdr:colOff>
      <xdr:row>108</xdr:row>
      <xdr:rowOff>95250</xdr:rowOff>
    </xdr:to>
    <xdr:sp macro="" textlink="">
      <xdr:nvSpPr>
        <xdr:cNvPr id="395861" name="Line 203"/>
        <xdr:cNvSpPr>
          <a:spLocks noChangeShapeType="1"/>
        </xdr:cNvSpPr>
      </xdr:nvSpPr>
      <xdr:spPr bwMode="auto">
        <a:xfrm>
          <a:off x="3295650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</xdr:colOff>
      <xdr:row>108</xdr:row>
      <xdr:rowOff>0</xdr:rowOff>
    </xdr:from>
    <xdr:to>
      <xdr:col>4</xdr:col>
      <xdr:colOff>142875</xdr:colOff>
      <xdr:row>108</xdr:row>
      <xdr:rowOff>95250</xdr:rowOff>
    </xdr:to>
    <xdr:sp macro="" textlink="">
      <xdr:nvSpPr>
        <xdr:cNvPr id="395862" name="Line 204"/>
        <xdr:cNvSpPr>
          <a:spLocks noChangeShapeType="1"/>
        </xdr:cNvSpPr>
      </xdr:nvSpPr>
      <xdr:spPr bwMode="auto">
        <a:xfrm flipH="1">
          <a:off x="3076575" y="14306550"/>
          <a:ext cx="1143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142875</xdr:colOff>
      <xdr:row>108</xdr:row>
      <xdr:rowOff>0</xdr:rowOff>
    </xdr:from>
    <xdr:to>
      <xdr:col>4</xdr:col>
      <xdr:colOff>228600</xdr:colOff>
      <xdr:row>108</xdr:row>
      <xdr:rowOff>95250</xdr:rowOff>
    </xdr:to>
    <xdr:sp macro="" textlink="">
      <xdr:nvSpPr>
        <xdr:cNvPr id="395863" name="Line 205"/>
        <xdr:cNvSpPr>
          <a:spLocks noChangeShapeType="1"/>
        </xdr:cNvSpPr>
      </xdr:nvSpPr>
      <xdr:spPr bwMode="auto">
        <a:xfrm>
          <a:off x="3190875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123825</xdr:colOff>
      <xdr:row>108</xdr:row>
      <xdr:rowOff>0</xdr:rowOff>
    </xdr:from>
    <xdr:to>
      <xdr:col>4</xdr:col>
      <xdr:colOff>238125</xdr:colOff>
      <xdr:row>108</xdr:row>
      <xdr:rowOff>104775</xdr:rowOff>
    </xdr:to>
    <xdr:sp macro="" textlink="">
      <xdr:nvSpPr>
        <xdr:cNvPr id="395864" name="Line 206"/>
        <xdr:cNvSpPr>
          <a:spLocks noChangeShapeType="1"/>
        </xdr:cNvSpPr>
      </xdr:nvSpPr>
      <xdr:spPr bwMode="auto">
        <a:xfrm flipV="1">
          <a:off x="3171825" y="14306550"/>
          <a:ext cx="11430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108</xdr:row>
      <xdr:rowOff>0</xdr:rowOff>
    </xdr:from>
    <xdr:to>
      <xdr:col>4</xdr:col>
      <xdr:colOff>333375</xdr:colOff>
      <xdr:row>108</xdr:row>
      <xdr:rowOff>95250</xdr:rowOff>
    </xdr:to>
    <xdr:sp macro="" textlink="">
      <xdr:nvSpPr>
        <xdr:cNvPr id="395865" name="Line 207"/>
        <xdr:cNvSpPr>
          <a:spLocks noChangeShapeType="1"/>
        </xdr:cNvSpPr>
      </xdr:nvSpPr>
      <xdr:spPr bwMode="auto">
        <a:xfrm>
          <a:off x="3295650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257175</xdr:colOff>
      <xdr:row>105</xdr:row>
      <xdr:rowOff>9525</xdr:rowOff>
    </xdr:from>
    <xdr:to>
      <xdr:col>5</xdr:col>
      <xdr:colOff>257175</xdr:colOff>
      <xdr:row>108</xdr:row>
      <xdr:rowOff>9525</xdr:rowOff>
    </xdr:to>
    <xdr:sp macro="" textlink="">
      <xdr:nvSpPr>
        <xdr:cNvPr id="395866" name="Line 208"/>
        <xdr:cNvSpPr>
          <a:spLocks noChangeShapeType="1"/>
        </xdr:cNvSpPr>
      </xdr:nvSpPr>
      <xdr:spPr bwMode="auto">
        <a:xfrm>
          <a:off x="3914775" y="13830300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581025</xdr:colOff>
      <xdr:row>111</xdr:row>
      <xdr:rowOff>142875</xdr:rowOff>
    </xdr:from>
    <xdr:to>
      <xdr:col>4</xdr:col>
      <xdr:colOff>581025</xdr:colOff>
      <xdr:row>112</xdr:row>
      <xdr:rowOff>142875</xdr:rowOff>
    </xdr:to>
    <xdr:sp macro="" textlink="">
      <xdr:nvSpPr>
        <xdr:cNvPr id="395867" name="Line 209"/>
        <xdr:cNvSpPr>
          <a:spLocks noChangeShapeType="1"/>
        </xdr:cNvSpPr>
      </xdr:nvSpPr>
      <xdr:spPr bwMode="auto">
        <a:xfrm>
          <a:off x="3629025" y="14935200"/>
          <a:ext cx="0" cy="16192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0</xdr:colOff>
      <xdr:row>104</xdr:row>
      <xdr:rowOff>152400</xdr:rowOff>
    </xdr:from>
    <xdr:to>
      <xdr:col>4</xdr:col>
      <xdr:colOff>0</xdr:colOff>
      <xdr:row>119</xdr:row>
      <xdr:rowOff>95250</xdr:rowOff>
    </xdr:to>
    <xdr:sp macro="" textlink="">
      <xdr:nvSpPr>
        <xdr:cNvPr id="395868" name="Line 210"/>
        <xdr:cNvSpPr>
          <a:spLocks noChangeShapeType="1"/>
        </xdr:cNvSpPr>
      </xdr:nvSpPr>
      <xdr:spPr bwMode="auto">
        <a:xfrm>
          <a:off x="3048000" y="13811250"/>
          <a:ext cx="0" cy="2371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104</xdr:row>
      <xdr:rowOff>152400</xdr:rowOff>
    </xdr:from>
    <xdr:to>
      <xdr:col>4</xdr:col>
      <xdr:colOff>0</xdr:colOff>
      <xdr:row>119</xdr:row>
      <xdr:rowOff>104775</xdr:rowOff>
    </xdr:to>
    <xdr:sp macro="" textlink="">
      <xdr:nvSpPr>
        <xdr:cNvPr id="395869" name="Line 211"/>
        <xdr:cNvSpPr>
          <a:spLocks noChangeShapeType="1"/>
        </xdr:cNvSpPr>
      </xdr:nvSpPr>
      <xdr:spPr bwMode="auto">
        <a:xfrm flipH="1">
          <a:off x="2438400" y="13811250"/>
          <a:ext cx="609600" cy="2381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119</xdr:row>
      <xdr:rowOff>85725</xdr:rowOff>
    </xdr:from>
    <xdr:to>
      <xdr:col>4</xdr:col>
      <xdr:colOff>0</xdr:colOff>
      <xdr:row>119</xdr:row>
      <xdr:rowOff>85725</xdr:rowOff>
    </xdr:to>
    <xdr:sp macro="" textlink="">
      <xdr:nvSpPr>
        <xdr:cNvPr id="395870" name="Line 212"/>
        <xdr:cNvSpPr>
          <a:spLocks noChangeShapeType="1"/>
        </xdr:cNvSpPr>
      </xdr:nvSpPr>
      <xdr:spPr bwMode="auto">
        <a:xfrm>
          <a:off x="2438400" y="1617345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371475</xdr:colOff>
      <xdr:row>112</xdr:row>
      <xdr:rowOff>85725</xdr:rowOff>
    </xdr:from>
    <xdr:to>
      <xdr:col>3</xdr:col>
      <xdr:colOff>590550</xdr:colOff>
      <xdr:row>112</xdr:row>
      <xdr:rowOff>85725</xdr:rowOff>
    </xdr:to>
    <xdr:sp macro="" textlink="">
      <xdr:nvSpPr>
        <xdr:cNvPr id="395871" name="Line 213"/>
        <xdr:cNvSpPr>
          <a:spLocks noChangeShapeType="1"/>
        </xdr:cNvSpPr>
      </xdr:nvSpPr>
      <xdr:spPr bwMode="auto">
        <a:xfrm flipV="1">
          <a:off x="2200275" y="15039975"/>
          <a:ext cx="828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</xdr:col>
      <xdr:colOff>476250</xdr:colOff>
      <xdr:row>108</xdr:row>
      <xdr:rowOff>0</xdr:rowOff>
    </xdr:from>
    <xdr:to>
      <xdr:col>3</xdr:col>
      <xdr:colOff>476250</xdr:colOff>
      <xdr:row>119</xdr:row>
      <xdr:rowOff>85725</xdr:rowOff>
    </xdr:to>
    <xdr:sp macro="" textlink="">
      <xdr:nvSpPr>
        <xdr:cNvPr id="395872" name="Line 214"/>
        <xdr:cNvSpPr>
          <a:spLocks noChangeShapeType="1"/>
        </xdr:cNvSpPr>
      </xdr:nvSpPr>
      <xdr:spPr bwMode="auto">
        <a:xfrm>
          <a:off x="2914650" y="14306550"/>
          <a:ext cx="0" cy="1866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108</xdr:row>
      <xdr:rowOff>0</xdr:rowOff>
    </xdr:from>
    <xdr:to>
      <xdr:col>3</xdr:col>
      <xdr:colOff>142875</xdr:colOff>
      <xdr:row>108</xdr:row>
      <xdr:rowOff>95250</xdr:rowOff>
    </xdr:to>
    <xdr:sp macro="" textlink="">
      <xdr:nvSpPr>
        <xdr:cNvPr id="395873" name="Line 215"/>
        <xdr:cNvSpPr>
          <a:spLocks noChangeShapeType="1"/>
        </xdr:cNvSpPr>
      </xdr:nvSpPr>
      <xdr:spPr bwMode="auto">
        <a:xfrm flipH="1">
          <a:off x="2466975" y="14306550"/>
          <a:ext cx="1143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142875</xdr:colOff>
      <xdr:row>108</xdr:row>
      <xdr:rowOff>0</xdr:rowOff>
    </xdr:from>
    <xdr:to>
      <xdr:col>3</xdr:col>
      <xdr:colOff>228600</xdr:colOff>
      <xdr:row>108</xdr:row>
      <xdr:rowOff>95250</xdr:rowOff>
    </xdr:to>
    <xdr:sp macro="" textlink="">
      <xdr:nvSpPr>
        <xdr:cNvPr id="395874" name="Line 216"/>
        <xdr:cNvSpPr>
          <a:spLocks noChangeShapeType="1"/>
        </xdr:cNvSpPr>
      </xdr:nvSpPr>
      <xdr:spPr bwMode="auto">
        <a:xfrm>
          <a:off x="2581275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123825</xdr:colOff>
      <xdr:row>108</xdr:row>
      <xdr:rowOff>0</xdr:rowOff>
    </xdr:from>
    <xdr:to>
      <xdr:col>3</xdr:col>
      <xdr:colOff>238125</xdr:colOff>
      <xdr:row>108</xdr:row>
      <xdr:rowOff>104775</xdr:rowOff>
    </xdr:to>
    <xdr:sp macro="" textlink="">
      <xdr:nvSpPr>
        <xdr:cNvPr id="395875" name="Line 217"/>
        <xdr:cNvSpPr>
          <a:spLocks noChangeShapeType="1"/>
        </xdr:cNvSpPr>
      </xdr:nvSpPr>
      <xdr:spPr bwMode="auto">
        <a:xfrm flipV="1">
          <a:off x="2562225" y="14306550"/>
          <a:ext cx="11430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247650</xdr:colOff>
      <xdr:row>108</xdr:row>
      <xdr:rowOff>0</xdr:rowOff>
    </xdr:from>
    <xdr:to>
      <xdr:col>3</xdr:col>
      <xdr:colOff>333375</xdr:colOff>
      <xdr:row>108</xdr:row>
      <xdr:rowOff>95250</xdr:rowOff>
    </xdr:to>
    <xdr:sp macro="" textlink="">
      <xdr:nvSpPr>
        <xdr:cNvPr id="395876" name="Line 218"/>
        <xdr:cNvSpPr>
          <a:spLocks noChangeShapeType="1"/>
        </xdr:cNvSpPr>
      </xdr:nvSpPr>
      <xdr:spPr bwMode="auto">
        <a:xfrm>
          <a:off x="2686050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108</xdr:row>
      <xdr:rowOff>0</xdr:rowOff>
    </xdr:from>
    <xdr:to>
      <xdr:col>3</xdr:col>
      <xdr:colOff>142875</xdr:colOff>
      <xdr:row>108</xdr:row>
      <xdr:rowOff>95250</xdr:rowOff>
    </xdr:to>
    <xdr:sp macro="" textlink="">
      <xdr:nvSpPr>
        <xdr:cNvPr id="395877" name="Line 219"/>
        <xdr:cNvSpPr>
          <a:spLocks noChangeShapeType="1"/>
        </xdr:cNvSpPr>
      </xdr:nvSpPr>
      <xdr:spPr bwMode="auto">
        <a:xfrm flipH="1">
          <a:off x="2466975" y="14306550"/>
          <a:ext cx="1143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142875</xdr:colOff>
      <xdr:row>108</xdr:row>
      <xdr:rowOff>0</xdr:rowOff>
    </xdr:from>
    <xdr:to>
      <xdr:col>3</xdr:col>
      <xdr:colOff>228600</xdr:colOff>
      <xdr:row>108</xdr:row>
      <xdr:rowOff>95250</xdr:rowOff>
    </xdr:to>
    <xdr:sp macro="" textlink="">
      <xdr:nvSpPr>
        <xdr:cNvPr id="395878" name="Line 220"/>
        <xdr:cNvSpPr>
          <a:spLocks noChangeShapeType="1"/>
        </xdr:cNvSpPr>
      </xdr:nvSpPr>
      <xdr:spPr bwMode="auto">
        <a:xfrm>
          <a:off x="2581275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123825</xdr:colOff>
      <xdr:row>108</xdr:row>
      <xdr:rowOff>0</xdr:rowOff>
    </xdr:from>
    <xdr:to>
      <xdr:col>3</xdr:col>
      <xdr:colOff>238125</xdr:colOff>
      <xdr:row>108</xdr:row>
      <xdr:rowOff>104775</xdr:rowOff>
    </xdr:to>
    <xdr:sp macro="" textlink="">
      <xdr:nvSpPr>
        <xdr:cNvPr id="395879" name="Line 221"/>
        <xdr:cNvSpPr>
          <a:spLocks noChangeShapeType="1"/>
        </xdr:cNvSpPr>
      </xdr:nvSpPr>
      <xdr:spPr bwMode="auto">
        <a:xfrm flipV="1">
          <a:off x="2562225" y="14306550"/>
          <a:ext cx="11430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247650</xdr:colOff>
      <xdr:row>108</xdr:row>
      <xdr:rowOff>0</xdr:rowOff>
    </xdr:from>
    <xdr:to>
      <xdr:col>3</xdr:col>
      <xdr:colOff>333375</xdr:colOff>
      <xdr:row>108</xdr:row>
      <xdr:rowOff>95250</xdr:rowOff>
    </xdr:to>
    <xdr:sp macro="" textlink="">
      <xdr:nvSpPr>
        <xdr:cNvPr id="395880" name="Line 222"/>
        <xdr:cNvSpPr>
          <a:spLocks noChangeShapeType="1"/>
        </xdr:cNvSpPr>
      </xdr:nvSpPr>
      <xdr:spPr bwMode="auto">
        <a:xfrm>
          <a:off x="2686050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108</xdr:row>
      <xdr:rowOff>0</xdr:rowOff>
    </xdr:from>
    <xdr:to>
      <xdr:col>3</xdr:col>
      <xdr:colOff>142875</xdr:colOff>
      <xdr:row>108</xdr:row>
      <xdr:rowOff>95250</xdr:rowOff>
    </xdr:to>
    <xdr:sp macro="" textlink="">
      <xdr:nvSpPr>
        <xdr:cNvPr id="395881" name="Line 223"/>
        <xdr:cNvSpPr>
          <a:spLocks noChangeShapeType="1"/>
        </xdr:cNvSpPr>
      </xdr:nvSpPr>
      <xdr:spPr bwMode="auto">
        <a:xfrm flipH="1">
          <a:off x="2466975" y="14306550"/>
          <a:ext cx="1143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142875</xdr:colOff>
      <xdr:row>108</xdr:row>
      <xdr:rowOff>0</xdr:rowOff>
    </xdr:from>
    <xdr:to>
      <xdr:col>3</xdr:col>
      <xdr:colOff>228600</xdr:colOff>
      <xdr:row>108</xdr:row>
      <xdr:rowOff>95250</xdr:rowOff>
    </xdr:to>
    <xdr:sp macro="" textlink="">
      <xdr:nvSpPr>
        <xdr:cNvPr id="395882" name="Line 224"/>
        <xdr:cNvSpPr>
          <a:spLocks noChangeShapeType="1"/>
        </xdr:cNvSpPr>
      </xdr:nvSpPr>
      <xdr:spPr bwMode="auto">
        <a:xfrm>
          <a:off x="2581275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123825</xdr:colOff>
      <xdr:row>108</xdr:row>
      <xdr:rowOff>0</xdr:rowOff>
    </xdr:from>
    <xdr:to>
      <xdr:col>3</xdr:col>
      <xdr:colOff>238125</xdr:colOff>
      <xdr:row>108</xdr:row>
      <xdr:rowOff>104775</xdr:rowOff>
    </xdr:to>
    <xdr:sp macro="" textlink="">
      <xdr:nvSpPr>
        <xdr:cNvPr id="395883" name="Line 225"/>
        <xdr:cNvSpPr>
          <a:spLocks noChangeShapeType="1"/>
        </xdr:cNvSpPr>
      </xdr:nvSpPr>
      <xdr:spPr bwMode="auto">
        <a:xfrm flipV="1">
          <a:off x="2562225" y="14306550"/>
          <a:ext cx="11430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247650</xdr:colOff>
      <xdr:row>108</xdr:row>
      <xdr:rowOff>0</xdr:rowOff>
    </xdr:from>
    <xdr:to>
      <xdr:col>3</xdr:col>
      <xdr:colOff>333375</xdr:colOff>
      <xdr:row>108</xdr:row>
      <xdr:rowOff>95250</xdr:rowOff>
    </xdr:to>
    <xdr:sp macro="" textlink="">
      <xdr:nvSpPr>
        <xdr:cNvPr id="395884" name="Line 226"/>
        <xdr:cNvSpPr>
          <a:spLocks noChangeShapeType="1"/>
        </xdr:cNvSpPr>
      </xdr:nvSpPr>
      <xdr:spPr bwMode="auto">
        <a:xfrm>
          <a:off x="2686050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108</xdr:row>
      <xdr:rowOff>0</xdr:rowOff>
    </xdr:from>
    <xdr:to>
      <xdr:col>3</xdr:col>
      <xdr:colOff>142875</xdr:colOff>
      <xdr:row>108</xdr:row>
      <xdr:rowOff>95250</xdr:rowOff>
    </xdr:to>
    <xdr:sp macro="" textlink="">
      <xdr:nvSpPr>
        <xdr:cNvPr id="395885" name="Line 227"/>
        <xdr:cNvSpPr>
          <a:spLocks noChangeShapeType="1"/>
        </xdr:cNvSpPr>
      </xdr:nvSpPr>
      <xdr:spPr bwMode="auto">
        <a:xfrm flipH="1">
          <a:off x="2466975" y="14306550"/>
          <a:ext cx="1143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142875</xdr:colOff>
      <xdr:row>108</xdr:row>
      <xdr:rowOff>0</xdr:rowOff>
    </xdr:from>
    <xdr:to>
      <xdr:col>3</xdr:col>
      <xdr:colOff>228600</xdr:colOff>
      <xdr:row>108</xdr:row>
      <xdr:rowOff>95250</xdr:rowOff>
    </xdr:to>
    <xdr:sp macro="" textlink="">
      <xdr:nvSpPr>
        <xdr:cNvPr id="395886" name="Line 228"/>
        <xdr:cNvSpPr>
          <a:spLocks noChangeShapeType="1"/>
        </xdr:cNvSpPr>
      </xdr:nvSpPr>
      <xdr:spPr bwMode="auto">
        <a:xfrm>
          <a:off x="2581275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123825</xdr:colOff>
      <xdr:row>108</xdr:row>
      <xdr:rowOff>0</xdr:rowOff>
    </xdr:from>
    <xdr:to>
      <xdr:col>3</xdr:col>
      <xdr:colOff>238125</xdr:colOff>
      <xdr:row>108</xdr:row>
      <xdr:rowOff>104775</xdr:rowOff>
    </xdr:to>
    <xdr:sp macro="" textlink="">
      <xdr:nvSpPr>
        <xdr:cNvPr id="395887" name="Line 229"/>
        <xdr:cNvSpPr>
          <a:spLocks noChangeShapeType="1"/>
        </xdr:cNvSpPr>
      </xdr:nvSpPr>
      <xdr:spPr bwMode="auto">
        <a:xfrm flipV="1">
          <a:off x="2562225" y="14306550"/>
          <a:ext cx="11430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247650</xdr:colOff>
      <xdr:row>108</xdr:row>
      <xdr:rowOff>0</xdr:rowOff>
    </xdr:from>
    <xdr:to>
      <xdr:col>3</xdr:col>
      <xdr:colOff>333375</xdr:colOff>
      <xdr:row>108</xdr:row>
      <xdr:rowOff>95250</xdr:rowOff>
    </xdr:to>
    <xdr:sp macro="" textlink="">
      <xdr:nvSpPr>
        <xdr:cNvPr id="395888" name="Line 230"/>
        <xdr:cNvSpPr>
          <a:spLocks noChangeShapeType="1"/>
        </xdr:cNvSpPr>
      </xdr:nvSpPr>
      <xdr:spPr bwMode="auto">
        <a:xfrm>
          <a:off x="2686050" y="14306550"/>
          <a:ext cx="857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285750</xdr:colOff>
      <xdr:row>108</xdr:row>
      <xdr:rowOff>0</xdr:rowOff>
    </xdr:from>
    <xdr:to>
      <xdr:col>2</xdr:col>
      <xdr:colOff>552450</xdr:colOff>
      <xdr:row>108</xdr:row>
      <xdr:rowOff>0</xdr:rowOff>
    </xdr:to>
    <xdr:sp macro="" textlink="">
      <xdr:nvSpPr>
        <xdr:cNvPr id="395889" name="Line 231"/>
        <xdr:cNvSpPr>
          <a:spLocks noChangeShapeType="1"/>
        </xdr:cNvSpPr>
      </xdr:nvSpPr>
      <xdr:spPr bwMode="auto">
        <a:xfrm flipH="1">
          <a:off x="2114550" y="1430655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600075</xdr:colOff>
      <xdr:row>107</xdr:row>
      <xdr:rowOff>152400</xdr:rowOff>
    </xdr:from>
    <xdr:to>
      <xdr:col>2</xdr:col>
      <xdr:colOff>600075</xdr:colOff>
      <xdr:row>112</xdr:row>
      <xdr:rowOff>66675</xdr:rowOff>
    </xdr:to>
    <xdr:sp macro="" textlink="">
      <xdr:nvSpPr>
        <xdr:cNvPr id="395890" name="Line 232"/>
        <xdr:cNvSpPr>
          <a:spLocks noChangeShapeType="1"/>
        </xdr:cNvSpPr>
      </xdr:nvSpPr>
      <xdr:spPr bwMode="auto">
        <a:xfrm>
          <a:off x="2428875" y="14859000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542925</xdr:colOff>
      <xdr:row>119</xdr:row>
      <xdr:rowOff>76200</xdr:rowOff>
    </xdr:from>
    <xdr:to>
      <xdr:col>2</xdr:col>
      <xdr:colOff>85725</xdr:colOff>
      <xdr:row>119</xdr:row>
      <xdr:rowOff>76200</xdr:rowOff>
    </xdr:to>
    <xdr:sp macro="" textlink="">
      <xdr:nvSpPr>
        <xdr:cNvPr id="395891" name="Line 233"/>
        <xdr:cNvSpPr>
          <a:spLocks noChangeShapeType="1"/>
        </xdr:cNvSpPr>
      </xdr:nvSpPr>
      <xdr:spPr bwMode="auto">
        <a:xfrm>
          <a:off x="1762125" y="161639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523875</xdr:colOff>
      <xdr:row>108</xdr:row>
      <xdr:rowOff>0</xdr:rowOff>
    </xdr:from>
    <xdr:to>
      <xdr:col>2</xdr:col>
      <xdr:colOff>114300</xdr:colOff>
      <xdr:row>108</xdr:row>
      <xdr:rowOff>0</xdr:rowOff>
    </xdr:to>
    <xdr:sp macro="" textlink="">
      <xdr:nvSpPr>
        <xdr:cNvPr id="395892" name="Line 234"/>
        <xdr:cNvSpPr>
          <a:spLocks noChangeShapeType="1"/>
        </xdr:cNvSpPr>
      </xdr:nvSpPr>
      <xdr:spPr bwMode="auto">
        <a:xfrm>
          <a:off x="1743075" y="14306550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108</xdr:row>
      <xdr:rowOff>0</xdr:rowOff>
    </xdr:from>
    <xdr:to>
      <xdr:col>2</xdr:col>
      <xdr:colOff>0</xdr:colOff>
      <xdr:row>119</xdr:row>
      <xdr:rowOff>76200</xdr:rowOff>
    </xdr:to>
    <xdr:sp macro="" textlink="">
      <xdr:nvSpPr>
        <xdr:cNvPr id="395893" name="Line 235"/>
        <xdr:cNvSpPr>
          <a:spLocks noChangeShapeType="1"/>
        </xdr:cNvSpPr>
      </xdr:nvSpPr>
      <xdr:spPr bwMode="auto">
        <a:xfrm>
          <a:off x="1828800" y="14306550"/>
          <a:ext cx="0" cy="18573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571500</xdr:colOff>
      <xdr:row>119</xdr:row>
      <xdr:rowOff>19050</xdr:rowOff>
    </xdr:from>
    <xdr:to>
      <xdr:col>4</xdr:col>
      <xdr:colOff>581025</xdr:colOff>
      <xdr:row>120</xdr:row>
      <xdr:rowOff>0</xdr:rowOff>
    </xdr:to>
    <xdr:sp macro="" textlink="">
      <xdr:nvSpPr>
        <xdr:cNvPr id="395894" name="Line 236"/>
        <xdr:cNvSpPr>
          <a:spLocks noChangeShapeType="1"/>
        </xdr:cNvSpPr>
      </xdr:nvSpPr>
      <xdr:spPr bwMode="auto">
        <a:xfrm flipH="1">
          <a:off x="3619500" y="16106775"/>
          <a:ext cx="952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581025</xdr:colOff>
      <xdr:row>112</xdr:row>
      <xdr:rowOff>142875</xdr:rowOff>
    </xdr:from>
    <xdr:to>
      <xdr:col>4</xdr:col>
      <xdr:colOff>581025</xdr:colOff>
      <xdr:row>119</xdr:row>
      <xdr:rowOff>9525</xdr:rowOff>
    </xdr:to>
    <xdr:sp macro="" textlink="">
      <xdr:nvSpPr>
        <xdr:cNvPr id="395895" name="Line 237"/>
        <xdr:cNvSpPr>
          <a:spLocks noChangeShapeType="1"/>
        </xdr:cNvSpPr>
      </xdr:nvSpPr>
      <xdr:spPr bwMode="auto">
        <a:xfrm>
          <a:off x="3629025" y="15097125"/>
          <a:ext cx="0" cy="10001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5</xdr:col>
      <xdr:colOff>295275</xdr:colOff>
      <xdr:row>115</xdr:row>
      <xdr:rowOff>0</xdr:rowOff>
    </xdr:from>
    <xdr:ext cx="125291" cy="170560"/>
    <xdr:sp macro="" textlink="">
      <xdr:nvSpPr>
        <xdr:cNvPr id="11503" name="Text Box 239"/>
        <xdr:cNvSpPr txBox="1">
          <a:spLocks noChangeArrowheads="1"/>
        </xdr:cNvSpPr>
      </xdr:nvSpPr>
      <xdr:spPr bwMode="auto">
        <a:xfrm>
          <a:off x="3952875" y="14944725"/>
          <a:ext cx="12529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</xdr:col>
      <xdr:colOff>257175</xdr:colOff>
      <xdr:row>118</xdr:row>
      <xdr:rowOff>152400</xdr:rowOff>
    </xdr:from>
    <xdr:ext cx="125291" cy="170560"/>
    <xdr:sp macro="" textlink="">
      <xdr:nvSpPr>
        <xdr:cNvPr id="11504" name="Text Box 240"/>
        <xdr:cNvSpPr txBox="1">
          <a:spLocks noChangeArrowheads="1"/>
        </xdr:cNvSpPr>
      </xdr:nvSpPr>
      <xdr:spPr bwMode="auto">
        <a:xfrm>
          <a:off x="3914775" y="16640175"/>
          <a:ext cx="12529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257175</xdr:colOff>
      <xdr:row>108</xdr:row>
      <xdr:rowOff>9525</xdr:rowOff>
    </xdr:from>
    <xdr:to>
      <xdr:col>5</xdr:col>
      <xdr:colOff>257175</xdr:colOff>
      <xdr:row>112</xdr:row>
      <xdr:rowOff>9525</xdr:rowOff>
    </xdr:to>
    <xdr:sp macro="" textlink="">
      <xdr:nvSpPr>
        <xdr:cNvPr id="395899" name="Line 241"/>
        <xdr:cNvSpPr>
          <a:spLocks noChangeShapeType="1"/>
        </xdr:cNvSpPr>
      </xdr:nvSpPr>
      <xdr:spPr bwMode="auto">
        <a:xfrm>
          <a:off x="3914775" y="14316075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2</xdr:col>
      <xdr:colOff>314325</xdr:colOff>
      <xdr:row>114</xdr:row>
      <xdr:rowOff>0</xdr:rowOff>
    </xdr:from>
    <xdr:ext cx="125291" cy="170560"/>
    <xdr:sp macro="" textlink="">
      <xdr:nvSpPr>
        <xdr:cNvPr id="11506" name="Text Box 242"/>
        <xdr:cNvSpPr txBox="1">
          <a:spLocks noChangeArrowheads="1"/>
        </xdr:cNvSpPr>
      </xdr:nvSpPr>
      <xdr:spPr bwMode="auto">
        <a:xfrm>
          <a:off x="2143125" y="15840075"/>
          <a:ext cx="12529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0</xdr:colOff>
      <xdr:row>131</xdr:row>
      <xdr:rowOff>0</xdr:rowOff>
    </xdr:from>
    <xdr:to>
      <xdr:col>2</xdr:col>
      <xdr:colOff>0</xdr:colOff>
      <xdr:row>138</xdr:row>
      <xdr:rowOff>0</xdr:rowOff>
    </xdr:to>
    <xdr:sp macro="" textlink="">
      <xdr:nvSpPr>
        <xdr:cNvPr id="395901" name="Line 243"/>
        <xdr:cNvSpPr>
          <a:spLocks noChangeShapeType="1"/>
        </xdr:cNvSpPr>
      </xdr:nvSpPr>
      <xdr:spPr bwMode="auto">
        <a:xfrm>
          <a:off x="1219200" y="19230975"/>
          <a:ext cx="0" cy="113347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130</xdr:row>
      <xdr:rowOff>152400</xdr:rowOff>
    </xdr:from>
    <xdr:to>
      <xdr:col>4</xdr:col>
      <xdr:colOff>266700</xdr:colOff>
      <xdr:row>130</xdr:row>
      <xdr:rowOff>152400</xdr:rowOff>
    </xdr:to>
    <xdr:sp macro="" textlink="">
      <xdr:nvSpPr>
        <xdr:cNvPr id="395902" name="Line 244"/>
        <xdr:cNvSpPr>
          <a:spLocks noChangeShapeType="1"/>
        </xdr:cNvSpPr>
      </xdr:nvSpPr>
      <xdr:spPr bwMode="auto">
        <a:xfrm>
          <a:off x="1219200" y="19221450"/>
          <a:ext cx="1485900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130</xdr:row>
      <xdr:rowOff>152400</xdr:rowOff>
    </xdr:from>
    <xdr:to>
      <xdr:col>4</xdr:col>
      <xdr:colOff>0</xdr:colOff>
      <xdr:row>138</xdr:row>
      <xdr:rowOff>0</xdr:rowOff>
    </xdr:to>
    <xdr:sp macro="" textlink="">
      <xdr:nvSpPr>
        <xdr:cNvPr id="395903" name="Line 245"/>
        <xdr:cNvSpPr>
          <a:spLocks noChangeShapeType="1"/>
        </xdr:cNvSpPr>
      </xdr:nvSpPr>
      <xdr:spPr bwMode="auto">
        <a:xfrm>
          <a:off x="2438400" y="19221450"/>
          <a:ext cx="0" cy="114300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</xdr:colOff>
      <xdr:row>138</xdr:row>
      <xdr:rowOff>9525</xdr:rowOff>
    </xdr:from>
    <xdr:to>
      <xdr:col>4</xdr:col>
      <xdr:colOff>257175</xdr:colOff>
      <xdr:row>138</xdr:row>
      <xdr:rowOff>9525</xdr:rowOff>
    </xdr:to>
    <xdr:sp macro="" textlink="">
      <xdr:nvSpPr>
        <xdr:cNvPr id="395904" name="Line 246"/>
        <xdr:cNvSpPr>
          <a:spLocks noChangeShapeType="1"/>
        </xdr:cNvSpPr>
      </xdr:nvSpPr>
      <xdr:spPr bwMode="auto">
        <a:xfrm>
          <a:off x="1238250" y="19364325"/>
          <a:ext cx="14573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504825</xdr:colOff>
      <xdr:row>138</xdr:row>
      <xdr:rowOff>0</xdr:rowOff>
    </xdr:from>
    <xdr:to>
      <xdr:col>6</xdr:col>
      <xdr:colOff>371475</xdr:colOff>
      <xdr:row>138</xdr:row>
      <xdr:rowOff>0</xdr:rowOff>
    </xdr:to>
    <xdr:sp macro="" textlink="">
      <xdr:nvSpPr>
        <xdr:cNvPr id="395905" name="Line 247"/>
        <xdr:cNvSpPr>
          <a:spLocks noChangeShapeType="1"/>
        </xdr:cNvSpPr>
      </xdr:nvSpPr>
      <xdr:spPr bwMode="auto">
        <a:xfrm>
          <a:off x="3552825" y="20364450"/>
          <a:ext cx="476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228600</xdr:colOff>
      <xdr:row>130</xdr:row>
      <xdr:rowOff>152400</xdr:rowOff>
    </xdr:from>
    <xdr:to>
      <xdr:col>5</xdr:col>
      <xdr:colOff>228600</xdr:colOff>
      <xdr:row>137</xdr:row>
      <xdr:rowOff>142875</xdr:rowOff>
    </xdr:to>
    <xdr:sp macro="" textlink="">
      <xdr:nvSpPr>
        <xdr:cNvPr id="395906" name="Line 248"/>
        <xdr:cNvSpPr>
          <a:spLocks noChangeShapeType="1"/>
        </xdr:cNvSpPr>
      </xdr:nvSpPr>
      <xdr:spPr bwMode="auto">
        <a:xfrm>
          <a:off x="3276600" y="19221450"/>
          <a:ext cx="0" cy="112395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276225</xdr:colOff>
      <xdr:row>130</xdr:row>
      <xdr:rowOff>76200</xdr:rowOff>
    </xdr:from>
    <xdr:to>
      <xdr:col>4</xdr:col>
      <xdr:colOff>276225</xdr:colOff>
      <xdr:row>135</xdr:row>
      <xdr:rowOff>0</xdr:rowOff>
    </xdr:to>
    <xdr:sp macro="" textlink="">
      <xdr:nvSpPr>
        <xdr:cNvPr id="395907" name="Line 249"/>
        <xdr:cNvSpPr>
          <a:spLocks noChangeShapeType="1"/>
        </xdr:cNvSpPr>
      </xdr:nvSpPr>
      <xdr:spPr bwMode="auto">
        <a:xfrm>
          <a:off x="2714625" y="19145250"/>
          <a:ext cx="0" cy="733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276225</xdr:colOff>
      <xdr:row>135</xdr:row>
      <xdr:rowOff>0</xdr:rowOff>
    </xdr:from>
    <xdr:to>
      <xdr:col>4</xdr:col>
      <xdr:colOff>371475</xdr:colOff>
      <xdr:row>135</xdr:row>
      <xdr:rowOff>0</xdr:rowOff>
    </xdr:to>
    <xdr:sp macro="" textlink="">
      <xdr:nvSpPr>
        <xdr:cNvPr id="395908" name="Line 250"/>
        <xdr:cNvSpPr>
          <a:spLocks noChangeShapeType="1"/>
        </xdr:cNvSpPr>
      </xdr:nvSpPr>
      <xdr:spPr bwMode="auto">
        <a:xfrm>
          <a:off x="2714625" y="198786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190500</xdr:colOff>
      <xdr:row>134</xdr:row>
      <xdr:rowOff>152400</xdr:rowOff>
    </xdr:from>
    <xdr:to>
      <xdr:col>4</xdr:col>
      <xdr:colOff>371475</xdr:colOff>
      <xdr:row>136</xdr:row>
      <xdr:rowOff>9525</xdr:rowOff>
    </xdr:to>
    <xdr:sp macro="" textlink="">
      <xdr:nvSpPr>
        <xdr:cNvPr id="395909" name="Line 251"/>
        <xdr:cNvSpPr>
          <a:spLocks noChangeShapeType="1"/>
        </xdr:cNvSpPr>
      </xdr:nvSpPr>
      <xdr:spPr bwMode="auto">
        <a:xfrm flipH="1">
          <a:off x="2628900" y="19869150"/>
          <a:ext cx="1809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200025</xdr:colOff>
      <xdr:row>136</xdr:row>
      <xdr:rowOff>0</xdr:rowOff>
    </xdr:from>
    <xdr:to>
      <xdr:col>4</xdr:col>
      <xdr:colOff>266700</xdr:colOff>
      <xdr:row>136</xdr:row>
      <xdr:rowOff>0</xdr:rowOff>
    </xdr:to>
    <xdr:sp macro="" textlink="">
      <xdr:nvSpPr>
        <xdr:cNvPr id="395910" name="Line 252"/>
        <xdr:cNvSpPr>
          <a:spLocks noChangeShapeType="1"/>
        </xdr:cNvSpPr>
      </xdr:nvSpPr>
      <xdr:spPr bwMode="auto">
        <a:xfrm>
          <a:off x="2638425" y="2004060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276225</xdr:colOff>
      <xdr:row>136</xdr:row>
      <xdr:rowOff>0</xdr:rowOff>
    </xdr:from>
    <xdr:to>
      <xdr:col>4</xdr:col>
      <xdr:colOff>276225</xdr:colOff>
      <xdr:row>137</xdr:row>
      <xdr:rowOff>152400</xdr:rowOff>
    </xdr:to>
    <xdr:sp macro="" textlink="">
      <xdr:nvSpPr>
        <xdr:cNvPr id="395911" name="Line 253"/>
        <xdr:cNvSpPr>
          <a:spLocks noChangeShapeType="1"/>
        </xdr:cNvSpPr>
      </xdr:nvSpPr>
      <xdr:spPr bwMode="auto">
        <a:xfrm>
          <a:off x="2714625" y="2004060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485775</xdr:colOff>
      <xdr:row>130</xdr:row>
      <xdr:rowOff>76200</xdr:rowOff>
    </xdr:from>
    <xdr:to>
      <xdr:col>4</xdr:col>
      <xdr:colOff>485775</xdr:colOff>
      <xdr:row>135</xdr:row>
      <xdr:rowOff>0</xdr:rowOff>
    </xdr:to>
    <xdr:sp macro="" textlink="">
      <xdr:nvSpPr>
        <xdr:cNvPr id="395912" name="Line 254"/>
        <xdr:cNvSpPr>
          <a:spLocks noChangeShapeType="1"/>
        </xdr:cNvSpPr>
      </xdr:nvSpPr>
      <xdr:spPr bwMode="auto">
        <a:xfrm>
          <a:off x="2924175" y="19145250"/>
          <a:ext cx="0" cy="733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135</xdr:row>
      <xdr:rowOff>0</xdr:rowOff>
    </xdr:from>
    <xdr:to>
      <xdr:col>4</xdr:col>
      <xdr:colOff>590550</xdr:colOff>
      <xdr:row>135</xdr:row>
      <xdr:rowOff>0</xdr:rowOff>
    </xdr:to>
    <xdr:sp macro="" textlink="">
      <xdr:nvSpPr>
        <xdr:cNvPr id="395913" name="Line 255"/>
        <xdr:cNvSpPr>
          <a:spLocks noChangeShapeType="1"/>
        </xdr:cNvSpPr>
      </xdr:nvSpPr>
      <xdr:spPr bwMode="auto">
        <a:xfrm>
          <a:off x="2933700" y="198786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400050</xdr:colOff>
      <xdr:row>135</xdr:row>
      <xdr:rowOff>0</xdr:rowOff>
    </xdr:from>
    <xdr:to>
      <xdr:col>4</xdr:col>
      <xdr:colOff>581025</xdr:colOff>
      <xdr:row>136</xdr:row>
      <xdr:rowOff>19050</xdr:rowOff>
    </xdr:to>
    <xdr:sp macro="" textlink="">
      <xdr:nvSpPr>
        <xdr:cNvPr id="395914" name="Line 256"/>
        <xdr:cNvSpPr>
          <a:spLocks noChangeShapeType="1"/>
        </xdr:cNvSpPr>
      </xdr:nvSpPr>
      <xdr:spPr bwMode="auto">
        <a:xfrm flipH="1">
          <a:off x="2838450" y="19878675"/>
          <a:ext cx="1809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409575</xdr:colOff>
      <xdr:row>136</xdr:row>
      <xdr:rowOff>9525</xdr:rowOff>
    </xdr:from>
    <xdr:to>
      <xdr:col>4</xdr:col>
      <xdr:colOff>504825</xdr:colOff>
      <xdr:row>136</xdr:row>
      <xdr:rowOff>9525</xdr:rowOff>
    </xdr:to>
    <xdr:sp macro="" textlink="">
      <xdr:nvSpPr>
        <xdr:cNvPr id="395915" name="Line 257"/>
        <xdr:cNvSpPr>
          <a:spLocks noChangeShapeType="1"/>
        </xdr:cNvSpPr>
      </xdr:nvSpPr>
      <xdr:spPr bwMode="auto">
        <a:xfrm>
          <a:off x="2847975" y="2005012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276225</xdr:colOff>
      <xdr:row>130</xdr:row>
      <xdr:rowOff>76200</xdr:rowOff>
    </xdr:from>
    <xdr:to>
      <xdr:col>4</xdr:col>
      <xdr:colOff>276225</xdr:colOff>
      <xdr:row>135</xdr:row>
      <xdr:rowOff>0</xdr:rowOff>
    </xdr:to>
    <xdr:sp macro="" textlink="">
      <xdr:nvSpPr>
        <xdr:cNvPr id="395916" name="Line 258"/>
        <xdr:cNvSpPr>
          <a:spLocks noChangeShapeType="1"/>
        </xdr:cNvSpPr>
      </xdr:nvSpPr>
      <xdr:spPr bwMode="auto">
        <a:xfrm>
          <a:off x="2714625" y="19145250"/>
          <a:ext cx="0" cy="733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276225</xdr:colOff>
      <xdr:row>135</xdr:row>
      <xdr:rowOff>0</xdr:rowOff>
    </xdr:from>
    <xdr:to>
      <xdr:col>4</xdr:col>
      <xdr:colOff>371475</xdr:colOff>
      <xdr:row>135</xdr:row>
      <xdr:rowOff>0</xdr:rowOff>
    </xdr:to>
    <xdr:sp macro="" textlink="">
      <xdr:nvSpPr>
        <xdr:cNvPr id="395917" name="Line 259"/>
        <xdr:cNvSpPr>
          <a:spLocks noChangeShapeType="1"/>
        </xdr:cNvSpPr>
      </xdr:nvSpPr>
      <xdr:spPr bwMode="auto">
        <a:xfrm>
          <a:off x="2714625" y="198786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190500</xdr:colOff>
      <xdr:row>134</xdr:row>
      <xdr:rowOff>152400</xdr:rowOff>
    </xdr:from>
    <xdr:to>
      <xdr:col>4</xdr:col>
      <xdr:colOff>371475</xdr:colOff>
      <xdr:row>136</xdr:row>
      <xdr:rowOff>9525</xdr:rowOff>
    </xdr:to>
    <xdr:sp macro="" textlink="">
      <xdr:nvSpPr>
        <xdr:cNvPr id="395918" name="Line 260"/>
        <xdr:cNvSpPr>
          <a:spLocks noChangeShapeType="1"/>
        </xdr:cNvSpPr>
      </xdr:nvSpPr>
      <xdr:spPr bwMode="auto">
        <a:xfrm flipH="1">
          <a:off x="2628900" y="19869150"/>
          <a:ext cx="1809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200025</xdr:colOff>
      <xdr:row>136</xdr:row>
      <xdr:rowOff>0</xdr:rowOff>
    </xdr:from>
    <xdr:to>
      <xdr:col>4</xdr:col>
      <xdr:colOff>266700</xdr:colOff>
      <xdr:row>136</xdr:row>
      <xdr:rowOff>0</xdr:rowOff>
    </xdr:to>
    <xdr:sp macro="" textlink="">
      <xdr:nvSpPr>
        <xdr:cNvPr id="395919" name="Line 261"/>
        <xdr:cNvSpPr>
          <a:spLocks noChangeShapeType="1"/>
        </xdr:cNvSpPr>
      </xdr:nvSpPr>
      <xdr:spPr bwMode="auto">
        <a:xfrm>
          <a:off x="2638425" y="2004060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276225</xdr:colOff>
      <xdr:row>136</xdr:row>
      <xdr:rowOff>0</xdr:rowOff>
    </xdr:from>
    <xdr:to>
      <xdr:col>4</xdr:col>
      <xdr:colOff>276225</xdr:colOff>
      <xdr:row>138</xdr:row>
      <xdr:rowOff>85725</xdr:rowOff>
    </xdr:to>
    <xdr:sp macro="" textlink="">
      <xdr:nvSpPr>
        <xdr:cNvPr id="395920" name="Line 262"/>
        <xdr:cNvSpPr>
          <a:spLocks noChangeShapeType="1"/>
        </xdr:cNvSpPr>
      </xdr:nvSpPr>
      <xdr:spPr bwMode="auto">
        <a:xfrm>
          <a:off x="2714625" y="20040600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485775</xdr:colOff>
      <xdr:row>130</xdr:row>
      <xdr:rowOff>76200</xdr:rowOff>
    </xdr:from>
    <xdr:to>
      <xdr:col>4</xdr:col>
      <xdr:colOff>485775</xdr:colOff>
      <xdr:row>135</xdr:row>
      <xdr:rowOff>0</xdr:rowOff>
    </xdr:to>
    <xdr:sp macro="" textlink="">
      <xdr:nvSpPr>
        <xdr:cNvPr id="395921" name="Line 263"/>
        <xdr:cNvSpPr>
          <a:spLocks noChangeShapeType="1"/>
        </xdr:cNvSpPr>
      </xdr:nvSpPr>
      <xdr:spPr bwMode="auto">
        <a:xfrm>
          <a:off x="2924175" y="19145250"/>
          <a:ext cx="0" cy="733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135</xdr:row>
      <xdr:rowOff>0</xdr:rowOff>
    </xdr:from>
    <xdr:to>
      <xdr:col>4</xdr:col>
      <xdr:colOff>590550</xdr:colOff>
      <xdr:row>135</xdr:row>
      <xdr:rowOff>0</xdr:rowOff>
    </xdr:to>
    <xdr:sp macro="" textlink="">
      <xdr:nvSpPr>
        <xdr:cNvPr id="395922" name="Line 264"/>
        <xdr:cNvSpPr>
          <a:spLocks noChangeShapeType="1"/>
        </xdr:cNvSpPr>
      </xdr:nvSpPr>
      <xdr:spPr bwMode="auto">
        <a:xfrm>
          <a:off x="2933700" y="198786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400050</xdr:colOff>
      <xdr:row>135</xdr:row>
      <xdr:rowOff>0</xdr:rowOff>
    </xdr:from>
    <xdr:to>
      <xdr:col>4</xdr:col>
      <xdr:colOff>581025</xdr:colOff>
      <xdr:row>136</xdr:row>
      <xdr:rowOff>19050</xdr:rowOff>
    </xdr:to>
    <xdr:sp macro="" textlink="">
      <xdr:nvSpPr>
        <xdr:cNvPr id="395923" name="Line 265"/>
        <xdr:cNvSpPr>
          <a:spLocks noChangeShapeType="1"/>
        </xdr:cNvSpPr>
      </xdr:nvSpPr>
      <xdr:spPr bwMode="auto">
        <a:xfrm flipH="1">
          <a:off x="2838450" y="19878675"/>
          <a:ext cx="1809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409575</xdr:colOff>
      <xdr:row>136</xdr:row>
      <xdr:rowOff>9525</xdr:rowOff>
    </xdr:from>
    <xdr:to>
      <xdr:col>4</xdr:col>
      <xdr:colOff>504825</xdr:colOff>
      <xdr:row>136</xdr:row>
      <xdr:rowOff>9525</xdr:rowOff>
    </xdr:to>
    <xdr:sp macro="" textlink="">
      <xdr:nvSpPr>
        <xdr:cNvPr id="395924" name="Line 266"/>
        <xdr:cNvSpPr>
          <a:spLocks noChangeShapeType="1"/>
        </xdr:cNvSpPr>
      </xdr:nvSpPr>
      <xdr:spPr bwMode="auto">
        <a:xfrm>
          <a:off x="2847975" y="2005012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485775</xdr:colOff>
      <xdr:row>136</xdr:row>
      <xdr:rowOff>9525</xdr:rowOff>
    </xdr:from>
    <xdr:to>
      <xdr:col>4</xdr:col>
      <xdr:colOff>485775</xdr:colOff>
      <xdr:row>138</xdr:row>
      <xdr:rowOff>95250</xdr:rowOff>
    </xdr:to>
    <xdr:sp macro="" textlink="">
      <xdr:nvSpPr>
        <xdr:cNvPr id="395925" name="Line 267"/>
        <xdr:cNvSpPr>
          <a:spLocks noChangeShapeType="1"/>
        </xdr:cNvSpPr>
      </xdr:nvSpPr>
      <xdr:spPr bwMode="auto">
        <a:xfrm>
          <a:off x="2924175" y="20050125"/>
          <a:ext cx="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514350</xdr:colOff>
      <xdr:row>138</xdr:row>
      <xdr:rowOff>0</xdr:rowOff>
    </xdr:from>
    <xdr:to>
      <xdr:col>7</xdr:col>
      <xdr:colOff>257175</xdr:colOff>
      <xdr:row>138</xdr:row>
      <xdr:rowOff>0</xdr:rowOff>
    </xdr:to>
    <xdr:sp macro="" textlink="">
      <xdr:nvSpPr>
        <xdr:cNvPr id="395926" name="Line 268"/>
        <xdr:cNvSpPr>
          <a:spLocks noChangeShapeType="1"/>
        </xdr:cNvSpPr>
      </xdr:nvSpPr>
      <xdr:spPr bwMode="auto">
        <a:xfrm>
          <a:off x="2952750" y="19354800"/>
          <a:ext cx="15716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476250</xdr:colOff>
      <xdr:row>131</xdr:row>
      <xdr:rowOff>0</xdr:rowOff>
    </xdr:from>
    <xdr:to>
      <xdr:col>7</xdr:col>
      <xdr:colOff>247650</xdr:colOff>
      <xdr:row>131</xdr:row>
      <xdr:rowOff>0</xdr:rowOff>
    </xdr:to>
    <xdr:sp macro="" textlink="">
      <xdr:nvSpPr>
        <xdr:cNvPr id="395927" name="Line 269"/>
        <xdr:cNvSpPr>
          <a:spLocks noChangeShapeType="1"/>
        </xdr:cNvSpPr>
      </xdr:nvSpPr>
      <xdr:spPr bwMode="auto">
        <a:xfrm>
          <a:off x="2914650" y="19230975"/>
          <a:ext cx="1600200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247650</xdr:colOff>
      <xdr:row>131</xdr:row>
      <xdr:rowOff>0</xdr:rowOff>
    </xdr:from>
    <xdr:to>
      <xdr:col>7</xdr:col>
      <xdr:colOff>247650</xdr:colOff>
      <xdr:row>138</xdr:row>
      <xdr:rowOff>0</xdr:rowOff>
    </xdr:to>
    <xdr:sp macro="" textlink="">
      <xdr:nvSpPr>
        <xdr:cNvPr id="395928" name="Line 270"/>
        <xdr:cNvSpPr>
          <a:spLocks noChangeShapeType="1"/>
        </xdr:cNvSpPr>
      </xdr:nvSpPr>
      <xdr:spPr bwMode="auto">
        <a:xfrm>
          <a:off x="4514850" y="19230975"/>
          <a:ext cx="0" cy="113347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129</xdr:row>
      <xdr:rowOff>0</xdr:rowOff>
    </xdr:from>
    <xdr:to>
      <xdr:col>7</xdr:col>
      <xdr:colOff>228600</xdr:colOff>
      <xdr:row>129</xdr:row>
      <xdr:rowOff>0</xdr:rowOff>
    </xdr:to>
    <xdr:sp macro="" textlink="">
      <xdr:nvSpPr>
        <xdr:cNvPr id="395929" name="Line 271"/>
        <xdr:cNvSpPr>
          <a:spLocks noChangeShapeType="1"/>
        </xdr:cNvSpPr>
      </xdr:nvSpPr>
      <xdr:spPr bwMode="auto">
        <a:xfrm>
          <a:off x="1219200" y="18907125"/>
          <a:ext cx="3276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129</xdr:row>
      <xdr:rowOff>0</xdr:rowOff>
    </xdr:from>
    <xdr:to>
      <xdr:col>2</xdr:col>
      <xdr:colOff>0</xdr:colOff>
      <xdr:row>130</xdr:row>
      <xdr:rowOff>152400</xdr:rowOff>
    </xdr:to>
    <xdr:sp macro="" textlink="">
      <xdr:nvSpPr>
        <xdr:cNvPr id="395930" name="Line 272"/>
        <xdr:cNvSpPr>
          <a:spLocks noChangeShapeType="1"/>
        </xdr:cNvSpPr>
      </xdr:nvSpPr>
      <xdr:spPr bwMode="auto">
        <a:xfrm>
          <a:off x="1219200" y="189071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sm" len="sm"/>
          <a:tailEnd type="triangle" w="sm" len="med"/>
        </a:ln>
      </xdr:spPr>
    </xdr:sp>
    <xdr:clientData/>
  </xdr:twoCellAnchor>
  <xdr:twoCellAnchor>
    <xdr:from>
      <xdr:col>7</xdr:col>
      <xdr:colOff>238125</xdr:colOff>
      <xdr:row>129</xdr:row>
      <xdr:rowOff>0</xdr:rowOff>
    </xdr:from>
    <xdr:to>
      <xdr:col>7</xdr:col>
      <xdr:colOff>238125</xdr:colOff>
      <xdr:row>130</xdr:row>
      <xdr:rowOff>152400</xdr:rowOff>
    </xdr:to>
    <xdr:sp macro="" textlink="">
      <xdr:nvSpPr>
        <xdr:cNvPr id="395931" name="Line 273"/>
        <xdr:cNvSpPr>
          <a:spLocks noChangeShapeType="1"/>
        </xdr:cNvSpPr>
      </xdr:nvSpPr>
      <xdr:spPr bwMode="auto">
        <a:xfrm>
          <a:off x="4505325" y="189071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</xdr:col>
      <xdr:colOff>0</xdr:colOff>
      <xdr:row>129</xdr:row>
      <xdr:rowOff>0</xdr:rowOff>
    </xdr:from>
    <xdr:to>
      <xdr:col>3</xdr:col>
      <xdr:colOff>0</xdr:colOff>
      <xdr:row>130</xdr:row>
      <xdr:rowOff>142875</xdr:rowOff>
    </xdr:to>
    <xdr:sp macro="" textlink="">
      <xdr:nvSpPr>
        <xdr:cNvPr id="395932" name="Line 274"/>
        <xdr:cNvSpPr>
          <a:spLocks noChangeShapeType="1"/>
        </xdr:cNvSpPr>
      </xdr:nvSpPr>
      <xdr:spPr bwMode="auto">
        <a:xfrm>
          <a:off x="1828800" y="18907125"/>
          <a:ext cx="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295275</xdr:colOff>
      <xdr:row>129</xdr:row>
      <xdr:rowOff>0</xdr:rowOff>
    </xdr:from>
    <xdr:to>
      <xdr:col>2</xdr:col>
      <xdr:colOff>295275</xdr:colOff>
      <xdr:row>130</xdr:row>
      <xdr:rowOff>152400</xdr:rowOff>
    </xdr:to>
    <xdr:sp macro="" textlink="">
      <xdr:nvSpPr>
        <xdr:cNvPr id="395933" name="Line 275"/>
        <xdr:cNvSpPr>
          <a:spLocks noChangeShapeType="1"/>
        </xdr:cNvSpPr>
      </xdr:nvSpPr>
      <xdr:spPr bwMode="auto">
        <a:xfrm>
          <a:off x="1514475" y="189071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</xdr:col>
      <xdr:colOff>295275</xdr:colOff>
      <xdr:row>129</xdr:row>
      <xdr:rowOff>0</xdr:rowOff>
    </xdr:from>
    <xdr:to>
      <xdr:col>3</xdr:col>
      <xdr:colOff>295275</xdr:colOff>
      <xdr:row>130</xdr:row>
      <xdr:rowOff>152400</xdr:rowOff>
    </xdr:to>
    <xdr:sp macro="" textlink="">
      <xdr:nvSpPr>
        <xdr:cNvPr id="395934" name="Line 276"/>
        <xdr:cNvSpPr>
          <a:spLocks noChangeShapeType="1"/>
        </xdr:cNvSpPr>
      </xdr:nvSpPr>
      <xdr:spPr bwMode="auto">
        <a:xfrm>
          <a:off x="2124075" y="189071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</xdr:col>
      <xdr:colOff>542925</xdr:colOff>
      <xdr:row>129</xdr:row>
      <xdr:rowOff>9525</xdr:rowOff>
    </xdr:from>
    <xdr:to>
      <xdr:col>3</xdr:col>
      <xdr:colOff>542925</xdr:colOff>
      <xdr:row>131</xdr:row>
      <xdr:rowOff>0</xdr:rowOff>
    </xdr:to>
    <xdr:sp macro="" textlink="">
      <xdr:nvSpPr>
        <xdr:cNvPr id="395935" name="Line 277"/>
        <xdr:cNvSpPr>
          <a:spLocks noChangeShapeType="1"/>
        </xdr:cNvSpPr>
      </xdr:nvSpPr>
      <xdr:spPr bwMode="auto">
        <a:xfrm>
          <a:off x="2371725" y="189166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28575</xdr:colOff>
      <xdr:row>129</xdr:row>
      <xdr:rowOff>19050</xdr:rowOff>
    </xdr:from>
    <xdr:to>
      <xdr:col>5</xdr:col>
      <xdr:colOff>28575</xdr:colOff>
      <xdr:row>131</xdr:row>
      <xdr:rowOff>9525</xdr:rowOff>
    </xdr:to>
    <xdr:sp macro="" textlink="">
      <xdr:nvSpPr>
        <xdr:cNvPr id="395936" name="Line 278"/>
        <xdr:cNvSpPr>
          <a:spLocks noChangeShapeType="1"/>
        </xdr:cNvSpPr>
      </xdr:nvSpPr>
      <xdr:spPr bwMode="auto">
        <a:xfrm>
          <a:off x="3076575" y="189261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219075</xdr:colOff>
      <xdr:row>129</xdr:row>
      <xdr:rowOff>9525</xdr:rowOff>
    </xdr:from>
    <xdr:to>
      <xdr:col>4</xdr:col>
      <xdr:colOff>219075</xdr:colOff>
      <xdr:row>131</xdr:row>
      <xdr:rowOff>0</xdr:rowOff>
    </xdr:to>
    <xdr:sp macro="" textlink="">
      <xdr:nvSpPr>
        <xdr:cNvPr id="395937" name="Line 279"/>
        <xdr:cNvSpPr>
          <a:spLocks noChangeShapeType="1"/>
        </xdr:cNvSpPr>
      </xdr:nvSpPr>
      <xdr:spPr bwMode="auto">
        <a:xfrm>
          <a:off x="2657475" y="189166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295275</xdr:colOff>
      <xdr:row>129</xdr:row>
      <xdr:rowOff>0</xdr:rowOff>
    </xdr:from>
    <xdr:to>
      <xdr:col>5</xdr:col>
      <xdr:colOff>295275</xdr:colOff>
      <xdr:row>130</xdr:row>
      <xdr:rowOff>152400</xdr:rowOff>
    </xdr:to>
    <xdr:sp macro="" textlink="">
      <xdr:nvSpPr>
        <xdr:cNvPr id="395938" name="Line 280"/>
        <xdr:cNvSpPr>
          <a:spLocks noChangeShapeType="1"/>
        </xdr:cNvSpPr>
      </xdr:nvSpPr>
      <xdr:spPr bwMode="auto">
        <a:xfrm>
          <a:off x="3343275" y="189071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228600</xdr:colOff>
      <xdr:row>129</xdr:row>
      <xdr:rowOff>9525</xdr:rowOff>
    </xdr:from>
    <xdr:to>
      <xdr:col>6</xdr:col>
      <xdr:colOff>228600</xdr:colOff>
      <xdr:row>131</xdr:row>
      <xdr:rowOff>0</xdr:rowOff>
    </xdr:to>
    <xdr:sp macro="" textlink="">
      <xdr:nvSpPr>
        <xdr:cNvPr id="395939" name="Line 281"/>
        <xdr:cNvSpPr>
          <a:spLocks noChangeShapeType="1"/>
        </xdr:cNvSpPr>
      </xdr:nvSpPr>
      <xdr:spPr bwMode="auto">
        <a:xfrm>
          <a:off x="3886200" y="189166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581025</xdr:colOff>
      <xdr:row>129</xdr:row>
      <xdr:rowOff>0</xdr:rowOff>
    </xdr:from>
    <xdr:to>
      <xdr:col>5</xdr:col>
      <xdr:colOff>581025</xdr:colOff>
      <xdr:row>130</xdr:row>
      <xdr:rowOff>152400</xdr:rowOff>
    </xdr:to>
    <xdr:sp macro="" textlink="">
      <xdr:nvSpPr>
        <xdr:cNvPr id="395940" name="Line 282"/>
        <xdr:cNvSpPr>
          <a:spLocks noChangeShapeType="1"/>
        </xdr:cNvSpPr>
      </xdr:nvSpPr>
      <xdr:spPr bwMode="auto">
        <a:xfrm>
          <a:off x="3629025" y="189071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533400</xdr:colOff>
      <xdr:row>129</xdr:row>
      <xdr:rowOff>0</xdr:rowOff>
    </xdr:from>
    <xdr:to>
      <xdr:col>6</xdr:col>
      <xdr:colOff>533400</xdr:colOff>
      <xdr:row>131</xdr:row>
      <xdr:rowOff>0</xdr:rowOff>
    </xdr:to>
    <xdr:sp macro="" textlink="">
      <xdr:nvSpPr>
        <xdr:cNvPr id="395941" name="Line 283"/>
        <xdr:cNvSpPr>
          <a:spLocks noChangeShapeType="1"/>
        </xdr:cNvSpPr>
      </xdr:nvSpPr>
      <xdr:spPr bwMode="auto">
        <a:xfrm>
          <a:off x="4191000" y="18907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371475</xdr:colOff>
      <xdr:row>131</xdr:row>
      <xdr:rowOff>0</xdr:rowOff>
    </xdr:from>
    <xdr:to>
      <xdr:col>2</xdr:col>
      <xdr:colOff>0</xdr:colOff>
      <xdr:row>131</xdr:row>
      <xdr:rowOff>0</xdr:rowOff>
    </xdr:to>
    <xdr:sp macro="" textlink="">
      <xdr:nvSpPr>
        <xdr:cNvPr id="395942" name="Line 284"/>
        <xdr:cNvSpPr>
          <a:spLocks noChangeShapeType="1"/>
        </xdr:cNvSpPr>
      </xdr:nvSpPr>
      <xdr:spPr bwMode="auto">
        <a:xfrm>
          <a:off x="981075" y="19230975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123825</xdr:colOff>
      <xdr:row>138</xdr:row>
      <xdr:rowOff>0</xdr:rowOff>
    </xdr:from>
    <xdr:to>
      <xdr:col>1</xdr:col>
      <xdr:colOff>600075</xdr:colOff>
      <xdr:row>138</xdr:row>
      <xdr:rowOff>0</xdr:rowOff>
    </xdr:to>
    <xdr:sp macro="" textlink="">
      <xdr:nvSpPr>
        <xdr:cNvPr id="395943" name="Line 285"/>
        <xdr:cNvSpPr>
          <a:spLocks noChangeShapeType="1"/>
        </xdr:cNvSpPr>
      </xdr:nvSpPr>
      <xdr:spPr bwMode="auto">
        <a:xfrm>
          <a:off x="733425" y="20364450"/>
          <a:ext cx="476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142875</xdr:colOff>
      <xdr:row>131</xdr:row>
      <xdr:rowOff>19050</xdr:rowOff>
    </xdr:from>
    <xdr:to>
      <xdr:col>1</xdr:col>
      <xdr:colOff>371475</xdr:colOff>
      <xdr:row>138</xdr:row>
      <xdr:rowOff>0</xdr:rowOff>
    </xdr:to>
    <xdr:sp macro="" textlink="">
      <xdr:nvSpPr>
        <xdr:cNvPr id="395944" name="Line 286"/>
        <xdr:cNvSpPr>
          <a:spLocks noChangeShapeType="1"/>
        </xdr:cNvSpPr>
      </xdr:nvSpPr>
      <xdr:spPr bwMode="auto">
        <a:xfrm flipH="1">
          <a:off x="752475" y="19250025"/>
          <a:ext cx="228600" cy="1114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276225</xdr:colOff>
      <xdr:row>134</xdr:row>
      <xdr:rowOff>19050</xdr:rowOff>
    </xdr:from>
    <xdr:to>
      <xdr:col>1</xdr:col>
      <xdr:colOff>600075</xdr:colOff>
      <xdr:row>134</xdr:row>
      <xdr:rowOff>19050</xdr:rowOff>
    </xdr:to>
    <xdr:sp macro="" textlink="">
      <xdr:nvSpPr>
        <xdr:cNvPr id="395945" name="Line 287"/>
        <xdr:cNvSpPr>
          <a:spLocks noChangeShapeType="1"/>
        </xdr:cNvSpPr>
      </xdr:nvSpPr>
      <xdr:spPr bwMode="auto">
        <a:xfrm>
          <a:off x="885825" y="197358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219075</xdr:colOff>
      <xdr:row>135</xdr:row>
      <xdr:rowOff>152400</xdr:rowOff>
    </xdr:from>
    <xdr:to>
      <xdr:col>1</xdr:col>
      <xdr:colOff>600075</xdr:colOff>
      <xdr:row>135</xdr:row>
      <xdr:rowOff>152400</xdr:rowOff>
    </xdr:to>
    <xdr:sp macro="" textlink="">
      <xdr:nvSpPr>
        <xdr:cNvPr id="395946" name="Line 288"/>
        <xdr:cNvSpPr>
          <a:spLocks noChangeShapeType="1"/>
        </xdr:cNvSpPr>
      </xdr:nvSpPr>
      <xdr:spPr bwMode="auto">
        <a:xfrm>
          <a:off x="828675" y="200310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</xdr:col>
      <xdr:colOff>323850</xdr:colOff>
      <xdr:row>132</xdr:row>
      <xdr:rowOff>95250</xdr:rowOff>
    </xdr:from>
    <xdr:to>
      <xdr:col>2</xdr:col>
      <xdr:colOff>0</xdr:colOff>
      <xdr:row>132</xdr:row>
      <xdr:rowOff>95250</xdr:rowOff>
    </xdr:to>
    <xdr:sp macro="" textlink="">
      <xdr:nvSpPr>
        <xdr:cNvPr id="395947" name="Line 289"/>
        <xdr:cNvSpPr>
          <a:spLocks noChangeShapeType="1"/>
        </xdr:cNvSpPr>
      </xdr:nvSpPr>
      <xdr:spPr bwMode="auto">
        <a:xfrm>
          <a:off x="933450" y="1948815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247650</xdr:colOff>
      <xdr:row>130</xdr:row>
      <xdr:rowOff>152400</xdr:rowOff>
    </xdr:from>
    <xdr:to>
      <xdr:col>7</xdr:col>
      <xdr:colOff>514350</xdr:colOff>
      <xdr:row>130</xdr:row>
      <xdr:rowOff>152400</xdr:rowOff>
    </xdr:to>
    <xdr:sp macro="" textlink="">
      <xdr:nvSpPr>
        <xdr:cNvPr id="395948" name="Line 290"/>
        <xdr:cNvSpPr>
          <a:spLocks noChangeShapeType="1"/>
        </xdr:cNvSpPr>
      </xdr:nvSpPr>
      <xdr:spPr bwMode="auto">
        <a:xfrm flipH="1">
          <a:off x="4514850" y="1922145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247650</xdr:colOff>
      <xdr:row>138</xdr:row>
      <xdr:rowOff>0</xdr:rowOff>
    </xdr:from>
    <xdr:to>
      <xdr:col>8</xdr:col>
      <xdr:colOff>66675</xdr:colOff>
      <xdr:row>138</xdr:row>
      <xdr:rowOff>0</xdr:rowOff>
    </xdr:to>
    <xdr:sp macro="" textlink="">
      <xdr:nvSpPr>
        <xdr:cNvPr id="395949" name="Line 291"/>
        <xdr:cNvSpPr>
          <a:spLocks noChangeShapeType="1"/>
        </xdr:cNvSpPr>
      </xdr:nvSpPr>
      <xdr:spPr bwMode="auto">
        <a:xfrm flipH="1">
          <a:off x="4514850" y="20364450"/>
          <a:ext cx="42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504825</xdr:colOff>
      <xdr:row>130</xdr:row>
      <xdr:rowOff>152400</xdr:rowOff>
    </xdr:from>
    <xdr:to>
      <xdr:col>8</xdr:col>
      <xdr:colOff>66675</xdr:colOff>
      <xdr:row>138</xdr:row>
      <xdr:rowOff>9525</xdr:rowOff>
    </xdr:to>
    <xdr:sp macro="" textlink="">
      <xdr:nvSpPr>
        <xdr:cNvPr id="395950" name="Line 292"/>
        <xdr:cNvSpPr>
          <a:spLocks noChangeShapeType="1"/>
        </xdr:cNvSpPr>
      </xdr:nvSpPr>
      <xdr:spPr bwMode="auto">
        <a:xfrm>
          <a:off x="4772025" y="19221450"/>
          <a:ext cx="171450" cy="1152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238125</xdr:colOff>
      <xdr:row>135</xdr:row>
      <xdr:rowOff>152400</xdr:rowOff>
    </xdr:from>
    <xdr:to>
      <xdr:col>8</xdr:col>
      <xdr:colOff>19050</xdr:colOff>
      <xdr:row>135</xdr:row>
      <xdr:rowOff>152400</xdr:rowOff>
    </xdr:to>
    <xdr:sp macro="" textlink="">
      <xdr:nvSpPr>
        <xdr:cNvPr id="395951" name="Line 293"/>
        <xdr:cNvSpPr>
          <a:spLocks noChangeShapeType="1"/>
        </xdr:cNvSpPr>
      </xdr:nvSpPr>
      <xdr:spPr bwMode="auto">
        <a:xfrm flipH="1">
          <a:off x="4505325" y="20031075"/>
          <a:ext cx="390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247650</xdr:colOff>
      <xdr:row>134</xdr:row>
      <xdr:rowOff>28575</xdr:rowOff>
    </xdr:from>
    <xdr:to>
      <xdr:col>7</xdr:col>
      <xdr:colOff>581025</xdr:colOff>
      <xdr:row>134</xdr:row>
      <xdr:rowOff>28575</xdr:rowOff>
    </xdr:to>
    <xdr:sp macro="" textlink="">
      <xdr:nvSpPr>
        <xdr:cNvPr id="395952" name="Line 294"/>
        <xdr:cNvSpPr>
          <a:spLocks noChangeShapeType="1"/>
        </xdr:cNvSpPr>
      </xdr:nvSpPr>
      <xdr:spPr bwMode="auto">
        <a:xfrm flipH="1">
          <a:off x="4514850" y="1974532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257175</xdr:colOff>
      <xdr:row>132</xdr:row>
      <xdr:rowOff>76200</xdr:rowOff>
    </xdr:from>
    <xdr:to>
      <xdr:col>7</xdr:col>
      <xdr:colOff>542925</xdr:colOff>
      <xdr:row>132</xdr:row>
      <xdr:rowOff>76200</xdr:rowOff>
    </xdr:to>
    <xdr:sp macro="" textlink="">
      <xdr:nvSpPr>
        <xdr:cNvPr id="395953" name="Line 295"/>
        <xdr:cNvSpPr>
          <a:spLocks noChangeShapeType="1"/>
        </xdr:cNvSpPr>
      </xdr:nvSpPr>
      <xdr:spPr bwMode="auto">
        <a:xfrm flipH="1">
          <a:off x="4524375" y="1946910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0</xdr:colOff>
      <xdr:row>140</xdr:row>
      <xdr:rowOff>76200</xdr:rowOff>
    </xdr:from>
    <xdr:to>
      <xdr:col>7</xdr:col>
      <xdr:colOff>266700</xdr:colOff>
      <xdr:row>140</xdr:row>
      <xdr:rowOff>76200</xdr:rowOff>
    </xdr:to>
    <xdr:sp macro="" textlink="">
      <xdr:nvSpPr>
        <xdr:cNvPr id="395954" name="Line 296"/>
        <xdr:cNvSpPr>
          <a:spLocks noChangeShapeType="1"/>
        </xdr:cNvSpPr>
      </xdr:nvSpPr>
      <xdr:spPr bwMode="auto">
        <a:xfrm>
          <a:off x="1219200" y="20764500"/>
          <a:ext cx="3314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138</xdr:row>
      <xdr:rowOff>9525</xdr:rowOff>
    </xdr:from>
    <xdr:to>
      <xdr:col>2</xdr:col>
      <xdr:colOff>0</xdr:colOff>
      <xdr:row>140</xdr:row>
      <xdr:rowOff>76200</xdr:rowOff>
    </xdr:to>
    <xdr:sp macro="" textlink="">
      <xdr:nvSpPr>
        <xdr:cNvPr id="395955" name="Line 297"/>
        <xdr:cNvSpPr>
          <a:spLocks noChangeShapeType="1"/>
        </xdr:cNvSpPr>
      </xdr:nvSpPr>
      <xdr:spPr bwMode="auto">
        <a:xfrm flipV="1">
          <a:off x="1219200" y="2037397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247650</xdr:colOff>
      <xdr:row>138</xdr:row>
      <xdr:rowOff>9525</xdr:rowOff>
    </xdr:from>
    <xdr:to>
      <xdr:col>7</xdr:col>
      <xdr:colOff>247650</xdr:colOff>
      <xdr:row>140</xdr:row>
      <xdr:rowOff>76200</xdr:rowOff>
    </xdr:to>
    <xdr:sp macro="" textlink="">
      <xdr:nvSpPr>
        <xdr:cNvPr id="395956" name="Line 298"/>
        <xdr:cNvSpPr>
          <a:spLocks noChangeShapeType="1"/>
        </xdr:cNvSpPr>
      </xdr:nvSpPr>
      <xdr:spPr bwMode="auto">
        <a:xfrm flipV="1">
          <a:off x="4514850" y="2037397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</xdr:col>
      <xdr:colOff>533400</xdr:colOff>
      <xdr:row>138</xdr:row>
      <xdr:rowOff>9525</xdr:rowOff>
    </xdr:from>
    <xdr:to>
      <xdr:col>3</xdr:col>
      <xdr:colOff>533400</xdr:colOff>
      <xdr:row>140</xdr:row>
      <xdr:rowOff>66675</xdr:rowOff>
    </xdr:to>
    <xdr:sp macro="" textlink="">
      <xdr:nvSpPr>
        <xdr:cNvPr id="395957" name="Line 299"/>
        <xdr:cNvSpPr>
          <a:spLocks noChangeShapeType="1"/>
        </xdr:cNvSpPr>
      </xdr:nvSpPr>
      <xdr:spPr bwMode="auto">
        <a:xfrm flipV="1">
          <a:off x="2362200" y="20373975"/>
          <a:ext cx="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0</xdr:colOff>
      <xdr:row>138</xdr:row>
      <xdr:rowOff>0</xdr:rowOff>
    </xdr:from>
    <xdr:to>
      <xdr:col>6</xdr:col>
      <xdr:colOff>0</xdr:colOff>
      <xdr:row>140</xdr:row>
      <xdr:rowOff>66675</xdr:rowOff>
    </xdr:to>
    <xdr:sp macro="" textlink="">
      <xdr:nvSpPr>
        <xdr:cNvPr id="395958" name="Line 300"/>
        <xdr:cNvSpPr>
          <a:spLocks noChangeShapeType="1"/>
        </xdr:cNvSpPr>
      </xdr:nvSpPr>
      <xdr:spPr bwMode="auto">
        <a:xfrm flipV="1">
          <a:off x="3657600" y="20364450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0</xdr:colOff>
      <xdr:row>138</xdr:row>
      <xdr:rowOff>0</xdr:rowOff>
    </xdr:from>
    <xdr:to>
      <xdr:col>5</xdr:col>
      <xdr:colOff>0</xdr:colOff>
      <xdr:row>140</xdr:row>
      <xdr:rowOff>66675</xdr:rowOff>
    </xdr:to>
    <xdr:sp macro="" textlink="">
      <xdr:nvSpPr>
        <xdr:cNvPr id="395959" name="Line 301"/>
        <xdr:cNvSpPr>
          <a:spLocks noChangeShapeType="1"/>
        </xdr:cNvSpPr>
      </xdr:nvSpPr>
      <xdr:spPr bwMode="auto">
        <a:xfrm flipH="1" flipV="1">
          <a:off x="3048000" y="20364450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419100</xdr:colOff>
      <xdr:row>138</xdr:row>
      <xdr:rowOff>9525</xdr:rowOff>
    </xdr:from>
    <xdr:to>
      <xdr:col>6</xdr:col>
      <xdr:colOff>419100</xdr:colOff>
      <xdr:row>140</xdr:row>
      <xdr:rowOff>76200</xdr:rowOff>
    </xdr:to>
    <xdr:sp macro="" textlink="">
      <xdr:nvSpPr>
        <xdr:cNvPr id="395960" name="Line 302"/>
        <xdr:cNvSpPr>
          <a:spLocks noChangeShapeType="1"/>
        </xdr:cNvSpPr>
      </xdr:nvSpPr>
      <xdr:spPr bwMode="auto">
        <a:xfrm flipV="1">
          <a:off x="4076700" y="2037397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304800</xdr:colOff>
      <xdr:row>138</xdr:row>
      <xdr:rowOff>0</xdr:rowOff>
    </xdr:from>
    <xdr:to>
      <xdr:col>2</xdr:col>
      <xdr:colOff>304800</xdr:colOff>
      <xdr:row>140</xdr:row>
      <xdr:rowOff>76200</xdr:rowOff>
    </xdr:to>
    <xdr:sp macro="" textlink="">
      <xdr:nvSpPr>
        <xdr:cNvPr id="395961" name="Line 303"/>
        <xdr:cNvSpPr>
          <a:spLocks noChangeShapeType="1"/>
        </xdr:cNvSpPr>
      </xdr:nvSpPr>
      <xdr:spPr bwMode="auto">
        <a:xfrm flipV="1">
          <a:off x="1524000" y="20364450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</xdr:col>
      <xdr:colOff>133350</xdr:colOff>
      <xdr:row>138</xdr:row>
      <xdr:rowOff>9525</xdr:rowOff>
    </xdr:from>
    <xdr:to>
      <xdr:col>3</xdr:col>
      <xdr:colOff>133350</xdr:colOff>
      <xdr:row>140</xdr:row>
      <xdr:rowOff>85725</xdr:rowOff>
    </xdr:to>
    <xdr:sp macro="" textlink="">
      <xdr:nvSpPr>
        <xdr:cNvPr id="395962" name="Line 304"/>
        <xdr:cNvSpPr>
          <a:spLocks noChangeShapeType="1"/>
        </xdr:cNvSpPr>
      </xdr:nvSpPr>
      <xdr:spPr bwMode="auto">
        <a:xfrm flipV="1">
          <a:off x="1962150" y="203739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238125</xdr:colOff>
      <xdr:row>138</xdr:row>
      <xdr:rowOff>9525</xdr:rowOff>
    </xdr:from>
    <xdr:to>
      <xdr:col>4</xdr:col>
      <xdr:colOff>238125</xdr:colOff>
      <xdr:row>140</xdr:row>
      <xdr:rowOff>76200</xdr:rowOff>
    </xdr:to>
    <xdr:sp macro="" textlink="">
      <xdr:nvSpPr>
        <xdr:cNvPr id="395963" name="Line 305"/>
        <xdr:cNvSpPr>
          <a:spLocks noChangeShapeType="1"/>
        </xdr:cNvSpPr>
      </xdr:nvSpPr>
      <xdr:spPr bwMode="auto">
        <a:xfrm flipV="1">
          <a:off x="2676525" y="2037397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342900</xdr:colOff>
      <xdr:row>138</xdr:row>
      <xdr:rowOff>0</xdr:rowOff>
    </xdr:from>
    <xdr:to>
      <xdr:col>5</xdr:col>
      <xdr:colOff>342900</xdr:colOff>
      <xdr:row>140</xdr:row>
      <xdr:rowOff>76200</xdr:rowOff>
    </xdr:to>
    <xdr:sp macro="" textlink="">
      <xdr:nvSpPr>
        <xdr:cNvPr id="395964" name="Line 306"/>
        <xdr:cNvSpPr>
          <a:spLocks noChangeShapeType="1"/>
        </xdr:cNvSpPr>
      </xdr:nvSpPr>
      <xdr:spPr bwMode="auto">
        <a:xfrm flipV="1">
          <a:off x="3390900" y="20364450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47625</xdr:colOff>
      <xdr:row>127</xdr:row>
      <xdr:rowOff>66675</xdr:rowOff>
    </xdr:from>
    <xdr:to>
      <xdr:col>4</xdr:col>
      <xdr:colOff>466725</xdr:colOff>
      <xdr:row>129</xdr:row>
      <xdr:rowOff>0</xdr:rowOff>
    </xdr:to>
    <xdr:sp macro="" textlink="">
      <xdr:nvSpPr>
        <xdr:cNvPr id="395965" name="Line 307"/>
        <xdr:cNvSpPr>
          <a:spLocks noChangeShapeType="1"/>
        </xdr:cNvSpPr>
      </xdr:nvSpPr>
      <xdr:spPr bwMode="auto">
        <a:xfrm flipH="1">
          <a:off x="2486025" y="18649950"/>
          <a:ext cx="41910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457200</xdr:colOff>
      <xdr:row>127</xdr:row>
      <xdr:rowOff>76200</xdr:rowOff>
    </xdr:from>
    <xdr:to>
      <xdr:col>5</xdr:col>
      <xdr:colOff>76200</xdr:colOff>
      <xdr:row>127</xdr:row>
      <xdr:rowOff>76200</xdr:rowOff>
    </xdr:to>
    <xdr:sp macro="" textlink="">
      <xdr:nvSpPr>
        <xdr:cNvPr id="395966" name="Line 308"/>
        <xdr:cNvSpPr>
          <a:spLocks noChangeShapeType="1"/>
        </xdr:cNvSpPr>
      </xdr:nvSpPr>
      <xdr:spPr bwMode="auto">
        <a:xfrm>
          <a:off x="2895600" y="186594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447675</xdr:colOff>
      <xdr:row>140</xdr:row>
      <xdr:rowOff>76200</xdr:rowOff>
    </xdr:from>
    <xdr:to>
      <xdr:col>4</xdr:col>
      <xdr:colOff>381000</xdr:colOff>
      <xdr:row>142</xdr:row>
      <xdr:rowOff>95250</xdr:rowOff>
    </xdr:to>
    <xdr:sp macro="" textlink="">
      <xdr:nvSpPr>
        <xdr:cNvPr id="395967" name="Line 309"/>
        <xdr:cNvSpPr>
          <a:spLocks noChangeShapeType="1"/>
        </xdr:cNvSpPr>
      </xdr:nvSpPr>
      <xdr:spPr bwMode="auto">
        <a:xfrm flipH="1" flipV="1">
          <a:off x="2276475" y="20764500"/>
          <a:ext cx="542925" cy="342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390525</xdr:colOff>
      <xdr:row>142</xdr:row>
      <xdr:rowOff>95250</xdr:rowOff>
    </xdr:from>
    <xdr:to>
      <xdr:col>5</xdr:col>
      <xdr:colOff>85725</xdr:colOff>
      <xdr:row>142</xdr:row>
      <xdr:rowOff>95250</xdr:rowOff>
    </xdr:to>
    <xdr:sp macro="" textlink="">
      <xdr:nvSpPr>
        <xdr:cNvPr id="395968" name="Line 310"/>
        <xdr:cNvSpPr>
          <a:spLocks noChangeShapeType="1"/>
        </xdr:cNvSpPr>
      </xdr:nvSpPr>
      <xdr:spPr bwMode="auto">
        <a:xfrm>
          <a:off x="2828925" y="21107400"/>
          <a:ext cx="304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419100</xdr:colOff>
      <xdr:row>129</xdr:row>
      <xdr:rowOff>95250</xdr:rowOff>
    </xdr:from>
    <xdr:to>
      <xdr:col>7</xdr:col>
      <xdr:colOff>571500</xdr:colOff>
      <xdr:row>130</xdr:row>
      <xdr:rowOff>152400</xdr:rowOff>
    </xdr:to>
    <xdr:sp macro="" textlink="">
      <xdr:nvSpPr>
        <xdr:cNvPr id="395969" name="Line 311"/>
        <xdr:cNvSpPr>
          <a:spLocks noChangeShapeType="1"/>
        </xdr:cNvSpPr>
      </xdr:nvSpPr>
      <xdr:spPr bwMode="auto">
        <a:xfrm flipH="1">
          <a:off x="4686300" y="19002375"/>
          <a:ext cx="15240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561975</xdr:colOff>
      <xdr:row>129</xdr:row>
      <xdr:rowOff>95250</xdr:rowOff>
    </xdr:from>
    <xdr:to>
      <xdr:col>8</xdr:col>
      <xdr:colOff>38100</xdr:colOff>
      <xdr:row>129</xdr:row>
      <xdr:rowOff>95250</xdr:rowOff>
    </xdr:to>
    <xdr:sp macro="" textlink="">
      <xdr:nvSpPr>
        <xdr:cNvPr id="395970" name="Line 312"/>
        <xdr:cNvSpPr>
          <a:spLocks noChangeShapeType="1"/>
        </xdr:cNvSpPr>
      </xdr:nvSpPr>
      <xdr:spPr bwMode="auto">
        <a:xfrm>
          <a:off x="4829175" y="19002375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466725</xdr:colOff>
      <xdr:row>138</xdr:row>
      <xdr:rowOff>9525</xdr:rowOff>
    </xdr:from>
    <xdr:to>
      <xdr:col>8</xdr:col>
      <xdr:colOff>0</xdr:colOff>
      <xdr:row>139</xdr:row>
      <xdr:rowOff>95250</xdr:rowOff>
    </xdr:to>
    <xdr:sp macro="" textlink="">
      <xdr:nvSpPr>
        <xdr:cNvPr id="395971" name="Line 313"/>
        <xdr:cNvSpPr>
          <a:spLocks noChangeShapeType="1"/>
        </xdr:cNvSpPr>
      </xdr:nvSpPr>
      <xdr:spPr bwMode="auto">
        <a:xfrm flipH="1" flipV="1">
          <a:off x="4733925" y="20373975"/>
          <a:ext cx="1428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0</xdr:colOff>
      <xdr:row>139</xdr:row>
      <xdr:rowOff>95250</xdr:rowOff>
    </xdr:from>
    <xdr:to>
      <xdr:col>8</xdr:col>
      <xdr:colOff>85725</xdr:colOff>
      <xdr:row>139</xdr:row>
      <xdr:rowOff>95250</xdr:rowOff>
    </xdr:to>
    <xdr:sp macro="" textlink="">
      <xdr:nvSpPr>
        <xdr:cNvPr id="395972" name="Line 314"/>
        <xdr:cNvSpPr>
          <a:spLocks noChangeShapeType="1"/>
        </xdr:cNvSpPr>
      </xdr:nvSpPr>
      <xdr:spPr bwMode="auto">
        <a:xfrm>
          <a:off x="4876800" y="20621625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142875</xdr:colOff>
      <xdr:row>129</xdr:row>
      <xdr:rowOff>76200</xdr:rowOff>
    </xdr:from>
    <xdr:to>
      <xdr:col>1</xdr:col>
      <xdr:colOff>438150</xdr:colOff>
      <xdr:row>131</xdr:row>
      <xdr:rowOff>0</xdr:rowOff>
    </xdr:to>
    <xdr:sp macro="" textlink="">
      <xdr:nvSpPr>
        <xdr:cNvPr id="395973" name="Line 315"/>
        <xdr:cNvSpPr>
          <a:spLocks noChangeShapeType="1"/>
        </xdr:cNvSpPr>
      </xdr:nvSpPr>
      <xdr:spPr bwMode="auto">
        <a:xfrm>
          <a:off x="752475" y="18983325"/>
          <a:ext cx="2952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9525</xdr:colOff>
      <xdr:row>129</xdr:row>
      <xdr:rowOff>85725</xdr:rowOff>
    </xdr:from>
    <xdr:to>
      <xdr:col>1</xdr:col>
      <xdr:colOff>152400</xdr:colOff>
      <xdr:row>129</xdr:row>
      <xdr:rowOff>85725</xdr:rowOff>
    </xdr:to>
    <xdr:sp macro="" textlink="">
      <xdr:nvSpPr>
        <xdr:cNvPr id="395974" name="Line 316"/>
        <xdr:cNvSpPr>
          <a:spLocks noChangeShapeType="1"/>
        </xdr:cNvSpPr>
      </xdr:nvSpPr>
      <xdr:spPr bwMode="auto">
        <a:xfrm flipH="1">
          <a:off x="619125" y="189928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142875</xdr:colOff>
      <xdr:row>138</xdr:row>
      <xdr:rowOff>0</xdr:rowOff>
    </xdr:from>
    <xdr:to>
      <xdr:col>1</xdr:col>
      <xdr:colOff>361950</xdr:colOff>
      <xdr:row>139</xdr:row>
      <xdr:rowOff>85725</xdr:rowOff>
    </xdr:to>
    <xdr:sp macro="" textlink="">
      <xdr:nvSpPr>
        <xdr:cNvPr id="395975" name="Line 317"/>
        <xdr:cNvSpPr>
          <a:spLocks noChangeShapeType="1"/>
        </xdr:cNvSpPr>
      </xdr:nvSpPr>
      <xdr:spPr bwMode="auto">
        <a:xfrm flipV="1">
          <a:off x="752475" y="20364450"/>
          <a:ext cx="2190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0</xdr:colOff>
      <xdr:row>139</xdr:row>
      <xdr:rowOff>76200</xdr:rowOff>
    </xdr:from>
    <xdr:to>
      <xdr:col>1</xdr:col>
      <xdr:colOff>142875</xdr:colOff>
      <xdr:row>139</xdr:row>
      <xdr:rowOff>76200</xdr:rowOff>
    </xdr:to>
    <xdr:sp macro="" textlink="">
      <xdr:nvSpPr>
        <xdr:cNvPr id="395976" name="Line 318"/>
        <xdr:cNvSpPr>
          <a:spLocks noChangeShapeType="1"/>
        </xdr:cNvSpPr>
      </xdr:nvSpPr>
      <xdr:spPr bwMode="auto">
        <a:xfrm flipH="1">
          <a:off x="609600" y="206025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142875</xdr:colOff>
      <xdr:row>77</xdr:row>
      <xdr:rowOff>109294</xdr:rowOff>
    </xdr:from>
    <xdr:to>
      <xdr:col>3</xdr:col>
      <xdr:colOff>438150</xdr:colOff>
      <xdr:row>77</xdr:row>
      <xdr:rowOff>110882</xdr:rowOff>
    </xdr:to>
    <xdr:cxnSp macro="">
      <xdr:nvCxnSpPr>
        <xdr:cNvPr id="327" name="Straight Arrow Connector 326"/>
        <xdr:cNvCxnSpPr/>
      </xdr:nvCxnSpPr>
      <xdr:spPr bwMode="auto">
        <a:xfrm>
          <a:off x="751224" y="13093190"/>
          <a:ext cx="1511972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123032</xdr:colOff>
      <xdr:row>77</xdr:row>
      <xdr:rowOff>65524</xdr:rowOff>
    </xdr:from>
    <xdr:to>
      <xdr:col>1</xdr:col>
      <xdr:colOff>124620</xdr:colOff>
      <xdr:row>78</xdr:row>
      <xdr:rowOff>65524</xdr:rowOff>
    </xdr:to>
    <xdr:cxnSp macro="">
      <xdr:nvCxnSpPr>
        <xdr:cNvPr id="329" name="Straight Connector 328"/>
        <xdr:cNvCxnSpPr/>
      </xdr:nvCxnSpPr>
      <xdr:spPr bwMode="auto">
        <a:xfrm rot="5400000">
          <a:off x="650482" y="13130319"/>
          <a:ext cx="16338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431308</xdr:colOff>
      <xdr:row>77</xdr:row>
      <xdr:rowOff>55858</xdr:rowOff>
    </xdr:from>
    <xdr:to>
      <xdr:col>3</xdr:col>
      <xdr:colOff>432896</xdr:colOff>
      <xdr:row>78</xdr:row>
      <xdr:rowOff>46333</xdr:rowOff>
    </xdr:to>
    <xdr:cxnSp macro="">
      <xdr:nvCxnSpPr>
        <xdr:cNvPr id="332" name="Straight Connector 331"/>
        <xdr:cNvCxnSpPr/>
      </xdr:nvCxnSpPr>
      <xdr:spPr bwMode="auto">
        <a:xfrm rot="5400000">
          <a:off x="2180218" y="13115890"/>
          <a:ext cx="15386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0</xdr:colOff>
      <xdr:row>153</xdr:row>
      <xdr:rowOff>0</xdr:rowOff>
    </xdr:from>
    <xdr:to>
      <xdr:col>5</xdr:col>
      <xdr:colOff>0</xdr:colOff>
      <xdr:row>154</xdr:row>
      <xdr:rowOff>142875</xdr:rowOff>
    </xdr:to>
    <xdr:sp macro="" textlink="">
      <xdr:nvSpPr>
        <xdr:cNvPr id="317" name="Line 274"/>
        <xdr:cNvSpPr>
          <a:spLocks noChangeShapeType="1"/>
        </xdr:cNvSpPr>
      </xdr:nvSpPr>
      <xdr:spPr bwMode="auto">
        <a:xfrm>
          <a:off x="1828800" y="17897475"/>
          <a:ext cx="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295275</xdr:colOff>
      <xdr:row>153</xdr:row>
      <xdr:rowOff>0</xdr:rowOff>
    </xdr:from>
    <xdr:to>
      <xdr:col>4</xdr:col>
      <xdr:colOff>295275</xdr:colOff>
      <xdr:row>154</xdr:row>
      <xdr:rowOff>152400</xdr:rowOff>
    </xdr:to>
    <xdr:sp macro="" textlink="">
      <xdr:nvSpPr>
        <xdr:cNvPr id="318" name="Line 275"/>
        <xdr:cNvSpPr>
          <a:spLocks noChangeShapeType="1"/>
        </xdr:cNvSpPr>
      </xdr:nvSpPr>
      <xdr:spPr bwMode="auto">
        <a:xfrm>
          <a:off x="1514475" y="178974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295275</xdr:colOff>
      <xdr:row>153</xdr:row>
      <xdr:rowOff>0</xdr:rowOff>
    </xdr:from>
    <xdr:to>
      <xdr:col>5</xdr:col>
      <xdr:colOff>295275</xdr:colOff>
      <xdr:row>154</xdr:row>
      <xdr:rowOff>152400</xdr:rowOff>
    </xdr:to>
    <xdr:sp macro="" textlink="">
      <xdr:nvSpPr>
        <xdr:cNvPr id="319" name="Line 276"/>
        <xdr:cNvSpPr>
          <a:spLocks noChangeShapeType="1"/>
        </xdr:cNvSpPr>
      </xdr:nvSpPr>
      <xdr:spPr bwMode="auto">
        <a:xfrm>
          <a:off x="2124075" y="178974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542925</xdr:colOff>
      <xdr:row>153</xdr:row>
      <xdr:rowOff>9525</xdr:rowOff>
    </xdr:from>
    <xdr:to>
      <xdr:col>5</xdr:col>
      <xdr:colOff>542925</xdr:colOff>
      <xdr:row>155</xdr:row>
      <xdr:rowOff>0</xdr:rowOff>
    </xdr:to>
    <xdr:sp macro="" textlink="">
      <xdr:nvSpPr>
        <xdr:cNvPr id="320" name="Line 277"/>
        <xdr:cNvSpPr>
          <a:spLocks noChangeShapeType="1"/>
        </xdr:cNvSpPr>
      </xdr:nvSpPr>
      <xdr:spPr bwMode="auto">
        <a:xfrm>
          <a:off x="2371725" y="1790700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28575</xdr:colOff>
      <xdr:row>153</xdr:row>
      <xdr:rowOff>19050</xdr:rowOff>
    </xdr:from>
    <xdr:to>
      <xdr:col>7</xdr:col>
      <xdr:colOff>28575</xdr:colOff>
      <xdr:row>155</xdr:row>
      <xdr:rowOff>9525</xdr:rowOff>
    </xdr:to>
    <xdr:sp macro="" textlink="">
      <xdr:nvSpPr>
        <xdr:cNvPr id="321" name="Line 278"/>
        <xdr:cNvSpPr>
          <a:spLocks noChangeShapeType="1"/>
        </xdr:cNvSpPr>
      </xdr:nvSpPr>
      <xdr:spPr bwMode="auto">
        <a:xfrm>
          <a:off x="3076575" y="179165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219075</xdr:colOff>
      <xdr:row>153</xdr:row>
      <xdr:rowOff>9525</xdr:rowOff>
    </xdr:from>
    <xdr:to>
      <xdr:col>6</xdr:col>
      <xdr:colOff>219075</xdr:colOff>
      <xdr:row>155</xdr:row>
      <xdr:rowOff>0</xdr:rowOff>
    </xdr:to>
    <xdr:sp macro="" textlink="">
      <xdr:nvSpPr>
        <xdr:cNvPr id="322" name="Line 279"/>
        <xdr:cNvSpPr>
          <a:spLocks noChangeShapeType="1"/>
        </xdr:cNvSpPr>
      </xdr:nvSpPr>
      <xdr:spPr bwMode="auto">
        <a:xfrm>
          <a:off x="2657475" y="1790700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419100</xdr:colOff>
      <xdr:row>152</xdr:row>
      <xdr:rowOff>152400</xdr:rowOff>
    </xdr:from>
    <xdr:to>
      <xdr:col>6</xdr:col>
      <xdr:colOff>419100</xdr:colOff>
      <xdr:row>154</xdr:row>
      <xdr:rowOff>142875</xdr:rowOff>
    </xdr:to>
    <xdr:sp macro="" textlink="">
      <xdr:nvSpPr>
        <xdr:cNvPr id="323" name="Line 280"/>
        <xdr:cNvSpPr>
          <a:spLocks noChangeShapeType="1"/>
        </xdr:cNvSpPr>
      </xdr:nvSpPr>
      <xdr:spPr bwMode="auto">
        <a:xfrm>
          <a:off x="4076700" y="2663190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581025</xdr:colOff>
      <xdr:row>153</xdr:row>
      <xdr:rowOff>0</xdr:rowOff>
    </xdr:from>
    <xdr:to>
      <xdr:col>7</xdr:col>
      <xdr:colOff>581025</xdr:colOff>
      <xdr:row>154</xdr:row>
      <xdr:rowOff>152400</xdr:rowOff>
    </xdr:to>
    <xdr:sp macro="" textlink="">
      <xdr:nvSpPr>
        <xdr:cNvPr id="324" name="Line 282"/>
        <xdr:cNvSpPr>
          <a:spLocks noChangeShapeType="1"/>
        </xdr:cNvSpPr>
      </xdr:nvSpPr>
      <xdr:spPr bwMode="auto">
        <a:xfrm>
          <a:off x="3629025" y="178974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228600</xdr:colOff>
      <xdr:row>151</xdr:row>
      <xdr:rowOff>95250</xdr:rowOff>
    </xdr:from>
    <xdr:to>
      <xdr:col>6</xdr:col>
      <xdr:colOff>600075</xdr:colOff>
      <xdr:row>153</xdr:row>
      <xdr:rowOff>0</xdr:rowOff>
    </xdr:to>
    <xdr:sp macro="" textlink="">
      <xdr:nvSpPr>
        <xdr:cNvPr id="325" name="Line 307"/>
        <xdr:cNvSpPr>
          <a:spLocks noChangeShapeType="1"/>
        </xdr:cNvSpPr>
      </xdr:nvSpPr>
      <xdr:spPr bwMode="auto">
        <a:xfrm flipH="1">
          <a:off x="3886200" y="25088850"/>
          <a:ext cx="371475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285750</xdr:colOff>
      <xdr:row>154</xdr:row>
      <xdr:rowOff>152400</xdr:rowOff>
    </xdr:from>
    <xdr:to>
      <xdr:col>7</xdr:col>
      <xdr:colOff>581025</xdr:colOff>
      <xdr:row>155</xdr:row>
      <xdr:rowOff>0</xdr:rowOff>
    </xdr:to>
    <xdr:cxnSp macro="">
      <xdr:nvCxnSpPr>
        <xdr:cNvPr id="328" name="Straight Connector 327"/>
        <xdr:cNvCxnSpPr>
          <a:endCxn id="324" idx="1"/>
        </xdr:cNvCxnSpPr>
      </xdr:nvCxnSpPr>
      <xdr:spPr bwMode="auto">
        <a:xfrm flipV="1">
          <a:off x="2724150" y="22421850"/>
          <a:ext cx="2124075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313532</xdr:colOff>
      <xdr:row>155</xdr:row>
      <xdr:rowOff>29369</xdr:rowOff>
    </xdr:from>
    <xdr:to>
      <xdr:col>4</xdr:col>
      <xdr:colOff>315120</xdr:colOff>
      <xdr:row>157</xdr:row>
      <xdr:rowOff>794</xdr:rowOff>
    </xdr:to>
    <xdr:cxnSp macro="">
      <xdr:nvCxnSpPr>
        <xdr:cNvPr id="334" name="Straight Arrow Connector 333"/>
        <xdr:cNvCxnSpPr/>
      </xdr:nvCxnSpPr>
      <xdr:spPr bwMode="auto">
        <a:xfrm rot="5400000" flipH="1" flipV="1">
          <a:off x="2605088" y="22607588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580232</xdr:colOff>
      <xdr:row>155</xdr:row>
      <xdr:rowOff>794</xdr:rowOff>
    </xdr:from>
    <xdr:to>
      <xdr:col>7</xdr:col>
      <xdr:colOff>581820</xdr:colOff>
      <xdr:row>156</xdr:row>
      <xdr:rowOff>115094</xdr:rowOff>
    </xdr:to>
    <xdr:cxnSp macro="">
      <xdr:nvCxnSpPr>
        <xdr:cNvPr id="336" name="Straight Arrow Connector 335"/>
        <xdr:cNvCxnSpPr/>
      </xdr:nvCxnSpPr>
      <xdr:spPr bwMode="auto">
        <a:xfrm rot="5400000" flipH="1" flipV="1">
          <a:off x="4710113" y="22569488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0</xdr:colOff>
      <xdr:row>153</xdr:row>
      <xdr:rowOff>133350</xdr:rowOff>
    </xdr:from>
    <xdr:to>
      <xdr:col>4</xdr:col>
      <xdr:colOff>316233</xdr:colOff>
      <xdr:row>156</xdr:row>
      <xdr:rowOff>76200</xdr:rowOff>
    </xdr:to>
    <xdr:sp macro="" textlink="">
      <xdr:nvSpPr>
        <xdr:cNvPr id="337" name="Arc 336"/>
        <xdr:cNvSpPr/>
      </xdr:nvSpPr>
      <xdr:spPr bwMode="auto">
        <a:xfrm flipH="1">
          <a:off x="2438400" y="22240875"/>
          <a:ext cx="316233" cy="428625"/>
        </a:xfrm>
        <a:prstGeom prst="arc">
          <a:avLst>
            <a:gd name="adj1" fmla="val 16200008"/>
            <a:gd name="adj2" fmla="val 444663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523875</xdr:colOff>
      <xdr:row>153</xdr:row>
      <xdr:rowOff>0</xdr:rowOff>
    </xdr:from>
    <xdr:to>
      <xdr:col>8</xdr:col>
      <xdr:colOff>230508</xdr:colOff>
      <xdr:row>155</xdr:row>
      <xdr:rowOff>104775</xdr:rowOff>
    </xdr:to>
    <xdr:sp macro="" textlink="">
      <xdr:nvSpPr>
        <xdr:cNvPr id="338" name="Arc 337"/>
        <xdr:cNvSpPr/>
      </xdr:nvSpPr>
      <xdr:spPr bwMode="auto">
        <a:xfrm flipH="1">
          <a:off x="4791075" y="22107525"/>
          <a:ext cx="316233" cy="428625"/>
        </a:xfrm>
        <a:prstGeom prst="arc">
          <a:avLst>
            <a:gd name="adj1" fmla="val 5163276"/>
            <a:gd name="adj2" fmla="val 1582582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 editAs="oneCell">
    <xdr:from>
      <xdr:col>4</xdr:col>
      <xdr:colOff>600075</xdr:colOff>
      <xdr:row>194</xdr:row>
      <xdr:rowOff>0</xdr:rowOff>
    </xdr:from>
    <xdr:to>
      <xdr:col>5</xdr:col>
      <xdr:colOff>0</xdr:colOff>
      <xdr:row>194</xdr:row>
      <xdr:rowOff>161925</xdr:rowOff>
    </xdr:to>
    <xdr:sp macro="" textlink="">
      <xdr:nvSpPr>
        <xdr:cNvPr id="330" name="Text Box 154"/>
        <xdr:cNvSpPr txBox="1">
          <a:spLocks noChangeArrowheads="1"/>
        </xdr:cNvSpPr>
      </xdr:nvSpPr>
      <xdr:spPr bwMode="auto">
        <a:xfrm>
          <a:off x="3038475" y="801243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196</xdr:row>
      <xdr:rowOff>0</xdr:rowOff>
    </xdr:from>
    <xdr:to>
      <xdr:col>5</xdr:col>
      <xdr:colOff>0</xdr:colOff>
      <xdr:row>196</xdr:row>
      <xdr:rowOff>161925</xdr:rowOff>
    </xdr:to>
    <xdr:sp macro="" textlink="">
      <xdr:nvSpPr>
        <xdr:cNvPr id="331" name="Text Box 154"/>
        <xdr:cNvSpPr txBox="1">
          <a:spLocks noChangeArrowheads="1"/>
        </xdr:cNvSpPr>
      </xdr:nvSpPr>
      <xdr:spPr bwMode="auto">
        <a:xfrm>
          <a:off x="3038475" y="805148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197</xdr:row>
      <xdr:rowOff>0</xdr:rowOff>
    </xdr:from>
    <xdr:to>
      <xdr:col>5</xdr:col>
      <xdr:colOff>0</xdr:colOff>
      <xdr:row>197</xdr:row>
      <xdr:rowOff>161925</xdr:rowOff>
    </xdr:to>
    <xdr:sp macro="" textlink="">
      <xdr:nvSpPr>
        <xdr:cNvPr id="333" name="Text Box 154"/>
        <xdr:cNvSpPr txBox="1">
          <a:spLocks noChangeArrowheads="1"/>
        </xdr:cNvSpPr>
      </xdr:nvSpPr>
      <xdr:spPr bwMode="auto">
        <a:xfrm>
          <a:off x="3038475" y="807148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193</xdr:row>
      <xdr:rowOff>0</xdr:rowOff>
    </xdr:from>
    <xdr:to>
      <xdr:col>5</xdr:col>
      <xdr:colOff>0</xdr:colOff>
      <xdr:row>193</xdr:row>
      <xdr:rowOff>161925</xdr:rowOff>
    </xdr:to>
    <xdr:sp macro="" textlink="">
      <xdr:nvSpPr>
        <xdr:cNvPr id="335" name="Text Box 154"/>
        <xdr:cNvSpPr txBox="1">
          <a:spLocks noChangeArrowheads="1"/>
        </xdr:cNvSpPr>
      </xdr:nvSpPr>
      <xdr:spPr bwMode="auto">
        <a:xfrm>
          <a:off x="3038475" y="799242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257174</xdr:colOff>
      <xdr:row>206</xdr:row>
      <xdr:rowOff>104775</xdr:rowOff>
    </xdr:from>
    <xdr:to>
      <xdr:col>7</xdr:col>
      <xdr:colOff>38099</xdr:colOff>
      <xdr:row>207</xdr:row>
      <xdr:rowOff>142875</xdr:rowOff>
    </xdr:to>
    <xdr:sp macro="" textlink="">
      <xdr:nvSpPr>
        <xdr:cNvPr id="347" name="Line 307"/>
        <xdr:cNvSpPr>
          <a:spLocks noChangeShapeType="1"/>
        </xdr:cNvSpPr>
      </xdr:nvSpPr>
      <xdr:spPr bwMode="auto">
        <a:xfrm flipH="1" flipV="1">
          <a:off x="3305174" y="35118675"/>
          <a:ext cx="390525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285750</xdr:colOff>
      <xdr:row>204</xdr:row>
      <xdr:rowOff>9525</xdr:rowOff>
    </xdr:from>
    <xdr:to>
      <xdr:col>7</xdr:col>
      <xdr:colOff>581025</xdr:colOff>
      <xdr:row>204</xdr:row>
      <xdr:rowOff>19050</xdr:rowOff>
    </xdr:to>
    <xdr:cxnSp macro="">
      <xdr:nvCxnSpPr>
        <xdr:cNvPr id="348" name="Straight Connector 347"/>
        <xdr:cNvCxnSpPr/>
      </xdr:nvCxnSpPr>
      <xdr:spPr bwMode="auto">
        <a:xfrm flipV="1">
          <a:off x="2724150" y="34699575"/>
          <a:ext cx="2124075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313533</xdr:colOff>
      <xdr:row>201</xdr:row>
      <xdr:rowOff>143669</xdr:rowOff>
    </xdr:from>
    <xdr:to>
      <xdr:col>4</xdr:col>
      <xdr:colOff>315121</xdr:colOff>
      <xdr:row>203</xdr:row>
      <xdr:rowOff>115094</xdr:rowOff>
    </xdr:to>
    <xdr:cxnSp macro="">
      <xdr:nvCxnSpPr>
        <xdr:cNvPr id="349" name="Straight Arrow Connector 348"/>
        <xdr:cNvCxnSpPr/>
      </xdr:nvCxnSpPr>
      <xdr:spPr bwMode="auto">
        <a:xfrm rot="5400000" flipH="1" flipV="1">
          <a:off x="2605089" y="34494788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none" w="med" len="med"/>
        </a:ln>
        <a:effectLst/>
      </xdr:spPr>
    </xdr:cxnSp>
    <xdr:clientData/>
  </xdr:twoCellAnchor>
  <xdr:twoCellAnchor>
    <xdr:from>
      <xdr:col>7</xdr:col>
      <xdr:colOff>561184</xdr:colOff>
      <xdr:row>202</xdr:row>
      <xdr:rowOff>794</xdr:rowOff>
    </xdr:from>
    <xdr:to>
      <xdr:col>7</xdr:col>
      <xdr:colOff>562772</xdr:colOff>
      <xdr:row>203</xdr:row>
      <xdr:rowOff>115094</xdr:rowOff>
    </xdr:to>
    <xdr:cxnSp macro="">
      <xdr:nvCxnSpPr>
        <xdr:cNvPr id="350" name="Straight Arrow Connector 349"/>
        <xdr:cNvCxnSpPr/>
      </xdr:nvCxnSpPr>
      <xdr:spPr bwMode="auto">
        <a:xfrm rot="5400000" flipH="1" flipV="1">
          <a:off x="4691065" y="34504313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arrow" w="med" len="med"/>
          <a:tailEnd type="none" w="med" len="med"/>
        </a:ln>
        <a:effectLst/>
      </xdr:spPr>
    </xdr:cxnSp>
    <xdr:clientData/>
  </xdr:twoCellAnchor>
  <xdr:twoCellAnchor>
    <xdr:from>
      <xdr:col>4</xdr:col>
      <xdr:colOff>0</xdr:colOff>
      <xdr:row>203</xdr:row>
      <xdr:rowOff>19050</xdr:rowOff>
    </xdr:from>
    <xdr:to>
      <xdr:col>4</xdr:col>
      <xdr:colOff>316233</xdr:colOff>
      <xdr:row>205</xdr:row>
      <xdr:rowOff>123825</xdr:rowOff>
    </xdr:to>
    <xdr:sp macro="" textlink="">
      <xdr:nvSpPr>
        <xdr:cNvPr id="351" name="Arc 350"/>
        <xdr:cNvSpPr/>
      </xdr:nvSpPr>
      <xdr:spPr bwMode="auto">
        <a:xfrm flipH="1">
          <a:off x="2438400" y="34547175"/>
          <a:ext cx="316233" cy="428625"/>
        </a:xfrm>
        <a:prstGeom prst="arc">
          <a:avLst>
            <a:gd name="adj1" fmla="val 16200008"/>
            <a:gd name="adj2" fmla="val 444663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476250</xdr:colOff>
      <xdr:row>202</xdr:row>
      <xdr:rowOff>76200</xdr:rowOff>
    </xdr:from>
    <xdr:to>
      <xdr:col>8</xdr:col>
      <xdr:colOff>182883</xdr:colOff>
      <xdr:row>205</xdr:row>
      <xdr:rowOff>19050</xdr:rowOff>
    </xdr:to>
    <xdr:sp macro="" textlink="">
      <xdr:nvSpPr>
        <xdr:cNvPr id="352" name="Arc 351"/>
        <xdr:cNvSpPr/>
      </xdr:nvSpPr>
      <xdr:spPr bwMode="auto">
        <a:xfrm flipH="1">
          <a:off x="4743450" y="34442400"/>
          <a:ext cx="316233" cy="428625"/>
        </a:xfrm>
        <a:prstGeom prst="arc">
          <a:avLst>
            <a:gd name="adj1" fmla="val 5163276"/>
            <a:gd name="adj2" fmla="val 1582582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 editAs="oneCell">
    <xdr:from>
      <xdr:col>4</xdr:col>
      <xdr:colOff>600075</xdr:colOff>
      <xdr:row>244</xdr:row>
      <xdr:rowOff>0</xdr:rowOff>
    </xdr:from>
    <xdr:to>
      <xdr:col>5</xdr:col>
      <xdr:colOff>0</xdr:colOff>
      <xdr:row>244</xdr:row>
      <xdr:rowOff>161925</xdr:rowOff>
    </xdr:to>
    <xdr:sp macro="" textlink="">
      <xdr:nvSpPr>
        <xdr:cNvPr id="353" name="Text Box 154"/>
        <xdr:cNvSpPr txBox="1">
          <a:spLocks noChangeArrowheads="1"/>
        </xdr:cNvSpPr>
      </xdr:nvSpPr>
      <xdr:spPr bwMode="auto">
        <a:xfrm>
          <a:off x="3038475" y="329279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246</xdr:row>
      <xdr:rowOff>0</xdr:rowOff>
    </xdr:from>
    <xdr:to>
      <xdr:col>5</xdr:col>
      <xdr:colOff>0</xdr:colOff>
      <xdr:row>246</xdr:row>
      <xdr:rowOff>161925</xdr:rowOff>
    </xdr:to>
    <xdr:sp macro="" textlink="">
      <xdr:nvSpPr>
        <xdr:cNvPr id="354" name="Text Box 154"/>
        <xdr:cNvSpPr txBox="1">
          <a:spLocks noChangeArrowheads="1"/>
        </xdr:cNvSpPr>
      </xdr:nvSpPr>
      <xdr:spPr bwMode="auto">
        <a:xfrm>
          <a:off x="3038475" y="333184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247</xdr:row>
      <xdr:rowOff>0</xdr:rowOff>
    </xdr:from>
    <xdr:to>
      <xdr:col>5</xdr:col>
      <xdr:colOff>0</xdr:colOff>
      <xdr:row>247</xdr:row>
      <xdr:rowOff>161925</xdr:rowOff>
    </xdr:to>
    <xdr:sp macro="" textlink="">
      <xdr:nvSpPr>
        <xdr:cNvPr id="355" name="Text Box 154"/>
        <xdr:cNvSpPr txBox="1">
          <a:spLocks noChangeArrowheads="1"/>
        </xdr:cNvSpPr>
      </xdr:nvSpPr>
      <xdr:spPr bwMode="auto">
        <a:xfrm>
          <a:off x="3038475" y="335184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243</xdr:row>
      <xdr:rowOff>0</xdr:rowOff>
    </xdr:from>
    <xdr:to>
      <xdr:col>5</xdr:col>
      <xdr:colOff>0</xdr:colOff>
      <xdr:row>243</xdr:row>
      <xdr:rowOff>161925</xdr:rowOff>
    </xdr:to>
    <xdr:sp macro="" textlink="">
      <xdr:nvSpPr>
        <xdr:cNvPr id="356" name="Text Box 154"/>
        <xdr:cNvSpPr txBox="1">
          <a:spLocks noChangeArrowheads="1"/>
        </xdr:cNvSpPr>
      </xdr:nvSpPr>
      <xdr:spPr bwMode="auto">
        <a:xfrm>
          <a:off x="3038475" y="327279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571500</xdr:colOff>
      <xdr:row>204</xdr:row>
      <xdr:rowOff>9525</xdr:rowOff>
    </xdr:from>
    <xdr:to>
      <xdr:col>7</xdr:col>
      <xdr:colOff>571500</xdr:colOff>
      <xdr:row>206</xdr:row>
      <xdr:rowOff>66675</xdr:rowOff>
    </xdr:to>
    <xdr:sp macro="" textlink="">
      <xdr:nvSpPr>
        <xdr:cNvPr id="362" name="Line 299"/>
        <xdr:cNvSpPr>
          <a:spLocks noChangeShapeType="1"/>
        </xdr:cNvSpPr>
      </xdr:nvSpPr>
      <xdr:spPr bwMode="auto">
        <a:xfrm flipV="1">
          <a:off x="4838700" y="34699575"/>
          <a:ext cx="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352425</xdr:colOff>
      <xdr:row>204</xdr:row>
      <xdr:rowOff>19050</xdr:rowOff>
    </xdr:from>
    <xdr:to>
      <xdr:col>7</xdr:col>
      <xdr:colOff>352425</xdr:colOff>
      <xdr:row>206</xdr:row>
      <xdr:rowOff>85725</xdr:rowOff>
    </xdr:to>
    <xdr:sp macro="" textlink="">
      <xdr:nvSpPr>
        <xdr:cNvPr id="363" name="Line 301"/>
        <xdr:cNvSpPr>
          <a:spLocks noChangeShapeType="1"/>
        </xdr:cNvSpPr>
      </xdr:nvSpPr>
      <xdr:spPr bwMode="auto">
        <a:xfrm flipH="1" flipV="1">
          <a:off x="4619625" y="34709100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314325</xdr:colOff>
      <xdr:row>204</xdr:row>
      <xdr:rowOff>0</xdr:rowOff>
    </xdr:from>
    <xdr:to>
      <xdr:col>4</xdr:col>
      <xdr:colOff>314325</xdr:colOff>
      <xdr:row>206</xdr:row>
      <xdr:rowOff>76200</xdr:rowOff>
    </xdr:to>
    <xdr:sp macro="" textlink="">
      <xdr:nvSpPr>
        <xdr:cNvPr id="364" name="Line 303"/>
        <xdr:cNvSpPr>
          <a:spLocks noChangeShapeType="1"/>
        </xdr:cNvSpPr>
      </xdr:nvSpPr>
      <xdr:spPr bwMode="auto">
        <a:xfrm flipV="1">
          <a:off x="2752725" y="34690050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19050</xdr:colOff>
      <xdr:row>204</xdr:row>
      <xdr:rowOff>19050</xdr:rowOff>
    </xdr:from>
    <xdr:to>
      <xdr:col>5</xdr:col>
      <xdr:colOff>19050</xdr:colOff>
      <xdr:row>206</xdr:row>
      <xdr:rowOff>95250</xdr:rowOff>
    </xdr:to>
    <xdr:sp macro="" textlink="">
      <xdr:nvSpPr>
        <xdr:cNvPr id="365" name="Line 304"/>
        <xdr:cNvSpPr>
          <a:spLocks noChangeShapeType="1"/>
        </xdr:cNvSpPr>
      </xdr:nvSpPr>
      <xdr:spPr bwMode="auto">
        <a:xfrm flipV="1">
          <a:off x="3067050" y="34709100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304800</xdr:colOff>
      <xdr:row>204</xdr:row>
      <xdr:rowOff>28575</xdr:rowOff>
    </xdr:from>
    <xdr:to>
      <xdr:col>5</xdr:col>
      <xdr:colOff>304800</xdr:colOff>
      <xdr:row>206</xdr:row>
      <xdr:rowOff>95250</xdr:rowOff>
    </xdr:to>
    <xdr:sp macro="" textlink="">
      <xdr:nvSpPr>
        <xdr:cNvPr id="366" name="Line 305"/>
        <xdr:cNvSpPr>
          <a:spLocks noChangeShapeType="1"/>
        </xdr:cNvSpPr>
      </xdr:nvSpPr>
      <xdr:spPr bwMode="auto">
        <a:xfrm flipV="1">
          <a:off x="3352800" y="34718625"/>
          <a:ext cx="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19050</xdr:colOff>
      <xdr:row>204</xdr:row>
      <xdr:rowOff>28575</xdr:rowOff>
    </xdr:from>
    <xdr:to>
      <xdr:col>6</xdr:col>
      <xdr:colOff>19050</xdr:colOff>
      <xdr:row>206</xdr:row>
      <xdr:rowOff>104775</xdr:rowOff>
    </xdr:to>
    <xdr:sp macro="" textlink="">
      <xdr:nvSpPr>
        <xdr:cNvPr id="367" name="Line 306"/>
        <xdr:cNvSpPr>
          <a:spLocks noChangeShapeType="1"/>
        </xdr:cNvSpPr>
      </xdr:nvSpPr>
      <xdr:spPr bwMode="auto">
        <a:xfrm flipV="1">
          <a:off x="3676650" y="3471862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228600</xdr:colOff>
      <xdr:row>204</xdr:row>
      <xdr:rowOff>28575</xdr:rowOff>
    </xdr:from>
    <xdr:to>
      <xdr:col>6</xdr:col>
      <xdr:colOff>228600</xdr:colOff>
      <xdr:row>206</xdr:row>
      <xdr:rowOff>104775</xdr:rowOff>
    </xdr:to>
    <xdr:sp macro="" textlink="">
      <xdr:nvSpPr>
        <xdr:cNvPr id="368" name="Line 306"/>
        <xdr:cNvSpPr>
          <a:spLocks noChangeShapeType="1"/>
        </xdr:cNvSpPr>
      </xdr:nvSpPr>
      <xdr:spPr bwMode="auto">
        <a:xfrm flipV="1">
          <a:off x="3886200" y="3471862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485775</xdr:colOff>
      <xdr:row>204</xdr:row>
      <xdr:rowOff>19050</xdr:rowOff>
    </xdr:from>
    <xdr:to>
      <xdr:col>6</xdr:col>
      <xdr:colOff>485775</xdr:colOff>
      <xdr:row>206</xdr:row>
      <xdr:rowOff>95250</xdr:rowOff>
    </xdr:to>
    <xdr:sp macro="" textlink="">
      <xdr:nvSpPr>
        <xdr:cNvPr id="369" name="Line 306"/>
        <xdr:cNvSpPr>
          <a:spLocks noChangeShapeType="1"/>
        </xdr:cNvSpPr>
      </xdr:nvSpPr>
      <xdr:spPr bwMode="auto">
        <a:xfrm flipV="1">
          <a:off x="4143375" y="34709100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95250</xdr:colOff>
      <xdr:row>204</xdr:row>
      <xdr:rowOff>19050</xdr:rowOff>
    </xdr:from>
    <xdr:to>
      <xdr:col>7</xdr:col>
      <xdr:colOff>95250</xdr:colOff>
      <xdr:row>206</xdr:row>
      <xdr:rowOff>95250</xdr:rowOff>
    </xdr:to>
    <xdr:sp macro="" textlink="">
      <xdr:nvSpPr>
        <xdr:cNvPr id="370" name="Line 306"/>
        <xdr:cNvSpPr>
          <a:spLocks noChangeShapeType="1"/>
        </xdr:cNvSpPr>
      </xdr:nvSpPr>
      <xdr:spPr bwMode="auto">
        <a:xfrm flipV="1">
          <a:off x="4362450" y="34709100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65884</xdr:colOff>
      <xdr:row>251</xdr:row>
      <xdr:rowOff>3</xdr:rowOff>
    </xdr:from>
    <xdr:to>
      <xdr:col>7</xdr:col>
      <xdr:colOff>314328</xdr:colOff>
      <xdr:row>251</xdr:row>
      <xdr:rowOff>10322</xdr:rowOff>
    </xdr:to>
    <xdr:cxnSp macro="">
      <xdr:nvCxnSpPr>
        <xdr:cNvPr id="373" name="Straight Arrow Connector 372"/>
        <xdr:cNvCxnSpPr/>
      </xdr:nvCxnSpPr>
      <xdr:spPr bwMode="auto">
        <a:xfrm flipV="1">
          <a:off x="7571584" y="42252903"/>
          <a:ext cx="248444" cy="1031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none" w="med" len="med"/>
        </a:ln>
        <a:effectLst/>
      </xdr:spPr>
    </xdr:cxnSp>
    <xdr:clientData/>
  </xdr:twoCellAnchor>
  <xdr:twoCellAnchor>
    <xdr:from>
      <xdr:col>7</xdr:col>
      <xdr:colOff>27785</xdr:colOff>
      <xdr:row>257</xdr:row>
      <xdr:rowOff>152403</xdr:rowOff>
    </xdr:from>
    <xdr:to>
      <xdr:col>7</xdr:col>
      <xdr:colOff>381003</xdr:colOff>
      <xdr:row>258</xdr:row>
      <xdr:rowOff>797</xdr:rowOff>
    </xdr:to>
    <xdr:cxnSp macro="">
      <xdr:nvCxnSpPr>
        <xdr:cNvPr id="374" name="Straight Arrow Connector 373"/>
        <xdr:cNvCxnSpPr/>
      </xdr:nvCxnSpPr>
      <xdr:spPr bwMode="auto">
        <a:xfrm flipV="1">
          <a:off x="7533485" y="43376853"/>
          <a:ext cx="353218" cy="1031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arrow" w="med" len="med"/>
          <a:tailEnd type="none" w="med" len="med"/>
        </a:ln>
        <a:effectLst/>
      </xdr:spPr>
    </xdr:cxnSp>
    <xdr:clientData/>
  </xdr:twoCellAnchor>
  <xdr:twoCellAnchor>
    <xdr:from>
      <xdr:col>6</xdr:col>
      <xdr:colOff>409572</xdr:colOff>
      <xdr:row>258</xdr:row>
      <xdr:rowOff>1</xdr:rowOff>
    </xdr:from>
    <xdr:to>
      <xdr:col>7</xdr:col>
      <xdr:colOff>190497</xdr:colOff>
      <xdr:row>259</xdr:row>
      <xdr:rowOff>76200</xdr:rowOff>
    </xdr:to>
    <xdr:sp macro="" textlink="">
      <xdr:nvSpPr>
        <xdr:cNvPr id="375" name="Arc 374"/>
        <xdr:cNvSpPr/>
      </xdr:nvSpPr>
      <xdr:spPr bwMode="auto">
        <a:xfrm flipH="1">
          <a:off x="4067172" y="43386376"/>
          <a:ext cx="390525" cy="238124"/>
        </a:xfrm>
        <a:prstGeom prst="arc">
          <a:avLst>
            <a:gd name="adj1" fmla="val 612090"/>
            <a:gd name="adj2" fmla="val 12929255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238125</xdr:colOff>
      <xdr:row>249</xdr:row>
      <xdr:rowOff>152400</xdr:rowOff>
    </xdr:from>
    <xdr:to>
      <xdr:col>6</xdr:col>
      <xdr:colOff>554358</xdr:colOff>
      <xdr:row>252</xdr:row>
      <xdr:rowOff>95250</xdr:rowOff>
    </xdr:to>
    <xdr:sp macro="" textlink="">
      <xdr:nvSpPr>
        <xdr:cNvPr id="376" name="Arc 375"/>
        <xdr:cNvSpPr/>
      </xdr:nvSpPr>
      <xdr:spPr bwMode="auto">
        <a:xfrm flipH="1">
          <a:off x="7134225" y="42081450"/>
          <a:ext cx="316233" cy="428625"/>
        </a:xfrm>
        <a:prstGeom prst="arc">
          <a:avLst>
            <a:gd name="adj1" fmla="val 13319362"/>
            <a:gd name="adj2" fmla="val 21058236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 editAs="oneCell">
    <xdr:from>
      <xdr:col>4</xdr:col>
      <xdr:colOff>600075</xdr:colOff>
      <xdr:row>296</xdr:row>
      <xdr:rowOff>0</xdr:rowOff>
    </xdr:from>
    <xdr:to>
      <xdr:col>5</xdr:col>
      <xdr:colOff>0</xdr:colOff>
      <xdr:row>296</xdr:row>
      <xdr:rowOff>161925</xdr:rowOff>
    </xdr:to>
    <xdr:sp macro="" textlink="">
      <xdr:nvSpPr>
        <xdr:cNvPr id="377" name="Text Box 154"/>
        <xdr:cNvSpPr txBox="1">
          <a:spLocks noChangeArrowheads="1"/>
        </xdr:cNvSpPr>
      </xdr:nvSpPr>
      <xdr:spPr bwMode="auto">
        <a:xfrm>
          <a:off x="3038475" y="409765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298</xdr:row>
      <xdr:rowOff>0</xdr:rowOff>
    </xdr:from>
    <xdr:to>
      <xdr:col>5</xdr:col>
      <xdr:colOff>0</xdr:colOff>
      <xdr:row>298</xdr:row>
      <xdr:rowOff>161925</xdr:rowOff>
    </xdr:to>
    <xdr:sp macro="" textlink="">
      <xdr:nvSpPr>
        <xdr:cNvPr id="378" name="Text Box 154"/>
        <xdr:cNvSpPr txBox="1">
          <a:spLocks noChangeArrowheads="1"/>
        </xdr:cNvSpPr>
      </xdr:nvSpPr>
      <xdr:spPr bwMode="auto">
        <a:xfrm>
          <a:off x="3038475" y="413670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299</xdr:row>
      <xdr:rowOff>0</xdr:rowOff>
    </xdr:from>
    <xdr:to>
      <xdr:col>5</xdr:col>
      <xdr:colOff>0</xdr:colOff>
      <xdr:row>299</xdr:row>
      <xdr:rowOff>161925</xdr:rowOff>
    </xdr:to>
    <xdr:sp macro="" textlink="">
      <xdr:nvSpPr>
        <xdr:cNvPr id="379" name="Text Box 154"/>
        <xdr:cNvSpPr txBox="1">
          <a:spLocks noChangeArrowheads="1"/>
        </xdr:cNvSpPr>
      </xdr:nvSpPr>
      <xdr:spPr bwMode="auto">
        <a:xfrm>
          <a:off x="3038475" y="415671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295</xdr:row>
      <xdr:rowOff>0</xdr:rowOff>
    </xdr:from>
    <xdr:to>
      <xdr:col>5</xdr:col>
      <xdr:colOff>0</xdr:colOff>
      <xdr:row>295</xdr:row>
      <xdr:rowOff>161925</xdr:rowOff>
    </xdr:to>
    <xdr:sp macro="" textlink="">
      <xdr:nvSpPr>
        <xdr:cNvPr id="380" name="Text Box 154"/>
        <xdr:cNvSpPr txBox="1">
          <a:spLocks noChangeArrowheads="1"/>
        </xdr:cNvSpPr>
      </xdr:nvSpPr>
      <xdr:spPr bwMode="auto">
        <a:xfrm>
          <a:off x="3038475" y="407765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609599</xdr:colOff>
      <xdr:row>251</xdr:row>
      <xdr:rowOff>38099</xdr:rowOff>
    </xdr:from>
    <xdr:to>
      <xdr:col>6</xdr:col>
      <xdr:colOff>466724</xdr:colOff>
      <xdr:row>252</xdr:row>
      <xdr:rowOff>76198</xdr:rowOff>
    </xdr:to>
    <xdr:sp macro="" textlink="">
      <xdr:nvSpPr>
        <xdr:cNvPr id="383" name="Line 303"/>
        <xdr:cNvSpPr>
          <a:spLocks noChangeShapeType="1"/>
        </xdr:cNvSpPr>
      </xdr:nvSpPr>
      <xdr:spPr bwMode="auto">
        <a:xfrm flipV="1">
          <a:off x="3657599" y="42290999"/>
          <a:ext cx="466725" cy="20002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590550</xdr:colOff>
      <xdr:row>256</xdr:row>
      <xdr:rowOff>76200</xdr:rowOff>
    </xdr:from>
    <xdr:to>
      <xdr:col>6</xdr:col>
      <xdr:colOff>419100</xdr:colOff>
      <xdr:row>257</xdr:row>
      <xdr:rowOff>123825</xdr:rowOff>
    </xdr:to>
    <xdr:sp macro="" textlink="">
      <xdr:nvSpPr>
        <xdr:cNvPr id="384" name="Line 304"/>
        <xdr:cNvSpPr>
          <a:spLocks noChangeShapeType="1"/>
        </xdr:cNvSpPr>
      </xdr:nvSpPr>
      <xdr:spPr bwMode="auto">
        <a:xfrm>
          <a:off x="3638550" y="43138725"/>
          <a:ext cx="43815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0</xdr:colOff>
      <xdr:row>251</xdr:row>
      <xdr:rowOff>0</xdr:rowOff>
    </xdr:from>
    <xdr:to>
      <xdr:col>7</xdr:col>
      <xdr:colOff>0</xdr:colOff>
      <xdr:row>258</xdr:row>
      <xdr:rowOff>0</xdr:rowOff>
    </xdr:to>
    <xdr:sp macro="" textlink="">
      <xdr:nvSpPr>
        <xdr:cNvPr id="390" name="Line 243"/>
        <xdr:cNvSpPr>
          <a:spLocks noChangeShapeType="1"/>
        </xdr:cNvSpPr>
      </xdr:nvSpPr>
      <xdr:spPr bwMode="auto">
        <a:xfrm>
          <a:off x="1219200" y="22755225"/>
          <a:ext cx="0" cy="113347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142875</xdr:colOff>
      <xdr:row>251</xdr:row>
      <xdr:rowOff>19050</xdr:rowOff>
    </xdr:from>
    <xdr:to>
      <xdr:col>6</xdr:col>
      <xdr:colOff>371475</xdr:colOff>
      <xdr:row>258</xdr:row>
      <xdr:rowOff>0</xdr:rowOff>
    </xdr:to>
    <xdr:sp macro="" textlink="">
      <xdr:nvSpPr>
        <xdr:cNvPr id="391" name="Line 286"/>
        <xdr:cNvSpPr>
          <a:spLocks noChangeShapeType="1"/>
        </xdr:cNvSpPr>
      </xdr:nvSpPr>
      <xdr:spPr bwMode="auto">
        <a:xfrm flipH="1">
          <a:off x="752475" y="22774275"/>
          <a:ext cx="228600" cy="1114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276225</xdr:colOff>
      <xdr:row>254</xdr:row>
      <xdr:rowOff>19050</xdr:rowOff>
    </xdr:from>
    <xdr:to>
      <xdr:col>6</xdr:col>
      <xdr:colOff>600075</xdr:colOff>
      <xdr:row>254</xdr:row>
      <xdr:rowOff>19050</xdr:rowOff>
    </xdr:to>
    <xdr:sp macro="" textlink="">
      <xdr:nvSpPr>
        <xdr:cNvPr id="392" name="Line 287"/>
        <xdr:cNvSpPr>
          <a:spLocks noChangeShapeType="1"/>
        </xdr:cNvSpPr>
      </xdr:nvSpPr>
      <xdr:spPr bwMode="auto">
        <a:xfrm>
          <a:off x="885825" y="2326005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219075</xdr:colOff>
      <xdr:row>255</xdr:row>
      <xdr:rowOff>152400</xdr:rowOff>
    </xdr:from>
    <xdr:to>
      <xdr:col>6</xdr:col>
      <xdr:colOff>600075</xdr:colOff>
      <xdr:row>255</xdr:row>
      <xdr:rowOff>152400</xdr:rowOff>
    </xdr:to>
    <xdr:sp macro="" textlink="">
      <xdr:nvSpPr>
        <xdr:cNvPr id="393" name="Line 288"/>
        <xdr:cNvSpPr>
          <a:spLocks noChangeShapeType="1"/>
        </xdr:cNvSpPr>
      </xdr:nvSpPr>
      <xdr:spPr bwMode="auto">
        <a:xfrm>
          <a:off x="828675" y="2355532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323850</xdr:colOff>
      <xdr:row>252</xdr:row>
      <xdr:rowOff>95250</xdr:rowOff>
    </xdr:from>
    <xdr:to>
      <xdr:col>7</xdr:col>
      <xdr:colOff>0</xdr:colOff>
      <xdr:row>252</xdr:row>
      <xdr:rowOff>95250</xdr:rowOff>
    </xdr:to>
    <xdr:sp macro="" textlink="">
      <xdr:nvSpPr>
        <xdr:cNvPr id="394" name="Line 289"/>
        <xdr:cNvSpPr>
          <a:spLocks noChangeShapeType="1"/>
        </xdr:cNvSpPr>
      </xdr:nvSpPr>
      <xdr:spPr bwMode="auto">
        <a:xfrm>
          <a:off x="933450" y="2301240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161925</xdr:colOff>
      <xdr:row>258</xdr:row>
      <xdr:rowOff>0</xdr:rowOff>
    </xdr:from>
    <xdr:to>
      <xdr:col>7</xdr:col>
      <xdr:colOff>28575</xdr:colOff>
      <xdr:row>258</xdr:row>
      <xdr:rowOff>0</xdr:rowOff>
    </xdr:to>
    <xdr:sp macro="" textlink="">
      <xdr:nvSpPr>
        <xdr:cNvPr id="395" name="Line 285"/>
        <xdr:cNvSpPr>
          <a:spLocks noChangeShapeType="1"/>
        </xdr:cNvSpPr>
      </xdr:nvSpPr>
      <xdr:spPr bwMode="auto">
        <a:xfrm>
          <a:off x="6448425" y="27936825"/>
          <a:ext cx="476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381000</xdr:colOff>
      <xdr:row>251</xdr:row>
      <xdr:rowOff>19050</xdr:rowOff>
    </xdr:from>
    <xdr:to>
      <xdr:col>7</xdr:col>
      <xdr:colOff>9525</xdr:colOff>
      <xdr:row>251</xdr:row>
      <xdr:rowOff>19050</xdr:rowOff>
    </xdr:to>
    <xdr:sp macro="" textlink="">
      <xdr:nvSpPr>
        <xdr:cNvPr id="396" name="Line 284"/>
        <xdr:cNvSpPr>
          <a:spLocks noChangeShapeType="1"/>
        </xdr:cNvSpPr>
      </xdr:nvSpPr>
      <xdr:spPr bwMode="auto">
        <a:xfrm>
          <a:off x="6667500" y="268224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 editAs="oneCell">
    <xdr:from>
      <xdr:col>4</xdr:col>
      <xdr:colOff>600075</xdr:colOff>
      <xdr:row>324</xdr:row>
      <xdr:rowOff>0</xdr:rowOff>
    </xdr:from>
    <xdr:to>
      <xdr:col>5</xdr:col>
      <xdr:colOff>0</xdr:colOff>
      <xdr:row>324</xdr:row>
      <xdr:rowOff>161925</xdr:rowOff>
    </xdr:to>
    <xdr:sp macro="" textlink="">
      <xdr:nvSpPr>
        <xdr:cNvPr id="399" name="Text Box 154"/>
        <xdr:cNvSpPr txBox="1">
          <a:spLocks noChangeArrowheads="1"/>
        </xdr:cNvSpPr>
      </xdr:nvSpPr>
      <xdr:spPr bwMode="auto">
        <a:xfrm>
          <a:off x="3038475" y="490251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325</xdr:row>
      <xdr:rowOff>0</xdr:rowOff>
    </xdr:from>
    <xdr:to>
      <xdr:col>5</xdr:col>
      <xdr:colOff>0</xdr:colOff>
      <xdr:row>325</xdr:row>
      <xdr:rowOff>161925</xdr:rowOff>
    </xdr:to>
    <xdr:sp macro="" textlink="">
      <xdr:nvSpPr>
        <xdr:cNvPr id="400" name="Text Box 154"/>
        <xdr:cNvSpPr txBox="1">
          <a:spLocks noChangeArrowheads="1"/>
        </xdr:cNvSpPr>
      </xdr:nvSpPr>
      <xdr:spPr bwMode="auto">
        <a:xfrm>
          <a:off x="3038475" y="494157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326</xdr:row>
      <xdr:rowOff>0</xdr:rowOff>
    </xdr:from>
    <xdr:to>
      <xdr:col>5</xdr:col>
      <xdr:colOff>0</xdr:colOff>
      <xdr:row>326</xdr:row>
      <xdr:rowOff>161925</xdr:rowOff>
    </xdr:to>
    <xdr:sp macro="" textlink="">
      <xdr:nvSpPr>
        <xdr:cNvPr id="401" name="Text Box 154"/>
        <xdr:cNvSpPr txBox="1">
          <a:spLocks noChangeArrowheads="1"/>
        </xdr:cNvSpPr>
      </xdr:nvSpPr>
      <xdr:spPr bwMode="auto">
        <a:xfrm>
          <a:off x="3038475" y="496157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324</xdr:row>
      <xdr:rowOff>0</xdr:rowOff>
    </xdr:from>
    <xdr:to>
      <xdr:col>5</xdr:col>
      <xdr:colOff>0</xdr:colOff>
      <xdr:row>324</xdr:row>
      <xdr:rowOff>161925</xdr:rowOff>
    </xdr:to>
    <xdr:sp macro="" textlink="">
      <xdr:nvSpPr>
        <xdr:cNvPr id="402" name="Text Box 154"/>
        <xdr:cNvSpPr txBox="1">
          <a:spLocks noChangeArrowheads="1"/>
        </xdr:cNvSpPr>
      </xdr:nvSpPr>
      <xdr:spPr bwMode="auto">
        <a:xfrm>
          <a:off x="3038475" y="488251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11</xdr:col>
      <xdr:colOff>581025</xdr:colOff>
      <xdr:row>3</xdr:row>
      <xdr:rowOff>0</xdr:rowOff>
    </xdr:from>
    <xdr:to>
      <xdr:col>12</xdr:col>
      <xdr:colOff>219075</xdr:colOff>
      <xdr:row>4</xdr:row>
      <xdr:rowOff>133350</xdr:rowOff>
    </xdr:to>
    <xdr:sp macro="" textlink="">
      <xdr:nvSpPr>
        <xdr:cNvPr id="385" name="Text Box 175"/>
        <xdr:cNvSpPr txBox="1">
          <a:spLocks noChangeArrowheads="1"/>
        </xdr:cNvSpPr>
      </xdr:nvSpPr>
      <xdr:spPr bwMode="auto">
        <a:xfrm>
          <a:off x="581025" y="2219325"/>
          <a:ext cx="247650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11</xdr:col>
      <xdr:colOff>581025</xdr:colOff>
      <xdr:row>4</xdr:row>
      <xdr:rowOff>0</xdr:rowOff>
    </xdr:from>
    <xdr:to>
      <xdr:col>12</xdr:col>
      <xdr:colOff>219075</xdr:colOff>
      <xdr:row>5</xdr:row>
      <xdr:rowOff>133350</xdr:rowOff>
    </xdr:to>
    <xdr:sp macro="" textlink="">
      <xdr:nvSpPr>
        <xdr:cNvPr id="388" name="Text Box 175"/>
        <xdr:cNvSpPr txBox="1">
          <a:spLocks noChangeArrowheads="1"/>
        </xdr:cNvSpPr>
      </xdr:nvSpPr>
      <xdr:spPr bwMode="auto">
        <a:xfrm>
          <a:off x="6257925" y="561975"/>
          <a:ext cx="247650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133</xdr:row>
      <xdr:rowOff>9525</xdr:rowOff>
    </xdr:from>
    <xdr:to>
      <xdr:col>4</xdr:col>
      <xdr:colOff>0</xdr:colOff>
      <xdr:row>133</xdr:row>
      <xdr:rowOff>11113</xdr:rowOff>
    </xdr:to>
    <xdr:cxnSp macro="">
      <xdr:nvCxnSpPr>
        <xdr:cNvPr id="382" name="Straight Arrow Connector 381"/>
        <xdr:cNvCxnSpPr/>
      </xdr:nvCxnSpPr>
      <xdr:spPr bwMode="auto">
        <a:xfrm>
          <a:off x="1219200" y="22078950"/>
          <a:ext cx="1219200" cy="1588"/>
        </a:xfrm>
        <a:prstGeom prst="straightConnector1">
          <a:avLst/>
        </a:prstGeom>
        <a:solidFill>
          <a:srgbClr val="FFFFFF"/>
        </a:solidFill>
        <a:ln w="3175" cap="flat" cmpd="sng" algn="ctr">
          <a:solidFill>
            <a:sysClr val="windowText" lastClr="000000"/>
          </a:solidFill>
          <a:prstDash val="lgDash"/>
          <a:round/>
          <a:headEnd type="arrow"/>
          <a:tailEnd type="arrow"/>
        </a:ln>
        <a:effectLst/>
      </xdr:spPr>
    </xdr:cxnSp>
    <xdr:clientData/>
  </xdr:twoCellAnchor>
  <xdr:twoCellAnchor>
    <xdr:from>
      <xdr:col>3</xdr:col>
      <xdr:colOff>600075</xdr:colOff>
      <xdr:row>133</xdr:row>
      <xdr:rowOff>0</xdr:rowOff>
    </xdr:from>
    <xdr:to>
      <xdr:col>5</xdr:col>
      <xdr:colOff>238125</xdr:colOff>
      <xdr:row>133</xdr:row>
      <xdr:rowOff>9525</xdr:rowOff>
    </xdr:to>
    <xdr:cxnSp macro="">
      <xdr:nvCxnSpPr>
        <xdr:cNvPr id="386" name="Straight Arrow Connector 385"/>
        <xdr:cNvCxnSpPr/>
      </xdr:nvCxnSpPr>
      <xdr:spPr bwMode="auto">
        <a:xfrm>
          <a:off x="2428875" y="22069425"/>
          <a:ext cx="857250" cy="9525"/>
        </a:xfrm>
        <a:prstGeom prst="straightConnector1">
          <a:avLst/>
        </a:prstGeom>
        <a:solidFill>
          <a:srgbClr val="FFFFFF"/>
        </a:solidFill>
        <a:ln w="3175" cap="flat" cmpd="sng" algn="ctr">
          <a:solidFill>
            <a:sysClr val="windowText" lastClr="000000"/>
          </a:solidFill>
          <a:prstDash val="lgDash"/>
          <a:round/>
          <a:headEnd type="arrow"/>
          <a:tailEnd type="arrow"/>
        </a:ln>
        <a:effectLst/>
      </xdr:spPr>
    </xdr:cxnSp>
    <xdr:clientData/>
  </xdr:twoCellAnchor>
  <xdr:twoCellAnchor>
    <xdr:from>
      <xdr:col>5</xdr:col>
      <xdr:colOff>600075</xdr:colOff>
      <xdr:row>131</xdr:row>
      <xdr:rowOff>28574</xdr:rowOff>
    </xdr:from>
    <xdr:to>
      <xdr:col>6</xdr:col>
      <xdr:colOff>0</xdr:colOff>
      <xdr:row>137</xdr:row>
      <xdr:rowOff>133349</xdr:rowOff>
    </xdr:to>
    <xdr:cxnSp macro="">
      <xdr:nvCxnSpPr>
        <xdr:cNvPr id="397" name="Straight Arrow Connector 396"/>
        <xdr:cNvCxnSpPr/>
      </xdr:nvCxnSpPr>
      <xdr:spPr bwMode="auto">
        <a:xfrm rot="16200000" flipH="1">
          <a:off x="3114675" y="22307549"/>
          <a:ext cx="1076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arrow"/>
          <a:tailEnd type="arrow"/>
        </a:ln>
        <a:effectLst/>
      </xdr:spPr>
    </xdr:cxnSp>
    <xdr:clientData/>
  </xdr:twoCellAnchor>
  <xdr:twoCellAnchor>
    <xdr:from>
      <xdr:col>4</xdr:col>
      <xdr:colOff>304800</xdr:colOff>
      <xdr:row>206</xdr:row>
      <xdr:rowOff>85725</xdr:rowOff>
    </xdr:from>
    <xdr:to>
      <xdr:col>7</xdr:col>
      <xdr:colOff>571500</xdr:colOff>
      <xdr:row>206</xdr:row>
      <xdr:rowOff>95250</xdr:rowOff>
    </xdr:to>
    <xdr:cxnSp macro="">
      <xdr:nvCxnSpPr>
        <xdr:cNvPr id="387" name="Straight Connector 386"/>
        <xdr:cNvCxnSpPr/>
      </xdr:nvCxnSpPr>
      <xdr:spPr bwMode="auto">
        <a:xfrm>
          <a:off x="2743200" y="34280475"/>
          <a:ext cx="20955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295275</xdr:colOff>
      <xdr:row>153</xdr:row>
      <xdr:rowOff>0</xdr:rowOff>
    </xdr:from>
    <xdr:to>
      <xdr:col>7</xdr:col>
      <xdr:colOff>600075</xdr:colOff>
      <xdr:row>153</xdr:row>
      <xdr:rowOff>1588</xdr:rowOff>
    </xdr:to>
    <xdr:cxnSp macro="">
      <xdr:nvCxnSpPr>
        <xdr:cNvPr id="398" name="Straight Connector 397"/>
        <xdr:cNvCxnSpPr/>
      </xdr:nvCxnSpPr>
      <xdr:spPr bwMode="auto">
        <a:xfrm>
          <a:off x="2733675" y="25317450"/>
          <a:ext cx="2133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590550</xdr:colOff>
      <xdr:row>352</xdr:row>
      <xdr:rowOff>152400</xdr:rowOff>
    </xdr:from>
    <xdr:to>
      <xdr:col>82</xdr:col>
      <xdr:colOff>0</xdr:colOff>
      <xdr:row>352</xdr:row>
      <xdr:rowOff>153988</xdr:rowOff>
    </xdr:to>
    <xdr:cxnSp macro="">
      <xdr:nvCxnSpPr>
        <xdr:cNvPr id="381" name="Straight Connector 380"/>
        <xdr:cNvCxnSpPr/>
      </xdr:nvCxnSpPr>
      <xdr:spPr bwMode="auto">
        <a:xfrm>
          <a:off x="1200150" y="58769250"/>
          <a:ext cx="48787050" cy="1588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381003</xdr:colOff>
      <xdr:row>351</xdr:row>
      <xdr:rowOff>28574</xdr:rowOff>
    </xdr:from>
    <xdr:to>
      <xdr:col>2</xdr:col>
      <xdr:colOff>390525</xdr:colOff>
      <xdr:row>352</xdr:row>
      <xdr:rowOff>142875</xdr:rowOff>
    </xdr:to>
    <xdr:cxnSp macro="">
      <xdr:nvCxnSpPr>
        <xdr:cNvPr id="389" name="Straight Arrow Connector 388"/>
        <xdr:cNvCxnSpPr/>
      </xdr:nvCxnSpPr>
      <xdr:spPr bwMode="auto">
        <a:xfrm rot="16200000" flipH="1">
          <a:off x="1466851" y="58616851"/>
          <a:ext cx="276226" cy="95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332581</xdr:colOff>
      <xdr:row>351</xdr:row>
      <xdr:rowOff>10319</xdr:rowOff>
    </xdr:from>
    <xdr:to>
      <xdr:col>3</xdr:col>
      <xdr:colOff>334169</xdr:colOff>
      <xdr:row>352</xdr:row>
      <xdr:rowOff>134144</xdr:rowOff>
    </xdr:to>
    <xdr:cxnSp macro="">
      <xdr:nvCxnSpPr>
        <xdr:cNvPr id="403" name="Straight Arrow Connector 402"/>
        <xdr:cNvCxnSpPr/>
      </xdr:nvCxnSpPr>
      <xdr:spPr bwMode="auto">
        <a:xfrm rot="5400000">
          <a:off x="2019300" y="58607325"/>
          <a:ext cx="285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9525</xdr:colOff>
      <xdr:row>359</xdr:row>
      <xdr:rowOff>139700</xdr:rowOff>
    </xdr:from>
    <xdr:to>
      <xdr:col>5</xdr:col>
      <xdr:colOff>600075</xdr:colOff>
      <xdr:row>360</xdr:row>
      <xdr:rowOff>127000</xdr:rowOff>
    </xdr:to>
    <xdr:sp macro="" textlink="">
      <xdr:nvSpPr>
        <xdr:cNvPr id="404" name="Freeform 403"/>
        <xdr:cNvSpPr/>
      </xdr:nvSpPr>
      <xdr:spPr bwMode="auto">
        <a:xfrm>
          <a:off x="2295525" y="30924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9525</xdr:colOff>
      <xdr:row>359</xdr:row>
      <xdr:rowOff>139700</xdr:rowOff>
    </xdr:from>
    <xdr:to>
      <xdr:col>7</xdr:col>
      <xdr:colOff>600075</xdr:colOff>
      <xdr:row>360</xdr:row>
      <xdr:rowOff>127000</xdr:rowOff>
    </xdr:to>
    <xdr:sp macro="" textlink="">
      <xdr:nvSpPr>
        <xdr:cNvPr id="405" name="Freeform 404"/>
        <xdr:cNvSpPr/>
      </xdr:nvSpPr>
      <xdr:spPr bwMode="auto">
        <a:xfrm>
          <a:off x="3514725" y="30924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0</xdr:colOff>
      <xdr:row>360</xdr:row>
      <xdr:rowOff>0</xdr:rowOff>
    </xdr:from>
    <xdr:to>
      <xdr:col>9</xdr:col>
      <xdr:colOff>590550</xdr:colOff>
      <xdr:row>360</xdr:row>
      <xdr:rowOff>149225</xdr:rowOff>
    </xdr:to>
    <xdr:sp macro="" textlink="">
      <xdr:nvSpPr>
        <xdr:cNvPr id="406" name="Freeform 405"/>
        <xdr:cNvSpPr/>
      </xdr:nvSpPr>
      <xdr:spPr bwMode="auto">
        <a:xfrm>
          <a:off x="4724400" y="31146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0</xdr:colOff>
      <xdr:row>360</xdr:row>
      <xdr:rowOff>0</xdr:rowOff>
    </xdr:from>
    <xdr:to>
      <xdr:col>11</xdr:col>
      <xdr:colOff>590550</xdr:colOff>
      <xdr:row>360</xdr:row>
      <xdr:rowOff>149225</xdr:rowOff>
    </xdr:to>
    <xdr:sp macro="" textlink="">
      <xdr:nvSpPr>
        <xdr:cNvPr id="407" name="Freeform 406"/>
        <xdr:cNvSpPr/>
      </xdr:nvSpPr>
      <xdr:spPr bwMode="auto">
        <a:xfrm>
          <a:off x="5943600" y="31146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0</xdr:colOff>
      <xdr:row>360</xdr:row>
      <xdr:rowOff>0</xdr:rowOff>
    </xdr:from>
    <xdr:to>
      <xdr:col>13</xdr:col>
      <xdr:colOff>590550</xdr:colOff>
      <xdr:row>360</xdr:row>
      <xdr:rowOff>149225</xdr:rowOff>
    </xdr:to>
    <xdr:sp macro="" textlink="">
      <xdr:nvSpPr>
        <xdr:cNvPr id="408" name="Freeform 407"/>
        <xdr:cNvSpPr/>
      </xdr:nvSpPr>
      <xdr:spPr bwMode="auto">
        <a:xfrm>
          <a:off x="7162800" y="31146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14</xdr:col>
      <xdr:colOff>0</xdr:colOff>
      <xdr:row>360</xdr:row>
      <xdr:rowOff>0</xdr:rowOff>
    </xdr:from>
    <xdr:to>
      <xdr:col>15</xdr:col>
      <xdr:colOff>590550</xdr:colOff>
      <xdr:row>360</xdr:row>
      <xdr:rowOff>149225</xdr:rowOff>
    </xdr:to>
    <xdr:sp macro="" textlink="">
      <xdr:nvSpPr>
        <xdr:cNvPr id="409" name="Freeform 408"/>
        <xdr:cNvSpPr/>
      </xdr:nvSpPr>
      <xdr:spPr bwMode="auto">
        <a:xfrm>
          <a:off x="8382000" y="31146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16</xdr:col>
      <xdr:colOff>0</xdr:colOff>
      <xdr:row>360</xdr:row>
      <xdr:rowOff>0</xdr:rowOff>
    </xdr:from>
    <xdr:to>
      <xdr:col>17</xdr:col>
      <xdr:colOff>590550</xdr:colOff>
      <xdr:row>360</xdr:row>
      <xdr:rowOff>149225</xdr:rowOff>
    </xdr:to>
    <xdr:sp macro="" textlink="">
      <xdr:nvSpPr>
        <xdr:cNvPr id="410" name="Freeform 409"/>
        <xdr:cNvSpPr/>
      </xdr:nvSpPr>
      <xdr:spPr bwMode="auto">
        <a:xfrm>
          <a:off x="9601200" y="31146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0</xdr:colOff>
      <xdr:row>353</xdr:row>
      <xdr:rowOff>1</xdr:rowOff>
    </xdr:from>
    <xdr:to>
      <xdr:col>2</xdr:col>
      <xdr:colOff>9526</xdr:colOff>
      <xdr:row>360</xdr:row>
      <xdr:rowOff>3</xdr:rowOff>
    </xdr:to>
    <xdr:cxnSp macro="">
      <xdr:nvCxnSpPr>
        <xdr:cNvPr id="425" name="Straight Connector 424"/>
        <xdr:cNvCxnSpPr/>
      </xdr:nvCxnSpPr>
      <xdr:spPr bwMode="auto">
        <a:xfrm rot="5400000">
          <a:off x="738187" y="58935939"/>
          <a:ext cx="971552" cy="9526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352</xdr:row>
      <xdr:rowOff>152400</xdr:rowOff>
    </xdr:from>
    <xdr:to>
      <xdr:col>4</xdr:col>
      <xdr:colOff>19051</xdr:colOff>
      <xdr:row>359</xdr:row>
      <xdr:rowOff>152402</xdr:rowOff>
    </xdr:to>
    <xdr:cxnSp macro="">
      <xdr:nvCxnSpPr>
        <xdr:cNvPr id="426" name="Straight Connector 425"/>
        <xdr:cNvCxnSpPr/>
      </xdr:nvCxnSpPr>
      <xdr:spPr bwMode="auto">
        <a:xfrm rot="5400000">
          <a:off x="1966912" y="58926413"/>
          <a:ext cx="971552" cy="9526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352</xdr:row>
      <xdr:rowOff>142875</xdr:rowOff>
    </xdr:from>
    <xdr:to>
      <xdr:col>6</xdr:col>
      <xdr:colOff>19051</xdr:colOff>
      <xdr:row>359</xdr:row>
      <xdr:rowOff>142877</xdr:rowOff>
    </xdr:to>
    <xdr:cxnSp macro="">
      <xdr:nvCxnSpPr>
        <xdr:cNvPr id="427" name="Straight Connector 426"/>
        <xdr:cNvCxnSpPr/>
      </xdr:nvCxnSpPr>
      <xdr:spPr bwMode="auto">
        <a:xfrm rot="5400000">
          <a:off x="3186112" y="58916888"/>
          <a:ext cx="971552" cy="9526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352</xdr:row>
      <xdr:rowOff>152400</xdr:rowOff>
    </xdr:from>
    <xdr:to>
      <xdr:col>8</xdr:col>
      <xdr:colOff>1</xdr:colOff>
      <xdr:row>359</xdr:row>
      <xdr:rowOff>152402</xdr:rowOff>
    </xdr:to>
    <xdr:cxnSp macro="">
      <xdr:nvCxnSpPr>
        <xdr:cNvPr id="428" name="Straight Connector 427"/>
        <xdr:cNvCxnSpPr/>
      </xdr:nvCxnSpPr>
      <xdr:spPr bwMode="auto">
        <a:xfrm rot="5400000">
          <a:off x="4386262" y="58926413"/>
          <a:ext cx="971552" cy="9526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353</xdr:row>
      <xdr:rowOff>0</xdr:rowOff>
    </xdr:from>
    <xdr:to>
      <xdr:col>10</xdr:col>
      <xdr:colOff>9526</xdr:colOff>
      <xdr:row>360</xdr:row>
      <xdr:rowOff>2</xdr:rowOff>
    </xdr:to>
    <xdr:cxnSp macro="">
      <xdr:nvCxnSpPr>
        <xdr:cNvPr id="429" name="Straight Connector 428"/>
        <xdr:cNvCxnSpPr/>
      </xdr:nvCxnSpPr>
      <xdr:spPr bwMode="auto">
        <a:xfrm rot="5400000">
          <a:off x="5367337" y="58935938"/>
          <a:ext cx="971552" cy="9526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353</xdr:row>
      <xdr:rowOff>0</xdr:rowOff>
    </xdr:from>
    <xdr:to>
      <xdr:col>12</xdr:col>
      <xdr:colOff>19051</xdr:colOff>
      <xdr:row>360</xdr:row>
      <xdr:rowOff>2</xdr:rowOff>
    </xdr:to>
    <xdr:cxnSp macro="">
      <xdr:nvCxnSpPr>
        <xdr:cNvPr id="430" name="Straight Connector 429"/>
        <xdr:cNvCxnSpPr/>
      </xdr:nvCxnSpPr>
      <xdr:spPr bwMode="auto">
        <a:xfrm rot="5400000">
          <a:off x="6176962" y="58935938"/>
          <a:ext cx="971552" cy="9526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609599</xdr:colOff>
      <xdr:row>352</xdr:row>
      <xdr:rowOff>123825</xdr:rowOff>
    </xdr:from>
    <xdr:to>
      <xdr:col>18</xdr:col>
      <xdr:colOff>19053</xdr:colOff>
      <xdr:row>360</xdr:row>
      <xdr:rowOff>3</xdr:rowOff>
    </xdr:to>
    <xdr:cxnSp macro="">
      <xdr:nvCxnSpPr>
        <xdr:cNvPr id="433" name="Straight Connector 432"/>
        <xdr:cNvCxnSpPr/>
      </xdr:nvCxnSpPr>
      <xdr:spPr bwMode="auto">
        <a:xfrm rot="16200000" flipH="1">
          <a:off x="10396537" y="59316937"/>
          <a:ext cx="1171578" cy="19054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600076</xdr:colOff>
      <xdr:row>352</xdr:row>
      <xdr:rowOff>152400</xdr:rowOff>
    </xdr:from>
    <xdr:to>
      <xdr:col>16</xdr:col>
      <xdr:colOff>4</xdr:colOff>
      <xdr:row>360</xdr:row>
      <xdr:rowOff>9527</xdr:rowOff>
    </xdr:to>
    <xdr:cxnSp macro="">
      <xdr:nvCxnSpPr>
        <xdr:cNvPr id="435" name="Straight Connector 434"/>
        <xdr:cNvCxnSpPr/>
      </xdr:nvCxnSpPr>
      <xdr:spPr bwMode="auto">
        <a:xfrm rot="16200000" flipH="1">
          <a:off x="9172576" y="59340750"/>
          <a:ext cx="1152527" cy="9528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352</xdr:row>
      <xdr:rowOff>123826</xdr:rowOff>
    </xdr:from>
    <xdr:to>
      <xdr:col>14</xdr:col>
      <xdr:colOff>9526</xdr:colOff>
      <xdr:row>359</xdr:row>
      <xdr:rowOff>123828</xdr:rowOff>
    </xdr:to>
    <xdr:cxnSp macro="">
      <xdr:nvCxnSpPr>
        <xdr:cNvPr id="438" name="Straight Connector 437"/>
        <xdr:cNvCxnSpPr/>
      </xdr:nvCxnSpPr>
      <xdr:spPr bwMode="auto">
        <a:xfrm rot="5400000">
          <a:off x="7972424" y="59302652"/>
          <a:ext cx="1133477" cy="9526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600078</xdr:colOff>
      <xdr:row>353</xdr:row>
      <xdr:rowOff>19053</xdr:rowOff>
    </xdr:from>
    <xdr:to>
      <xdr:col>19</xdr:col>
      <xdr:colOff>600079</xdr:colOff>
      <xdr:row>360</xdr:row>
      <xdr:rowOff>1</xdr:rowOff>
    </xdr:to>
    <xdr:cxnSp macro="">
      <xdr:nvCxnSpPr>
        <xdr:cNvPr id="439" name="Straight Connector 438"/>
        <xdr:cNvCxnSpPr/>
      </xdr:nvCxnSpPr>
      <xdr:spPr bwMode="auto">
        <a:xfrm rot="5400000">
          <a:off x="11625267" y="59355039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590550</xdr:colOff>
      <xdr:row>360</xdr:row>
      <xdr:rowOff>0</xdr:rowOff>
    </xdr:from>
    <xdr:to>
      <xdr:col>82</xdr:col>
      <xdr:colOff>0</xdr:colOff>
      <xdr:row>360</xdr:row>
      <xdr:rowOff>1588</xdr:rowOff>
    </xdr:to>
    <xdr:cxnSp macro="">
      <xdr:nvCxnSpPr>
        <xdr:cNvPr id="467" name="Straight Connector 466"/>
        <xdr:cNvCxnSpPr/>
      </xdr:nvCxnSpPr>
      <xdr:spPr bwMode="auto">
        <a:xfrm>
          <a:off x="1200150" y="59750325"/>
          <a:ext cx="48787050" cy="1588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351</xdr:row>
      <xdr:rowOff>142875</xdr:rowOff>
    </xdr:from>
    <xdr:to>
      <xdr:col>6</xdr:col>
      <xdr:colOff>9525</xdr:colOff>
      <xdr:row>352</xdr:row>
      <xdr:rowOff>130175</xdr:rowOff>
    </xdr:to>
    <xdr:sp macro="" textlink="">
      <xdr:nvSpPr>
        <xdr:cNvPr id="470" name="Freeform 469"/>
        <xdr:cNvSpPr/>
      </xdr:nvSpPr>
      <xdr:spPr bwMode="auto">
        <a:xfrm>
          <a:off x="2466975" y="585978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28575</xdr:colOff>
      <xdr:row>351</xdr:row>
      <xdr:rowOff>142875</xdr:rowOff>
    </xdr:from>
    <xdr:to>
      <xdr:col>8</xdr:col>
      <xdr:colOff>9525</xdr:colOff>
      <xdr:row>352</xdr:row>
      <xdr:rowOff>130175</xdr:rowOff>
    </xdr:to>
    <xdr:sp macro="" textlink="">
      <xdr:nvSpPr>
        <xdr:cNvPr id="471" name="Freeform 470"/>
        <xdr:cNvSpPr/>
      </xdr:nvSpPr>
      <xdr:spPr bwMode="auto">
        <a:xfrm>
          <a:off x="3686175" y="585978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19050</xdr:colOff>
      <xdr:row>352</xdr:row>
      <xdr:rowOff>3175</xdr:rowOff>
    </xdr:from>
    <xdr:to>
      <xdr:col>10</xdr:col>
      <xdr:colOff>0</xdr:colOff>
      <xdr:row>352</xdr:row>
      <xdr:rowOff>152400</xdr:rowOff>
    </xdr:to>
    <xdr:sp macro="" textlink="">
      <xdr:nvSpPr>
        <xdr:cNvPr id="472" name="Freeform 471"/>
        <xdr:cNvSpPr/>
      </xdr:nvSpPr>
      <xdr:spPr bwMode="auto">
        <a:xfrm>
          <a:off x="4895850" y="5862002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16</xdr:col>
      <xdr:colOff>0</xdr:colOff>
      <xdr:row>130</xdr:row>
      <xdr:rowOff>0</xdr:rowOff>
    </xdr:from>
    <xdr:to>
      <xdr:col>16</xdr:col>
      <xdr:colOff>0</xdr:colOff>
      <xdr:row>131</xdr:row>
      <xdr:rowOff>142875</xdr:rowOff>
    </xdr:to>
    <xdr:sp macro="" textlink="">
      <xdr:nvSpPr>
        <xdr:cNvPr id="414" name="Line 274"/>
        <xdr:cNvSpPr>
          <a:spLocks noChangeShapeType="1"/>
        </xdr:cNvSpPr>
      </xdr:nvSpPr>
      <xdr:spPr bwMode="auto">
        <a:xfrm>
          <a:off x="7924800" y="200025"/>
          <a:ext cx="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15</xdr:col>
      <xdr:colOff>295275</xdr:colOff>
      <xdr:row>130</xdr:row>
      <xdr:rowOff>0</xdr:rowOff>
    </xdr:from>
    <xdr:to>
      <xdr:col>15</xdr:col>
      <xdr:colOff>295275</xdr:colOff>
      <xdr:row>131</xdr:row>
      <xdr:rowOff>152400</xdr:rowOff>
    </xdr:to>
    <xdr:sp macro="" textlink="">
      <xdr:nvSpPr>
        <xdr:cNvPr id="415" name="Line 275"/>
        <xdr:cNvSpPr>
          <a:spLocks noChangeShapeType="1"/>
        </xdr:cNvSpPr>
      </xdr:nvSpPr>
      <xdr:spPr bwMode="auto">
        <a:xfrm>
          <a:off x="7610475" y="2000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16</xdr:col>
      <xdr:colOff>295275</xdr:colOff>
      <xdr:row>130</xdr:row>
      <xdr:rowOff>0</xdr:rowOff>
    </xdr:from>
    <xdr:to>
      <xdr:col>16</xdr:col>
      <xdr:colOff>295275</xdr:colOff>
      <xdr:row>131</xdr:row>
      <xdr:rowOff>152400</xdr:rowOff>
    </xdr:to>
    <xdr:sp macro="" textlink="">
      <xdr:nvSpPr>
        <xdr:cNvPr id="416" name="Line 276"/>
        <xdr:cNvSpPr>
          <a:spLocks noChangeShapeType="1"/>
        </xdr:cNvSpPr>
      </xdr:nvSpPr>
      <xdr:spPr bwMode="auto">
        <a:xfrm>
          <a:off x="8220075" y="2000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16</xdr:col>
      <xdr:colOff>542925</xdr:colOff>
      <xdr:row>130</xdr:row>
      <xdr:rowOff>9525</xdr:rowOff>
    </xdr:from>
    <xdr:to>
      <xdr:col>16</xdr:col>
      <xdr:colOff>542925</xdr:colOff>
      <xdr:row>132</xdr:row>
      <xdr:rowOff>0</xdr:rowOff>
    </xdr:to>
    <xdr:sp macro="" textlink="">
      <xdr:nvSpPr>
        <xdr:cNvPr id="417" name="Line 277"/>
        <xdr:cNvSpPr>
          <a:spLocks noChangeShapeType="1"/>
        </xdr:cNvSpPr>
      </xdr:nvSpPr>
      <xdr:spPr bwMode="auto">
        <a:xfrm>
          <a:off x="8467725" y="2095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18</xdr:col>
      <xdr:colOff>28575</xdr:colOff>
      <xdr:row>130</xdr:row>
      <xdr:rowOff>19050</xdr:rowOff>
    </xdr:from>
    <xdr:to>
      <xdr:col>18</xdr:col>
      <xdr:colOff>28575</xdr:colOff>
      <xdr:row>132</xdr:row>
      <xdr:rowOff>9525</xdr:rowOff>
    </xdr:to>
    <xdr:sp macro="" textlink="">
      <xdr:nvSpPr>
        <xdr:cNvPr id="418" name="Line 278"/>
        <xdr:cNvSpPr>
          <a:spLocks noChangeShapeType="1"/>
        </xdr:cNvSpPr>
      </xdr:nvSpPr>
      <xdr:spPr bwMode="auto">
        <a:xfrm>
          <a:off x="9172575" y="2190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17</xdr:col>
      <xdr:colOff>219075</xdr:colOff>
      <xdr:row>130</xdr:row>
      <xdr:rowOff>9525</xdr:rowOff>
    </xdr:from>
    <xdr:to>
      <xdr:col>17</xdr:col>
      <xdr:colOff>219075</xdr:colOff>
      <xdr:row>132</xdr:row>
      <xdr:rowOff>0</xdr:rowOff>
    </xdr:to>
    <xdr:sp macro="" textlink="">
      <xdr:nvSpPr>
        <xdr:cNvPr id="419" name="Line 279"/>
        <xdr:cNvSpPr>
          <a:spLocks noChangeShapeType="1"/>
        </xdr:cNvSpPr>
      </xdr:nvSpPr>
      <xdr:spPr bwMode="auto">
        <a:xfrm>
          <a:off x="8753475" y="2095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17</xdr:col>
      <xdr:colOff>419100</xdr:colOff>
      <xdr:row>129</xdr:row>
      <xdr:rowOff>152400</xdr:rowOff>
    </xdr:from>
    <xdr:to>
      <xdr:col>17</xdr:col>
      <xdr:colOff>419100</xdr:colOff>
      <xdr:row>131</xdr:row>
      <xdr:rowOff>142875</xdr:rowOff>
    </xdr:to>
    <xdr:sp macro="" textlink="">
      <xdr:nvSpPr>
        <xdr:cNvPr id="420" name="Line 280"/>
        <xdr:cNvSpPr>
          <a:spLocks noChangeShapeType="1"/>
        </xdr:cNvSpPr>
      </xdr:nvSpPr>
      <xdr:spPr bwMode="auto">
        <a:xfrm>
          <a:off x="8953500" y="15240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18</xdr:col>
      <xdr:colOff>581025</xdr:colOff>
      <xdr:row>130</xdr:row>
      <xdr:rowOff>0</xdr:rowOff>
    </xdr:from>
    <xdr:to>
      <xdr:col>18</xdr:col>
      <xdr:colOff>581025</xdr:colOff>
      <xdr:row>131</xdr:row>
      <xdr:rowOff>152400</xdr:rowOff>
    </xdr:to>
    <xdr:sp macro="" textlink="">
      <xdr:nvSpPr>
        <xdr:cNvPr id="421" name="Line 282"/>
        <xdr:cNvSpPr>
          <a:spLocks noChangeShapeType="1"/>
        </xdr:cNvSpPr>
      </xdr:nvSpPr>
      <xdr:spPr bwMode="auto">
        <a:xfrm>
          <a:off x="9725025" y="2000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15</xdr:col>
      <xdr:colOff>285750</xdr:colOff>
      <xdr:row>131</xdr:row>
      <xdr:rowOff>152400</xdr:rowOff>
    </xdr:from>
    <xdr:to>
      <xdr:col>18</xdr:col>
      <xdr:colOff>581025</xdr:colOff>
      <xdr:row>132</xdr:row>
      <xdr:rowOff>0</xdr:rowOff>
    </xdr:to>
    <xdr:cxnSp macro="">
      <xdr:nvCxnSpPr>
        <xdr:cNvPr id="422" name="Straight Connector 421"/>
        <xdr:cNvCxnSpPr>
          <a:endCxn id="421" idx="1"/>
        </xdr:cNvCxnSpPr>
      </xdr:nvCxnSpPr>
      <xdr:spPr bwMode="auto">
        <a:xfrm flipV="1">
          <a:off x="7600950" y="514350"/>
          <a:ext cx="2124075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313532</xdr:colOff>
      <xdr:row>132</xdr:row>
      <xdr:rowOff>29369</xdr:rowOff>
    </xdr:from>
    <xdr:to>
      <xdr:col>15</xdr:col>
      <xdr:colOff>315120</xdr:colOff>
      <xdr:row>134</xdr:row>
      <xdr:rowOff>794</xdr:rowOff>
    </xdr:to>
    <xdr:cxnSp macro="">
      <xdr:nvCxnSpPr>
        <xdr:cNvPr id="423" name="Straight Arrow Connector 422"/>
        <xdr:cNvCxnSpPr/>
      </xdr:nvCxnSpPr>
      <xdr:spPr bwMode="auto">
        <a:xfrm rot="5400000" flipH="1" flipV="1">
          <a:off x="7477126" y="704850"/>
          <a:ext cx="3048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18</xdr:col>
      <xdr:colOff>580232</xdr:colOff>
      <xdr:row>132</xdr:row>
      <xdr:rowOff>794</xdr:rowOff>
    </xdr:from>
    <xdr:to>
      <xdr:col>18</xdr:col>
      <xdr:colOff>581820</xdr:colOff>
      <xdr:row>133</xdr:row>
      <xdr:rowOff>115094</xdr:rowOff>
    </xdr:to>
    <xdr:cxnSp macro="">
      <xdr:nvCxnSpPr>
        <xdr:cNvPr id="424" name="Straight Arrow Connector 423"/>
        <xdr:cNvCxnSpPr/>
      </xdr:nvCxnSpPr>
      <xdr:spPr bwMode="auto">
        <a:xfrm rot="5400000" flipH="1" flipV="1">
          <a:off x="9586913" y="661988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15</xdr:col>
      <xdr:colOff>0</xdr:colOff>
      <xdr:row>130</xdr:row>
      <xdr:rowOff>133350</xdr:rowOff>
    </xdr:from>
    <xdr:to>
      <xdr:col>15</xdr:col>
      <xdr:colOff>316233</xdr:colOff>
      <xdr:row>133</xdr:row>
      <xdr:rowOff>76200</xdr:rowOff>
    </xdr:to>
    <xdr:sp macro="" textlink="">
      <xdr:nvSpPr>
        <xdr:cNvPr id="431" name="Arc 430"/>
        <xdr:cNvSpPr/>
      </xdr:nvSpPr>
      <xdr:spPr bwMode="auto">
        <a:xfrm flipH="1">
          <a:off x="7315200" y="333375"/>
          <a:ext cx="316233" cy="428625"/>
        </a:xfrm>
        <a:prstGeom prst="arc">
          <a:avLst>
            <a:gd name="adj1" fmla="val 16200008"/>
            <a:gd name="adj2" fmla="val 444663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18</xdr:col>
      <xdr:colOff>523875</xdr:colOff>
      <xdr:row>130</xdr:row>
      <xdr:rowOff>0</xdr:rowOff>
    </xdr:from>
    <xdr:to>
      <xdr:col>19</xdr:col>
      <xdr:colOff>230508</xdr:colOff>
      <xdr:row>132</xdr:row>
      <xdr:rowOff>104775</xdr:rowOff>
    </xdr:to>
    <xdr:sp macro="" textlink="">
      <xdr:nvSpPr>
        <xdr:cNvPr id="432" name="Arc 431"/>
        <xdr:cNvSpPr/>
      </xdr:nvSpPr>
      <xdr:spPr bwMode="auto">
        <a:xfrm flipH="1">
          <a:off x="9667875" y="200025"/>
          <a:ext cx="316233" cy="428625"/>
        </a:xfrm>
        <a:prstGeom prst="arc">
          <a:avLst>
            <a:gd name="adj1" fmla="val 5163276"/>
            <a:gd name="adj2" fmla="val 1582582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15</xdr:col>
      <xdr:colOff>295275</xdr:colOff>
      <xdr:row>130</xdr:row>
      <xdr:rowOff>0</xdr:rowOff>
    </xdr:from>
    <xdr:to>
      <xdr:col>18</xdr:col>
      <xdr:colOff>600075</xdr:colOff>
      <xdr:row>130</xdr:row>
      <xdr:rowOff>1588</xdr:rowOff>
    </xdr:to>
    <xdr:cxnSp macro="">
      <xdr:nvCxnSpPr>
        <xdr:cNvPr id="434" name="Straight Connector 433"/>
        <xdr:cNvCxnSpPr/>
      </xdr:nvCxnSpPr>
      <xdr:spPr bwMode="auto">
        <a:xfrm>
          <a:off x="7610475" y="200025"/>
          <a:ext cx="2133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360</xdr:row>
      <xdr:rowOff>0</xdr:rowOff>
    </xdr:from>
    <xdr:to>
      <xdr:col>3</xdr:col>
      <xdr:colOff>590550</xdr:colOff>
      <xdr:row>360</xdr:row>
      <xdr:rowOff>149225</xdr:rowOff>
    </xdr:to>
    <xdr:sp macro="" textlink="">
      <xdr:nvSpPr>
        <xdr:cNvPr id="436" name="Freeform 435"/>
        <xdr:cNvSpPr/>
      </xdr:nvSpPr>
      <xdr:spPr bwMode="auto">
        <a:xfrm>
          <a:off x="1219200" y="599122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81</xdr:col>
      <xdr:colOff>590550</xdr:colOff>
      <xdr:row>353</xdr:row>
      <xdr:rowOff>0</xdr:rowOff>
    </xdr:from>
    <xdr:to>
      <xdr:col>81</xdr:col>
      <xdr:colOff>590551</xdr:colOff>
      <xdr:row>359</xdr:row>
      <xdr:rowOff>142873</xdr:rowOff>
    </xdr:to>
    <xdr:cxnSp macro="">
      <xdr:nvCxnSpPr>
        <xdr:cNvPr id="437" name="Straight Connector 436"/>
        <xdr:cNvCxnSpPr/>
      </xdr:nvCxnSpPr>
      <xdr:spPr bwMode="auto">
        <a:xfrm rot="5400000">
          <a:off x="4941093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80</xdr:col>
      <xdr:colOff>9525</xdr:colOff>
      <xdr:row>353</xdr:row>
      <xdr:rowOff>19050</xdr:rowOff>
    </xdr:from>
    <xdr:to>
      <xdr:col>80</xdr:col>
      <xdr:colOff>9526</xdr:colOff>
      <xdr:row>359</xdr:row>
      <xdr:rowOff>161923</xdr:rowOff>
    </xdr:to>
    <xdr:cxnSp macro="">
      <xdr:nvCxnSpPr>
        <xdr:cNvPr id="441" name="Straight Connector 440"/>
        <xdr:cNvCxnSpPr/>
      </xdr:nvCxnSpPr>
      <xdr:spPr bwMode="auto">
        <a:xfrm rot="5400000">
          <a:off x="48220314" y="5935503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76</xdr:col>
      <xdr:colOff>9525</xdr:colOff>
      <xdr:row>352</xdr:row>
      <xdr:rowOff>123825</xdr:rowOff>
    </xdr:from>
    <xdr:to>
      <xdr:col>76</xdr:col>
      <xdr:colOff>9526</xdr:colOff>
      <xdr:row>359</xdr:row>
      <xdr:rowOff>104773</xdr:rowOff>
    </xdr:to>
    <xdr:cxnSp macro="">
      <xdr:nvCxnSpPr>
        <xdr:cNvPr id="442" name="Straight Connector 441"/>
        <xdr:cNvCxnSpPr/>
      </xdr:nvCxnSpPr>
      <xdr:spPr bwMode="auto">
        <a:xfrm rot="5400000">
          <a:off x="45781914" y="592978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77</xdr:col>
      <xdr:colOff>600075</xdr:colOff>
      <xdr:row>353</xdr:row>
      <xdr:rowOff>9525</xdr:rowOff>
    </xdr:from>
    <xdr:to>
      <xdr:col>77</xdr:col>
      <xdr:colOff>600076</xdr:colOff>
      <xdr:row>359</xdr:row>
      <xdr:rowOff>152398</xdr:rowOff>
    </xdr:to>
    <xdr:cxnSp macro="">
      <xdr:nvCxnSpPr>
        <xdr:cNvPr id="443" name="Straight Connector 442"/>
        <xdr:cNvCxnSpPr/>
      </xdr:nvCxnSpPr>
      <xdr:spPr bwMode="auto">
        <a:xfrm rot="5400000">
          <a:off x="46982064" y="59345511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74</xdr:col>
      <xdr:colOff>0</xdr:colOff>
      <xdr:row>353</xdr:row>
      <xdr:rowOff>0</xdr:rowOff>
    </xdr:from>
    <xdr:to>
      <xdr:col>74</xdr:col>
      <xdr:colOff>1</xdr:colOff>
      <xdr:row>359</xdr:row>
      <xdr:rowOff>142873</xdr:rowOff>
    </xdr:to>
    <xdr:cxnSp macro="">
      <xdr:nvCxnSpPr>
        <xdr:cNvPr id="444" name="Straight Connector 443"/>
        <xdr:cNvCxnSpPr/>
      </xdr:nvCxnSpPr>
      <xdr:spPr bwMode="auto">
        <a:xfrm rot="5400000">
          <a:off x="445531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72</xdr:col>
      <xdr:colOff>0</xdr:colOff>
      <xdr:row>353</xdr:row>
      <xdr:rowOff>0</xdr:rowOff>
    </xdr:from>
    <xdr:to>
      <xdr:col>72</xdr:col>
      <xdr:colOff>1</xdr:colOff>
      <xdr:row>359</xdr:row>
      <xdr:rowOff>142873</xdr:rowOff>
    </xdr:to>
    <xdr:cxnSp macro="">
      <xdr:nvCxnSpPr>
        <xdr:cNvPr id="445" name="Straight Connector 444"/>
        <xdr:cNvCxnSpPr/>
      </xdr:nvCxnSpPr>
      <xdr:spPr bwMode="auto">
        <a:xfrm rot="5400000">
          <a:off x="433339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70</xdr:col>
      <xdr:colOff>0</xdr:colOff>
      <xdr:row>353</xdr:row>
      <xdr:rowOff>0</xdr:rowOff>
    </xdr:from>
    <xdr:to>
      <xdr:col>70</xdr:col>
      <xdr:colOff>1</xdr:colOff>
      <xdr:row>359</xdr:row>
      <xdr:rowOff>142873</xdr:rowOff>
    </xdr:to>
    <xdr:cxnSp macro="">
      <xdr:nvCxnSpPr>
        <xdr:cNvPr id="446" name="Straight Connector 445"/>
        <xdr:cNvCxnSpPr/>
      </xdr:nvCxnSpPr>
      <xdr:spPr bwMode="auto">
        <a:xfrm rot="5400000">
          <a:off x="421147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68</xdr:col>
      <xdr:colOff>0</xdr:colOff>
      <xdr:row>353</xdr:row>
      <xdr:rowOff>0</xdr:rowOff>
    </xdr:from>
    <xdr:to>
      <xdr:col>68</xdr:col>
      <xdr:colOff>1</xdr:colOff>
      <xdr:row>359</xdr:row>
      <xdr:rowOff>142873</xdr:rowOff>
    </xdr:to>
    <xdr:cxnSp macro="">
      <xdr:nvCxnSpPr>
        <xdr:cNvPr id="447" name="Straight Connector 446"/>
        <xdr:cNvCxnSpPr/>
      </xdr:nvCxnSpPr>
      <xdr:spPr bwMode="auto">
        <a:xfrm rot="5400000">
          <a:off x="408955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66</xdr:col>
      <xdr:colOff>0</xdr:colOff>
      <xdr:row>353</xdr:row>
      <xdr:rowOff>0</xdr:rowOff>
    </xdr:from>
    <xdr:to>
      <xdr:col>66</xdr:col>
      <xdr:colOff>1</xdr:colOff>
      <xdr:row>359</xdr:row>
      <xdr:rowOff>142873</xdr:rowOff>
    </xdr:to>
    <xdr:cxnSp macro="">
      <xdr:nvCxnSpPr>
        <xdr:cNvPr id="448" name="Straight Connector 447"/>
        <xdr:cNvCxnSpPr/>
      </xdr:nvCxnSpPr>
      <xdr:spPr bwMode="auto">
        <a:xfrm rot="5400000">
          <a:off x="396763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64</xdr:col>
      <xdr:colOff>0</xdr:colOff>
      <xdr:row>353</xdr:row>
      <xdr:rowOff>0</xdr:rowOff>
    </xdr:from>
    <xdr:to>
      <xdr:col>64</xdr:col>
      <xdr:colOff>1</xdr:colOff>
      <xdr:row>359</xdr:row>
      <xdr:rowOff>142873</xdr:rowOff>
    </xdr:to>
    <xdr:cxnSp macro="">
      <xdr:nvCxnSpPr>
        <xdr:cNvPr id="449" name="Straight Connector 448"/>
        <xdr:cNvCxnSpPr/>
      </xdr:nvCxnSpPr>
      <xdr:spPr bwMode="auto">
        <a:xfrm rot="5400000">
          <a:off x="384571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62</xdr:col>
      <xdr:colOff>0</xdr:colOff>
      <xdr:row>353</xdr:row>
      <xdr:rowOff>0</xdr:rowOff>
    </xdr:from>
    <xdr:to>
      <xdr:col>62</xdr:col>
      <xdr:colOff>1</xdr:colOff>
      <xdr:row>359</xdr:row>
      <xdr:rowOff>142873</xdr:rowOff>
    </xdr:to>
    <xdr:cxnSp macro="">
      <xdr:nvCxnSpPr>
        <xdr:cNvPr id="450" name="Straight Connector 449"/>
        <xdr:cNvCxnSpPr/>
      </xdr:nvCxnSpPr>
      <xdr:spPr bwMode="auto">
        <a:xfrm rot="5400000">
          <a:off x="372379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60</xdr:col>
      <xdr:colOff>0</xdr:colOff>
      <xdr:row>353</xdr:row>
      <xdr:rowOff>0</xdr:rowOff>
    </xdr:from>
    <xdr:to>
      <xdr:col>60</xdr:col>
      <xdr:colOff>1</xdr:colOff>
      <xdr:row>359</xdr:row>
      <xdr:rowOff>142873</xdr:rowOff>
    </xdr:to>
    <xdr:cxnSp macro="">
      <xdr:nvCxnSpPr>
        <xdr:cNvPr id="451" name="Straight Connector 450"/>
        <xdr:cNvCxnSpPr/>
      </xdr:nvCxnSpPr>
      <xdr:spPr bwMode="auto">
        <a:xfrm rot="5400000">
          <a:off x="360187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353</xdr:row>
      <xdr:rowOff>0</xdr:rowOff>
    </xdr:from>
    <xdr:to>
      <xdr:col>22</xdr:col>
      <xdr:colOff>1</xdr:colOff>
      <xdr:row>359</xdr:row>
      <xdr:rowOff>142873</xdr:rowOff>
    </xdr:to>
    <xdr:cxnSp macro="">
      <xdr:nvCxnSpPr>
        <xdr:cNvPr id="452" name="Straight Connector 451"/>
        <xdr:cNvCxnSpPr/>
      </xdr:nvCxnSpPr>
      <xdr:spPr bwMode="auto">
        <a:xfrm rot="5400000">
          <a:off x="128539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353</xdr:row>
      <xdr:rowOff>0</xdr:rowOff>
    </xdr:from>
    <xdr:to>
      <xdr:col>24</xdr:col>
      <xdr:colOff>1</xdr:colOff>
      <xdr:row>359</xdr:row>
      <xdr:rowOff>142873</xdr:rowOff>
    </xdr:to>
    <xdr:cxnSp macro="">
      <xdr:nvCxnSpPr>
        <xdr:cNvPr id="453" name="Straight Connector 452"/>
        <xdr:cNvCxnSpPr/>
      </xdr:nvCxnSpPr>
      <xdr:spPr bwMode="auto">
        <a:xfrm rot="5400000">
          <a:off x="140731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353</xdr:row>
      <xdr:rowOff>0</xdr:rowOff>
    </xdr:from>
    <xdr:to>
      <xdr:col>26</xdr:col>
      <xdr:colOff>1</xdr:colOff>
      <xdr:row>359</xdr:row>
      <xdr:rowOff>142873</xdr:rowOff>
    </xdr:to>
    <xdr:cxnSp macro="">
      <xdr:nvCxnSpPr>
        <xdr:cNvPr id="454" name="Straight Connector 453"/>
        <xdr:cNvCxnSpPr/>
      </xdr:nvCxnSpPr>
      <xdr:spPr bwMode="auto">
        <a:xfrm rot="5400000">
          <a:off x="152923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353</xdr:row>
      <xdr:rowOff>0</xdr:rowOff>
    </xdr:from>
    <xdr:to>
      <xdr:col>28</xdr:col>
      <xdr:colOff>1</xdr:colOff>
      <xdr:row>359</xdr:row>
      <xdr:rowOff>142873</xdr:rowOff>
    </xdr:to>
    <xdr:cxnSp macro="">
      <xdr:nvCxnSpPr>
        <xdr:cNvPr id="455" name="Straight Connector 454"/>
        <xdr:cNvCxnSpPr/>
      </xdr:nvCxnSpPr>
      <xdr:spPr bwMode="auto">
        <a:xfrm rot="5400000">
          <a:off x="165115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353</xdr:row>
      <xdr:rowOff>0</xdr:rowOff>
    </xdr:from>
    <xdr:to>
      <xdr:col>30</xdr:col>
      <xdr:colOff>1</xdr:colOff>
      <xdr:row>359</xdr:row>
      <xdr:rowOff>142873</xdr:rowOff>
    </xdr:to>
    <xdr:cxnSp macro="">
      <xdr:nvCxnSpPr>
        <xdr:cNvPr id="456" name="Straight Connector 455"/>
        <xdr:cNvCxnSpPr/>
      </xdr:nvCxnSpPr>
      <xdr:spPr bwMode="auto">
        <a:xfrm rot="5400000">
          <a:off x="177307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353</xdr:row>
      <xdr:rowOff>0</xdr:rowOff>
    </xdr:from>
    <xdr:to>
      <xdr:col>32</xdr:col>
      <xdr:colOff>1</xdr:colOff>
      <xdr:row>359</xdr:row>
      <xdr:rowOff>142873</xdr:rowOff>
    </xdr:to>
    <xdr:cxnSp macro="">
      <xdr:nvCxnSpPr>
        <xdr:cNvPr id="457" name="Straight Connector 456"/>
        <xdr:cNvCxnSpPr/>
      </xdr:nvCxnSpPr>
      <xdr:spPr bwMode="auto">
        <a:xfrm rot="5400000">
          <a:off x="189499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353</xdr:row>
      <xdr:rowOff>0</xdr:rowOff>
    </xdr:from>
    <xdr:to>
      <xdr:col>34</xdr:col>
      <xdr:colOff>1</xdr:colOff>
      <xdr:row>359</xdr:row>
      <xdr:rowOff>142873</xdr:rowOff>
    </xdr:to>
    <xdr:cxnSp macro="">
      <xdr:nvCxnSpPr>
        <xdr:cNvPr id="458" name="Straight Connector 457"/>
        <xdr:cNvCxnSpPr/>
      </xdr:nvCxnSpPr>
      <xdr:spPr bwMode="auto">
        <a:xfrm rot="5400000">
          <a:off x="201691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353</xdr:row>
      <xdr:rowOff>0</xdr:rowOff>
    </xdr:from>
    <xdr:to>
      <xdr:col>36</xdr:col>
      <xdr:colOff>1</xdr:colOff>
      <xdr:row>359</xdr:row>
      <xdr:rowOff>142873</xdr:rowOff>
    </xdr:to>
    <xdr:cxnSp macro="">
      <xdr:nvCxnSpPr>
        <xdr:cNvPr id="459" name="Straight Connector 458"/>
        <xdr:cNvCxnSpPr/>
      </xdr:nvCxnSpPr>
      <xdr:spPr bwMode="auto">
        <a:xfrm rot="5400000">
          <a:off x="213883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353</xdr:row>
      <xdr:rowOff>0</xdr:rowOff>
    </xdr:from>
    <xdr:to>
      <xdr:col>38</xdr:col>
      <xdr:colOff>1</xdr:colOff>
      <xdr:row>359</xdr:row>
      <xdr:rowOff>142873</xdr:rowOff>
    </xdr:to>
    <xdr:cxnSp macro="">
      <xdr:nvCxnSpPr>
        <xdr:cNvPr id="460" name="Straight Connector 459"/>
        <xdr:cNvCxnSpPr/>
      </xdr:nvCxnSpPr>
      <xdr:spPr bwMode="auto">
        <a:xfrm rot="5400000">
          <a:off x="226075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353</xdr:row>
      <xdr:rowOff>0</xdr:rowOff>
    </xdr:from>
    <xdr:to>
      <xdr:col>40</xdr:col>
      <xdr:colOff>1</xdr:colOff>
      <xdr:row>359</xdr:row>
      <xdr:rowOff>142873</xdr:rowOff>
    </xdr:to>
    <xdr:cxnSp macro="">
      <xdr:nvCxnSpPr>
        <xdr:cNvPr id="461" name="Straight Connector 460"/>
        <xdr:cNvCxnSpPr/>
      </xdr:nvCxnSpPr>
      <xdr:spPr bwMode="auto">
        <a:xfrm rot="5400000">
          <a:off x="238267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353</xdr:row>
      <xdr:rowOff>0</xdr:rowOff>
    </xdr:from>
    <xdr:to>
      <xdr:col>42</xdr:col>
      <xdr:colOff>1</xdr:colOff>
      <xdr:row>359</xdr:row>
      <xdr:rowOff>142873</xdr:rowOff>
    </xdr:to>
    <xdr:cxnSp macro="">
      <xdr:nvCxnSpPr>
        <xdr:cNvPr id="462" name="Straight Connector 461"/>
        <xdr:cNvCxnSpPr/>
      </xdr:nvCxnSpPr>
      <xdr:spPr bwMode="auto">
        <a:xfrm rot="5400000">
          <a:off x="250459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353</xdr:row>
      <xdr:rowOff>0</xdr:rowOff>
    </xdr:from>
    <xdr:to>
      <xdr:col>44</xdr:col>
      <xdr:colOff>1</xdr:colOff>
      <xdr:row>359</xdr:row>
      <xdr:rowOff>142873</xdr:rowOff>
    </xdr:to>
    <xdr:cxnSp macro="">
      <xdr:nvCxnSpPr>
        <xdr:cNvPr id="463" name="Straight Connector 462"/>
        <xdr:cNvCxnSpPr/>
      </xdr:nvCxnSpPr>
      <xdr:spPr bwMode="auto">
        <a:xfrm rot="5400000">
          <a:off x="262651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46</xdr:col>
      <xdr:colOff>0</xdr:colOff>
      <xdr:row>353</xdr:row>
      <xdr:rowOff>0</xdr:rowOff>
    </xdr:from>
    <xdr:to>
      <xdr:col>46</xdr:col>
      <xdr:colOff>1</xdr:colOff>
      <xdr:row>359</xdr:row>
      <xdr:rowOff>142873</xdr:rowOff>
    </xdr:to>
    <xdr:cxnSp macro="">
      <xdr:nvCxnSpPr>
        <xdr:cNvPr id="464" name="Straight Connector 463"/>
        <xdr:cNvCxnSpPr/>
      </xdr:nvCxnSpPr>
      <xdr:spPr bwMode="auto">
        <a:xfrm rot="5400000">
          <a:off x="274843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353</xdr:row>
      <xdr:rowOff>0</xdr:rowOff>
    </xdr:from>
    <xdr:to>
      <xdr:col>48</xdr:col>
      <xdr:colOff>1</xdr:colOff>
      <xdr:row>359</xdr:row>
      <xdr:rowOff>142873</xdr:rowOff>
    </xdr:to>
    <xdr:cxnSp macro="">
      <xdr:nvCxnSpPr>
        <xdr:cNvPr id="465" name="Straight Connector 464"/>
        <xdr:cNvCxnSpPr/>
      </xdr:nvCxnSpPr>
      <xdr:spPr bwMode="auto">
        <a:xfrm rot="5400000">
          <a:off x="287035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353</xdr:row>
      <xdr:rowOff>0</xdr:rowOff>
    </xdr:from>
    <xdr:to>
      <xdr:col>50</xdr:col>
      <xdr:colOff>1</xdr:colOff>
      <xdr:row>359</xdr:row>
      <xdr:rowOff>142873</xdr:rowOff>
    </xdr:to>
    <xdr:cxnSp macro="">
      <xdr:nvCxnSpPr>
        <xdr:cNvPr id="468" name="Straight Connector 467"/>
        <xdr:cNvCxnSpPr/>
      </xdr:nvCxnSpPr>
      <xdr:spPr bwMode="auto">
        <a:xfrm rot="5400000">
          <a:off x="299227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353</xdr:row>
      <xdr:rowOff>0</xdr:rowOff>
    </xdr:from>
    <xdr:to>
      <xdr:col>52</xdr:col>
      <xdr:colOff>1</xdr:colOff>
      <xdr:row>359</xdr:row>
      <xdr:rowOff>142873</xdr:rowOff>
    </xdr:to>
    <xdr:cxnSp macro="">
      <xdr:nvCxnSpPr>
        <xdr:cNvPr id="469" name="Straight Connector 468"/>
        <xdr:cNvCxnSpPr/>
      </xdr:nvCxnSpPr>
      <xdr:spPr bwMode="auto">
        <a:xfrm rot="5400000">
          <a:off x="311419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353</xdr:row>
      <xdr:rowOff>0</xdr:rowOff>
    </xdr:from>
    <xdr:to>
      <xdr:col>54</xdr:col>
      <xdr:colOff>1</xdr:colOff>
      <xdr:row>359</xdr:row>
      <xdr:rowOff>142873</xdr:rowOff>
    </xdr:to>
    <xdr:cxnSp macro="">
      <xdr:nvCxnSpPr>
        <xdr:cNvPr id="473" name="Straight Connector 472"/>
        <xdr:cNvCxnSpPr/>
      </xdr:nvCxnSpPr>
      <xdr:spPr bwMode="auto">
        <a:xfrm rot="5400000">
          <a:off x="323611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353</xdr:row>
      <xdr:rowOff>0</xdr:rowOff>
    </xdr:from>
    <xdr:to>
      <xdr:col>56</xdr:col>
      <xdr:colOff>1</xdr:colOff>
      <xdr:row>359</xdr:row>
      <xdr:rowOff>142873</xdr:rowOff>
    </xdr:to>
    <xdr:cxnSp macro="">
      <xdr:nvCxnSpPr>
        <xdr:cNvPr id="474" name="Straight Connector 473"/>
        <xdr:cNvCxnSpPr/>
      </xdr:nvCxnSpPr>
      <xdr:spPr bwMode="auto">
        <a:xfrm rot="5400000">
          <a:off x="335803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353</xdr:row>
      <xdr:rowOff>0</xdr:rowOff>
    </xdr:from>
    <xdr:to>
      <xdr:col>58</xdr:col>
      <xdr:colOff>1</xdr:colOff>
      <xdr:row>359</xdr:row>
      <xdr:rowOff>142873</xdr:rowOff>
    </xdr:to>
    <xdr:cxnSp macro="">
      <xdr:nvCxnSpPr>
        <xdr:cNvPr id="475" name="Straight Connector 474"/>
        <xdr:cNvCxnSpPr/>
      </xdr:nvCxnSpPr>
      <xdr:spPr bwMode="auto">
        <a:xfrm rot="5400000">
          <a:off x="34799589" y="59335986"/>
          <a:ext cx="1114423" cy="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352</xdr:row>
      <xdr:rowOff>0</xdr:rowOff>
    </xdr:from>
    <xdr:to>
      <xdr:col>11</xdr:col>
      <xdr:colOff>590550</xdr:colOff>
      <xdr:row>352</xdr:row>
      <xdr:rowOff>149225</xdr:rowOff>
    </xdr:to>
    <xdr:sp macro="" textlink="">
      <xdr:nvSpPr>
        <xdr:cNvPr id="476" name="Freeform 475"/>
        <xdr:cNvSpPr/>
      </xdr:nvSpPr>
      <xdr:spPr bwMode="auto">
        <a:xfrm>
          <a:off x="60960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0</xdr:colOff>
      <xdr:row>352</xdr:row>
      <xdr:rowOff>0</xdr:rowOff>
    </xdr:from>
    <xdr:to>
      <xdr:col>13</xdr:col>
      <xdr:colOff>590550</xdr:colOff>
      <xdr:row>352</xdr:row>
      <xdr:rowOff>149225</xdr:rowOff>
    </xdr:to>
    <xdr:sp macro="" textlink="">
      <xdr:nvSpPr>
        <xdr:cNvPr id="477" name="Freeform 476"/>
        <xdr:cNvSpPr/>
      </xdr:nvSpPr>
      <xdr:spPr bwMode="auto">
        <a:xfrm>
          <a:off x="73152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14</xdr:col>
      <xdr:colOff>0</xdr:colOff>
      <xdr:row>352</xdr:row>
      <xdr:rowOff>0</xdr:rowOff>
    </xdr:from>
    <xdr:to>
      <xdr:col>15</xdr:col>
      <xdr:colOff>590550</xdr:colOff>
      <xdr:row>352</xdr:row>
      <xdr:rowOff>149225</xdr:rowOff>
    </xdr:to>
    <xdr:sp macro="" textlink="">
      <xdr:nvSpPr>
        <xdr:cNvPr id="478" name="Freeform 477"/>
        <xdr:cNvSpPr/>
      </xdr:nvSpPr>
      <xdr:spPr bwMode="auto">
        <a:xfrm>
          <a:off x="85344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16</xdr:col>
      <xdr:colOff>0</xdr:colOff>
      <xdr:row>352</xdr:row>
      <xdr:rowOff>0</xdr:rowOff>
    </xdr:from>
    <xdr:to>
      <xdr:col>17</xdr:col>
      <xdr:colOff>590550</xdr:colOff>
      <xdr:row>352</xdr:row>
      <xdr:rowOff>149225</xdr:rowOff>
    </xdr:to>
    <xdr:sp macro="" textlink="">
      <xdr:nvSpPr>
        <xdr:cNvPr id="479" name="Freeform 478"/>
        <xdr:cNvSpPr/>
      </xdr:nvSpPr>
      <xdr:spPr bwMode="auto">
        <a:xfrm>
          <a:off x="97536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0</xdr:colOff>
      <xdr:row>360</xdr:row>
      <xdr:rowOff>0</xdr:rowOff>
    </xdr:from>
    <xdr:to>
      <xdr:col>19</xdr:col>
      <xdr:colOff>590550</xdr:colOff>
      <xdr:row>360</xdr:row>
      <xdr:rowOff>149225</xdr:rowOff>
    </xdr:to>
    <xdr:sp macro="" textlink="">
      <xdr:nvSpPr>
        <xdr:cNvPr id="480" name="Freeform 479"/>
        <xdr:cNvSpPr/>
      </xdr:nvSpPr>
      <xdr:spPr bwMode="auto">
        <a:xfrm>
          <a:off x="10972800" y="599122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20</xdr:col>
      <xdr:colOff>0</xdr:colOff>
      <xdr:row>360</xdr:row>
      <xdr:rowOff>0</xdr:rowOff>
    </xdr:from>
    <xdr:to>
      <xdr:col>21</xdr:col>
      <xdr:colOff>590550</xdr:colOff>
      <xdr:row>360</xdr:row>
      <xdr:rowOff>149225</xdr:rowOff>
    </xdr:to>
    <xdr:sp macro="" textlink="">
      <xdr:nvSpPr>
        <xdr:cNvPr id="481" name="Freeform 480"/>
        <xdr:cNvSpPr/>
      </xdr:nvSpPr>
      <xdr:spPr bwMode="auto">
        <a:xfrm>
          <a:off x="12192000" y="599122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0</xdr:colOff>
      <xdr:row>352</xdr:row>
      <xdr:rowOff>0</xdr:rowOff>
    </xdr:from>
    <xdr:to>
      <xdr:col>19</xdr:col>
      <xdr:colOff>590550</xdr:colOff>
      <xdr:row>352</xdr:row>
      <xdr:rowOff>149225</xdr:rowOff>
    </xdr:to>
    <xdr:sp macro="" textlink="">
      <xdr:nvSpPr>
        <xdr:cNvPr id="482" name="Freeform 481"/>
        <xdr:cNvSpPr/>
      </xdr:nvSpPr>
      <xdr:spPr bwMode="auto">
        <a:xfrm>
          <a:off x="109728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20</xdr:col>
      <xdr:colOff>0</xdr:colOff>
      <xdr:row>352</xdr:row>
      <xdr:rowOff>0</xdr:rowOff>
    </xdr:from>
    <xdr:to>
      <xdr:col>21</xdr:col>
      <xdr:colOff>590550</xdr:colOff>
      <xdr:row>352</xdr:row>
      <xdr:rowOff>149225</xdr:rowOff>
    </xdr:to>
    <xdr:sp macro="" textlink="">
      <xdr:nvSpPr>
        <xdr:cNvPr id="483" name="Freeform 482"/>
        <xdr:cNvSpPr/>
      </xdr:nvSpPr>
      <xdr:spPr bwMode="auto">
        <a:xfrm>
          <a:off x="121920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22</xdr:col>
      <xdr:colOff>0</xdr:colOff>
      <xdr:row>352</xdr:row>
      <xdr:rowOff>0</xdr:rowOff>
    </xdr:from>
    <xdr:to>
      <xdr:col>23</xdr:col>
      <xdr:colOff>590550</xdr:colOff>
      <xdr:row>352</xdr:row>
      <xdr:rowOff>149225</xdr:rowOff>
    </xdr:to>
    <xdr:sp macro="" textlink="">
      <xdr:nvSpPr>
        <xdr:cNvPr id="484" name="Freeform 483"/>
        <xdr:cNvSpPr/>
      </xdr:nvSpPr>
      <xdr:spPr bwMode="auto">
        <a:xfrm>
          <a:off x="134112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24</xdr:col>
      <xdr:colOff>0</xdr:colOff>
      <xdr:row>352</xdr:row>
      <xdr:rowOff>0</xdr:rowOff>
    </xdr:from>
    <xdr:to>
      <xdr:col>25</xdr:col>
      <xdr:colOff>590550</xdr:colOff>
      <xdr:row>352</xdr:row>
      <xdr:rowOff>149225</xdr:rowOff>
    </xdr:to>
    <xdr:sp macro="" textlink="">
      <xdr:nvSpPr>
        <xdr:cNvPr id="485" name="Freeform 484"/>
        <xdr:cNvSpPr/>
      </xdr:nvSpPr>
      <xdr:spPr bwMode="auto">
        <a:xfrm>
          <a:off x="146304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25</xdr:col>
      <xdr:colOff>600075</xdr:colOff>
      <xdr:row>352</xdr:row>
      <xdr:rowOff>22225</xdr:rowOff>
    </xdr:from>
    <xdr:to>
      <xdr:col>27</xdr:col>
      <xdr:colOff>581025</xdr:colOff>
      <xdr:row>353</xdr:row>
      <xdr:rowOff>9525</xdr:rowOff>
    </xdr:to>
    <xdr:sp macro="" textlink="">
      <xdr:nvSpPr>
        <xdr:cNvPr id="486" name="Freeform 485"/>
        <xdr:cNvSpPr/>
      </xdr:nvSpPr>
      <xdr:spPr bwMode="auto">
        <a:xfrm>
          <a:off x="15840075" y="586390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27</xdr:col>
      <xdr:colOff>581025</xdr:colOff>
      <xdr:row>352</xdr:row>
      <xdr:rowOff>19050</xdr:rowOff>
    </xdr:from>
    <xdr:to>
      <xdr:col>29</xdr:col>
      <xdr:colOff>561975</xdr:colOff>
      <xdr:row>353</xdr:row>
      <xdr:rowOff>6350</xdr:rowOff>
    </xdr:to>
    <xdr:sp macro="" textlink="">
      <xdr:nvSpPr>
        <xdr:cNvPr id="487" name="Freeform 486"/>
        <xdr:cNvSpPr/>
      </xdr:nvSpPr>
      <xdr:spPr bwMode="auto">
        <a:xfrm>
          <a:off x="170402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29</xdr:col>
      <xdr:colOff>581025</xdr:colOff>
      <xdr:row>352</xdr:row>
      <xdr:rowOff>19050</xdr:rowOff>
    </xdr:from>
    <xdr:to>
      <xdr:col>31</xdr:col>
      <xdr:colOff>561975</xdr:colOff>
      <xdr:row>353</xdr:row>
      <xdr:rowOff>6350</xdr:rowOff>
    </xdr:to>
    <xdr:sp macro="" textlink="">
      <xdr:nvSpPr>
        <xdr:cNvPr id="488" name="Freeform 487"/>
        <xdr:cNvSpPr/>
      </xdr:nvSpPr>
      <xdr:spPr bwMode="auto">
        <a:xfrm>
          <a:off x="182594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31</xdr:col>
      <xdr:colOff>581025</xdr:colOff>
      <xdr:row>352</xdr:row>
      <xdr:rowOff>19050</xdr:rowOff>
    </xdr:from>
    <xdr:to>
      <xdr:col>33</xdr:col>
      <xdr:colOff>561975</xdr:colOff>
      <xdr:row>353</xdr:row>
      <xdr:rowOff>6350</xdr:rowOff>
    </xdr:to>
    <xdr:sp macro="" textlink="">
      <xdr:nvSpPr>
        <xdr:cNvPr id="489" name="Freeform 488"/>
        <xdr:cNvSpPr/>
      </xdr:nvSpPr>
      <xdr:spPr bwMode="auto">
        <a:xfrm>
          <a:off x="194786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33</xdr:col>
      <xdr:colOff>581025</xdr:colOff>
      <xdr:row>352</xdr:row>
      <xdr:rowOff>19050</xdr:rowOff>
    </xdr:from>
    <xdr:to>
      <xdr:col>35</xdr:col>
      <xdr:colOff>561975</xdr:colOff>
      <xdr:row>353</xdr:row>
      <xdr:rowOff>6350</xdr:rowOff>
    </xdr:to>
    <xdr:sp macro="" textlink="">
      <xdr:nvSpPr>
        <xdr:cNvPr id="490" name="Freeform 489"/>
        <xdr:cNvSpPr/>
      </xdr:nvSpPr>
      <xdr:spPr bwMode="auto">
        <a:xfrm>
          <a:off x="206978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35</xdr:col>
      <xdr:colOff>581025</xdr:colOff>
      <xdr:row>352</xdr:row>
      <xdr:rowOff>19050</xdr:rowOff>
    </xdr:from>
    <xdr:to>
      <xdr:col>37</xdr:col>
      <xdr:colOff>561975</xdr:colOff>
      <xdr:row>353</xdr:row>
      <xdr:rowOff>6350</xdr:rowOff>
    </xdr:to>
    <xdr:sp macro="" textlink="">
      <xdr:nvSpPr>
        <xdr:cNvPr id="491" name="Freeform 490"/>
        <xdr:cNvSpPr/>
      </xdr:nvSpPr>
      <xdr:spPr bwMode="auto">
        <a:xfrm>
          <a:off x="219170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37</xdr:col>
      <xdr:colOff>581025</xdr:colOff>
      <xdr:row>352</xdr:row>
      <xdr:rowOff>19050</xdr:rowOff>
    </xdr:from>
    <xdr:to>
      <xdr:col>39</xdr:col>
      <xdr:colOff>561975</xdr:colOff>
      <xdr:row>353</xdr:row>
      <xdr:rowOff>6350</xdr:rowOff>
    </xdr:to>
    <xdr:sp macro="" textlink="">
      <xdr:nvSpPr>
        <xdr:cNvPr id="492" name="Freeform 491"/>
        <xdr:cNvSpPr/>
      </xdr:nvSpPr>
      <xdr:spPr bwMode="auto">
        <a:xfrm>
          <a:off x="231362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40</xdr:col>
      <xdr:colOff>0</xdr:colOff>
      <xdr:row>352</xdr:row>
      <xdr:rowOff>0</xdr:rowOff>
    </xdr:from>
    <xdr:to>
      <xdr:col>41</xdr:col>
      <xdr:colOff>590550</xdr:colOff>
      <xdr:row>352</xdr:row>
      <xdr:rowOff>149225</xdr:rowOff>
    </xdr:to>
    <xdr:sp macro="" textlink="">
      <xdr:nvSpPr>
        <xdr:cNvPr id="493" name="Freeform 492"/>
        <xdr:cNvSpPr/>
      </xdr:nvSpPr>
      <xdr:spPr bwMode="auto">
        <a:xfrm>
          <a:off x="243840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42</xdr:col>
      <xdr:colOff>0</xdr:colOff>
      <xdr:row>352</xdr:row>
      <xdr:rowOff>0</xdr:rowOff>
    </xdr:from>
    <xdr:to>
      <xdr:col>43</xdr:col>
      <xdr:colOff>590550</xdr:colOff>
      <xdr:row>352</xdr:row>
      <xdr:rowOff>149225</xdr:rowOff>
    </xdr:to>
    <xdr:sp macro="" textlink="">
      <xdr:nvSpPr>
        <xdr:cNvPr id="494" name="Freeform 493"/>
        <xdr:cNvSpPr/>
      </xdr:nvSpPr>
      <xdr:spPr bwMode="auto">
        <a:xfrm>
          <a:off x="256032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43</xdr:col>
      <xdr:colOff>600075</xdr:colOff>
      <xdr:row>352</xdr:row>
      <xdr:rowOff>22225</xdr:rowOff>
    </xdr:from>
    <xdr:to>
      <xdr:col>45</xdr:col>
      <xdr:colOff>581025</xdr:colOff>
      <xdr:row>353</xdr:row>
      <xdr:rowOff>9525</xdr:rowOff>
    </xdr:to>
    <xdr:sp macro="" textlink="">
      <xdr:nvSpPr>
        <xdr:cNvPr id="495" name="Freeform 494"/>
        <xdr:cNvSpPr/>
      </xdr:nvSpPr>
      <xdr:spPr bwMode="auto">
        <a:xfrm>
          <a:off x="26812875" y="586390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45</xdr:col>
      <xdr:colOff>581025</xdr:colOff>
      <xdr:row>352</xdr:row>
      <xdr:rowOff>19050</xdr:rowOff>
    </xdr:from>
    <xdr:to>
      <xdr:col>47</xdr:col>
      <xdr:colOff>561975</xdr:colOff>
      <xdr:row>353</xdr:row>
      <xdr:rowOff>6350</xdr:rowOff>
    </xdr:to>
    <xdr:sp macro="" textlink="">
      <xdr:nvSpPr>
        <xdr:cNvPr id="496" name="Freeform 495"/>
        <xdr:cNvSpPr/>
      </xdr:nvSpPr>
      <xdr:spPr bwMode="auto">
        <a:xfrm>
          <a:off x="280130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47</xdr:col>
      <xdr:colOff>581025</xdr:colOff>
      <xdr:row>352</xdr:row>
      <xdr:rowOff>19050</xdr:rowOff>
    </xdr:from>
    <xdr:to>
      <xdr:col>49</xdr:col>
      <xdr:colOff>561975</xdr:colOff>
      <xdr:row>353</xdr:row>
      <xdr:rowOff>6350</xdr:rowOff>
    </xdr:to>
    <xdr:sp macro="" textlink="">
      <xdr:nvSpPr>
        <xdr:cNvPr id="497" name="Freeform 496"/>
        <xdr:cNvSpPr/>
      </xdr:nvSpPr>
      <xdr:spPr bwMode="auto">
        <a:xfrm>
          <a:off x="292322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49</xdr:col>
      <xdr:colOff>581025</xdr:colOff>
      <xdr:row>352</xdr:row>
      <xdr:rowOff>19050</xdr:rowOff>
    </xdr:from>
    <xdr:to>
      <xdr:col>51</xdr:col>
      <xdr:colOff>561975</xdr:colOff>
      <xdr:row>353</xdr:row>
      <xdr:rowOff>6350</xdr:rowOff>
    </xdr:to>
    <xdr:sp macro="" textlink="">
      <xdr:nvSpPr>
        <xdr:cNvPr id="498" name="Freeform 497"/>
        <xdr:cNvSpPr/>
      </xdr:nvSpPr>
      <xdr:spPr bwMode="auto">
        <a:xfrm>
          <a:off x="304514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51</xdr:col>
      <xdr:colOff>581025</xdr:colOff>
      <xdr:row>352</xdr:row>
      <xdr:rowOff>19050</xdr:rowOff>
    </xdr:from>
    <xdr:to>
      <xdr:col>53</xdr:col>
      <xdr:colOff>561975</xdr:colOff>
      <xdr:row>353</xdr:row>
      <xdr:rowOff>6350</xdr:rowOff>
    </xdr:to>
    <xdr:sp macro="" textlink="">
      <xdr:nvSpPr>
        <xdr:cNvPr id="499" name="Freeform 498"/>
        <xdr:cNvSpPr/>
      </xdr:nvSpPr>
      <xdr:spPr bwMode="auto">
        <a:xfrm>
          <a:off x="316706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53</xdr:col>
      <xdr:colOff>581025</xdr:colOff>
      <xdr:row>352</xdr:row>
      <xdr:rowOff>19050</xdr:rowOff>
    </xdr:from>
    <xdr:to>
      <xdr:col>55</xdr:col>
      <xdr:colOff>561975</xdr:colOff>
      <xdr:row>353</xdr:row>
      <xdr:rowOff>6350</xdr:rowOff>
    </xdr:to>
    <xdr:sp macro="" textlink="">
      <xdr:nvSpPr>
        <xdr:cNvPr id="500" name="Freeform 499"/>
        <xdr:cNvSpPr/>
      </xdr:nvSpPr>
      <xdr:spPr bwMode="auto">
        <a:xfrm>
          <a:off x="328898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55</xdr:col>
      <xdr:colOff>581025</xdr:colOff>
      <xdr:row>352</xdr:row>
      <xdr:rowOff>19050</xdr:rowOff>
    </xdr:from>
    <xdr:to>
      <xdr:col>57</xdr:col>
      <xdr:colOff>561975</xdr:colOff>
      <xdr:row>353</xdr:row>
      <xdr:rowOff>6350</xdr:rowOff>
    </xdr:to>
    <xdr:sp macro="" textlink="">
      <xdr:nvSpPr>
        <xdr:cNvPr id="501" name="Freeform 500"/>
        <xdr:cNvSpPr/>
      </xdr:nvSpPr>
      <xdr:spPr bwMode="auto">
        <a:xfrm>
          <a:off x="341090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58</xdr:col>
      <xdr:colOff>0</xdr:colOff>
      <xdr:row>352</xdr:row>
      <xdr:rowOff>0</xdr:rowOff>
    </xdr:from>
    <xdr:to>
      <xdr:col>59</xdr:col>
      <xdr:colOff>590550</xdr:colOff>
      <xdr:row>352</xdr:row>
      <xdr:rowOff>149225</xdr:rowOff>
    </xdr:to>
    <xdr:sp macro="" textlink="">
      <xdr:nvSpPr>
        <xdr:cNvPr id="502" name="Freeform 501"/>
        <xdr:cNvSpPr/>
      </xdr:nvSpPr>
      <xdr:spPr bwMode="auto">
        <a:xfrm>
          <a:off x="353568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60</xdr:col>
      <xdr:colOff>0</xdr:colOff>
      <xdr:row>352</xdr:row>
      <xdr:rowOff>0</xdr:rowOff>
    </xdr:from>
    <xdr:to>
      <xdr:col>61</xdr:col>
      <xdr:colOff>590550</xdr:colOff>
      <xdr:row>352</xdr:row>
      <xdr:rowOff>149225</xdr:rowOff>
    </xdr:to>
    <xdr:sp macro="" textlink="">
      <xdr:nvSpPr>
        <xdr:cNvPr id="503" name="Freeform 502"/>
        <xdr:cNvSpPr/>
      </xdr:nvSpPr>
      <xdr:spPr bwMode="auto">
        <a:xfrm>
          <a:off x="365760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61</xdr:col>
      <xdr:colOff>600075</xdr:colOff>
      <xdr:row>352</xdr:row>
      <xdr:rowOff>22225</xdr:rowOff>
    </xdr:from>
    <xdr:to>
      <xdr:col>63</xdr:col>
      <xdr:colOff>581025</xdr:colOff>
      <xdr:row>353</xdr:row>
      <xdr:rowOff>9525</xdr:rowOff>
    </xdr:to>
    <xdr:sp macro="" textlink="">
      <xdr:nvSpPr>
        <xdr:cNvPr id="504" name="Freeform 503"/>
        <xdr:cNvSpPr/>
      </xdr:nvSpPr>
      <xdr:spPr bwMode="auto">
        <a:xfrm>
          <a:off x="37785675" y="586390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63</xdr:col>
      <xdr:colOff>581025</xdr:colOff>
      <xdr:row>352</xdr:row>
      <xdr:rowOff>19050</xdr:rowOff>
    </xdr:from>
    <xdr:to>
      <xdr:col>65</xdr:col>
      <xdr:colOff>561975</xdr:colOff>
      <xdr:row>353</xdr:row>
      <xdr:rowOff>6350</xdr:rowOff>
    </xdr:to>
    <xdr:sp macro="" textlink="">
      <xdr:nvSpPr>
        <xdr:cNvPr id="505" name="Freeform 504"/>
        <xdr:cNvSpPr/>
      </xdr:nvSpPr>
      <xdr:spPr bwMode="auto">
        <a:xfrm>
          <a:off x="389858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65</xdr:col>
      <xdr:colOff>581025</xdr:colOff>
      <xdr:row>352</xdr:row>
      <xdr:rowOff>19050</xdr:rowOff>
    </xdr:from>
    <xdr:to>
      <xdr:col>67</xdr:col>
      <xdr:colOff>561975</xdr:colOff>
      <xdr:row>353</xdr:row>
      <xdr:rowOff>6350</xdr:rowOff>
    </xdr:to>
    <xdr:sp macro="" textlink="">
      <xdr:nvSpPr>
        <xdr:cNvPr id="506" name="Freeform 505"/>
        <xdr:cNvSpPr/>
      </xdr:nvSpPr>
      <xdr:spPr bwMode="auto">
        <a:xfrm>
          <a:off x="402050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67</xdr:col>
      <xdr:colOff>581025</xdr:colOff>
      <xdr:row>352</xdr:row>
      <xdr:rowOff>19050</xdr:rowOff>
    </xdr:from>
    <xdr:to>
      <xdr:col>69</xdr:col>
      <xdr:colOff>561975</xdr:colOff>
      <xdr:row>353</xdr:row>
      <xdr:rowOff>6350</xdr:rowOff>
    </xdr:to>
    <xdr:sp macro="" textlink="">
      <xdr:nvSpPr>
        <xdr:cNvPr id="507" name="Freeform 506"/>
        <xdr:cNvSpPr/>
      </xdr:nvSpPr>
      <xdr:spPr bwMode="auto">
        <a:xfrm>
          <a:off x="414242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69</xdr:col>
      <xdr:colOff>581025</xdr:colOff>
      <xdr:row>352</xdr:row>
      <xdr:rowOff>19050</xdr:rowOff>
    </xdr:from>
    <xdr:to>
      <xdr:col>71</xdr:col>
      <xdr:colOff>561975</xdr:colOff>
      <xdr:row>353</xdr:row>
      <xdr:rowOff>6350</xdr:rowOff>
    </xdr:to>
    <xdr:sp macro="" textlink="">
      <xdr:nvSpPr>
        <xdr:cNvPr id="508" name="Freeform 507"/>
        <xdr:cNvSpPr/>
      </xdr:nvSpPr>
      <xdr:spPr bwMode="auto">
        <a:xfrm>
          <a:off x="426434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71</xdr:col>
      <xdr:colOff>581025</xdr:colOff>
      <xdr:row>352</xdr:row>
      <xdr:rowOff>19050</xdr:rowOff>
    </xdr:from>
    <xdr:to>
      <xdr:col>73</xdr:col>
      <xdr:colOff>561975</xdr:colOff>
      <xdr:row>353</xdr:row>
      <xdr:rowOff>6350</xdr:rowOff>
    </xdr:to>
    <xdr:sp macro="" textlink="">
      <xdr:nvSpPr>
        <xdr:cNvPr id="509" name="Freeform 508"/>
        <xdr:cNvSpPr/>
      </xdr:nvSpPr>
      <xdr:spPr bwMode="auto">
        <a:xfrm>
          <a:off x="438626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73</xdr:col>
      <xdr:colOff>581025</xdr:colOff>
      <xdr:row>352</xdr:row>
      <xdr:rowOff>19050</xdr:rowOff>
    </xdr:from>
    <xdr:to>
      <xdr:col>75</xdr:col>
      <xdr:colOff>561975</xdr:colOff>
      <xdr:row>353</xdr:row>
      <xdr:rowOff>6350</xdr:rowOff>
    </xdr:to>
    <xdr:sp macro="" textlink="">
      <xdr:nvSpPr>
        <xdr:cNvPr id="510" name="Freeform 509"/>
        <xdr:cNvSpPr/>
      </xdr:nvSpPr>
      <xdr:spPr bwMode="auto">
        <a:xfrm>
          <a:off x="45081825" y="586359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76</xdr:col>
      <xdr:colOff>0</xdr:colOff>
      <xdr:row>352</xdr:row>
      <xdr:rowOff>0</xdr:rowOff>
    </xdr:from>
    <xdr:to>
      <xdr:col>77</xdr:col>
      <xdr:colOff>590550</xdr:colOff>
      <xdr:row>352</xdr:row>
      <xdr:rowOff>149225</xdr:rowOff>
    </xdr:to>
    <xdr:sp macro="" textlink="">
      <xdr:nvSpPr>
        <xdr:cNvPr id="511" name="Freeform 510"/>
        <xdr:cNvSpPr/>
      </xdr:nvSpPr>
      <xdr:spPr bwMode="auto">
        <a:xfrm>
          <a:off x="463296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78</xdr:col>
      <xdr:colOff>0</xdr:colOff>
      <xdr:row>352</xdr:row>
      <xdr:rowOff>0</xdr:rowOff>
    </xdr:from>
    <xdr:to>
      <xdr:col>79</xdr:col>
      <xdr:colOff>590550</xdr:colOff>
      <xdr:row>352</xdr:row>
      <xdr:rowOff>149225</xdr:rowOff>
    </xdr:to>
    <xdr:sp macro="" textlink="">
      <xdr:nvSpPr>
        <xdr:cNvPr id="512" name="Freeform 511"/>
        <xdr:cNvSpPr/>
      </xdr:nvSpPr>
      <xdr:spPr bwMode="auto">
        <a:xfrm>
          <a:off x="475488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79</xdr:col>
      <xdr:colOff>600075</xdr:colOff>
      <xdr:row>352</xdr:row>
      <xdr:rowOff>22225</xdr:rowOff>
    </xdr:from>
    <xdr:to>
      <xdr:col>81</xdr:col>
      <xdr:colOff>581025</xdr:colOff>
      <xdr:row>353</xdr:row>
      <xdr:rowOff>9525</xdr:rowOff>
    </xdr:to>
    <xdr:sp macro="" textlink="">
      <xdr:nvSpPr>
        <xdr:cNvPr id="513" name="Freeform 512"/>
        <xdr:cNvSpPr/>
      </xdr:nvSpPr>
      <xdr:spPr bwMode="auto">
        <a:xfrm>
          <a:off x="48758475" y="586390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69</xdr:col>
      <xdr:colOff>571500</xdr:colOff>
      <xdr:row>360</xdr:row>
      <xdr:rowOff>19050</xdr:rowOff>
    </xdr:from>
    <xdr:to>
      <xdr:col>71</xdr:col>
      <xdr:colOff>552450</xdr:colOff>
      <xdr:row>361</xdr:row>
      <xdr:rowOff>6350</xdr:rowOff>
    </xdr:to>
    <xdr:sp macro="" textlink="">
      <xdr:nvSpPr>
        <xdr:cNvPr id="514" name="Freeform 513"/>
        <xdr:cNvSpPr/>
      </xdr:nvSpPr>
      <xdr:spPr bwMode="auto">
        <a:xfrm>
          <a:off x="42633900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74</xdr:col>
      <xdr:colOff>28575</xdr:colOff>
      <xdr:row>360</xdr:row>
      <xdr:rowOff>9525</xdr:rowOff>
    </xdr:from>
    <xdr:to>
      <xdr:col>76</xdr:col>
      <xdr:colOff>9525</xdr:colOff>
      <xdr:row>360</xdr:row>
      <xdr:rowOff>158750</xdr:rowOff>
    </xdr:to>
    <xdr:sp macro="" textlink="">
      <xdr:nvSpPr>
        <xdr:cNvPr id="516" name="Freeform 515"/>
        <xdr:cNvSpPr/>
      </xdr:nvSpPr>
      <xdr:spPr bwMode="auto">
        <a:xfrm>
          <a:off x="45138975" y="599217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76</xdr:col>
      <xdr:colOff>28575</xdr:colOff>
      <xdr:row>360</xdr:row>
      <xdr:rowOff>9525</xdr:rowOff>
    </xdr:from>
    <xdr:to>
      <xdr:col>78</xdr:col>
      <xdr:colOff>9525</xdr:colOff>
      <xdr:row>360</xdr:row>
      <xdr:rowOff>158750</xdr:rowOff>
    </xdr:to>
    <xdr:sp macro="" textlink="">
      <xdr:nvSpPr>
        <xdr:cNvPr id="517" name="Freeform 516"/>
        <xdr:cNvSpPr/>
      </xdr:nvSpPr>
      <xdr:spPr bwMode="auto">
        <a:xfrm>
          <a:off x="46358175" y="599217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78</xdr:col>
      <xdr:colOff>28575</xdr:colOff>
      <xdr:row>360</xdr:row>
      <xdr:rowOff>9525</xdr:rowOff>
    </xdr:from>
    <xdr:to>
      <xdr:col>80</xdr:col>
      <xdr:colOff>9525</xdr:colOff>
      <xdr:row>360</xdr:row>
      <xdr:rowOff>158750</xdr:rowOff>
    </xdr:to>
    <xdr:sp macro="" textlink="">
      <xdr:nvSpPr>
        <xdr:cNvPr id="518" name="Freeform 517"/>
        <xdr:cNvSpPr/>
      </xdr:nvSpPr>
      <xdr:spPr bwMode="auto">
        <a:xfrm>
          <a:off x="47577375" y="599217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80</xdr:col>
      <xdr:colOff>28575</xdr:colOff>
      <xdr:row>360</xdr:row>
      <xdr:rowOff>9525</xdr:rowOff>
    </xdr:from>
    <xdr:to>
      <xdr:col>82</xdr:col>
      <xdr:colOff>9525</xdr:colOff>
      <xdr:row>360</xdr:row>
      <xdr:rowOff>158750</xdr:rowOff>
    </xdr:to>
    <xdr:sp macro="" textlink="">
      <xdr:nvSpPr>
        <xdr:cNvPr id="519" name="Freeform 518"/>
        <xdr:cNvSpPr/>
      </xdr:nvSpPr>
      <xdr:spPr bwMode="auto">
        <a:xfrm>
          <a:off x="48796575" y="599217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22</xdr:col>
      <xdr:colOff>0</xdr:colOff>
      <xdr:row>360</xdr:row>
      <xdr:rowOff>0</xdr:rowOff>
    </xdr:from>
    <xdr:to>
      <xdr:col>23</xdr:col>
      <xdr:colOff>590550</xdr:colOff>
      <xdr:row>360</xdr:row>
      <xdr:rowOff>149225</xdr:rowOff>
    </xdr:to>
    <xdr:sp macro="" textlink="">
      <xdr:nvSpPr>
        <xdr:cNvPr id="520" name="Freeform 519"/>
        <xdr:cNvSpPr/>
      </xdr:nvSpPr>
      <xdr:spPr bwMode="auto">
        <a:xfrm>
          <a:off x="13411200" y="599122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24</xdr:col>
      <xdr:colOff>0</xdr:colOff>
      <xdr:row>360</xdr:row>
      <xdr:rowOff>0</xdr:rowOff>
    </xdr:from>
    <xdr:to>
      <xdr:col>25</xdr:col>
      <xdr:colOff>590550</xdr:colOff>
      <xdr:row>360</xdr:row>
      <xdr:rowOff>149225</xdr:rowOff>
    </xdr:to>
    <xdr:sp macro="" textlink="">
      <xdr:nvSpPr>
        <xdr:cNvPr id="521" name="Freeform 520"/>
        <xdr:cNvSpPr/>
      </xdr:nvSpPr>
      <xdr:spPr bwMode="auto">
        <a:xfrm>
          <a:off x="14630400" y="599122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25</xdr:col>
      <xdr:colOff>600075</xdr:colOff>
      <xdr:row>360</xdr:row>
      <xdr:rowOff>22225</xdr:rowOff>
    </xdr:from>
    <xdr:to>
      <xdr:col>27</xdr:col>
      <xdr:colOff>581025</xdr:colOff>
      <xdr:row>361</xdr:row>
      <xdr:rowOff>9525</xdr:rowOff>
    </xdr:to>
    <xdr:sp macro="" textlink="">
      <xdr:nvSpPr>
        <xdr:cNvPr id="522" name="Freeform 521"/>
        <xdr:cNvSpPr/>
      </xdr:nvSpPr>
      <xdr:spPr bwMode="auto">
        <a:xfrm>
          <a:off x="15840075" y="599344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27</xdr:col>
      <xdr:colOff>581025</xdr:colOff>
      <xdr:row>360</xdr:row>
      <xdr:rowOff>19050</xdr:rowOff>
    </xdr:from>
    <xdr:to>
      <xdr:col>29</xdr:col>
      <xdr:colOff>561975</xdr:colOff>
      <xdr:row>361</xdr:row>
      <xdr:rowOff>6350</xdr:rowOff>
    </xdr:to>
    <xdr:sp macro="" textlink="">
      <xdr:nvSpPr>
        <xdr:cNvPr id="523" name="Freeform 522"/>
        <xdr:cNvSpPr/>
      </xdr:nvSpPr>
      <xdr:spPr bwMode="auto">
        <a:xfrm>
          <a:off x="170402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29</xdr:col>
      <xdr:colOff>581025</xdr:colOff>
      <xdr:row>360</xdr:row>
      <xdr:rowOff>19050</xdr:rowOff>
    </xdr:from>
    <xdr:to>
      <xdr:col>31</xdr:col>
      <xdr:colOff>561975</xdr:colOff>
      <xdr:row>361</xdr:row>
      <xdr:rowOff>6350</xdr:rowOff>
    </xdr:to>
    <xdr:sp macro="" textlink="">
      <xdr:nvSpPr>
        <xdr:cNvPr id="524" name="Freeform 523"/>
        <xdr:cNvSpPr/>
      </xdr:nvSpPr>
      <xdr:spPr bwMode="auto">
        <a:xfrm>
          <a:off x="182594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31</xdr:col>
      <xdr:colOff>581025</xdr:colOff>
      <xdr:row>360</xdr:row>
      <xdr:rowOff>19050</xdr:rowOff>
    </xdr:from>
    <xdr:to>
      <xdr:col>33</xdr:col>
      <xdr:colOff>561975</xdr:colOff>
      <xdr:row>361</xdr:row>
      <xdr:rowOff>6350</xdr:rowOff>
    </xdr:to>
    <xdr:sp macro="" textlink="">
      <xdr:nvSpPr>
        <xdr:cNvPr id="525" name="Freeform 524"/>
        <xdr:cNvSpPr/>
      </xdr:nvSpPr>
      <xdr:spPr bwMode="auto">
        <a:xfrm>
          <a:off x="194786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33</xdr:col>
      <xdr:colOff>581025</xdr:colOff>
      <xdr:row>360</xdr:row>
      <xdr:rowOff>19050</xdr:rowOff>
    </xdr:from>
    <xdr:to>
      <xdr:col>35</xdr:col>
      <xdr:colOff>561975</xdr:colOff>
      <xdr:row>361</xdr:row>
      <xdr:rowOff>6350</xdr:rowOff>
    </xdr:to>
    <xdr:sp macro="" textlink="">
      <xdr:nvSpPr>
        <xdr:cNvPr id="526" name="Freeform 525"/>
        <xdr:cNvSpPr/>
      </xdr:nvSpPr>
      <xdr:spPr bwMode="auto">
        <a:xfrm>
          <a:off x="206978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35</xdr:col>
      <xdr:colOff>581025</xdr:colOff>
      <xdr:row>360</xdr:row>
      <xdr:rowOff>19050</xdr:rowOff>
    </xdr:from>
    <xdr:to>
      <xdr:col>37</xdr:col>
      <xdr:colOff>561975</xdr:colOff>
      <xdr:row>361</xdr:row>
      <xdr:rowOff>6350</xdr:rowOff>
    </xdr:to>
    <xdr:sp macro="" textlink="">
      <xdr:nvSpPr>
        <xdr:cNvPr id="527" name="Freeform 526"/>
        <xdr:cNvSpPr/>
      </xdr:nvSpPr>
      <xdr:spPr bwMode="auto">
        <a:xfrm>
          <a:off x="219170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37</xdr:col>
      <xdr:colOff>581025</xdr:colOff>
      <xdr:row>360</xdr:row>
      <xdr:rowOff>19050</xdr:rowOff>
    </xdr:from>
    <xdr:to>
      <xdr:col>39</xdr:col>
      <xdr:colOff>561975</xdr:colOff>
      <xdr:row>361</xdr:row>
      <xdr:rowOff>6350</xdr:rowOff>
    </xdr:to>
    <xdr:sp macro="" textlink="">
      <xdr:nvSpPr>
        <xdr:cNvPr id="528" name="Freeform 527"/>
        <xdr:cNvSpPr/>
      </xdr:nvSpPr>
      <xdr:spPr bwMode="auto">
        <a:xfrm>
          <a:off x="231362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40</xdr:col>
      <xdr:colOff>0</xdr:colOff>
      <xdr:row>360</xdr:row>
      <xdr:rowOff>0</xdr:rowOff>
    </xdr:from>
    <xdr:to>
      <xdr:col>41</xdr:col>
      <xdr:colOff>590550</xdr:colOff>
      <xdr:row>360</xdr:row>
      <xdr:rowOff>149225</xdr:rowOff>
    </xdr:to>
    <xdr:sp macro="" textlink="">
      <xdr:nvSpPr>
        <xdr:cNvPr id="529" name="Freeform 528"/>
        <xdr:cNvSpPr/>
      </xdr:nvSpPr>
      <xdr:spPr bwMode="auto">
        <a:xfrm>
          <a:off x="24384000" y="599122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42</xdr:col>
      <xdr:colOff>0</xdr:colOff>
      <xdr:row>360</xdr:row>
      <xdr:rowOff>0</xdr:rowOff>
    </xdr:from>
    <xdr:to>
      <xdr:col>43</xdr:col>
      <xdr:colOff>590550</xdr:colOff>
      <xdr:row>360</xdr:row>
      <xdr:rowOff>149225</xdr:rowOff>
    </xdr:to>
    <xdr:sp macro="" textlink="">
      <xdr:nvSpPr>
        <xdr:cNvPr id="530" name="Freeform 529"/>
        <xdr:cNvSpPr/>
      </xdr:nvSpPr>
      <xdr:spPr bwMode="auto">
        <a:xfrm>
          <a:off x="25603200" y="599122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43</xdr:col>
      <xdr:colOff>600075</xdr:colOff>
      <xdr:row>360</xdr:row>
      <xdr:rowOff>22225</xdr:rowOff>
    </xdr:from>
    <xdr:to>
      <xdr:col>45</xdr:col>
      <xdr:colOff>581025</xdr:colOff>
      <xdr:row>361</xdr:row>
      <xdr:rowOff>9525</xdr:rowOff>
    </xdr:to>
    <xdr:sp macro="" textlink="">
      <xdr:nvSpPr>
        <xdr:cNvPr id="531" name="Freeform 530"/>
        <xdr:cNvSpPr/>
      </xdr:nvSpPr>
      <xdr:spPr bwMode="auto">
        <a:xfrm>
          <a:off x="26812875" y="599344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45</xdr:col>
      <xdr:colOff>581025</xdr:colOff>
      <xdr:row>360</xdr:row>
      <xdr:rowOff>19050</xdr:rowOff>
    </xdr:from>
    <xdr:to>
      <xdr:col>47</xdr:col>
      <xdr:colOff>561975</xdr:colOff>
      <xdr:row>361</xdr:row>
      <xdr:rowOff>6350</xdr:rowOff>
    </xdr:to>
    <xdr:sp macro="" textlink="">
      <xdr:nvSpPr>
        <xdr:cNvPr id="532" name="Freeform 531"/>
        <xdr:cNvSpPr/>
      </xdr:nvSpPr>
      <xdr:spPr bwMode="auto">
        <a:xfrm>
          <a:off x="280130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47</xdr:col>
      <xdr:colOff>581025</xdr:colOff>
      <xdr:row>360</xdr:row>
      <xdr:rowOff>19050</xdr:rowOff>
    </xdr:from>
    <xdr:to>
      <xdr:col>49</xdr:col>
      <xdr:colOff>561975</xdr:colOff>
      <xdr:row>361</xdr:row>
      <xdr:rowOff>6350</xdr:rowOff>
    </xdr:to>
    <xdr:sp macro="" textlink="">
      <xdr:nvSpPr>
        <xdr:cNvPr id="533" name="Freeform 532"/>
        <xdr:cNvSpPr/>
      </xdr:nvSpPr>
      <xdr:spPr bwMode="auto">
        <a:xfrm>
          <a:off x="292322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49</xdr:col>
      <xdr:colOff>581025</xdr:colOff>
      <xdr:row>360</xdr:row>
      <xdr:rowOff>19050</xdr:rowOff>
    </xdr:from>
    <xdr:to>
      <xdr:col>51</xdr:col>
      <xdr:colOff>561975</xdr:colOff>
      <xdr:row>361</xdr:row>
      <xdr:rowOff>6350</xdr:rowOff>
    </xdr:to>
    <xdr:sp macro="" textlink="">
      <xdr:nvSpPr>
        <xdr:cNvPr id="534" name="Freeform 533"/>
        <xdr:cNvSpPr/>
      </xdr:nvSpPr>
      <xdr:spPr bwMode="auto">
        <a:xfrm>
          <a:off x="304514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51</xdr:col>
      <xdr:colOff>581025</xdr:colOff>
      <xdr:row>360</xdr:row>
      <xdr:rowOff>19050</xdr:rowOff>
    </xdr:from>
    <xdr:to>
      <xdr:col>53</xdr:col>
      <xdr:colOff>561975</xdr:colOff>
      <xdr:row>361</xdr:row>
      <xdr:rowOff>6350</xdr:rowOff>
    </xdr:to>
    <xdr:sp macro="" textlink="">
      <xdr:nvSpPr>
        <xdr:cNvPr id="535" name="Freeform 534"/>
        <xdr:cNvSpPr/>
      </xdr:nvSpPr>
      <xdr:spPr bwMode="auto">
        <a:xfrm>
          <a:off x="316706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53</xdr:col>
      <xdr:colOff>581025</xdr:colOff>
      <xdr:row>360</xdr:row>
      <xdr:rowOff>19050</xdr:rowOff>
    </xdr:from>
    <xdr:to>
      <xdr:col>55</xdr:col>
      <xdr:colOff>561975</xdr:colOff>
      <xdr:row>361</xdr:row>
      <xdr:rowOff>6350</xdr:rowOff>
    </xdr:to>
    <xdr:sp macro="" textlink="">
      <xdr:nvSpPr>
        <xdr:cNvPr id="536" name="Freeform 535"/>
        <xdr:cNvSpPr/>
      </xdr:nvSpPr>
      <xdr:spPr bwMode="auto">
        <a:xfrm>
          <a:off x="328898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55</xdr:col>
      <xdr:colOff>581025</xdr:colOff>
      <xdr:row>360</xdr:row>
      <xdr:rowOff>19050</xdr:rowOff>
    </xdr:from>
    <xdr:to>
      <xdr:col>57</xdr:col>
      <xdr:colOff>561975</xdr:colOff>
      <xdr:row>361</xdr:row>
      <xdr:rowOff>6350</xdr:rowOff>
    </xdr:to>
    <xdr:sp macro="" textlink="">
      <xdr:nvSpPr>
        <xdr:cNvPr id="537" name="Freeform 536"/>
        <xdr:cNvSpPr/>
      </xdr:nvSpPr>
      <xdr:spPr bwMode="auto">
        <a:xfrm>
          <a:off x="341090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58</xdr:col>
      <xdr:colOff>0</xdr:colOff>
      <xdr:row>360</xdr:row>
      <xdr:rowOff>0</xdr:rowOff>
    </xdr:from>
    <xdr:to>
      <xdr:col>59</xdr:col>
      <xdr:colOff>590550</xdr:colOff>
      <xdr:row>360</xdr:row>
      <xdr:rowOff>149225</xdr:rowOff>
    </xdr:to>
    <xdr:sp macro="" textlink="">
      <xdr:nvSpPr>
        <xdr:cNvPr id="538" name="Freeform 537"/>
        <xdr:cNvSpPr/>
      </xdr:nvSpPr>
      <xdr:spPr bwMode="auto">
        <a:xfrm>
          <a:off x="35356800" y="599122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60</xdr:col>
      <xdr:colOff>0</xdr:colOff>
      <xdr:row>360</xdr:row>
      <xdr:rowOff>0</xdr:rowOff>
    </xdr:from>
    <xdr:to>
      <xdr:col>61</xdr:col>
      <xdr:colOff>590550</xdr:colOff>
      <xdr:row>360</xdr:row>
      <xdr:rowOff>149225</xdr:rowOff>
    </xdr:to>
    <xdr:sp macro="" textlink="">
      <xdr:nvSpPr>
        <xdr:cNvPr id="539" name="Freeform 538"/>
        <xdr:cNvSpPr/>
      </xdr:nvSpPr>
      <xdr:spPr bwMode="auto">
        <a:xfrm>
          <a:off x="36576000" y="599122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61</xdr:col>
      <xdr:colOff>600075</xdr:colOff>
      <xdr:row>360</xdr:row>
      <xdr:rowOff>22225</xdr:rowOff>
    </xdr:from>
    <xdr:to>
      <xdr:col>63</xdr:col>
      <xdr:colOff>581025</xdr:colOff>
      <xdr:row>361</xdr:row>
      <xdr:rowOff>9525</xdr:rowOff>
    </xdr:to>
    <xdr:sp macro="" textlink="">
      <xdr:nvSpPr>
        <xdr:cNvPr id="540" name="Freeform 539"/>
        <xdr:cNvSpPr/>
      </xdr:nvSpPr>
      <xdr:spPr bwMode="auto">
        <a:xfrm>
          <a:off x="37785675" y="5993447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63</xdr:col>
      <xdr:colOff>581025</xdr:colOff>
      <xdr:row>360</xdr:row>
      <xdr:rowOff>19050</xdr:rowOff>
    </xdr:from>
    <xdr:to>
      <xdr:col>65</xdr:col>
      <xdr:colOff>561975</xdr:colOff>
      <xdr:row>361</xdr:row>
      <xdr:rowOff>6350</xdr:rowOff>
    </xdr:to>
    <xdr:sp macro="" textlink="">
      <xdr:nvSpPr>
        <xdr:cNvPr id="541" name="Freeform 540"/>
        <xdr:cNvSpPr/>
      </xdr:nvSpPr>
      <xdr:spPr bwMode="auto">
        <a:xfrm>
          <a:off x="389858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65</xdr:col>
      <xdr:colOff>581025</xdr:colOff>
      <xdr:row>360</xdr:row>
      <xdr:rowOff>19050</xdr:rowOff>
    </xdr:from>
    <xdr:to>
      <xdr:col>67</xdr:col>
      <xdr:colOff>561975</xdr:colOff>
      <xdr:row>361</xdr:row>
      <xdr:rowOff>6350</xdr:rowOff>
    </xdr:to>
    <xdr:sp macro="" textlink="">
      <xdr:nvSpPr>
        <xdr:cNvPr id="542" name="Freeform 541"/>
        <xdr:cNvSpPr/>
      </xdr:nvSpPr>
      <xdr:spPr bwMode="auto">
        <a:xfrm>
          <a:off x="402050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67</xdr:col>
      <xdr:colOff>581025</xdr:colOff>
      <xdr:row>360</xdr:row>
      <xdr:rowOff>19050</xdr:rowOff>
    </xdr:from>
    <xdr:to>
      <xdr:col>69</xdr:col>
      <xdr:colOff>561975</xdr:colOff>
      <xdr:row>361</xdr:row>
      <xdr:rowOff>6350</xdr:rowOff>
    </xdr:to>
    <xdr:sp macro="" textlink="">
      <xdr:nvSpPr>
        <xdr:cNvPr id="543" name="Freeform 542"/>
        <xdr:cNvSpPr/>
      </xdr:nvSpPr>
      <xdr:spPr bwMode="auto">
        <a:xfrm>
          <a:off x="41424225" y="5993130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72</xdr:col>
      <xdr:colOff>19050</xdr:colOff>
      <xdr:row>360</xdr:row>
      <xdr:rowOff>28575</xdr:rowOff>
    </xdr:from>
    <xdr:to>
      <xdr:col>74</xdr:col>
      <xdr:colOff>0</xdr:colOff>
      <xdr:row>361</xdr:row>
      <xdr:rowOff>15875</xdr:rowOff>
    </xdr:to>
    <xdr:sp macro="" textlink="">
      <xdr:nvSpPr>
        <xdr:cNvPr id="545" name="Freeform 544"/>
        <xdr:cNvSpPr/>
      </xdr:nvSpPr>
      <xdr:spPr bwMode="auto">
        <a:xfrm>
          <a:off x="43910250" y="59940825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0</xdr:colOff>
      <xdr:row>352</xdr:row>
      <xdr:rowOff>0</xdr:rowOff>
    </xdr:from>
    <xdr:to>
      <xdr:col>3</xdr:col>
      <xdr:colOff>590550</xdr:colOff>
      <xdr:row>352</xdr:row>
      <xdr:rowOff>149225</xdr:rowOff>
    </xdr:to>
    <xdr:sp macro="" textlink="">
      <xdr:nvSpPr>
        <xdr:cNvPr id="547" name="Freeform 546"/>
        <xdr:cNvSpPr/>
      </xdr:nvSpPr>
      <xdr:spPr bwMode="auto">
        <a:xfrm>
          <a:off x="1219200" y="58616850"/>
          <a:ext cx="1200150" cy="149225"/>
        </a:xfrm>
        <a:custGeom>
          <a:avLst/>
          <a:gdLst>
            <a:gd name="connsiteX0" fmla="*/ 0 w 1200150"/>
            <a:gd name="connsiteY0" fmla="*/ 136525 h 149225"/>
            <a:gd name="connsiteX1" fmla="*/ 57150 w 1200150"/>
            <a:gd name="connsiteY1" fmla="*/ 41275 h 149225"/>
            <a:gd name="connsiteX2" fmla="*/ 142875 w 1200150"/>
            <a:gd name="connsiteY2" fmla="*/ 117475 h 149225"/>
            <a:gd name="connsiteX3" fmla="*/ 228600 w 1200150"/>
            <a:gd name="connsiteY3" fmla="*/ 41275 h 149225"/>
            <a:gd name="connsiteX4" fmla="*/ 333375 w 1200150"/>
            <a:gd name="connsiteY4" fmla="*/ 136525 h 149225"/>
            <a:gd name="connsiteX5" fmla="*/ 485775 w 1200150"/>
            <a:gd name="connsiteY5" fmla="*/ 31750 h 149225"/>
            <a:gd name="connsiteX6" fmla="*/ 581025 w 1200150"/>
            <a:gd name="connsiteY6" fmla="*/ 107950 h 149225"/>
            <a:gd name="connsiteX7" fmla="*/ 657225 w 1200150"/>
            <a:gd name="connsiteY7" fmla="*/ 31750 h 149225"/>
            <a:gd name="connsiteX8" fmla="*/ 781050 w 1200150"/>
            <a:gd name="connsiteY8" fmla="*/ 127000 h 149225"/>
            <a:gd name="connsiteX9" fmla="*/ 885825 w 1200150"/>
            <a:gd name="connsiteY9" fmla="*/ 22225 h 149225"/>
            <a:gd name="connsiteX10" fmla="*/ 981075 w 1200150"/>
            <a:gd name="connsiteY10" fmla="*/ 146050 h 149225"/>
            <a:gd name="connsiteX11" fmla="*/ 1114425 w 1200150"/>
            <a:gd name="connsiteY11" fmla="*/ 3175 h 149225"/>
            <a:gd name="connsiteX12" fmla="*/ 1190625 w 1200150"/>
            <a:gd name="connsiteY12" fmla="*/ 127000 h 149225"/>
            <a:gd name="connsiteX13" fmla="*/ 1171575 w 1200150"/>
            <a:gd name="connsiteY13" fmla="*/ 117475 h 149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200150" h="149225">
              <a:moveTo>
                <a:pt x="0" y="136525"/>
              </a:moveTo>
              <a:cubicBezTo>
                <a:pt x="16669" y="90487"/>
                <a:pt x="33338" y="44450"/>
                <a:pt x="57150" y="41275"/>
              </a:cubicBezTo>
              <a:cubicBezTo>
                <a:pt x="80963" y="38100"/>
                <a:pt x="114300" y="117475"/>
                <a:pt x="142875" y="117475"/>
              </a:cubicBezTo>
              <a:cubicBezTo>
                <a:pt x="171450" y="117475"/>
                <a:pt x="196850" y="38100"/>
                <a:pt x="228600" y="41275"/>
              </a:cubicBezTo>
              <a:cubicBezTo>
                <a:pt x="260350" y="44450"/>
                <a:pt x="290513" y="138112"/>
                <a:pt x="333375" y="136525"/>
              </a:cubicBezTo>
              <a:cubicBezTo>
                <a:pt x="376237" y="134938"/>
                <a:pt x="444500" y="36512"/>
                <a:pt x="485775" y="31750"/>
              </a:cubicBezTo>
              <a:cubicBezTo>
                <a:pt x="527050" y="26988"/>
                <a:pt x="552450" y="107950"/>
                <a:pt x="581025" y="107950"/>
              </a:cubicBezTo>
              <a:cubicBezTo>
                <a:pt x="609600" y="107950"/>
                <a:pt x="623888" y="28575"/>
                <a:pt x="657225" y="31750"/>
              </a:cubicBezTo>
              <a:cubicBezTo>
                <a:pt x="690562" y="34925"/>
                <a:pt x="742950" y="128588"/>
                <a:pt x="781050" y="127000"/>
              </a:cubicBezTo>
              <a:cubicBezTo>
                <a:pt x="819150" y="125412"/>
                <a:pt x="852488" y="19050"/>
                <a:pt x="885825" y="22225"/>
              </a:cubicBezTo>
              <a:cubicBezTo>
                <a:pt x="919162" y="25400"/>
                <a:pt x="942975" y="149225"/>
                <a:pt x="981075" y="146050"/>
              </a:cubicBezTo>
              <a:cubicBezTo>
                <a:pt x="1019175" y="142875"/>
                <a:pt x="1079500" y="6350"/>
                <a:pt x="1114425" y="3175"/>
              </a:cubicBezTo>
              <a:cubicBezTo>
                <a:pt x="1149350" y="0"/>
                <a:pt x="1181100" y="107950"/>
                <a:pt x="1190625" y="127000"/>
              </a:cubicBezTo>
              <a:cubicBezTo>
                <a:pt x="1200150" y="146050"/>
                <a:pt x="1185862" y="131762"/>
                <a:pt x="1171575" y="1174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457200</xdr:colOff>
      <xdr:row>353</xdr:row>
      <xdr:rowOff>9526</xdr:rowOff>
    </xdr:from>
    <xdr:to>
      <xdr:col>1</xdr:col>
      <xdr:colOff>466725</xdr:colOff>
      <xdr:row>360</xdr:row>
      <xdr:rowOff>19051</xdr:rowOff>
    </xdr:to>
    <xdr:cxnSp macro="">
      <xdr:nvCxnSpPr>
        <xdr:cNvPr id="549" name="Straight Connector 548"/>
        <xdr:cNvCxnSpPr/>
      </xdr:nvCxnSpPr>
      <xdr:spPr bwMode="auto">
        <a:xfrm rot="5400000">
          <a:off x="500063" y="59355038"/>
          <a:ext cx="1143000" cy="9525"/>
        </a:xfrm>
        <a:prstGeom prst="line">
          <a:avLst/>
        </a:prstGeom>
        <a:solidFill>
          <a:srgbClr val="FFFFFF"/>
        </a:solidFill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581025</xdr:colOff>
      <xdr:row>353</xdr:row>
      <xdr:rowOff>11114</xdr:rowOff>
    </xdr:from>
    <xdr:to>
      <xdr:col>1</xdr:col>
      <xdr:colOff>209552</xdr:colOff>
      <xdr:row>360</xdr:row>
      <xdr:rowOff>1</xdr:rowOff>
    </xdr:to>
    <xdr:cxnSp macro="">
      <xdr:nvCxnSpPr>
        <xdr:cNvPr id="552" name="Straight Connector 551"/>
        <xdr:cNvCxnSpPr/>
      </xdr:nvCxnSpPr>
      <xdr:spPr bwMode="auto">
        <a:xfrm rot="5400000">
          <a:off x="138908" y="59232006"/>
          <a:ext cx="1122362" cy="23812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581025</xdr:colOff>
      <xdr:row>360</xdr:row>
      <xdr:rowOff>0</xdr:rowOff>
    </xdr:from>
    <xdr:to>
      <xdr:col>1</xdr:col>
      <xdr:colOff>457200</xdr:colOff>
      <xdr:row>360</xdr:row>
      <xdr:rowOff>9525</xdr:rowOff>
    </xdr:to>
    <xdr:cxnSp macro="">
      <xdr:nvCxnSpPr>
        <xdr:cNvPr id="554" name="Straight Connector 553"/>
        <xdr:cNvCxnSpPr/>
      </xdr:nvCxnSpPr>
      <xdr:spPr bwMode="auto">
        <a:xfrm>
          <a:off x="581025" y="59912250"/>
          <a:ext cx="4857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219075</xdr:colOff>
      <xdr:row>353</xdr:row>
      <xdr:rowOff>9525</xdr:rowOff>
    </xdr:from>
    <xdr:to>
      <xdr:col>1</xdr:col>
      <xdr:colOff>466725</xdr:colOff>
      <xdr:row>353</xdr:row>
      <xdr:rowOff>11113</xdr:rowOff>
    </xdr:to>
    <xdr:cxnSp macro="">
      <xdr:nvCxnSpPr>
        <xdr:cNvPr id="557" name="Straight Connector 556"/>
        <xdr:cNvCxnSpPr/>
      </xdr:nvCxnSpPr>
      <xdr:spPr bwMode="auto">
        <a:xfrm>
          <a:off x="828675" y="58788300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142875</xdr:colOff>
      <xdr:row>355</xdr:row>
      <xdr:rowOff>0</xdr:rowOff>
    </xdr:from>
    <xdr:to>
      <xdr:col>1</xdr:col>
      <xdr:colOff>466725</xdr:colOff>
      <xdr:row>355</xdr:row>
      <xdr:rowOff>1588</xdr:rowOff>
    </xdr:to>
    <xdr:cxnSp macro="">
      <xdr:nvCxnSpPr>
        <xdr:cNvPr id="561" name="Straight Connector 560"/>
        <xdr:cNvCxnSpPr/>
      </xdr:nvCxnSpPr>
      <xdr:spPr bwMode="auto">
        <a:xfrm>
          <a:off x="752475" y="59102625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66675</xdr:colOff>
      <xdr:row>357</xdr:row>
      <xdr:rowOff>0</xdr:rowOff>
    </xdr:from>
    <xdr:to>
      <xdr:col>1</xdr:col>
      <xdr:colOff>466725</xdr:colOff>
      <xdr:row>357</xdr:row>
      <xdr:rowOff>9525</xdr:rowOff>
    </xdr:to>
    <xdr:cxnSp macro="">
      <xdr:nvCxnSpPr>
        <xdr:cNvPr id="564" name="Straight Connector 563"/>
        <xdr:cNvCxnSpPr/>
      </xdr:nvCxnSpPr>
      <xdr:spPr bwMode="auto">
        <a:xfrm flipV="1">
          <a:off x="676275" y="59426475"/>
          <a:ext cx="4000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19050</xdr:colOff>
      <xdr:row>358</xdr:row>
      <xdr:rowOff>123825</xdr:rowOff>
    </xdr:from>
    <xdr:to>
      <xdr:col>1</xdr:col>
      <xdr:colOff>466725</xdr:colOff>
      <xdr:row>358</xdr:row>
      <xdr:rowOff>125413</xdr:rowOff>
    </xdr:to>
    <xdr:cxnSp macro="">
      <xdr:nvCxnSpPr>
        <xdr:cNvPr id="566" name="Straight Connector 565"/>
        <xdr:cNvCxnSpPr/>
      </xdr:nvCxnSpPr>
      <xdr:spPr bwMode="auto">
        <a:xfrm>
          <a:off x="628650" y="59712225"/>
          <a:ext cx="4476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82</xdr:col>
      <xdr:colOff>400052</xdr:colOff>
      <xdr:row>353</xdr:row>
      <xdr:rowOff>11115</xdr:rowOff>
    </xdr:from>
    <xdr:to>
      <xdr:col>83</xdr:col>
      <xdr:colOff>19049</xdr:colOff>
      <xdr:row>359</xdr:row>
      <xdr:rowOff>142875</xdr:rowOff>
    </xdr:to>
    <xdr:cxnSp macro="">
      <xdr:nvCxnSpPr>
        <xdr:cNvPr id="567" name="Straight Connector 566"/>
        <xdr:cNvCxnSpPr/>
      </xdr:nvCxnSpPr>
      <xdr:spPr bwMode="auto">
        <a:xfrm rot="16200000" flipH="1">
          <a:off x="49949896" y="59227246"/>
          <a:ext cx="1103310" cy="22859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82</xdr:col>
      <xdr:colOff>133350</xdr:colOff>
      <xdr:row>359</xdr:row>
      <xdr:rowOff>133350</xdr:rowOff>
    </xdr:from>
    <xdr:to>
      <xdr:col>83</xdr:col>
      <xdr:colOff>47625</xdr:colOff>
      <xdr:row>359</xdr:row>
      <xdr:rowOff>142876</xdr:rowOff>
    </xdr:to>
    <xdr:cxnSp macro="">
      <xdr:nvCxnSpPr>
        <xdr:cNvPr id="568" name="Straight Connector 567"/>
        <xdr:cNvCxnSpPr/>
      </xdr:nvCxnSpPr>
      <xdr:spPr bwMode="auto">
        <a:xfrm>
          <a:off x="50120550" y="59883675"/>
          <a:ext cx="523875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82</xdr:col>
      <xdr:colOff>142875</xdr:colOff>
      <xdr:row>352</xdr:row>
      <xdr:rowOff>152401</xdr:rowOff>
    </xdr:from>
    <xdr:to>
      <xdr:col>82</xdr:col>
      <xdr:colOff>390525</xdr:colOff>
      <xdr:row>352</xdr:row>
      <xdr:rowOff>153989</xdr:rowOff>
    </xdr:to>
    <xdr:cxnSp macro="">
      <xdr:nvCxnSpPr>
        <xdr:cNvPr id="569" name="Straight Connector 568"/>
        <xdr:cNvCxnSpPr/>
      </xdr:nvCxnSpPr>
      <xdr:spPr bwMode="auto">
        <a:xfrm>
          <a:off x="50130075" y="58769251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82</xdr:col>
      <xdr:colOff>133350</xdr:colOff>
      <xdr:row>355</xdr:row>
      <xdr:rowOff>1</xdr:rowOff>
    </xdr:from>
    <xdr:to>
      <xdr:col>82</xdr:col>
      <xdr:colOff>457200</xdr:colOff>
      <xdr:row>355</xdr:row>
      <xdr:rowOff>1589</xdr:rowOff>
    </xdr:to>
    <xdr:cxnSp macro="">
      <xdr:nvCxnSpPr>
        <xdr:cNvPr id="570" name="Straight Connector 569"/>
        <xdr:cNvCxnSpPr/>
      </xdr:nvCxnSpPr>
      <xdr:spPr bwMode="auto">
        <a:xfrm>
          <a:off x="50120550" y="59102626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82</xdr:col>
      <xdr:colOff>133350</xdr:colOff>
      <xdr:row>356</xdr:row>
      <xdr:rowOff>152401</xdr:rowOff>
    </xdr:from>
    <xdr:to>
      <xdr:col>82</xdr:col>
      <xdr:colOff>533400</xdr:colOff>
      <xdr:row>357</xdr:row>
      <xdr:rowOff>1</xdr:rowOff>
    </xdr:to>
    <xdr:cxnSp macro="">
      <xdr:nvCxnSpPr>
        <xdr:cNvPr id="571" name="Straight Connector 570"/>
        <xdr:cNvCxnSpPr/>
      </xdr:nvCxnSpPr>
      <xdr:spPr bwMode="auto">
        <a:xfrm flipV="1">
          <a:off x="50120550" y="59416951"/>
          <a:ext cx="4000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82</xdr:col>
      <xdr:colOff>114300</xdr:colOff>
      <xdr:row>358</xdr:row>
      <xdr:rowOff>114301</xdr:rowOff>
    </xdr:from>
    <xdr:to>
      <xdr:col>82</xdr:col>
      <xdr:colOff>590550</xdr:colOff>
      <xdr:row>358</xdr:row>
      <xdr:rowOff>123825</xdr:rowOff>
    </xdr:to>
    <xdr:cxnSp macro="">
      <xdr:nvCxnSpPr>
        <xdr:cNvPr id="572" name="Straight Connector 571"/>
        <xdr:cNvCxnSpPr/>
      </xdr:nvCxnSpPr>
      <xdr:spPr bwMode="auto">
        <a:xfrm>
          <a:off x="50101500" y="59702701"/>
          <a:ext cx="476250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82</xdr:col>
      <xdr:colOff>132557</xdr:colOff>
      <xdr:row>353</xdr:row>
      <xdr:rowOff>10318</xdr:rowOff>
    </xdr:from>
    <xdr:to>
      <xdr:col>82</xdr:col>
      <xdr:colOff>134145</xdr:colOff>
      <xdr:row>360</xdr:row>
      <xdr:rowOff>10318</xdr:rowOff>
    </xdr:to>
    <xdr:cxnSp macro="">
      <xdr:nvCxnSpPr>
        <xdr:cNvPr id="575" name="Straight Connector 574"/>
        <xdr:cNvCxnSpPr/>
      </xdr:nvCxnSpPr>
      <xdr:spPr bwMode="auto">
        <a:xfrm rot="5400000">
          <a:off x="49553813" y="59355037"/>
          <a:ext cx="1133475" cy="1588"/>
        </a:xfrm>
        <a:prstGeom prst="line">
          <a:avLst/>
        </a:prstGeom>
        <a:solidFill>
          <a:srgbClr val="FFFFFF"/>
        </a:solidFill>
        <a:ln w="31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10429</xdr:colOff>
      <xdr:row>73</xdr:row>
      <xdr:rowOff>149483</xdr:rowOff>
    </xdr:from>
    <xdr:to>
      <xdr:col>1</xdr:col>
      <xdr:colOff>10431</xdr:colOff>
      <xdr:row>76</xdr:row>
      <xdr:rowOff>163384</xdr:rowOff>
    </xdr:to>
    <xdr:cxnSp macro="">
      <xdr:nvCxnSpPr>
        <xdr:cNvPr id="581" name="Straight Connector 580"/>
        <xdr:cNvCxnSpPr/>
      </xdr:nvCxnSpPr>
      <xdr:spPr bwMode="auto">
        <a:xfrm rot="5400000">
          <a:off x="366751" y="12731866"/>
          <a:ext cx="50405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563157</xdr:colOff>
      <xdr:row>73</xdr:row>
      <xdr:rowOff>139054</xdr:rowOff>
    </xdr:from>
    <xdr:to>
      <xdr:col>0</xdr:col>
      <xdr:colOff>563160</xdr:colOff>
      <xdr:row>77</xdr:row>
      <xdr:rowOff>62576</xdr:rowOff>
    </xdr:to>
    <xdr:cxnSp macro="">
      <xdr:nvCxnSpPr>
        <xdr:cNvPr id="584" name="Straight Connector 583"/>
        <xdr:cNvCxnSpPr/>
      </xdr:nvCxnSpPr>
      <xdr:spPr bwMode="auto">
        <a:xfrm rot="5400000">
          <a:off x="274628" y="12757939"/>
          <a:ext cx="577062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608347</xdr:colOff>
      <xdr:row>73</xdr:row>
      <xdr:rowOff>152956</xdr:rowOff>
    </xdr:from>
    <xdr:to>
      <xdr:col>4</xdr:col>
      <xdr:colOff>1</xdr:colOff>
      <xdr:row>77</xdr:row>
      <xdr:rowOff>3472</xdr:rowOff>
    </xdr:to>
    <xdr:cxnSp macro="">
      <xdr:nvCxnSpPr>
        <xdr:cNvPr id="586" name="Straight Connector 585"/>
        <xdr:cNvCxnSpPr/>
      </xdr:nvCxnSpPr>
      <xdr:spPr bwMode="auto">
        <a:xfrm rot="5400000">
          <a:off x="2181366" y="12735339"/>
          <a:ext cx="50405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62574</xdr:colOff>
      <xdr:row>73</xdr:row>
      <xdr:rowOff>142530</xdr:rowOff>
    </xdr:from>
    <xdr:to>
      <xdr:col>4</xdr:col>
      <xdr:colOff>62576</xdr:colOff>
      <xdr:row>77</xdr:row>
      <xdr:rowOff>41717</xdr:rowOff>
    </xdr:to>
    <xdr:cxnSp macro="">
      <xdr:nvCxnSpPr>
        <xdr:cNvPr id="587" name="Straight Connector 586"/>
        <xdr:cNvCxnSpPr/>
      </xdr:nvCxnSpPr>
      <xdr:spPr bwMode="auto">
        <a:xfrm rot="5400000">
          <a:off x="2219605" y="12749249"/>
          <a:ext cx="552727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563157</xdr:colOff>
      <xdr:row>77</xdr:row>
      <xdr:rowOff>52144</xdr:rowOff>
    </xdr:from>
    <xdr:to>
      <xdr:col>4</xdr:col>
      <xdr:colOff>69526</xdr:colOff>
      <xdr:row>77</xdr:row>
      <xdr:rowOff>59097</xdr:rowOff>
    </xdr:to>
    <xdr:cxnSp macro="">
      <xdr:nvCxnSpPr>
        <xdr:cNvPr id="590" name="Straight Connector 589"/>
        <xdr:cNvCxnSpPr/>
      </xdr:nvCxnSpPr>
      <xdr:spPr bwMode="auto">
        <a:xfrm flipV="1">
          <a:off x="563157" y="13036040"/>
          <a:ext cx="1939763" cy="695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563157</xdr:colOff>
      <xdr:row>73</xdr:row>
      <xdr:rowOff>139051</xdr:rowOff>
    </xdr:from>
    <xdr:to>
      <xdr:col>4</xdr:col>
      <xdr:colOff>66049</xdr:colOff>
      <xdr:row>73</xdr:row>
      <xdr:rowOff>142527</xdr:rowOff>
    </xdr:to>
    <xdr:cxnSp macro="">
      <xdr:nvCxnSpPr>
        <xdr:cNvPr id="596" name="Straight Connector 595"/>
        <xdr:cNvCxnSpPr/>
      </xdr:nvCxnSpPr>
      <xdr:spPr bwMode="auto">
        <a:xfrm>
          <a:off x="563157" y="12469407"/>
          <a:ext cx="1936286" cy="347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563157</xdr:colOff>
      <xdr:row>79</xdr:row>
      <xdr:rowOff>3476</xdr:rowOff>
    </xdr:from>
    <xdr:to>
      <xdr:col>4</xdr:col>
      <xdr:colOff>79955</xdr:colOff>
      <xdr:row>79</xdr:row>
      <xdr:rowOff>6953</xdr:rowOff>
    </xdr:to>
    <xdr:cxnSp macro="">
      <xdr:nvCxnSpPr>
        <xdr:cNvPr id="598" name="Straight Arrow Connector 597"/>
        <xdr:cNvCxnSpPr/>
      </xdr:nvCxnSpPr>
      <xdr:spPr bwMode="auto">
        <a:xfrm>
          <a:off x="563157" y="13314142"/>
          <a:ext cx="1950192" cy="347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566633</xdr:colOff>
      <xdr:row>78</xdr:row>
      <xdr:rowOff>69526</xdr:rowOff>
    </xdr:from>
    <xdr:to>
      <xdr:col>0</xdr:col>
      <xdr:colOff>568221</xdr:colOff>
      <xdr:row>79</xdr:row>
      <xdr:rowOff>69526</xdr:rowOff>
    </xdr:to>
    <xdr:cxnSp macro="">
      <xdr:nvCxnSpPr>
        <xdr:cNvPr id="599" name="Straight Connector 598"/>
        <xdr:cNvCxnSpPr/>
      </xdr:nvCxnSpPr>
      <xdr:spPr bwMode="auto">
        <a:xfrm rot="5400000">
          <a:off x="485734" y="13297706"/>
          <a:ext cx="16338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86907</xdr:colOff>
      <xdr:row>78</xdr:row>
      <xdr:rowOff>55622</xdr:rowOff>
    </xdr:from>
    <xdr:to>
      <xdr:col>4</xdr:col>
      <xdr:colOff>88495</xdr:colOff>
      <xdr:row>79</xdr:row>
      <xdr:rowOff>55622</xdr:rowOff>
    </xdr:to>
    <xdr:cxnSp macro="">
      <xdr:nvCxnSpPr>
        <xdr:cNvPr id="600" name="Straight Connector 599"/>
        <xdr:cNvCxnSpPr/>
      </xdr:nvCxnSpPr>
      <xdr:spPr bwMode="auto">
        <a:xfrm rot="5400000">
          <a:off x="2439402" y="13283802"/>
          <a:ext cx="16338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595313</xdr:colOff>
      <xdr:row>70</xdr:row>
      <xdr:rowOff>148829</xdr:rowOff>
    </xdr:from>
    <xdr:to>
      <xdr:col>6</xdr:col>
      <xdr:colOff>602655</xdr:colOff>
      <xdr:row>72</xdr:row>
      <xdr:rowOff>123825</xdr:rowOff>
    </xdr:to>
    <xdr:cxnSp macro="">
      <xdr:nvCxnSpPr>
        <xdr:cNvPr id="602" name="Straight Connector 601"/>
        <xdr:cNvCxnSpPr>
          <a:endCxn id="395789" idx="0"/>
        </xdr:cNvCxnSpPr>
      </xdr:nvCxnSpPr>
      <xdr:spPr bwMode="auto">
        <a:xfrm rot="16200000" flipH="1">
          <a:off x="4084142" y="11850390"/>
          <a:ext cx="292496" cy="734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 editAs="oneCell">
    <xdr:from>
      <xdr:col>13</xdr:col>
      <xdr:colOff>600075</xdr:colOff>
      <xdr:row>196</xdr:row>
      <xdr:rowOff>0</xdr:rowOff>
    </xdr:from>
    <xdr:to>
      <xdr:col>14</xdr:col>
      <xdr:colOff>0</xdr:colOff>
      <xdr:row>196</xdr:row>
      <xdr:rowOff>161925</xdr:rowOff>
    </xdr:to>
    <xdr:sp macro="" textlink="">
      <xdr:nvSpPr>
        <xdr:cNvPr id="544" name="Text Box 154"/>
        <xdr:cNvSpPr txBox="1">
          <a:spLocks noChangeArrowheads="1"/>
        </xdr:cNvSpPr>
      </xdr:nvSpPr>
      <xdr:spPr bwMode="auto">
        <a:xfrm>
          <a:off x="7877175" y="200977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29</xdr:row>
      <xdr:rowOff>9525</xdr:rowOff>
    </xdr:from>
    <xdr:to>
      <xdr:col>82</xdr:col>
      <xdr:colOff>19050</xdr:colOff>
      <xdr:row>29</xdr:row>
      <xdr:rowOff>11113</xdr:rowOff>
    </xdr:to>
    <xdr:cxnSp macro="">
      <xdr:nvCxnSpPr>
        <xdr:cNvPr id="2" name="Straight Connector 1"/>
        <xdr:cNvCxnSpPr/>
      </xdr:nvCxnSpPr>
      <xdr:spPr bwMode="auto">
        <a:xfrm>
          <a:off x="1219200" y="4752975"/>
          <a:ext cx="48787050" cy="1588"/>
        </a:xfrm>
        <a:prstGeom prst="line">
          <a:avLst/>
        </a:prstGeom>
        <a:solidFill>
          <a:srgbClr val="FFFFFF"/>
        </a:solidFill>
        <a:ln w="285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609599</xdr:colOff>
      <xdr:row>28</xdr:row>
      <xdr:rowOff>152404</xdr:rowOff>
    </xdr:from>
    <xdr:to>
      <xdr:col>10</xdr:col>
      <xdr:colOff>6</xdr:colOff>
      <xdr:row>55</xdr:row>
      <xdr:rowOff>1</xdr:rowOff>
    </xdr:to>
    <xdr:cxnSp macro="">
      <xdr:nvCxnSpPr>
        <xdr:cNvPr id="3" name="Straight Arrow Connector 2"/>
        <xdr:cNvCxnSpPr/>
      </xdr:nvCxnSpPr>
      <xdr:spPr bwMode="auto">
        <a:xfrm rot="5400000" flipH="1" flipV="1">
          <a:off x="3981454" y="6848474"/>
          <a:ext cx="4229097" cy="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6</xdr:colOff>
      <xdr:row>29</xdr:row>
      <xdr:rowOff>19057</xdr:rowOff>
    </xdr:from>
    <xdr:to>
      <xdr:col>4</xdr:col>
      <xdr:colOff>9528</xdr:colOff>
      <xdr:row>55</xdr:row>
      <xdr:rowOff>28580</xdr:rowOff>
    </xdr:to>
    <xdr:cxnSp macro="">
      <xdr:nvCxnSpPr>
        <xdr:cNvPr id="4" name="Straight Arrow Connector 3"/>
        <xdr:cNvCxnSpPr/>
      </xdr:nvCxnSpPr>
      <xdr:spPr bwMode="auto">
        <a:xfrm rot="5400000" flipH="1" flipV="1">
          <a:off x="333380" y="6991358"/>
          <a:ext cx="4219573" cy="95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600080</xdr:colOff>
      <xdr:row>29</xdr:row>
      <xdr:rowOff>9528</xdr:rowOff>
    </xdr:from>
    <xdr:to>
      <xdr:col>6</xdr:col>
      <xdr:colOff>1</xdr:colOff>
      <xdr:row>55</xdr:row>
      <xdr:rowOff>3</xdr:rowOff>
    </xdr:to>
    <xdr:cxnSp macro="">
      <xdr:nvCxnSpPr>
        <xdr:cNvPr id="5" name="Straight Arrow Connector 4"/>
        <xdr:cNvCxnSpPr/>
      </xdr:nvCxnSpPr>
      <xdr:spPr bwMode="auto">
        <a:xfrm rot="16200000" flipV="1">
          <a:off x="1547816" y="6853242"/>
          <a:ext cx="4210050" cy="95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4</xdr:colOff>
      <xdr:row>29</xdr:row>
      <xdr:rowOff>9528</xdr:rowOff>
    </xdr:from>
    <xdr:to>
      <xdr:col>8</xdr:col>
      <xdr:colOff>9526</xdr:colOff>
      <xdr:row>55</xdr:row>
      <xdr:rowOff>3</xdr:rowOff>
    </xdr:to>
    <xdr:cxnSp macro="">
      <xdr:nvCxnSpPr>
        <xdr:cNvPr id="6" name="Straight Arrow Connector 5"/>
        <xdr:cNvCxnSpPr/>
      </xdr:nvCxnSpPr>
      <xdr:spPr bwMode="auto">
        <a:xfrm rot="5400000" flipH="1" flipV="1">
          <a:off x="2776540" y="6853242"/>
          <a:ext cx="4210050" cy="95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18</xdr:col>
      <xdr:colOff>0</xdr:colOff>
      <xdr:row>28</xdr:row>
      <xdr:rowOff>152401</xdr:rowOff>
    </xdr:from>
    <xdr:to>
      <xdr:col>18</xdr:col>
      <xdr:colOff>19056</xdr:colOff>
      <xdr:row>55</xdr:row>
      <xdr:rowOff>0</xdr:rowOff>
    </xdr:to>
    <xdr:cxnSp macro="">
      <xdr:nvCxnSpPr>
        <xdr:cNvPr id="7" name="Straight Arrow Connector 6"/>
        <xdr:cNvCxnSpPr/>
      </xdr:nvCxnSpPr>
      <xdr:spPr bwMode="auto">
        <a:xfrm rot="5400000" flipH="1" flipV="1">
          <a:off x="8867778" y="6838948"/>
          <a:ext cx="4229099" cy="1905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12</xdr:col>
      <xdr:colOff>0</xdr:colOff>
      <xdr:row>28</xdr:row>
      <xdr:rowOff>152403</xdr:rowOff>
    </xdr:from>
    <xdr:to>
      <xdr:col>12</xdr:col>
      <xdr:colOff>1</xdr:colOff>
      <xdr:row>55</xdr:row>
      <xdr:rowOff>1</xdr:rowOff>
    </xdr:to>
    <xdr:cxnSp macro="">
      <xdr:nvCxnSpPr>
        <xdr:cNvPr id="8" name="Straight Arrow Connector 7"/>
        <xdr:cNvCxnSpPr/>
      </xdr:nvCxnSpPr>
      <xdr:spPr bwMode="auto">
        <a:xfrm rot="5400000" flipH="1" flipV="1">
          <a:off x="5200652" y="6848476"/>
          <a:ext cx="4229098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14</xdr:col>
      <xdr:colOff>0</xdr:colOff>
      <xdr:row>28</xdr:row>
      <xdr:rowOff>152401</xdr:rowOff>
    </xdr:from>
    <xdr:to>
      <xdr:col>14</xdr:col>
      <xdr:colOff>2</xdr:colOff>
      <xdr:row>55</xdr:row>
      <xdr:rowOff>0</xdr:rowOff>
    </xdr:to>
    <xdr:cxnSp macro="">
      <xdr:nvCxnSpPr>
        <xdr:cNvPr id="9" name="Straight Arrow Connector 8"/>
        <xdr:cNvCxnSpPr/>
      </xdr:nvCxnSpPr>
      <xdr:spPr bwMode="auto">
        <a:xfrm rot="5400000" flipH="1" flipV="1">
          <a:off x="6419851" y="6848475"/>
          <a:ext cx="422909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16</xdr:col>
      <xdr:colOff>1</xdr:colOff>
      <xdr:row>28</xdr:row>
      <xdr:rowOff>142876</xdr:rowOff>
    </xdr:from>
    <xdr:to>
      <xdr:col>16</xdr:col>
      <xdr:colOff>3</xdr:colOff>
      <xdr:row>55</xdr:row>
      <xdr:rowOff>0</xdr:rowOff>
    </xdr:to>
    <xdr:cxnSp macro="">
      <xdr:nvCxnSpPr>
        <xdr:cNvPr id="10" name="Straight Arrow Connector 9"/>
        <xdr:cNvCxnSpPr/>
      </xdr:nvCxnSpPr>
      <xdr:spPr bwMode="auto">
        <a:xfrm rot="5400000" flipH="1" flipV="1">
          <a:off x="7634290" y="6843712"/>
          <a:ext cx="4238624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26</xdr:col>
      <xdr:colOff>7</xdr:colOff>
      <xdr:row>29</xdr:row>
      <xdr:rowOff>1</xdr:rowOff>
    </xdr:from>
    <xdr:to>
      <xdr:col>26</xdr:col>
      <xdr:colOff>9526</xdr:colOff>
      <xdr:row>55</xdr:row>
      <xdr:rowOff>0</xdr:rowOff>
    </xdr:to>
    <xdr:cxnSp macro="">
      <xdr:nvCxnSpPr>
        <xdr:cNvPr id="11" name="Straight Arrow Connector 10"/>
        <xdr:cNvCxnSpPr/>
      </xdr:nvCxnSpPr>
      <xdr:spPr bwMode="auto">
        <a:xfrm rot="16200000" flipV="1">
          <a:off x="13744580" y="6848478"/>
          <a:ext cx="4219574" cy="951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19</xdr:col>
      <xdr:colOff>609599</xdr:colOff>
      <xdr:row>29</xdr:row>
      <xdr:rowOff>3</xdr:rowOff>
    </xdr:from>
    <xdr:to>
      <xdr:col>20</xdr:col>
      <xdr:colOff>0</xdr:colOff>
      <xdr:row>55</xdr:row>
      <xdr:rowOff>1</xdr:rowOff>
    </xdr:to>
    <xdr:cxnSp macro="">
      <xdr:nvCxnSpPr>
        <xdr:cNvPr id="12" name="Straight Arrow Connector 11"/>
        <xdr:cNvCxnSpPr/>
      </xdr:nvCxnSpPr>
      <xdr:spPr bwMode="auto">
        <a:xfrm rot="5400000" flipH="1" flipV="1">
          <a:off x="10082213" y="6853239"/>
          <a:ext cx="4219573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22</xdr:col>
      <xdr:colOff>2</xdr:colOff>
      <xdr:row>28</xdr:row>
      <xdr:rowOff>152400</xdr:rowOff>
    </xdr:from>
    <xdr:to>
      <xdr:col>22</xdr:col>
      <xdr:colOff>9526</xdr:colOff>
      <xdr:row>55</xdr:row>
      <xdr:rowOff>0</xdr:rowOff>
    </xdr:to>
    <xdr:cxnSp macro="">
      <xdr:nvCxnSpPr>
        <xdr:cNvPr id="13" name="Straight Arrow Connector 12"/>
        <xdr:cNvCxnSpPr/>
      </xdr:nvCxnSpPr>
      <xdr:spPr bwMode="auto">
        <a:xfrm rot="16200000" flipV="1">
          <a:off x="11301414" y="6843713"/>
          <a:ext cx="422910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24</xdr:col>
      <xdr:colOff>9525</xdr:colOff>
      <xdr:row>28</xdr:row>
      <xdr:rowOff>152401</xdr:rowOff>
    </xdr:from>
    <xdr:to>
      <xdr:col>24</xdr:col>
      <xdr:colOff>9526</xdr:colOff>
      <xdr:row>55</xdr:row>
      <xdr:rowOff>1</xdr:rowOff>
    </xdr:to>
    <xdr:cxnSp macro="">
      <xdr:nvCxnSpPr>
        <xdr:cNvPr id="14" name="Straight Arrow Connector 13"/>
        <xdr:cNvCxnSpPr/>
      </xdr:nvCxnSpPr>
      <xdr:spPr bwMode="auto">
        <a:xfrm rot="5400000" flipH="1" flipV="1">
          <a:off x="12525376" y="6848475"/>
          <a:ext cx="422910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33</xdr:col>
      <xdr:colOff>600082</xdr:colOff>
      <xdr:row>29</xdr:row>
      <xdr:rowOff>1</xdr:rowOff>
    </xdr:from>
    <xdr:to>
      <xdr:col>34</xdr:col>
      <xdr:colOff>9526</xdr:colOff>
      <xdr:row>54</xdr:row>
      <xdr:rowOff>142875</xdr:rowOff>
    </xdr:to>
    <xdr:cxnSp macro="">
      <xdr:nvCxnSpPr>
        <xdr:cNvPr id="15" name="Straight Arrow Connector 14"/>
        <xdr:cNvCxnSpPr/>
      </xdr:nvCxnSpPr>
      <xdr:spPr bwMode="auto">
        <a:xfrm rot="16200000" flipV="1">
          <a:off x="18626142" y="6834191"/>
          <a:ext cx="4200524" cy="1904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28</xdr:col>
      <xdr:colOff>1</xdr:colOff>
      <xdr:row>28</xdr:row>
      <xdr:rowOff>133352</xdr:rowOff>
    </xdr:from>
    <xdr:to>
      <xdr:col>28</xdr:col>
      <xdr:colOff>9525</xdr:colOff>
      <xdr:row>54</xdr:row>
      <xdr:rowOff>152400</xdr:rowOff>
    </xdr:to>
    <xdr:cxnSp macro="">
      <xdr:nvCxnSpPr>
        <xdr:cNvPr id="16" name="Straight Arrow Connector 15"/>
        <xdr:cNvCxnSpPr/>
      </xdr:nvCxnSpPr>
      <xdr:spPr bwMode="auto">
        <a:xfrm rot="16200000" flipV="1">
          <a:off x="14954251" y="6829427"/>
          <a:ext cx="4238623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30</xdr:col>
      <xdr:colOff>0</xdr:colOff>
      <xdr:row>28</xdr:row>
      <xdr:rowOff>152400</xdr:rowOff>
    </xdr:from>
    <xdr:to>
      <xdr:col>30</xdr:col>
      <xdr:colOff>2</xdr:colOff>
      <xdr:row>54</xdr:row>
      <xdr:rowOff>152400</xdr:rowOff>
    </xdr:to>
    <xdr:cxnSp macro="">
      <xdr:nvCxnSpPr>
        <xdr:cNvPr id="17" name="Straight Arrow Connector 16"/>
        <xdr:cNvCxnSpPr/>
      </xdr:nvCxnSpPr>
      <xdr:spPr bwMode="auto">
        <a:xfrm rot="5400000" flipH="1" flipV="1">
          <a:off x="16178213" y="6843712"/>
          <a:ext cx="421957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31</xdr:col>
      <xdr:colOff>600074</xdr:colOff>
      <xdr:row>29</xdr:row>
      <xdr:rowOff>1</xdr:rowOff>
    </xdr:from>
    <xdr:to>
      <xdr:col>31</xdr:col>
      <xdr:colOff>600075</xdr:colOff>
      <xdr:row>55</xdr:row>
      <xdr:rowOff>1</xdr:rowOff>
    </xdr:to>
    <xdr:cxnSp macro="">
      <xdr:nvCxnSpPr>
        <xdr:cNvPr id="18" name="Straight Arrow Connector 17"/>
        <xdr:cNvCxnSpPr/>
      </xdr:nvCxnSpPr>
      <xdr:spPr bwMode="auto">
        <a:xfrm rot="5400000" flipH="1" flipV="1">
          <a:off x="17387887" y="6853238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42</xdr:col>
      <xdr:colOff>0</xdr:colOff>
      <xdr:row>28</xdr:row>
      <xdr:rowOff>142877</xdr:rowOff>
    </xdr:from>
    <xdr:to>
      <xdr:col>42</xdr:col>
      <xdr:colOff>9531</xdr:colOff>
      <xdr:row>55</xdr:row>
      <xdr:rowOff>1</xdr:rowOff>
    </xdr:to>
    <xdr:cxnSp macro="">
      <xdr:nvCxnSpPr>
        <xdr:cNvPr id="19" name="Straight Arrow Connector 18"/>
        <xdr:cNvCxnSpPr/>
      </xdr:nvCxnSpPr>
      <xdr:spPr bwMode="auto">
        <a:xfrm rot="5400000" flipH="1" flipV="1">
          <a:off x="23488654" y="6838948"/>
          <a:ext cx="4238624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36</xdr:col>
      <xdr:colOff>0</xdr:colOff>
      <xdr:row>29</xdr:row>
      <xdr:rowOff>3</xdr:rowOff>
    </xdr:from>
    <xdr:to>
      <xdr:col>36</xdr:col>
      <xdr:colOff>1</xdr:colOff>
      <xdr:row>54</xdr:row>
      <xdr:rowOff>152401</xdr:rowOff>
    </xdr:to>
    <xdr:cxnSp macro="">
      <xdr:nvCxnSpPr>
        <xdr:cNvPr id="20" name="Straight Arrow Connector 19"/>
        <xdr:cNvCxnSpPr/>
      </xdr:nvCxnSpPr>
      <xdr:spPr bwMode="auto">
        <a:xfrm rot="5400000" flipH="1" flipV="1">
          <a:off x="19840577" y="6848476"/>
          <a:ext cx="4210048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37</xdr:col>
      <xdr:colOff>609599</xdr:colOff>
      <xdr:row>29</xdr:row>
      <xdr:rowOff>1</xdr:rowOff>
    </xdr:from>
    <xdr:to>
      <xdr:col>38</xdr:col>
      <xdr:colOff>0</xdr:colOff>
      <xdr:row>55</xdr:row>
      <xdr:rowOff>1</xdr:rowOff>
    </xdr:to>
    <xdr:cxnSp macro="">
      <xdr:nvCxnSpPr>
        <xdr:cNvPr id="21" name="Straight Arrow Connector 20"/>
        <xdr:cNvCxnSpPr/>
      </xdr:nvCxnSpPr>
      <xdr:spPr bwMode="auto">
        <a:xfrm rot="5400000" flipH="1" flipV="1">
          <a:off x="21055012" y="6853238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39</xdr:col>
      <xdr:colOff>609599</xdr:colOff>
      <xdr:row>29</xdr:row>
      <xdr:rowOff>1</xdr:rowOff>
    </xdr:from>
    <xdr:to>
      <xdr:col>40</xdr:col>
      <xdr:colOff>19050</xdr:colOff>
      <xdr:row>55</xdr:row>
      <xdr:rowOff>1</xdr:rowOff>
    </xdr:to>
    <xdr:cxnSp macro="">
      <xdr:nvCxnSpPr>
        <xdr:cNvPr id="22" name="Straight Arrow Connector 21"/>
        <xdr:cNvCxnSpPr/>
      </xdr:nvCxnSpPr>
      <xdr:spPr bwMode="auto">
        <a:xfrm rot="5400000" flipH="1" flipV="1">
          <a:off x="22283737" y="6843713"/>
          <a:ext cx="4219575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49</xdr:col>
      <xdr:colOff>609599</xdr:colOff>
      <xdr:row>28</xdr:row>
      <xdr:rowOff>133352</xdr:rowOff>
    </xdr:from>
    <xdr:to>
      <xdr:col>50</xdr:col>
      <xdr:colOff>9530</xdr:colOff>
      <xdr:row>55</xdr:row>
      <xdr:rowOff>1</xdr:rowOff>
    </xdr:to>
    <xdr:cxnSp macro="">
      <xdr:nvCxnSpPr>
        <xdr:cNvPr id="23" name="Straight Arrow Connector 22"/>
        <xdr:cNvCxnSpPr/>
      </xdr:nvCxnSpPr>
      <xdr:spPr bwMode="auto">
        <a:xfrm rot="5400000" flipH="1" flipV="1">
          <a:off x="28360690" y="6834186"/>
          <a:ext cx="4248149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44</xdr:col>
      <xdr:colOff>9525</xdr:colOff>
      <xdr:row>28</xdr:row>
      <xdr:rowOff>142877</xdr:rowOff>
    </xdr:from>
    <xdr:to>
      <xdr:col>44</xdr:col>
      <xdr:colOff>19051</xdr:colOff>
      <xdr:row>55</xdr:row>
      <xdr:rowOff>0</xdr:rowOff>
    </xdr:to>
    <xdr:cxnSp macro="">
      <xdr:nvCxnSpPr>
        <xdr:cNvPr id="24" name="Straight Arrow Connector 23"/>
        <xdr:cNvCxnSpPr/>
      </xdr:nvCxnSpPr>
      <xdr:spPr bwMode="auto">
        <a:xfrm rot="5400000" flipH="1" flipV="1">
          <a:off x="24717376" y="6838951"/>
          <a:ext cx="4238623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45</xdr:col>
      <xdr:colOff>600076</xdr:colOff>
      <xdr:row>28</xdr:row>
      <xdr:rowOff>152400</xdr:rowOff>
    </xdr:from>
    <xdr:to>
      <xdr:col>46</xdr:col>
      <xdr:colOff>2</xdr:colOff>
      <xdr:row>55</xdr:row>
      <xdr:rowOff>0</xdr:rowOff>
    </xdr:to>
    <xdr:cxnSp macro="">
      <xdr:nvCxnSpPr>
        <xdr:cNvPr id="25" name="Straight Arrow Connector 24"/>
        <xdr:cNvCxnSpPr/>
      </xdr:nvCxnSpPr>
      <xdr:spPr bwMode="auto">
        <a:xfrm rot="5400000" flipH="1" flipV="1">
          <a:off x="25922289" y="6843712"/>
          <a:ext cx="4229100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47</xdr:col>
      <xdr:colOff>600076</xdr:colOff>
      <xdr:row>28</xdr:row>
      <xdr:rowOff>152400</xdr:rowOff>
    </xdr:from>
    <xdr:to>
      <xdr:col>48</xdr:col>
      <xdr:colOff>19052</xdr:colOff>
      <xdr:row>55</xdr:row>
      <xdr:rowOff>0</xdr:rowOff>
    </xdr:to>
    <xdr:cxnSp macro="">
      <xdr:nvCxnSpPr>
        <xdr:cNvPr id="26" name="Straight Arrow Connector 25"/>
        <xdr:cNvCxnSpPr/>
      </xdr:nvCxnSpPr>
      <xdr:spPr bwMode="auto">
        <a:xfrm rot="5400000" flipH="1" flipV="1">
          <a:off x="27151014" y="6834187"/>
          <a:ext cx="4229100" cy="2857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58</xdr:col>
      <xdr:colOff>9525</xdr:colOff>
      <xdr:row>28</xdr:row>
      <xdr:rowOff>133351</xdr:rowOff>
    </xdr:from>
    <xdr:to>
      <xdr:col>58</xdr:col>
      <xdr:colOff>9531</xdr:colOff>
      <xdr:row>55</xdr:row>
      <xdr:rowOff>0</xdr:rowOff>
    </xdr:to>
    <xdr:cxnSp macro="">
      <xdr:nvCxnSpPr>
        <xdr:cNvPr id="27" name="Straight Arrow Connector 26"/>
        <xdr:cNvCxnSpPr/>
      </xdr:nvCxnSpPr>
      <xdr:spPr bwMode="auto">
        <a:xfrm rot="5400000" flipH="1" flipV="1">
          <a:off x="33242253" y="6838948"/>
          <a:ext cx="4248149" cy="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52</xdr:col>
      <xdr:colOff>0</xdr:colOff>
      <xdr:row>28</xdr:row>
      <xdr:rowOff>133353</xdr:rowOff>
    </xdr:from>
    <xdr:to>
      <xdr:col>52</xdr:col>
      <xdr:colOff>19051</xdr:colOff>
      <xdr:row>55</xdr:row>
      <xdr:rowOff>1</xdr:rowOff>
    </xdr:to>
    <xdr:cxnSp macro="">
      <xdr:nvCxnSpPr>
        <xdr:cNvPr id="28" name="Straight Arrow Connector 27"/>
        <xdr:cNvCxnSpPr/>
      </xdr:nvCxnSpPr>
      <xdr:spPr bwMode="auto">
        <a:xfrm rot="5400000" flipH="1" flipV="1">
          <a:off x="29584652" y="6829426"/>
          <a:ext cx="4248148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54</xdr:col>
      <xdr:colOff>0</xdr:colOff>
      <xdr:row>28</xdr:row>
      <xdr:rowOff>152401</xdr:rowOff>
    </xdr:from>
    <xdr:to>
      <xdr:col>54</xdr:col>
      <xdr:colOff>1</xdr:colOff>
      <xdr:row>55</xdr:row>
      <xdr:rowOff>1</xdr:rowOff>
    </xdr:to>
    <xdr:cxnSp macro="">
      <xdr:nvCxnSpPr>
        <xdr:cNvPr id="29" name="Straight Arrow Connector 28"/>
        <xdr:cNvCxnSpPr/>
      </xdr:nvCxnSpPr>
      <xdr:spPr bwMode="auto">
        <a:xfrm rot="5400000" flipH="1" flipV="1">
          <a:off x="30803851" y="6848475"/>
          <a:ext cx="422910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56</xdr:col>
      <xdr:colOff>0</xdr:colOff>
      <xdr:row>28</xdr:row>
      <xdr:rowOff>152401</xdr:rowOff>
    </xdr:from>
    <xdr:to>
      <xdr:col>56</xdr:col>
      <xdr:colOff>19051</xdr:colOff>
      <xdr:row>55</xdr:row>
      <xdr:rowOff>1</xdr:rowOff>
    </xdr:to>
    <xdr:cxnSp macro="">
      <xdr:nvCxnSpPr>
        <xdr:cNvPr id="30" name="Straight Arrow Connector 29"/>
        <xdr:cNvCxnSpPr/>
      </xdr:nvCxnSpPr>
      <xdr:spPr bwMode="auto">
        <a:xfrm rot="5400000" flipH="1" flipV="1">
          <a:off x="32032576" y="6838950"/>
          <a:ext cx="4229100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65</xdr:col>
      <xdr:colOff>600074</xdr:colOff>
      <xdr:row>28</xdr:row>
      <xdr:rowOff>152402</xdr:rowOff>
    </xdr:from>
    <xdr:to>
      <xdr:col>66</xdr:col>
      <xdr:colOff>5</xdr:colOff>
      <xdr:row>55</xdr:row>
      <xdr:rowOff>1</xdr:rowOff>
    </xdr:to>
    <xdr:cxnSp macro="">
      <xdr:nvCxnSpPr>
        <xdr:cNvPr id="31" name="Straight Arrow Connector 30"/>
        <xdr:cNvCxnSpPr/>
      </xdr:nvCxnSpPr>
      <xdr:spPr bwMode="auto">
        <a:xfrm rot="5400000" flipH="1" flipV="1">
          <a:off x="38114290" y="6843711"/>
          <a:ext cx="4229099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59</xdr:col>
      <xdr:colOff>600075</xdr:colOff>
      <xdr:row>28</xdr:row>
      <xdr:rowOff>152403</xdr:rowOff>
    </xdr:from>
    <xdr:to>
      <xdr:col>60</xdr:col>
      <xdr:colOff>9526</xdr:colOff>
      <xdr:row>55</xdr:row>
      <xdr:rowOff>1</xdr:rowOff>
    </xdr:to>
    <xdr:cxnSp macro="">
      <xdr:nvCxnSpPr>
        <xdr:cNvPr id="32" name="Straight Arrow Connector 31"/>
        <xdr:cNvCxnSpPr/>
      </xdr:nvCxnSpPr>
      <xdr:spPr bwMode="auto">
        <a:xfrm rot="5400000" flipH="1" flipV="1">
          <a:off x="34461452" y="6838951"/>
          <a:ext cx="4229098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61</xdr:col>
      <xdr:colOff>600077</xdr:colOff>
      <xdr:row>29</xdr:row>
      <xdr:rowOff>9525</xdr:rowOff>
    </xdr:from>
    <xdr:to>
      <xdr:col>62</xdr:col>
      <xdr:colOff>9526</xdr:colOff>
      <xdr:row>55</xdr:row>
      <xdr:rowOff>0</xdr:rowOff>
    </xdr:to>
    <xdr:cxnSp macro="">
      <xdr:nvCxnSpPr>
        <xdr:cNvPr id="33" name="Straight Arrow Connector 32"/>
        <xdr:cNvCxnSpPr/>
      </xdr:nvCxnSpPr>
      <xdr:spPr bwMode="auto">
        <a:xfrm rot="16200000" flipV="1">
          <a:off x="35690177" y="6848475"/>
          <a:ext cx="4210050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64</xdr:col>
      <xdr:colOff>9524</xdr:colOff>
      <xdr:row>29</xdr:row>
      <xdr:rowOff>9526</xdr:rowOff>
    </xdr:from>
    <xdr:to>
      <xdr:col>64</xdr:col>
      <xdr:colOff>9525</xdr:colOff>
      <xdr:row>55</xdr:row>
      <xdr:rowOff>9526</xdr:rowOff>
    </xdr:to>
    <xdr:cxnSp macro="">
      <xdr:nvCxnSpPr>
        <xdr:cNvPr id="34" name="Straight Arrow Connector 33"/>
        <xdr:cNvCxnSpPr/>
      </xdr:nvCxnSpPr>
      <xdr:spPr bwMode="auto">
        <a:xfrm rot="5400000" flipH="1" flipV="1">
          <a:off x="36914137" y="6862763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74</xdr:col>
      <xdr:colOff>0</xdr:colOff>
      <xdr:row>28</xdr:row>
      <xdr:rowOff>133351</xdr:rowOff>
    </xdr:from>
    <xdr:to>
      <xdr:col>74</xdr:col>
      <xdr:colOff>9532</xdr:colOff>
      <xdr:row>55</xdr:row>
      <xdr:rowOff>0</xdr:rowOff>
    </xdr:to>
    <xdr:cxnSp macro="">
      <xdr:nvCxnSpPr>
        <xdr:cNvPr id="35" name="Straight Arrow Connector 34"/>
        <xdr:cNvCxnSpPr/>
      </xdr:nvCxnSpPr>
      <xdr:spPr bwMode="auto">
        <a:xfrm rot="5400000" flipH="1" flipV="1">
          <a:off x="42991091" y="6834185"/>
          <a:ext cx="4248149" cy="953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68</xdr:col>
      <xdr:colOff>1</xdr:colOff>
      <xdr:row>28</xdr:row>
      <xdr:rowOff>152402</xdr:rowOff>
    </xdr:from>
    <xdr:to>
      <xdr:col>68</xdr:col>
      <xdr:colOff>9527</xdr:colOff>
      <xdr:row>55</xdr:row>
      <xdr:rowOff>0</xdr:rowOff>
    </xdr:to>
    <xdr:cxnSp macro="">
      <xdr:nvCxnSpPr>
        <xdr:cNvPr id="36" name="Straight Arrow Connector 35"/>
        <xdr:cNvCxnSpPr/>
      </xdr:nvCxnSpPr>
      <xdr:spPr bwMode="auto">
        <a:xfrm rot="5400000" flipH="1" flipV="1">
          <a:off x="39343015" y="6843713"/>
          <a:ext cx="4229098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70</xdr:col>
      <xdr:colOff>0</xdr:colOff>
      <xdr:row>28</xdr:row>
      <xdr:rowOff>152401</xdr:rowOff>
    </xdr:from>
    <xdr:to>
      <xdr:col>70</xdr:col>
      <xdr:colOff>1</xdr:colOff>
      <xdr:row>55</xdr:row>
      <xdr:rowOff>1</xdr:rowOff>
    </xdr:to>
    <xdr:cxnSp macro="">
      <xdr:nvCxnSpPr>
        <xdr:cNvPr id="37" name="Straight Arrow Connector 36"/>
        <xdr:cNvCxnSpPr/>
      </xdr:nvCxnSpPr>
      <xdr:spPr bwMode="auto">
        <a:xfrm rot="5400000" flipH="1" flipV="1">
          <a:off x="40557451" y="6848475"/>
          <a:ext cx="422910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71</xdr:col>
      <xdr:colOff>600076</xdr:colOff>
      <xdr:row>28</xdr:row>
      <xdr:rowOff>152400</xdr:rowOff>
    </xdr:from>
    <xdr:to>
      <xdr:col>72</xdr:col>
      <xdr:colOff>19052</xdr:colOff>
      <xdr:row>55</xdr:row>
      <xdr:rowOff>0</xdr:rowOff>
    </xdr:to>
    <xdr:cxnSp macro="">
      <xdr:nvCxnSpPr>
        <xdr:cNvPr id="38" name="Straight Arrow Connector 37"/>
        <xdr:cNvCxnSpPr/>
      </xdr:nvCxnSpPr>
      <xdr:spPr bwMode="auto">
        <a:xfrm rot="5400000" flipH="1" flipV="1">
          <a:off x="41781414" y="6834187"/>
          <a:ext cx="4229100" cy="2857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76</xdr:col>
      <xdr:colOff>0</xdr:colOff>
      <xdr:row>28</xdr:row>
      <xdr:rowOff>133353</xdr:rowOff>
    </xdr:from>
    <xdr:to>
      <xdr:col>76</xdr:col>
      <xdr:colOff>19051</xdr:colOff>
      <xdr:row>55</xdr:row>
      <xdr:rowOff>1</xdr:rowOff>
    </xdr:to>
    <xdr:cxnSp macro="">
      <xdr:nvCxnSpPr>
        <xdr:cNvPr id="39" name="Straight Arrow Connector 38"/>
        <xdr:cNvCxnSpPr/>
      </xdr:nvCxnSpPr>
      <xdr:spPr bwMode="auto">
        <a:xfrm rot="5400000" flipH="1" flipV="1">
          <a:off x="44215052" y="6829426"/>
          <a:ext cx="4248148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77</xdr:col>
      <xdr:colOff>609599</xdr:colOff>
      <xdr:row>28</xdr:row>
      <xdr:rowOff>152401</xdr:rowOff>
    </xdr:from>
    <xdr:to>
      <xdr:col>78</xdr:col>
      <xdr:colOff>0</xdr:colOff>
      <xdr:row>54</xdr:row>
      <xdr:rowOff>152401</xdr:rowOff>
    </xdr:to>
    <xdr:cxnSp macro="">
      <xdr:nvCxnSpPr>
        <xdr:cNvPr id="40" name="Straight Arrow Connector 39"/>
        <xdr:cNvCxnSpPr/>
      </xdr:nvCxnSpPr>
      <xdr:spPr bwMode="auto">
        <a:xfrm rot="5400000" flipH="1" flipV="1">
          <a:off x="45439012" y="6843713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0</xdr:colOff>
      <xdr:row>283</xdr:row>
      <xdr:rowOff>0</xdr:rowOff>
    </xdr:from>
    <xdr:to>
      <xdr:col>6</xdr:col>
      <xdr:colOff>0</xdr:colOff>
      <xdr:row>284</xdr:row>
      <xdr:rowOff>142875</xdr:rowOff>
    </xdr:to>
    <xdr:sp macro="" textlink="">
      <xdr:nvSpPr>
        <xdr:cNvPr id="41" name="Line 274"/>
        <xdr:cNvSpPr>
          <a:spLocks noChangeShapeType="1"/>
        </xdr:cNvSpPr>
      </xdr:nvSpPr>
      <xdr:spPr bwMode="auto">
        <a:xfrm>
          <a:off x="3657600" y="18583275"/>
          <a:ext cx="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295275</xdr:colOff>
      <xdr:row>283</xdr:row>
      <xdr:rowOff>0</xdr:rowOff>
    </xdr:from>
    <xdr:to>
      <xdr:col>5</xdr:col>
      <xdr:colOff>295275</xdr:colOff>
      <xdr:row>284</xdr:row>
      <xdr:rowOff>152400</xdr:rowOff>
    </xdr:to>
    <xdr:sp macro="" textlink="">
      <xdr:nvSpPr>
        <xdr:cNvPr id="42" name="Line 275"/>
        <xdr:cNvSpPr>
          <a:spLocks noChangeShapeType="1"/>
        </xdr:cNvSpPr>
      </xdr:nvSpPr>
      <xdr:spPr bwMode="auto">
        <a:xfrm>
          <a:off x="3343275" y="185832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295275</xdr:colOff>
      <xdr:row>283</xdr:row>
      <xdr:rowOff>0</xdr:rowOff>
    </xdr:from>
    <xdr:to>
      <xdr:col>6</xdr:col>
      <xdr:colOff>295275</xdr:colOff>
      <xdr:row>284</xdr:row>
      <xdr:rowOff>152400</xdr:rowOff>
    </xdr:to>
    <xdr:sp macro="" textlink="">
      <xdr:nvSpPr>
        <xdr:cNvPr id="43" name="Line 276"/>
        <xdr:cNvSpPr>
          <a:spLocks noChangeShapeType="1"/>
        </xdr:cNvSpPr>
      </xdr:nvSpPr>
      <xdr:spPr bwMode="auto">
        <a:xfrm>
          <a:off x="3952875" y="185832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542925</xdr:colOff>
      <xdr:row>283</xdr:row>
      <xdr:rowOff>9525</xdr:rowOff>
    </xdr:from>
    <xdr:to>
      <xdr:col>6</xdr:col>
      <xdr:colOff>542925</xdr:colOff>
      <xdr:row>285</xdr:row>
      <xdr:rowOff>0</xdr:rowOff>
    </xdr:to>
    <xdr:sp macro="" textlink="">
      <xdr:nvSpPr>
        <xdr:cNvPr id="44" name="Line 277"/>
        <xdr:cNvSpPr>
          <a:spLocks noChangeShapeType="1"/>
        </xdr:cNvSpPr>
      </xdr:nvSpPr>
      <xdr:spPr bwMode="auto">
        <a:xfrm>
          <a:off x="4200525" y="1859280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8</xdr:col>
      <xdr:colOff>28575</xdr:colOff>
      <xdr:row>283</xdr:row>
      <xdr:rowOff>19050</xdr:rowOff>
    </xdr:from>
    <xdr:to>
      <xdr:col>8</xdr:col>
      <xdr:colOff>28575</xdr:colOff>
      <xdr:row>285</xdr:row>
      <xdr:rowOff>9525</xdr:rowOff>
    </xdr:to>
    <xdr:sp macro="" textlink="">
      <xdr:nvSpPr>
        <xdr:cNvPr id="45" name="Line 278"/>
        <xdr:cNvSpPr>
          <a:spLocks noChangeShapeType="1"/>
        </xdr:cNvSpPr>
      </xdr:nvSpPr>
      <xdr:spPr bwMode="auto">
        <a:xfrm>
          <a:off x="4905375" y="186023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219075</xdr:colOff>
      <xdr:row>283</xdr:row>
      <xdr:rowOff>9525</xdr:rowOff>
    </xdr:from>
    <xdr:to>
      <xdr:col>7</xdr:col>
      <xdr:colOff>219075</xdr:colOff>
      <xdr:row>285</xdr:row>
      <xdr:rowOff>0</xdr:rowOff>
    </xdr:to>
    <xdr:sp macro="" textlink="">
      <xdr:nvSpPr>
        <xdr:cNvPr id="46" name="Line 279"/>
        <xdr:cNvSpPr>
          <a:spLocks noChangeShapeType="1"/>
        </xdr:cNvSpPr>
      </xdr:nvSpPr>
      <xdr:spPr bwMode="auto">
        <a:xfrm>
          <a:off x="4486275" y="1859280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419100</xdr:colOff>
      <xdr:row>282</xdr:row>
      <xdr:rowOff>152400</xdr:rowOff>
    </xdr:from>
    <xdr:to>
      <xdr:col>7</xdr:col>
      <xdr:colOff>419100</xdr:colOff>
      <xdr:row>284</xdr:row>
      <xdr:rowOff>142875</xdr:rowOff>
    </xdr:to>
    <xdr:sp macro="" textlink="">
      <xdr:nvSpPr>
        <xdr:cNvPr id="47" name="Line 280"/>
        <xdr:cNvSpPr>
          <a:spLocks noChangeShapeType="1"/>
        </xdr:cNvSpPr>
      </xdr:nvSpPr>
      <xdr:spPr bwMode="auto">
        <a:xfrm>
          <a:off x="4686300" y="185737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8</xdr:col>
      <xdr:colOff>581025</xdr:colOff>
      <xdr:row>283</xdr:row>
      <xdr:rowOff>0</xdr:rowOff>
    </xdr:from>
    <xdr:to>
      <xdr:col>8</xdr:col>
      <xdr:colOff>581025</xdr:colOff>
      <xdr:row>284</xdr:row>
      <xdr:rowOff>152400</xdr:rowOff>
    </xdr:to>
    <xdr:sp macro="" textlink="">
      <xdr:nvSpPr>
        <xdr:cNvPr id="48" name="Line 282"/>
        <xdr:cNvSpPr>
          <a:spLocks noChangeShapeType="1"/>
        </xdr:cNvSpPr>
      </xdr:nvSpPr>
      <xdr:spPr bwMode="auto">
        <a:xfrm>
          <a:off x="5457825" y="185832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228600</xdr:colOff>
      <xdr:row>281</xdr:row>
      <xdr:rowOff>95250</xdr:rowOff>
    </xdr:from>
    <xdr:to>
      <xdr:col>7</xdr:col>
      <xdr:colOff>600075</xdr:colOff>
      <xdr:row>283</xdr:row>
      <xdr:rowOff>0</xdr:rowOff>
    </xdr:to>
    <xdr:sp macro="" textlink="">
      <xdr:nvSpPr>
        <xdr:cNvPr id="49" name="Line 307"/>
        <xdr:cNvSpPr>
          <a:spLocks noChangeShapeType="1"/>
        </xdr:cNvSpPr>
      </xdr:nvSpPr>
      <xdr:spPr bwMode="auto">
        <a:xfrm flipH="1">
          <a:off x="4495800" y="18354675"/>
          <a:ext cx="371475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285750</xdr:colOff>
      <xdr:row>284</xdr:row>
      <xdr:rowOff>152400</xdr:rowOff>
    </xdr:from>
    <xdr:to>
      <xdr:col>8</xdr:col>
      <xdr:colOff>581025</xdr:colOff>
      <xdr:row>285</xdr:row>
      <xdr:rowOff>0</xdr:rowOff>
    </xdr:to>
    <xdr:cxnSp macro="">
      <xdr:nvCxnSpPr>
        <xdr:cNvPr id="50" name="Straight Connector 49"/>
        <xdr:cNvCxnSpPr>
          <a:endCxn id="48" idx="1"/>
        </xdr:cNvCxnSpPr>
      </xdr:nvCxnSpPr>
      <xdr:spPr bwMode="auto">
        <a:xfrm flipV="1">
          <a:off x="3333750" y="18897600"/>
          <a:ext cx="2124075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313532</xdr:colOff>
      <xdr:row>285</xdr:row>
      <xdr:rowOff>29369</xdr:rowOff>
    </xdr:from>
    <xdr:to>
      <xdr:col>5</xdr:col>
      <xdr:colOff>315120</xdr:colOff>
      <xdr:row>287</xdr:row>
      <xdr:rowOff>794</xdr:rowOff>
    </xdr:to>
    <xdr:cxnSp macro="">
      <xdr:nvCxnSpPr>
        <xdr:cNvPr id="51" name="Straight Arrow Connector 50"/>
        <xdr:cNvCxnSpPr/>
      </xdr:nvCxnSpPr>
      <xdr:spPr bwMode="auto">
        <a:xfrm rot="5400000" flipH="1" flipV="1">
          <a:off x="3214688" y="19083338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580232</xdr:colOff>
      <xdr:row>285</xdr:row>
      <xdr:rowOff>794</xdr:rowOff>
    </xdr:from>
    <xdr:to>
      <xdr:col>8</xdr:col>
      <xdr:colOff>581820</xdr:colOff>
      <xdr:row>286</xdr:row>
      <xdr:rowOff>115094</xdr:rowOff>
    </xdr:to>
    <xdr:cxnSp macro="">
      <xdr:nvCxnSpPr>
        <xdr:cNvPr id="52" name="Straight Arrow Connector 51"/>
        <xdr:cNvCxnSpPr/>
      </xdr:nvCxnSpPr>
      <xdr:spPr bwMode="auto">
        <a:xfrm rot="5400000" flipH="1" flipV="1">
          <a:off x="5319713" y="19045238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0</xdr:colOff>
      <xdr:row>283</xdr:row>
      <xdr:rowOff>133350</xdr:rowOff>
    </xdr:from>
    <xdr:to>
      <xdr:col>5</xdr:col>
      <xdr:colOff>316233</xdr:colOff>
      <xdr:row>286</xdr:row>
      <xdr:rowOff>76200</xdr:rowOff>
    </xdr:to>
    <xdr:sp macro="" textlink="">
      <xdr:nvSpPr>
        <xdr:cNvPr id="53" name="Arc 52"/>
        <xdr:cNvSpPr/>
      </xdr:nvSpPr>
      <xdr:spPr bwMode="auto">
        <a:xfrm flipH="1">
          <a:off x="3048000" y="18716625"/>
          <a:ext cx="316233" cy="428625"/>
        </a:xfrm>
        <a:prstGeom prst="arc">
          <a:avLst>
            <a:gd name="adj1" fmla="val 16200008"/>
            <a:gd name="adj2" fmla="val 444663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523875</xdr:colOff>
      <xdr:row>283</xdr:row>
      <xdr:rowOff>0</xdr:rowOff>
    </xdr:from>
    <xdr:to>
      <xdr:col>9</xdr:col>
      <xdr:colOff>230508</xdr:colOff>
      <xdr:row>285</xdr:row>
      <xdr:rowOff>104775</xdr:rowOff>
    </xdr:to>
    <xdr:sp macro="" textlink="">
      <xdr:nvSpPr>
        <xdr:cNvPr id="54" name="Arc 53"/>
        <xdr:cNvSpPr/>
      </xdr:nvSpPr>
      <xdr:spPr bwMode="auto">
        <a:xfrm flipH="1">
          <a:off x="5400675" y="18583275"/>
          <a:ext cx="316233" cy="428625"/>
        </a:xfrm>
        <a:prstGeom prst="arc">
          <a:avLst>
            <a:gd name="adj1" fmla="val 5163276"/>
            <a:gd name="adj2" fmla="val 1582582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295275</xdr:colOff>
      <xdr:row>283</xdr:row>
      <xdr:rowOff>0</xdr:rowOff>
    </xdr:from>
    <xdr:to>
      <xdr:col>8</xdr:col>
      <xdr:colOff>600075</xdr:colOff>
      <xdr:row>283</xdr:row>
      <xdr:rowOff>1588</xdr:rowOff>
    </xdr:to>
    <xdr:cxnSp macro="">
      <xdr:nvCxnSpPr>
        <xdr:cNvPr id="55" name="Straight Connector 54"/>
        <xdr:cNvCxnSpPr/>
      </xdr:nvCxnSpPr>
      <xdr:spPr bwMode="auto">
        <a:xfrm>
          <a:off x="3343275" y="18583275"/>
          <a:ext cx="2133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9</xdr:row>
      <xdr:rowOff>0</xdr:rowOff>
    </xdr:from>
    <xdr:to>
      <xdr:col>82</xdr:col>
      <xdr:colOff>19050</xdr:colOff>
      <xdr:row>9</xdr:row>
      <xdr:rowOff>1588</xdr:rowOff>
    </xdr:to>
    <xdr:cxnSp macro="">
      <xdr:nvCxnSpPr>
        <xdr:cNvPr id="56" name="Straight Connector 55"/>
        <xdr:cNvCxnSpPr/>
      </xdr:nvCxnSpPr>
      <xdr:spPr bwMode="auto">
        <a:xfrm>
          <a:off x="1219200" y="2638425"/>
          <a:ext cx="48787050" cy="1588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</xdr:row>
      <xdr:rowOff>0</xdr:rowOff>
    </xdr:from>
    <xdr:to>
      <xdr:col>13</xdr:col>
      <xdr:colOff>0</xdr:colOff>
      <xdr:row>2</xdr:row>
      <xdr:rowOff>142875</xdr:rowOff>
    </xdr:to>
    <xdr:sp macro="" textlink="">
      <xdr:nvSpPr>
        <xdr:cNvPr id="57" name="Line 274"/>
        <xdr:cNvSpPr>
          <a:spLocks noChangeShapeType="1"/>
        </xdr:cNvSpPr>
      </xdr:nvSpPr>
      <xdr:spPr bwMode="auto">
        <a:xfrm>
          <a:off x="9753600" y="1343025"/>
          <a:ext cx="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12</xdr:col>
      <xdr:colOff>295275</xdr:colOff>
      <xdr:row>1</xdr:row>
      <xdr:rowOff>0</xdr:rowOff>
    </xdr:from>
    <xdr:to>
      <xdr:col>12</xdr:col>
      <xdr:colOff>295275</xdr:colOff>
      <xdr:row>2</xdr:row>
      <xdr:rowOff>152400</xdr:rowOff>
    </xdr:to>
    <xdr:sp macro="" textlink="">
      <xdr:nvSpPr>
        <xdr:cNvPr id="58" name="Line 275"/>
        <xdr:cNvSpPr>
          <a:spLocks noChangeShapeType="1"/>
        </xdr:cNvSpPr>
      </xdr:nvSpPr>
      <xdr:spPr bwMode="auto">
        <a:xfrm>
          <a:off x="9439275" y="13430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13</xdr:col>
      <xdr:colOff>295275</xdr:colOff>
      <xdr:row>1</xdr:row>
      <xdr:rowOff>0</xdr:rowOff>
    </xdr:from>
    <xdr:to>
      <xdr:col>13</xdr:col>
      <xdr:colOff>295275</xdr:colOff>
      <xdr:row>2</xdr:row>
      <xdr:rowOff>152400</xdr:rowOff>
    </xdr:to>
    <xdr:sp macro="" textlink="">
      <xdr:nvSpPr>
        <xdr:cNvPr id="59" name="Line 276"/>
        <xdr:cNvSpPr>
          <a:spLocks noChangeShapeType="1"/>
        </xdr:cNvSpPr>
      </xdr:nvSpPr>
      <xdr:spPr bwMode="auto">
        <a:xfrm>
          <a:off x="10048875" y="13430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13</xdr:col>
      <xdr:colOff>542925</xdr:colOff>
      <xdr:row>1</xdr:row>
      <xdr:rowOff>9525</xdr:rowOff>
    </xdr:from>
    <xdr:to>
      <xdr:col>13</xdr:col>
      <xdr:colOff>542925</xdr:colOff>
      <xdr:row>3</xdr:row>
      <xdr:rowOff>0</xdr:rowOff>
    </xdr:to>
    <xdr:sp macro="" textlink="">
      <xdr:nvSpPr>
        <xdr:cNvPr id="60" name="Line 277"/>
        <xdr:cNvSpPr>
          <a:spLocks noChangeShapeType="1"/>
        </xdr:cNvSpPr>
      </xdr:nvSpPr>
      <xdr:spPr bwMode="auto">
        <a:xfrm>
          <a:off x="10296525" y="13525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15</xdr:col>
      <xdr:colOff>28575</xdr:colOff>
      <xdr:row>1</xdr:row>
      <xdr:rowOff>19050</xdr:rowOff>
    </xdr:from>
    <xdr:to>
      <xdr:col>15</xdr:col>
      <xdr:colOff>28575</xdr:colOff>
      <xdr:row>3</xdr:row>
      <xdr:rowOff>9525</xdr:rowOff>
    </xdr:to>
    <xdr:sp macro="" textlink="">
      <xdr:nvSpPr>
        <xdr:cNvPr id="61" name="Line 278"/>
        <xdr:cNvSpPr>
          <a:spLocks noChangeShapeType="1"/>
        </xdr:cNvSpPr>
      </xdr:nvSpPr>
      <xdr:spPr bwMode="auto">
        <a:xfrm>
          <a:off x="11001375" y="13620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14</xdr:col>
      <xdr:colOff>219075</xdr:colOff>
      <xdr:row>1</xdr:row>
      <xdr:rowOff>9525</xdr:rowOff>
    </xdr:from>
    <xdr:to>
      <xdr:col>14</xdr:col>
      <xdr:colOff>219075</xdr:colOff>
      <xdr:row>3</xdr:row>
      <xdr:rowOff>0</xdr:rowOff>
    </xdr:to>
    <xdr:sp macro="" textlink="">
      <xdr:nvSpPr>
        <xdr:cNvPr id="62" name="Line 279"/>
        <xdr:cNvSpPr>
          <a:spLocks noChangeShapeType="1"/>
        </xdr:cNvSpPr>
      </xdr:nvSpPr>
      <xdr:spPr bwMode="auto">
        <a:xfrm>
          <a:off x="10582275" y="13525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14</xdr:col>
      <xdr:colOff>419100</xdr:colOff>
      <xdr:row>0</xdr:row>
      <xdr:rowOff>152400</xdr:rowOff>
    </xdr:from>
    <xdr:to>
      <xdr:col>14</xdr:col>
      <xdr:colOff>419100</xdr:colOff>
      <xdr:row>2</xdr:row>
      <xdr:rowOff>142875</xdr:rowOff>
    </xdr:to>
    <xdr:sp macro="" textlink="">
      <xdr:nvSpPr>
        <xdr:cNvPr id="63" name="Line 280"/>
        <xdr:cNvSpPr>
          <a:spLocks noChangeShapeType="1"/>
        </xdr:cNvSpPr>
      </xdr:nvSpPr>
      <xdr:spPr bwMode="auto">
        <a:xfrm>
          <a:off x="10782300" y="133350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15</xdr:col>
      <xdr:colOff>581025</xdr:colOff>
      <xdr:row>1</xdr:row>
      <xdr:rowOff>0</xdr:rowOff>
    </xdr:from>
    <xdr:to>
      <xdr:col>15</xdr:col>
      <xdr:colOff>581025</xdr:colOff>
      <xdr:row>2</xdr:row>
      <xdr:rowOff>152400</xdr:rowOff>
    </xdr:to>
    <xdr:sp macro="" textlink="">
      <xdr:nvSpPr>
        <xdr:cNvPr id="64" name="Line 282"/>
        <xdr:cNvSpPr>
          <a:spLocks noChangeShapeType="1"/>
        </xdr:cNvSpPr>
      </xdr:nvSpPr>
      <xdr:spPr bwMode="auto">
        <a:xfrm>
          <a:off x="11553825" y="13430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12</xdr:col>
      <xdr:colOff>285750</xdr:colOff>
      <xdr:row>2</xdr:row>
      <xdr:rowOff>152400</xdr:rowOff>
    </xdr:from>
    <xdr:to>
      <xdr:col>15</xdr:col>
      <xdr:colOff>581025</xdr:colOff>
      <xdr:row>3</xdr:row>
      <xdr:rowOff>0</xdr:rowOff>
    </xdr:to>
    <xdr:cxnSp macro="">
      <xdr:nvCxnSpPr>
        <xdr:cNvPr id="65" name="Straight Connector 64"/>
        <xdr:cNvCxnSpPr>
          <a:endCxn id="64" idx="1"/>
        </xdr:cNvCxnSpPr>
      </xdr:nvCxnSpPr>
      <xdr:spPr bwMode="auto">
        <a:xfrm flipV="1">
          <a:off x="9429750" y="1657350"/>
          <a:ext cx="2124075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313532</xdr:colOff>
      <xdr:row>3</xdr:row>
      <xdr:rowOff>29369</xdr:rowOff>
    </xdr:from>
    <xdr:to>
      <xdr:col>12</xdr:col>
      <xdr:colOff>315120</xdr:colOff>
      <xdr:row>5</xdr:row>
      <xdr:rowOff>794</xdr:rowOff>
    </xdr:to>
    <xdr:cxnSp macro="">
      <xdr:nvCxnSpPr>
        <xdr:cNvPr id="66" name="Straight Arrow Connector 65"/>
        <xdr:cNvCxnSpPr/>
      </xdr:nvCxnSpPr>
      <xdr:spPr bwMode="auto">
        <a:xfrm rot="5400000" flipH="1" flipV="1">
          <a:off x="9310688" y="1843088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15</xdr:col>
      <xdr:colOff>580232</xdr:colOff>
      <xdr:row>3</xdr:row>
      <xdr:rowOff>794</xdr:rowOff>
    </xdr:from>
    <xdr:to>
      <xdr:col>15</xdr:col>
      <xdr:colOff>581820</xdr:colOff>
      <xdr:row>4</xdr:row>
      <xdr:rowOff>115094</xdr:rowOff>
    </xdr:to>
    <xdr:cxnSp macro="">
      <xdr:nvCxnSpPr>
        <xdr:cNvPr id="67" name="Straight Arrow Connector 66"/>
        <xdr:cNvCxnSpPr/>
      </xdr:nvCxnSpPr>
      <xdr:spPr bwMode="auto">
        <a:xfrm rot="5400000" flipH="1" flipV="1">
          <a:off x="11415713" y="1804988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12</xdr:col>
      <xdr:colOff>0</xdr:colOff>
      <xdr:row>1</xdr:row>
      <xdr:rowOff>133350</xdr:rowOff>
    </xdr:from>
    <xdr:to>
      <xdr:col>12</xdr:col>
      <xdr:colOff>316233</xdr:colOff>
      <xdr:row>4</xdr:row>
      <xdr:rowOff>76200</xdr:rowOff>
    </xdr:to>
    <xdr:sp macro="" textlink="">
      <xdr:nvSpPr>
        <xdr:cNvPr id="68" name="Arc 67"/>
        <xdr:cNvSpPr/>
      </xdr:nvSpPr>
      <xdr:spPr bwMode="auto">
        <a:xfrm flipH="1">
          <a:off x="9144000" y="1476375"/>
          <a:ext cx="316233" cy="428625"/>
        </a:xfrm>
        <a:prstGeom prst="arc">
          <a:avLst>
            <a:gd name="adj1" fmla="val 16200008"/>
            <a:gd name="adj2" fmla="val 444663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15</xdr:col>
      <xdr:colOff>523875</xdr:colOff>
      <xdr:row>1</xdr:row>
      <xdr:rowOff>0</xdr:rowOff>
    </xdr:from>
    <xdr:to>
      <xdr:col>16</xdr:col>
      <xdr:colOff>230508</xdr:colOff>
      <xdr:row>3</xdr:row>
      <xdr:rowOff>104775</xdr:rowOff>
    </xdr:to>
    <xdr:sp macro="" textlink="">
      <xdr:nvSpPr>
        <xdr:cNvPr id="69" name="Arc 68"/>
        <xdr:cNvSpPr/>
      </xdr:nvSpPr>
      <xdr:spPr bwMode="auto">
        <a:xfrm flipH="1">
          <a:off x="11496675" y="1343025"/>
          <a:ext cx="316233" cy="428625"/>
        </a:xfrm>
        <a:prstGeom prst="arc">
          <a:avLst>
            <a:gd name="adj1" fmla="val 5163276"/>
            <a:gd name="adj2" fmla="val 1582582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12</xdr:col>
      <xdr:colOff>295275</xdr:colOff>
      <xdr:row>1</xdr:row>
      <xdr:rowOff>0</xdr:rowOff>
    </xdr:from>
    <xdr:to>
      <xdr:col>15</xdr:col>
      <xdr:colOff>600075</xdr:colOff>
      <xdr:row>1</xdr:row>
      <xdr:rowOff>1588</xdr:rowOff>
    </xdr:to>
    <xdr:cxnSp macro="">
      <xdr:nvCxnSpPr>
        <xdr:cNvPr id="70" name="Straight Connector 69"/>
        <xdr:cNvCxnSpPr/>
      </xdr:nvCxnSpPr>
      <xdr:spPr bwMode="auto">
        <a:xfrm>
          <a:off x="9439275" y="1343025"/>
          <a:ext cx="2133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63</xdr:row>
      <xdr:rowOff>9525</xdr:rowOff>
    </xdr:from>
    <xdr:to>
      <xdr:col>82</xdr:col>
      <xdr:colOff>19050</xdr:colOff>
      <xdr:row>63</xdr:row>
      <xdr:rowOff>11113</xdr:rowOff>
    </xdr:to>
    <xdr:cxnSp macro="">
      <xdr:nvCxnSpPr>
        <xdr:cNvPr id="71" name="Straight Connector 70"/>
        <xdr:cNvCxnSpPr/>
      </xdr:nvCxnSpPr>
      <xdr:spPr bwMode="auto">
        <a:xfrm>
          <a:off x="1219200" y="10334625"/>
          <a:ext cx="48787050" cy="1588"/>
        </a:xfrm>
        <a:prstGeom prst="line">
          <a:avLst/>
        </a:prstGeom>
        <a:solidFill>
          <a:srgbClr val="FFFFFF"/>
        </a:solidFill>
        <a:ln w="285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609599</xdr:colOff>
      <xdr:row>62</xdr:row>
      <xdr:rowOff>152404</xdr:rowOff>
    </xdr:from>
    <xdr:to>
      <xdr:col>10</xdr:col>
      <xdr:colOff>6</xdr:colOff>
      <xdr:row>89</xdr:row>
      <xdr:rowOff>1</xdr:rowOff>
    </xdr:to>
    <xdr:cxnSp macro="">
      <xdr:nvCxnSpPr>
        <xdr:cNvPr id="72" name="Straight Arrow Connector 71"/>
        <xdr:cNvCxnSpPr/>
      </xdr:nvCxnSpPr>
      <xdr:spPr bwMode="auto">
        <a:xfrm rot="5400000" flipH="1" flipV="1">
          <a:off x="3986217" y="12425361"/>
          <a:ext cx="4219572" cy="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600080</xdr:colOff>
      <xdr:row>63</xdr:row>
      <xdr:rowOff>9528</xdr:rowOff>
    </xdr:from>
    <xdr:to>
      <xdr:col>6</xdr:col>
      <xdr:colOff>1</xdr:colOff>
      <xdr:row>89</xdr:row>
      <xdr:rowOff>3</xdr:rowOff>
    </xdr:to>
    <xdr:cxnSp macro="">
      <xdr:nvCxnSpPr>
        <xdr:cNvPr id="73" name="Straight Arrow Connector 72"/>
        <xdr:cNvCxnSpPr/>
      </xdr:nvCxnSpPr>
      <xdr:spPr bwMode="auto">
        <a:xfrm rot="16200000" flipV="1">
          <a:off x="1552578" y="12430130"/>
          <a:ext cx="4200525" cy="95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4</xdr:colOff>
      <xdr:row>63</xdr:row>
      <xdr:rowOff>9528</xdr:rowOff>
    </xdr:from>
    <xdr:to>
      <xdr:col>8</xdr:col>
      <xdr:colOff>9526</xdr:colOff>
      <xdr:row>89</xdr:row>
      <xdr:rowOff>3</xdr:rowOff>
    </xdr:to>
    <xdr:cxnSp macro="">
      <xdr:nvCxnSpPr>
        <xdr:cNvPr id="74" name="Straight Arrow Connector 73"/>
        <xdr:cNvCxnSpPr/>
      </xdr:nvCxnSpPr>
      <xdr:spPr bwMode="auto">
        <a:xfrm rot="5400000" flipH="1" flipV="1">
          <a:off x="2781302" y="12430130"/>
          <a:ext cx="4200525" cy="95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18</xdr:col>
      <xdr:colOff>0</xdr:colOff>
      <xdr:row>62</xdr:row>
      <xdr:rowOff>152401</xdr:rowOff>
    </xdr:from>
    <xdr:to>
      <xdr:col>18</xdr:col>
      <xdr:colOff>19056</xdr:colOff>
      <xdr:row>89</xdr:row>
      <xdr:rowOff>0</xdr:rowOff>
    </xdr:to>
    <xdr:cxnSp macro="">
      <xdr:nvCxnSpPr>
        <xdr:cNvPr id="75" name="Straight Arrow Connector 74"/>
        <xdr:cNvCxnSpPr/>
      </xdr:nvCxnSpPr>
      <xdr:spPr bwMode="auto">
        <a:xfrm rot="5400000" flipH="1" flipV="1">
          <a:off x="8872541" y="12415835"/>
          <a:ext cx="4219574" cy="1905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12</xdr:col>
      <xdr:colOff>0</xdr:colOff>
      <xdr:row>62</xdr:row>
      <xdr:rowOff>152403</xdr:rowOff>
    </xdr:from>
    <xdr:to>
      <xdr:col>12</xdr:col>
      <xdr:colOff>1</xdr:colOff>
      <xdr:row>89</xdr:row>
      <xdr:rowOff>1</xdr:rowOff>
    </xdr:to>
    <xdr:cxnSp macro="">
      <xdr:nvCxnSpPr>
        <xdr:cNvPr id="76" name="Straight Arrow Connector 75"/>
        <xdr:cNvCxnSpPr/>
      </xdr:nvCxnSpPr>
      <xdr:spPr bwMode="auto">
        <a:xfrm rot="5400000" flipH="1" flipV="1">
          <a:off x="5205414" y="12425364"/>
          <a:ext cx="4219573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14</xdr:col>
      <xdr:colOff>0</xdr:colOff>
      <xdr:row>62</xdr:row>
      <xdr:rowOff>152401</xdr:rowOff>
    </xdr:from>
    <xdr:to>
      <xdr:col>14</xdr:col>
      <xdr:colOff>2</xdr:colOff>
      <xdr:row>89</xdr:row>
      <xdr:rowOff>0</xdr:rowOff>
    </xdr:to>
    <xdr:cxnSp macro="">
      <xdr:nvCxnSpPr>
        <xdr:cNvPr id="77" name="Straight Arrow Connector 76"/>
        <xdr:cNvCxnSpPr/>
      </xdr:nvCxnSpPr>
      <xdr:spPr bwMode="auto">
        <a:xfrm rot="5400000" flipH="1" flipV="1">
          <a:off x="6424614" y="12425362"/>
          <a:ext cx="4219574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16</xdr:col>
      <xdr:colOff>1</xdr:colOff>
      <xdr:row>62</xdr:row>
      <xdr:rowOff>142876</xdr:rowOff>
    </xdr:from>
    <xdr:to>
      <xdr:col>16</xdr:col>
      <xdr:colOff>3</xdr:colOff>
      <xdr:row>89</xdr:row>
      <xdr:rowOff>0</xdr:rowOff>
    </xdr:to>
    <xdr:cxnSp macro="">
      <xdr:nvCxnSpPr>
        <xdr:cNvPr id="78" name="Straight Arrow Connector 77"/>
        <xdr:cNvCxnSpPr/>
      </xdr:nvCxnSpPr>
      <xdr:spPr bwMode="auto">
        <a:xfrm rot="5400000" flipH="1" flipV="1">
          <a:off x="7639052" y="12420600"/>
          <a:ext cx="422909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26</xdr:col>
      <xdr:colOff>7</xdr:colOff>
      <xdr:row>63</xdr:row>
      <xdr:rowOff>1</xdr:rowOff>
    </xdr:from>
    <xdr:to>
      <xdr:col>26</xdr:col>
      <xdr:colOff>9526</xdr:colOff>
      <xdr:row>89</xdr:row>
      <xdr:rowOff>0</xdr:rowOff>
    </xdr:to>
    <xdr:cxnSp macro="">
      <xdr:nvCxnSpPr>
        <xdr:cNvPr id="79" name="Straight Arrow Connector 78"/>
        <xdr:cNvCxnSpPr/>
      </xdr:nvCxnSpPr>
      <xdr:spPr bwMode="auto">
        <a:xfrm rot="16200000" flipV="1">
          <a:off x="13749342" y="12425366"/>
          <a:ext cx="4210049" cy="951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19</xdr:col>
      <xdr:colOff>609599</xdr:colOff>
      <xdr:row>63</xdr:row>
      <xdr:rowOff>3</xdr:rowOff>
    </xdr:from>
    <xdr:to>
      <xdr:col>20</xdr:col>
      <xdr:colOff>0</xdr:colOff>
      <xdr:row>89</xdr:row>
      <xdr:rowOff>1</xdr:rowOff>
    </xdr:to>
    <xdr:cxnSp macro="">
      <xdr:nvCxnSpPr>
        <xdr:cNvPr id="80" name="Straight Arrow Connector 79"/>
        <xdr:cNvCxnSpPr/>
      </xdr:nvCxnSpPr>
      <xdr:spPr bwMode="auto">
        <a:xfrm rot="5400000" flipH="1" flipV="1">
          <a:off x="10086976" y="12430126"/>
          <a:ext cx="4210048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22</xdr:col>
      <xdr:colOff>2</xdr:colOff>
      <xdr:row>62</xdr:row>
      <xdr:rowOff>152400</xdr:rowOff>
    </xdr:from>
    <xdr:to>
      <xdr:col>22</xdr:col>
      <xdr:colOff>9526</xdr:colOff>
      <xdr:row>89</xdr:row>
      <xdr:rowOff>0</xdr:rowOff>
    </xdr:to>
    <xdr:cxnSp macro="">
      <xdr:nvCxnSpPr>
        <xdr:cNvPr id="81" name="Straight Arrow Connector 80"/>
        <xdr:cNvCxnSpPr/>
      </xdr:nvCxnSpPr>
      <xdr:spPr bwMode="auto">
        <a:xfrm rot="16200000" flipV="1">
          <a:off x="11306176" y="12420601"/>
          <a:ext cx="4219575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24</xdr:col>
      <xdr:colOff>9525</xdr:colOff>
      <xdr:row>62</xdr:row>
      <xdr:rowOff>152401</xdr:rowOff>
    </xdr:from>
    <xdr:to>
      <xdr:col>24</xdr:col>
      <xdr:colOff>9526</xdr:colOff>
      <xdr:row>89</xdr:row>
      <xdr:rowOff>1</xdr:rowOff>
    </xdr:to>
    <xdr:cxnSp macro="">
      <xdr:nvCxnSpPr>
        <xdr:cNvPr id="82" name="Straight Arrow Connector 81"/>
        <xdr:cNvCxnSpPr/>
      </xdr:nvCxnSpPr>
      <xdr:spPr bwMode="auto">
        <a:xfrm rot="5400000" flipH="1" flipV="1">
          <a:off x="12530138" y="12425363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33</xdr:col>
      <xdr:colOff>600082</xdr:colOff>
      <xdr:row>63</xdr:row>
      <xdr:rowOff>1</xdr:rowOff>
    </xdr:from>
    <xdr:to>
      <xdr:col>34</xdr:col>
      <xdr:colOff>9526</xdr:colOff>
      <xdr:row>88</xdr:row>
      <xdr:rowOff>142875</xdr:rowOff>
    </xdr:to>
    <xdr:cxnSp macro="">
      <xdr:nvCxnSpPr>
        <xdr:cNvPr id="83" name="Straight Arrow Connector 82"/>
        <xdr:cNvCxnSpPr/>
      </xdr:nvCxnSpPr>
      <xdr:spPr bwMode="auto">
        <a:xfrm rot="16200000" flipV="1">
          <a:off x="18630904" y="12411079"/>
          <a:ext cx="4190999" cy="1904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28</xdr:col>
      <xdr:colOff>1</xdr:colOff>
      <xdr:row>62</xdr:row>
      <xdr:rowOff>133352</xdr:rowOff>
    </xdr:from>
    <xdr:to>
      <xdr:col>28</xdr:col>
      <xdr:colOff>9525</xdr:colOff>
      <xdr:row>88</xdr:row>
      <xdr:rowOff>152400</xdr:rowOff>
    </xdr:to>
    <xdr:cxnSp macro="">
      <xdr:nvCxnSpPr>
        <xdr:cNvPr id="84" name="Straight Arrow Connector 83"/>
        <xdr:cNvCxnSpPr/>
      </xdr:nvCxnSpPr>
      <xdr:spPr bwMode="auto">
        <a:xfrm rot="16200000" flipV="1">
          <a:off x="14959014" y="12406314"/>
          <a:ext cx="4229098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30</xdr:col>
      <xdr:colOff>0</xdr:colOff>
      <xdr:row>62</xdr:row>
      <xdr:rowOff>152400</xdr:rowOff>
    </xdr:from>
    <xdr:to>
      <xdr:col>30</xdr:col>
      <xdr:colOff>2</xdr:colOff>
      <xdr:row>88</xdr:row>
      <xdr:rowOff>152400</xdr:rowOff>
    </xdr:to>
    <xdr:cxnSp macro="">
      <xdr:nvCxnSpPr>
        <xdr:cNvPr id="85" name="Straight Arrow Connector 84"/>
        <xdr:cNvCxnSpPr/>
      </xdr:nvCxnSpPr>
      <xdr:spPr bwMode="auto">
        <a:xfrm rot="5400000" flipH="1" flipV="1">
          <a:off x="16182976" y="12420599"/>
          <a:ext cx="42100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31</xdr:col>
      <xdr:colOff>600074</xdr:colOff>
      <xdr:row>63</xdr:row>
      <xdr:rowOff>1</xdr:rowOff>
    </xdr:from>
    <xdr:to>
      <xdr:col>31</xdr:col>
      <xdr:colOff>600075</xdr:colOff>
      <xdr:row>89</xdr:row>
      <xdr:rowOff>1</xdr:rowOff>
    </xdr:to>
    <xdr:cxnSp macro="">
      <xdr:nvCxnSpPr>
        <xdr:cNvPr id="86" name="Straight Arrow Connector 85"/>
        <xdr:cNvCxnSpPr/>
      </xdr:nvCxnSpPr>
      <xdr:spPr bwMode="auto">
        <a:xfrm rot="5400000" flipH="1" flipV="1">
          <a:off x="17392650" y="12430125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42</xdr:col>
      <xdr:colOff>0</xdr:colOff>
      <xdr:row>62</xdr:row>
      <xdr:rowOff>142877</xdr:rowOff>
    </xdr:from>
    <xdr:to>
      <xdr:col>42</xdr:col>
      <xdr:colOff>9531</xdr:colOff>
      <xdr:row>89</xdr:row>
      <xdr:rowOff>1</xdr:rowOff>
    </xdr:to>
    <xdr:cxnSp macro="">
      <xdr:nvCxnSpPr>
        <xdr:cNvPr id="87" name="Straight Arrow Connector 86"/>
        <xdr:cNvCxnSpPr/>
      </xdr:nvCxnSpPr>
      <xdr:spPr bwMode="auto">
        <a:xfrm rot="5400000" flipH="1" flipV="1">
          <a:off x="23493416" y="12415836"/>
          <a:ext cx="4229099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36</xdr:col>
      <xdr:colOff>0</xdr:colOff>
      <xdr:row>63</xdr:row>
      <xdr:rowOff>3</xdr:rowOff>
    </xdr:from>
    <xdr:to>
      <xdr:col>36</xdr:col>
      <xdr:colOff>1</xdr:colOff>
      <xdr:row>88</xdr:row>
      <xdr:rowOff>152401</xdr:rowOff>
    </xdr:to>
    <xdr:cxnSp macro="">
      <xdr:nvCxnSpPr>
        <xdr:cNvPr id="88" name="Straight Arrow Connector 87"/>
        <xdr:cNvCxnSpPr/>
      </xdr:nvCxnSpPr>
      <xdr:spPr bwMode="auto">
        <a:xfrm rot="5400000" flipH="1" flipV="1">
          <a:off x="19845339" y="12425364"/>
          <a:ext cx="4200523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37</xdr:col>
      <xdr:colOff>609599</xdr:colOff>
      <xdr:row>63</xdr:row>
      <xdr:rowOff>1</xdr:rowOff>
    </xdr:from>
    <xdr:to>
      <xdr:col>38</xdr:col>
      <xdr:colOff>0</xdr:colOff>
      <xdr:row>89</xdr:row>
      <xdr:rowOff>1</xdr:rowOff>
    </xdr:to>
    <xdr:cxnSp macro="">
      <xdr:nvCxnSpPr>
        <xdr:cNvPr id="89" name="Straight Arrow Connector 88"/>
        <xdr:cNvCxnSpPr/>
      </xdr:nvCxnSpPr>
      <xdr:spPr bwMode="auto">
        <a:xfrm rot="5400000" flipH="1" flipV="1">
          <a:off x="21059775" y="12430125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39</xdr:col>
      <xdr:colOff>609599</xdr:colOff>
      <xdr:row>63</xdr:row>
      <xdr:rowOff>1</xdr:rowOff>
    </xdr:from>
    <xdr:to>
      <xdr:col>40</xdr:col>
      <xdr:colOff>19050</xdr:colOff>
      <xdr:row>89</xdr:row>
      <xdr:rowOff>1</xdr:rowOff>
    </xdr:to>
    <xdr:cxnSp macro="">
      <xdr:nvCxnSpPr>
        <xdr:cNvPr id="90" name="Straight Arrow Connector 89"/>
        <xdr:cNvCxnSpPr/>
      </xdr:nvCxnSpPr>
      <xdr:spPr bwMode="auto">
        <a:xfrm rot="5400000" flipH="1" flipV="1">
          <a:off x="22288500" y="12420600"/>
          <a:ext cx="4210050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49</xdr:col>
      <xdr:colOff>609599</xdr:colOff>
      <xdr:row>62</xdr:row>
      <xdr:rowOff>133352</xdr:rowOff>
    </xdr:from>
    <xdr:to>
      <xdr:col>50</xdr:col>
      <xdr:colOff>9530</xdr:colOff>
      <xdr:row>89</xdr:row>
      <xdr:rowOff>1</xdr:rowOff>
    </xdr:to>
    <xdr:cxnSp macro="">
      <xdr:nvCxnSpPr>
        <xdr:cNvPr id="91" name="Straight Arrow Connector 90"/>
        <xdr:cNvCxnSpPr/>
      </xdr:nvCxnSpPr>
      <xdr:spPr bwMode="auto">
        <a:xfrm rot="5400000" flipH="1" flipV="1">
          <a:off x="28365453" y="12411073"/>
          <a:ext cx="4238624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44</xdr:col>
      <xdr:colOff>9525</xdr:colOff>
      <xdr:row>62</xdr:row>
      <xdr:rowOff>142877</xdr:rowOff>
    </xdr:from>
    <xdr:to>
      <xdr:col>44</xdr:col>
      <xdr:colOff>19051</xdr:colOff>
      <xdr:row>89</xdr:row>
      <xdr:rowOff>0</xdr:rowOff>
    </xdr:to>
    <xdr:cxnSp macro="">
      <xdr:nvCxnSpPr>
        <xdr:cNvPr id="92" name="Straight Arrow Connector 91"/>
        <xdr:cNvCxnSpPr/>
      </xdr:nvCxnSpPr>
      <xdr:spPr bwMode="auto">
        <a:xfrm rot="5400000" flipH="1" flipV="1">
          <a:off x="24722139" y="12415838"/>
          <a:ext cx="4229098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45</xdr:col>
      <xdr:colOff>600076</xdr:colOff>
      <xdr:row>62</xdr:row>
      <xdr:rowOff>152400</xdr:rowOff>
    </xdr:from>
    <xdr:to>
      <xdr:col>46</xdr:col>
      <xdr:colOff>2</xdr:colOff>
      <xdr:row>89</xdr:row>
      <xdr:rowOff>0</xdr:rowOff>
    </xdr:to>
    <xdr:cxnSp macro="">
      <xdr:nvCxnSpPr>
        <xdr:cNvPr id="93" name="Straight Arrow Connector 92"/>
        <xdr:cNvCxnSpPr/>
      </xdr:nvCxnSpPr>
      <xdr:spPr bwMode="auto">
        <a:xfrm rot="5400000" flipH="1" flipV="1">
          <a:off x="25927051" y="12420600"/>
          <a:ext cx="4219575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47</xdr:col>
      <xdr:colOff>600076</xdr:colOff>
      <xdr:row>62</xdr:row>
      <xdr:rowOff>152400</xdr:rowOff>
    </xdr:from>
    <xdr:to>
      <xdr:col>48</xdr:col>
      <xdr:colOff>19052</xdr:colOff>
      <xdr:row>89</xdr:row>
      <xdr:rowOff>0</xdr:rowOff>
    </xdr:to>
    <xdr:cxnSp macro="">
      <xdr:nvCxnSpPr>
        <xdr:cNvPr id="94" name="Straight Arrow Connector 93"/>
        <xdr:cNvCxnSpPr/>
      </xdr:nvCxnSpPr>
      <xdr:spPr bwMode="auto">
        <a:xfrm rot="5400000" flipH="1" flipV="1">
          <a:off x="27155776" y="12411075"/>
          <a:ext cx="4219575" cy="2857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58</xdr:col>
      <xdr:colOff>9525</xdr:colOff>
      <xdr:row>62</xdr:row>
      <xdr:rowOff>133351</xdr:rowOff>
    </xdr:from>
    <xdr:to>
      <xdr:col>58</xdr:col>
      <xdr:colOff>9531</xdr:colOff>
      <xdr:row>89</xdr:row>
      <xdr:rowOff>0</xdr:rowOff>
    </xdr:to>
    <xdr:cxnSp macro="">
      <xdr:nvCxnSpPr>
        <xdr:cNvPr id="95" name="Straight Arrow Connector 94"/>
        <xdr:cNvCxnSpPr/>
      </xdr:nvCxnSpPr>
      <xdr:spPr bwMode="auto">
        <a:xfrm rot="5400000" flipH="1" flipV="1">
          <a:off x="33247016" y="12415835"/>
          <a:ext cx="4238624" cy="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52</xdr:col>
      <xdr:colOff>0</xdr:colOff>
      <xdr:row>62</xdr:row>
      <xdr:rowOff>133353</xdr:rowOff>
    </xdr:from>
    <xdr:to>
      <xdr:col>52</xdr:col>
      <xdr:colOff>19051</xdr:colOff>
      <xdr:row>89</xdr:row>
      <xdr:rowOff>1</xdr:rowOff>
    </xdr:to>
    <xdr:cxnSp macro="">
      <xdr:nvCxnSpPr>
        <xdr:cNvPr id="96" name="Straight Arrow Connector 95"/>
        <xdr:cNvCxnSpPr/>
      </xdr:nvCxnSpPr>
      <xdr:spPr bwMode="auto">
        <a:xfrm rot="5400000" flipH="1" flipV="1">
          <a:off x="29589414" y="12406314"/>
          <a:ext cx="4238623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54</xdr:col>
      <xdr:colOff>0</xdr:colOff>
      <xdr:row>62</xdr:row>
      <xdr:rowOff>152401</xdr:rowOff>
    </xdr:from>
    <xdr:to>
      <xdr:col>54</xdr:col>
      <xdr:colOff>1</xdr:colOff>
      <xdr:row>89</xdr:row>
      <xdr:rowOff>1</xdr:rowOff>
    </xdr:to>
    <xdr:cxnSp macro="">
      <xdr:nvCxnSpPr>
        <xdr:cNvPr id="97" name="Straight Arrow Connector 96"/>
        <xdr:cNvCxnSpPr/>
      </xdr:nvCxnSpPr>
      <xdr:spPr bwMode="auto">
        <a:xfrm rot="5400000" flipH="1" flipV="1">
          <a:off x="30808613" y="12425363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56</xdr:col>
      <xdr:colOff>0</xdr:colOff>
      <xdr:row>62</xdr:row>
      <xdr:rowOff>152401</xdr:rowOff>
    </xdr:from>
    <xdr:to>
      <xdr:col>56</xdr:col>
      <xdr:colOff>19051</xdr:colOff>
      <xdr:row>89</xdr:row>
      <xdr:rowOff>1</xdr:rowOff>
    </xdr:to>
    <xdr:cxnSp macro="">
      <xdr:nvCxnSpPr>
        <xdr:cNvPr id="98" name="Straight Arrow Connector 97"/>
        <xdr:cNvCxnSpPr/>
      </xdr:nvCxnSpPr>
      <xdr:spPr bwMode="auto">
        <a:xfrm rot="5400000" flipH="1" flipV="1">
          <a:off x="32037338" y="12415838"/>
          <a:ext cx="4219575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65</xdr:col>
      <xdr:colOff>600074</xdr:colOff>
      <xdr:row>62</xdr:row>
      <xdr:rowOff>152402</xdr:rowOff>
    </xdr:from>
    <xdr:to>
      <xdr:col>66</xdr:col>
      <xdr:colOff>5</xdr:colOff>
      <xdr:row>89</xdr:row>
      <xdr:rowOff>1</xdr:rowOff>
    </xdr:to>
    <xdr:cxnSp macro="">
      <xdr:nvCxnSpPr>
        <xdr:cNvPr id="99" name="Straight Arrow Connector 98"/>
        <xdr:cNvCxnSpPr/>
      </xdr:nvCxnSpPr>
      <xdr:spPr bwMode="auto">
        <a:xfrm rot="5400000" flipH="1" flipV="1">
          <a:off x="38119053" y="12420598"/>
          <a:ext cx="4219574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59</xdr:col>
      <xdr:colOff>600075</xdr:colOff>
      <xdr:row>62</xdr:row>
      <xdr:rowOff>152403</xdr:rowOff>
    </xdr:from>
    <xdr:to>
      <xdr:col>60</xdr:col>
      <xdr:colOff>9526</xdr:colOff>
      <xdr:row>89</xdr:row>
      <xdr:rowOff>1</xdr:rowOff>
    </xdr:to>
    <xdr:cxnSp macro="">
      <xdr:nvCxnSpPr>
        <xdr:cNvPr id="100" name="Straight Arrow Connector 99"/>
        <xdr:cNvCxnSpPr/>
      </xdr:nvCxnSpPr>
      <xdr:spPr bwMode="auto">
        <a:xfrm rot="5400000" flipH="1" flipV="1">
          <a:off x="34466214" y="12415839"/>
          <a:ext cx="4219573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61</xdr:col>
      <xdr:colOff>600077</xdr:colOff>
      <xdr:row>63</xdr:row>
      <xdr:rowOff>9525</xdr:rowOff>
    </xdr:from>
    <xdr:to>
      <xdr:col>62</xdr:col>
      <xdr:colOff>9526</xdr:colOff>
      <xdr:row>89</xdr:row>
      <xdr:rowOff>0</xdr:rowOff>
    </xdr:to>
    <xdr:cxnSp macro="">
      <xdr:nvCxnSpPr>
        <xdr:cNvPr id="101" name="Straight Arrow Connector 100"/>
        <xdr:cNvCxnSpPr/>
      </xdr:nvCxnSpPr>
      <xdr:spPr bwMode="auto">
        <a:xfrm rot="16200000" flipV="1">
          <a:off x="35694939" y="12425363"/>
          <a:ext cx="4200525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64</xdr:col>
      <xdr:colOff>9524</xdr:colOff>
      <xdr:row>63</xdr:row>
      <xdr:rowOff>9526</xdr:rowOff>
    </xdr:from>
    <xdr:to>
      <xdr:col>64</xdr:col>
      <xdr:colOff>9525</xdr:colOff>
      <xdr:row>89</xdr:row>
      <xdr:rowOff>9526</xdr:rowOff>
    </xdr:to>
    <xdr:cxnSp macro="">
      <xdr:nvCxnSpPr>
        <xdr:cNvPr id="102" name="Straight Arrow Connector 101"/>
        <xdr:cNvCxnSpPr/>
      </xdr:nvCxnSpPr>
      <xdr:spPr bwMode="auto">
        <a:xfrm rot="5400000" flipH="1" flipV="1">
          <a:off x="36918900" y="12439650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74</xdr:col>
      <xdr:colOff>0</xdr:colOff>
      <xdr:row>62</xdr:row>
      <xdr:rowOff>133351</xdr:rowOff>
    </xdr:from>
    <xdr:to>
      <xdr:col>74</xdr:col>
      <xdr:colOff>9532</xdr:colOff>
      <xdr:row>89</xdr:row>
      <xdr:rowOff>0</xdr:rowOff>
    </xdr:to>
    <xdr:cxnSp macro="">
      <xdr:nvCxnSpPr>
        <xdr:cNvPr id="103" name="Straight Arrow Connector 102"/>
        <xdr:cNvCxnSpPr/>
      </xdr:nvCxnSpPr>
      <xdr:spPr bwMode="auto">
        <a:xfrm rot="5400000" flipH="1" flipV="1">
          <a:off x="42995854" y="12411072"/>
          <a:ext cx="4238624" cy="953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68</xdr:col>
      <xdr:colOff>1</xdr:colOff>
      <xdr:row>62</xdr:row>
      <xdr:rowOff>152402</xdr:rowOff>
    </xdr:from>
    <xdr:to>
      <xdr:col>68</xdr:col>
      <xdr:colOff>9527</xdr:colOff>
      <xdr:row>89</xdr:row>
      <xdr:rowOff>0</xdr:rowOff>
    </xdr:to>
    <xdr:cxnSp macro="">
      <xdr:nvCxnSpPr>
        <xdr:cNvPr id="104" name="Straight Arrow Connector 103"/>
        <xdr:cNvCxnSpPr/>
      </xdr:nvCxnSpPr>
      <xdr:spPr bwMode="auto">
        <a:xfrm rot="5400000" flipH="1" flipV="1">
          <a:off x="39347777" y="12420601"/>
          <a:ext cx="4219573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70</xdr:col>
      <xdr:colOff>0</xdr:colOff>
      <xdr:row>62</xdr:row>
      <xdr:rowOff>152401</xdr:rowOff>
    </xdr:from>
    <xdr:to>
      <xdr:col>70</xdr:col>
      <xdr:colOff>1</xdr:colOff>
      <xdr:row>89</xdr:row>
      <xdr:rowOff>1</xdr:rowOff>
    </xdr:to>
    <xdr:cxnSp macro="">
      <xdr:nvCxnSpPr>
        <xdr:cNvPr id="105" name="Straight Arrow Connector 104"/>
        <xdr:cNvCxnSpPr/>
      </xdr:nvCxnSpPr>
      <xdr:spPr bwMode="auto">
        <a:xfrm rot="5400000" flipH="1" flipV="1">
          <a:off x="40562213" y="12425363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71</xdr:col>
      <xdr:colOff>600076</xdr:colOff>
      <xdr:row>62</xdr:row>
      <xdr:rowOff>152400</xdr:rowOff>
    </xdr:from>
    <xdr:to>
      <xdr:col>72</xdr:col>
      <xdr:colOff>19052</xdr:colOff>
      <xdr:row>89</xdr:row>
      <xdr:rowOff>0</xdr:rowOff>
    </xdr:to>
    <xdr:cxnSp macro="">
      <xdr:nvCxnSpPr>
        <xdr:cNvPr id="106" name="Straight Arrow Connector 105"/>
        <xdr:cNvCxnSpPr/>
      </xdr:nvCxnSpPr>
      <xdr:spPr bwMode="auto">
        <a:xfrm rot="5400000" flipH="1" flipV="1">
          <a:off x="41786176" y="12411075"/>
          <a:ext cx="4219575" cy="2857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76</xdr:col>
      <xdr:colOff>0</xdr:colOff>
      <xdr:row>62</xdr:row>
      <xdr:rowOff>133353</xdr:rowOff>
    </xdr:from>
    <xdr:to>
      <xdr:col>76</xdr:col>
      <xdr:colOff>19051</xdr:colOff>
      <xdr:row>89</xdr:row>
      <xdr:rowOff>1</xdr:rowOff>
    </xdr:to>
    <xdr:cxnSp macro="">
      <xdr:nvCxnSpPr>
        <xdr:cNvPr id="107" name="Straight Arrow Connector 106"/>
        <xdr:cNvCxnSpPr/>
      </xdr:nvCxnSpPr>
      <xdr:spPr bwMode="auto">
        <a:xfrm rot="5400000" flipH="1" flipV="1">
          <a:off x="44219814" y="12406314"/>
          <a:ext cx="4238623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77</xdr:col>
      <xdr:colOff>609599</xdr:colOff>
      <xdr:row>62</xdr:row>
      <xdr:rowOff>152401</xdr:rowOff>
    </xdr:from>
    <xdr:to>
      <xdr:col>78</xdr:col>
      <xdr:colOff>0</xdr:colOff>
      <xdr:row>88</xdr:row>
      <xdr:rowOff>152401</xdr:rowOff>
    </xdr:to>
    <xdr:cxnSp macro="">
      <xdr:nvCxnSpPr>
        <xdr:cNvPr id="108" name="Straight Arrow Connector 107"/>
        <xdr:cNvCxnSpPr/>
      </xdr:nvCxnSpPr>
      <xdr:spPr bwMode="auto">
        <a:xfrm rot="5400000" flipH="1" flipV="1">
          <a:off x="45443775" y="12420600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0</xdr:colOff>
      <xdr:row>63</xdr:row>
      <xdr:rowOff>0</xdr:rowOff>
    </xdr:from>
    <xdr:to>
      <xdr:col>4</xdr:col>
      <xdr:colOff>9521</xdr:colOff>
      <xdr:row>88</xdr:row>
      <xdr:rowOff>152400</xdr:rowOff>
    </xdr:to>
    <xdr:cxnSp macro="">
      <xdr:nvCxnSpPr>
        <xdr:cNvPr id="109" name="Straight Arrow Connector 108"/>
        <xdr:cNvCxnSpPr/>
      </xdr:nvCxnSpPr>
      <xdr:spPr bwMode="auto">
        <a:xfrm rot="16200000" flipV="1">
          <a:off x="342898" y="12420602"/>
          <a:ext cx="4200525" cy="95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0</xdr:colOff>
      <xdr:row>99</xdr:row>
      <xdr:rowOff>9525</xdr:rowOff>
    </xdr:from>
    <xdr:to>
      <xdr:col>82</xdr:col>
      <xdr:colOff>19050</xdr:colOff>
      <xdr:row>99</xdr:row>
      <xdr:rowOff>11113</xdr:rowOff>
    </xdr:to>
    <xdr:cxnSp macro="">
      <xdr:nvCxnSpPr>
        <xdr:cNvPr id="110" name="Straight Connector 109"/>
        <xdr:cNvCxnSpPr/>
      </xdr:nvCxnSpPr>
      <xdr:spPr bwMode="auto">
        <a:xfrm>
          <a:off x="1219200" y="10267950"/>
          <a:ext cx="48787050" cy="1588"/>
        </a:xfrm>
        <a:prstGeom prst="line">
          <a:avLst/>
        </a:prstGeom>
        <a:solidFill>
          <a:srgbClr val="FFFFFF"/>
        </a:solidFill>
        <a:ln w="285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609599</xdr:colOff>
      <xdr:row>98</xdr:row>
      <xdr:rowOff>152404</xdr:rowOff>
    </xdr:from>
    <xdr:to>
      <xdr:col>10</xdr:col>
      <xdr:colOff>6</xdr:colOff>
      <xdr:row>125</xdr:row>
      <xdr:rowOff>1</xdr:rowOff>
    </xdr:to>
    <xdr:cxnSp macro="">
      <xdr:nvCxnSpPr>
        <xdr:cNvPr id="111" name="Straight Arrow Connector 110"/>
        <xdr:cNvCxnSpPr/>
      </xdr:nvCxnSpPr>
      <xdr:spPr bwMode="auto">
        <a:xfrm rot="5400000" flipH="1" flipV="1">
          <a:off x="3986217" y="12358686"/>
          <a:ext cx="4219572" cy="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600080</xdr:colOff>
      <xdr:row>99</xdr:row>
      <xdr:rowOff>9528</xdr:rowOff>
    </xdr:from>
    <xdr:to>
      <xdr:col>6</xdr:col>
      <xdr:colOff>1</xdr:colOff>
      <xdr:row>125</xdr:row>
      <xdr:rowOff>3</xdr:rowOff>
    </xdr:to>
    <xdr:cxnSp macro="">
      <xdr:nvCxnSpPr>
        <xdr:cNvPr id="112" name="Straight Arrow Connector 111"/>
        <xdr:cNvCxnSpPr/>
      </xdr:nvCxnSpPr>
      <xdr:spPr bwMode="auto">
        <a:xfrm rot="16200000" flipV="1">
          <a:off x="1552578" y="12363455"/>
          <a:ext cx="4200525" cy="95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4</xdr:colOff>
      <xdr:row>99</xdr:row>
      <xdr:rowOff>9528</xdr:rowOff>
    </xdr:from>
    <xdr:to>
      <xdr:col>8</xdr:col>
      <xdr:colOff>9526</xdr:colOff>
      <xdr:row>125</xdr:row>
      <xdr:rowOff>3</xdr:rowOff>
    </xdr:to>
    <xdr:cxnSp macro="">
      <xdr:nvCxnSpPr>
        <xdr:cNvPr id="113" name="Straight Arrow Connector 112"/>
        <xdr:cNvCxnSpPr/>
      </xdr:nvCxnSpPr>
      <xdr:spPr bwMode="auto">
        <a:xfrm rot="5400000" flipH="1" flipV="1">
          <a:off x="2781302" y="12363455"/>
          <a:ext cx="4200525" cy="95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18</xdr:col>
      <xdr:colOff>0</xdr:colOff>
      <xdr:row>98</xdr:row>
      <xdr:rowOff>152401</xdr:rowOff>
    </xdr:from>
    <xdr:to>
      <xdr:col>18</xdr:col>
      <xdr:colOff>19056</xdr:colOff>
      <xdr:row>125</xdr:row>
      <xdr:rowOff>0</xdr:rowOff>
    </xdr:to>
    <xdr:cxnSp macro="">
      <xdr:nvCxnSpPr>
        <xdr:cNvPr id="114" name="Straight Arrow Connector 113"/>
        <xdr:cNvCxnSpPr/>
      </xdr:nvCxnSpPr>
      <xdr:spPr bwMode="auto">
        <a:xfrm rot="5400000" flipH="1" flipV="1">
          <a:off x="8872541" y="12349160"/>
          <a:ext cx="4219574" cy="1905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12</xdr:col>
      <xdr:colOff>0</xdr:colOff>
      <xdr:row>98</xdr:row>
      <xdr:rowOff>152403</xdr:rowOff>
    </xdr:from>
    <xdr:to>
      <xdr:col>12</xdr:col>
      <xdr:colOff>1</xdr:colOff>
      <xdr:row>125</xdr:row>
      <xdr:rowOff>1</xdr:rowOff>
    </xdr:to>
    <xdr:cxnSp macro="">
      <xdr:nvCxnSpPr>
        <xdr:cNvPr id="115" name="Straight Arrow Connector 114"/>
        <xdr:cNvCxnSpPr/>
      </xdr:nvCxnSpPr>
      <xdr:spPr bwMode="auto">
        <a:xfrm rot="5400000" flipH="1" flipV="1">
          <a:off x="5205414" y="12358689"/>
          <a:ext cx="4219573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14</xdr:col>
      <xdr:colOff>0</xdr:colOff>
      <xdr:row>98</xdr:row>
      <xdr:rowOff>152401</xdr:rowOff>
    </xdr:from>
    <xdr:to>
      <xdr:col>14</xdr:col>
      <xdr:colOff>2</xdr:colOff>
      <xdr:row>125</xdr:row>
      <xdr:rowOff>0</xdr:rowOff>
    </xdr:to>
    <xdr:cxnSp macro="">
      <xdr:nvCxnSpPr>
        <xdr:cNvPr id="116" name="Straight Arrow Connector 115"/>
        <xdr:cNvCxnSpPr/>
      </xdr:nvCxnSpPr>
      <xdr:spPr bwMode="auto">
        <a:xfrm rot="5400000" flipH="1" flipV="1">
          <a:off x="6424614" y="12358687"/>
          <a:ext cx="4219574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16</xdr:col>
      <xdr:colOff>1</xdr:colOff>
      <xdr:row>98</xdr:row>
      <xdr:rowOff>142876</xdr:rowOff>
    </xdr:from>
    <xdr:to>
      <xdr:col>16</xdr:col>
      <xdr:colOff>3</xdr:colOff>
      <xdr:row>125</xdr:row>
      <xdr:rowOff>0</xdr:rowOff>
    </xdr:to>
    <xdr:cxnSp macro="">
      <xdr:nvCxnSpPr>
        <xdr:cNvPr id="117" name="Straight Arrow Connector 116"/>
        <xdr:cNvCxnSpPr/>
      </xdr:nvCxnSpPr>
      <xdr:spPr bwMode="auto">
        <a:xfrm rot="5400000" flipH="1" flipV="1">
          <a:off x="7639052" y="12353925"/>
          <a:ext cx="422909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26</xdr:col>
      <xdr:colOff>7</xdr:colOff>
      <xdr:row>99</xdr:row>
      <xdr:rowOff>1</xdr:rowOff>
    </xdr:from>
    <xdr:to>
      <xdr:col>26</xdr:col>
      <xdr:colOff>9526</xdr:colOff>
      <xdr:row>125</xdr:row>
      <xdr:rowOff>0</xdr:rowOff>
    </xdr:to>
    <xdr:cxnSp macro="">
      <xdr:nvCxnSpPr>
        <xdr:cNvPr id="118" name="Straight Arrow Connector 117"/>
        <xdr:cNvCxnSpPr/>
      </xdr:nvCxnSpPr>
      <xdr:spPr bwMode="auto">
        <a:xfrm rot="16200000" flipV="1">
          <a:off x="13749342" y="12358691"/>
          <a:ext cx="4210049" cy="951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19</xdr:col>
      <xdr:colOff>609599</xdr:colOff>
      <xdr:row>99</xdr:row>
      <xdr:rowOff>3</xdr:rowOff>
    </xdr:from>
    <xdr:to>
      <xdr:col>20</xdr:col>
      <xdr:colOff>0</xdr:colOff>
      <xdr:row>125</xdr:row>
      <xdr:rowOff>1</xdr:rowOff>
    </xdr:to>
    <xdr:cxnSp macro="">
      <xdr:nvCxnSpPr>
        <xdr:cNvPr id="119" name="Straight Arrow Connector 118"/>
        <xdr:cNvCxnSpPr/>
      </xdr:nvCxnSpPr>
      <xdr:spPr bwMode="auto">
        <a:xfrm rot="5400000" flipH="1" flipV="1">
          <a:off x="10086976" y="12363451"/>
          <a:ext cx="4210048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22</xdr:col>
      <xdr:colOff>2</xdr:colOff>
      <xdr:row>98</xdr:row>
      <xdr:rowOff>152400</xdr:rowOff>
    </xdr:from>
    <xdr:to>
      <xdr:col>22</xdr:col>
      <xdr:colOff>9526</xdr:colOff>
      <xdr:row>125</xdr:row>
      <xdr:rowOff>0</xdr:rowOff>
    </xdr:to>
    <xdr:cxnSp macro="">
      <xdr:nvCxnSpPr>
        <xdr:cNvPr id="120" name="Straight Arrow Connector 119"/>
        <xdr:cNvCxnSpPr/>
      </xdr:nvCxnSpPr>
      <xdr:spPr bwMode="auto">
        <a:xfrm rot="16200000" flipV="1">
          <a:off x="11306176" y="12353926"/>
          <a:ext cx="4219575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24</xdr:col>
      <xdr:colOff>9525</xdr:colOff>
      <xdr:row>98</xdr:row>
      <xdr:rowOff>152401</xdr:rowOff>
    </xdr:from>
    <xdr:to>
      <xdr:col>24</xdr:col>
      <xdr:colOff>9526</xdr:colOff>
      <xdr:row>125</xdr:row>
      <xdr:rowOff>1</xdr:rowOff>
    </xdr:to>
    <xdr:cxnSp macro="">
      <xdr:nvCxnSpPr>
        <xdr:cNvPr id="121" name="Straight Arrow Connector 120"/>
        <xdr:cNvCxnSpPr/>
      </xdr:nvCxnSpPr>
      <xdr:spPr bwMode="auto">
        <a:xfrm rot="5400000" flipH="1" flipV="1">
          <a:off x="12530138" y="12358688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33</xdr:col>
      <xdr:colOff>600082</xdr:colOff>
      <xdr:row>99</xdr:row>
      <xdr:rowOff>1</xdr:rowOff>
    </xdr:from>
    <xdr:to>
      <xdr:col>34</xdr:col>
      <xdr:colOff>9526</xdr:colOff>
      <xdr:row>124</xdr:row>
      <xdr:rowOff>142875</xdr:rowOff>
    </xdr:to>
    <xdr:cxnSp macro="">
      <xdr:nvCxnSpPr>
        <xdr:cNvPr id="122" name="Straight Arrow Connector 121"/>
        <xdr:cNvCxnSpPr/>
      </xdr:nvCxnSpPr>
      <xdr:spPr bwMode="auto">
        <a:xfrm rot="16200000" flipV="1">
          <a:off x="18630904" y="12344404"/>
          <a:ext cx="4190999" cy="1904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28</xdr:col>
      <xdr:colOff>1</xdr:colOff>
      <xdr:row>98</xdr:row>
      <xdr:rowOff>133352</xdr:rowOff>
    </xdr:from>
    <xdr:to>
      <xdr:col>28</xdr:col>
      <xdr:colOff>9525</xdr:colOff>
      <xdr:row>124</xdr:row>
      <xdr:rowOff>152400</xdr:rowOff>
    </xdr:to>
    <xdr:cxnSp macro="">
      <xdr:nvCxnSpPr>
        <xdr:cNvPr id="123" name="Straight Arrow Connector 122"/>
        <xdr:cNvCxnSpPr/>
      </xdr:nvCxnSpPr>
      <xdr:spPr bwMode="auto">
        <a:xfrm rot="16200000" flipV="1">
          <a:off x="14959014" y="12339639"/>
          <a:ext cx="4229098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30</xdr:col>
      <xdr:colOff>0</xdr:colOff>
      <xdr:row>98</xdr:row>
      <xdr:rowOff>152400</xdr:rowOff>
    </xdr:from>
    <xdr:to>
      <xdr:col>30</xdr:col>
      <xdr:colOff>2</xdr:colOff>
      <xdr:row>124</xdr:row>
      <xdr:rowOff>152400</xdr:rowOff>
    </xdr:to>
    <xdr:cxnSp macro="">
      <xdr:nvCxnSpPr>
        <xdr:cNvPr id="124" name="Straight Arrow Connector 123"/>
        <xdr:cNvCxnSpPr/>
      </xdr:nvCxnSpPr>
      <xdr:spPr bwMode="auto">
        <a:xfrm rot="5400000" flipH="1" flipV="1">
          <a:off x="16182976" y="12353924"/>
          <a:ext cx="42100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31</xdr:col>
      <xdr:colOff>600074</xdr:colOff>
      <xdr:row>99</xdr:row>
      <xdr:rowOff>1</xdr:rowOff>
    </xdr:from>
    <xdr:to>
      <xdr:col>31</xdr:col>
      <xdr:colOff>600075</xdr:colOff>
      <xdr:row>125</xdr:row>
      <xdr:rowOff>1</xdr:rowOff>
    </xdr:to>
    <xdr:cxnSp macro="">
      <xdr:nvCxnSpPr>
        <xdr:cNvPr id="125" name="Straight Arrow Connector 124"/>
        <xdr:cNvCxnSpPr/>
      </xdr:nvCxnSpPr>
      <xdr:spPr bwMode="auto">
        <a:xfrm rot="5400000" flipH="1" flipV="1">
          <a:off x="17392650" y="12363450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42</xdr:col>
      <xdr:colOff>0</xdr:colOff>
      <xdr:row>98</xdr:row>
      <xdr:rowOff>142877</xdr:rowOff>
    </xdr:from>
    <xdr:to>
      <xdr:col>42</xdr:col>
      <xdr:colOff>9531</xdr:colOff>
      <xdr:row>125</xdr:row>
      <xdr:rowOff>1</xdr:rowOff>
    </xdr:to>
    <xdr:cxnSp macro="">
      <xdr:nvCxnSpPr>
        <xdr:cNvPr id="126" name="Straight Arrow Connector 125"/>
        <xdr:cNvCxnSpPr/>
      </xdr:nvCxnSpPr>
      <xdr:spPr bwMode="auto">
        <a:xfrm rot="5400000" flipH="1" flipV="1">
          <a:off x="23493416" y="12349161"/>
          <a:ext cx="4229099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36</xdr:col>
      <xdr:colOff>0</xdr:colOff>
      <xdr:row>99</xdr:row>
      <xdr:rowOff>3</xdr:rowOff>
    </xdr:from>
    <xdr:to>
      <xdr:col>36</xdr:col>
      <xdr:colOff>1</xdr:colOff>
      <xdr:row>124</xdr:row>
      <xdr:rowOff>152401</xdr:rowOff>
    </xdr:to>
    <xdr:cxnSp macro="">
      <xdr:nvCxnSpPr>
        <xdr:cNvPr id="127" name="Straight Arrow Connector 126"/>
        <xdr:cNvCxnSpPr/>
      </xdr:nvCxnSpPr>
      <xdr:spPr bwMode="auto">
        <a:xfrm rot="5400000" flipH="1" flipV="1">
          <a:off x="19845339" y="12358689"/>
          <a:ext cx="4200523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37</xdr:col>
      <xdr:colOff>609599</xdr:colOff>
      <xdr:row>99</xdr:row>
      <xdr:rowOff>1</xdr:rowOff>
    </xdr:from>
    <xdr:to>
      <xdr:col>38</xdr:col>
      <xdr:colOff>0</xdr:colOff>
      <xdr:row>125</xdr:row>
      <xdr:rowOff>1</xdr:rowOff>
    </xdr:to>
    <xdr:cxnSp macro="">
      <xdr:nvCxnSpPr>
        <xdr:cNvPr id="128" name="Straight Arrow Connector 127"/>
        <xdr:cNvCxnSpPr/>
      </xdr:nvCxnSpPr>
      <xdr:spPr bwMode="auto">
        <a:xfrm rot="5400000" flipH="1" flipV="1">
          <a:off x="21059775" y="12363450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39</xdr:col>
      <xdr:colOff>609599</xdr:colOff>
      <xdr:row>99</xdr:row>
      <xdr:rowOff>1</xdr:rowOff>
    </xdr:from>
    <xdr:to>
      <xdr:col>40</xdr:col>
      <xdr:colOff>19050</xdr:colOff>
      <xdr:row>125</xdr:row>
      <xdr:rowOff>1</xdr:rowOff>
    </xdr:to>
    <xdr:cxnSp macro="">
      <xdr:nvCxnSpPr>
        <xdr:cNvPr id="129" name="Straight Arrow Connector 128"/>
        <xdr:cNvCxnSpPr/>
      </xdr:nvCxnSpPr>
      <xdr:spPr bwMode="auto">
        <a:xfrm rot="5400000" flipH="1" flipV="1">
          <a:off x="22288500" y="12353925"/>
          <a:ext cx="4210050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49</xdr:col>
      <xdr:colOff>609599</xdr:colOff>
      <xdr:row>98</xdr:row>
      <xdr:rowOff>133352</xdr:rowOff>
    </xdr:from>
    <xdr:to>
      <xdr:col>50</xdr:col>
      <xdr:colOff>9530</xdr:colOff>
      <xdr:row>125</xdr:row>
      <xdr:rowOff>1</xdr:rowOff>
    </xdr:to>
    <xdr:cxnSp macro="">
      <xdr:nvCxnSpPr>
        <xdr:cNvPr id="130" name="Straight Arrow Connector 129"/>
        <xdr:cNvCxnSpPr/>
      </xdr:nvCxnSpPr>
      <xdr:spPr bwMode="auto">
        <a:xfrm rot="5400000" flipH="1" flipV="1">
          <a:off x="28365453" y="12344398"/>
          <a:ext cx="4238624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44</xdr:col>
      <xdr:colOff>9525</xdr:colOff>
      <xdr:row>98</xdr:row>
      <xdr:rowOff>142877</xdr:rowOff>
    </xdr:from>
    <xdr:to>
      <xdr:col>44</xdr:col>
      <xdr:colOff>19051</xdr:colOff>
      <xdr:row>125</xdr:row>
      <xdr:rowOff>0</xdr:rowOff>
    </xdr:to>
    <xdr:cxnSp macro="">
      <xdr:nvCxnSpPr>
        <xdr:cNvPr id="131" name="Straight Arrow Connector 130"/>
        <xdr:cNvCxnSpPr/>
      </xdr:nvCxnSpPr>
      <xdr:spPr bwMode="auto">
        <a:xfrm rot="5400000" flipH="1" flipV="1">
          <a:off x="24722139" y="12349163"/>
          <a:ext cx="4229098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45</xdr:col>
      <xdr:colOff>600076</xdr:colOff>
      <xdr:row>98</xdr:row>
      <xdr:rowOff>152400</xdr:rowOff>
    </xdr:from>
    <xdr:to>
      <xdr:col>46</xdr:col>
      <xdr:colOff>2</xdr:colOff>
      <xdr:row>125</xdr:row>
      <xdr:rowOff>0</xdr:rowOff>
    </xdr:to>
    <xdr:cxnSp macro="">
      <xdr:nvCxnSpPr>
        <xdr:cNvPr id="132" name="Straight Arrow Connector 131"/>
        <xdr:cNvCxnSpPr/>
      </xdr:nvCxnSpPr>
      <xdr:spPr bwMode="auto">
        <a:xfrm rot="5400000" flipH="1" flipV="1">
          <a:off x="25927051" y="12353925"/>
          <a:ext cx="4219575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47</xdr:col>
      <xdr:colOff>600076</xdr:colOff>
      <xdr:row>98</xdr:row>
      <xdr:rowOff>152400</xdr:rowOff>
    </xdr:from>
    <xdr:to>
      <xdr:col>48</xdr:col>
      <xdr:colOff>19052</xdr:colOff>
      <xdr:row>125</xdr:row>
      <xdr:rowOff>0</xdr:rowOff>
    </xdr:to>
    <xdr:cxnSp macro="">
      <xdr:nvCxnSpPr>
        <xdr:cNvPr id="133" name="Straight Arrow Connector 132"/>
        <xdr:cNvCxnSpPr/>
      </xdr:nvCxnSpPr>
      <xdr:spPr bwMode="auto">
        <a:xfrm rot="5400000" flipH="1" flipV="1">
          <a:off x="27155776" y="12344400"/>
          <a:ext cx="4219575" cy="2857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58</xdr:col>
      <xdr:colOff>9525</xdr:colOff>
      <xdr:row>98</xdr:row>
      <xdr:rowOff>133351</xdr:rowOff>
    </xdr:from>
    <xdr:to>
      <xdr:col>58</xdr:col>
      <xdr:colOff>9531</xdr:colOff>
      <xdr:row>125</xdr:row>
      <xdr:rowOff>0</xdr:rowOff>
    </xdr:to>
    <xdr:cxnSp macro="">
      <xdr:nvCxnSpPr>
        <xdr:cNvPr id="134" name="Straight Arrow Connector 133"/>
        <xdr:cNvCxnSpPr/>
      </xdr:nvCxnSpPr>
      <xdr:spPr bwMode="auto">
        <a:xfrm rot="5400000" flipH="1" flipV="1">
          <a:off x="33247016" y="12349160"/>
          <a:ext cx="4238624" cy="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52</xdr:col>
      <xdr:colOff>0</xdr:colOff>
      <xdr:row>98</xdr:row>
      <xdr:rowOff>133353</xdr:rowOff>
    </xdr:from>
    <xdr:to>
      <xdr:col>52</xdr:col>
      <xdr:colOff>19051</xdr:colOff>
      <xdr:row>125</xdr:row>
      <xdr:rowOff>1</xdr:rowOff>
    </xdr:to>
    <xdr:cxnSp macro="">
      <xdr:nvCxnSpPr>
        <xdr:cNvPr id="135" name="Straight Arrow Connector 134"/>
        <xdr:cNvCxnSpPr/>
      </xdr:nvCxnSpPr>
      <xdr:spPr bwMode="auto">
        <a:xfrm rot="5400000" flipH="1" flipV="1">
          <a:off x="29589414" y="12339639"/>
          <a:ext cx="4238623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54</xdr:col>
      <xdr:colOff>0</xdr:colOff>
      <xdr:row>98</xdr:row>
      <xdr:rowOff>152401</xdr:rowOff>
    </xdr:from>
    <xdr:to>
      <xdr:col>54</xdr:col>
      <xdr:colOff>1</xdr:colOff>
      <xdr:row>125</xdr:row>
      <xdr:rowOff>1</xdr:rowOff>
    </xdr:to>
    <xdr:cxnSp macro="">
      <xdr:nvCxnSpPr>
        <xdr:cNvPr id="136" name="Straight Arrow Connector 135"/>
        <xdr:cNvCxnSpPr/>
      </xdr:nvCxnSpPr>
      <xdr:spPr bwMode="auto">
        <a:xfrm rot="5400000" flipH="1" flipV="1">
          <a:off x="30808613" y="12358688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56</xdr:col>
      <xdr:colOff>0</xdr:colOff>
      <xdr:row>98</xdr:row>
      <xdr:rowOff>152401</xdr:rowOff>
    </xdr:from>
    <xdr:to>
      <xdr:col>56</xdr:col>
      <xdr:colOff>19051</xdr:colOff>
      <xdr:row>125</xdr:row>
      <xdr:rowOff>1</xdr:rowOff>
    </xdr:to>
    <xdr:cxnSp macro="">
      <xdr:nvCxnSpPr>
        <xdr:cNvPr id="137" name="Straight Arrow Connector 136"/>
        <xdr:cNvCxnSpPr/>
      </xdr:nvCxnSpPr>
      <xdr:spPr bwMode="auto">
        <a:xfrm rot="5400000" flipH="1" flipV="1">
          <a:off x="32037338" y="12349163"/>
          <a:ext cx="4219575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65</xdr:col>
      <xdr:colOff>600074</xdr:colOff>
      <xdr:row>98</xdr:row>
      <xdr:rowOff>152402</xdr:rowOff>
    </xdr:from>
    <xdr:to>
      <xdr:col>66</xdr:col>
      <xdr:colOff>5</xdr:colOff>
      <xdr:row>125</xdr:row>
      <xdr:rowOff>1</xdr:rowOff>
    </xdr:to>
    <xdr:cxnSp macro="">
      <xdr:nvCxnSpPr>
        <xdr:cNvPr id="138" name="Straight Arrow Connector 137"/>
        <xdr:cNvCxnSpPr/>
      </xdr:nvCxnSpPr>
      <xdr:spPr bwMode="auto">
        <a:xfrm rot="5400000" flipH="1" flipV="1">
          <a:off x="38119053" y="12353923"/>
          <a:ext cx="4219574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59</xdr:col>
      <xdr:colOff>600075</xdr:colOff>
      <xdr:row>98</xdr:row>
      <xdr:rowOff>152403</xdr:rowOff>
    </xdr:from>
    <xdr:to>
      <xdr:col>60</xdr:col>
      <xdr:colOff>9526</xdr:colOff>
      <xdr:row>125</xdr:row>
      <xdr:rowOff>1</xdr:rowOff>
    </xdr:to>
    <xdr:cxnSp macro="">
      <xdr:nvCxnSpPr>
        <xdr:cNvPr id="139" name="Straight Arrow Connector 138"/>
        <xdr:cNvCxnSpPr/>
      </xdr:nvCxnSpPr>
      <xdr:spPr bwMode="auto">
        <a:xfrm rot="5400000" flipH="1" flipV="1">
          <a:off x="34466214" y="12349164"/>
          <a:ext cx="4219573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61</xdr:col>
      <xdr:colOff>600077</xdr:colOff>
      <xdr:row>99</xdr:row>
      <xdr:rowOff>9525</xdr:rowOff>
    </xdr:from>
    <xdr:to>
      <xdr:col>62</xdr:col>
      <xdr:colOff>9526</xdr:colOff>
      <xdr:row>125</xdr:row>
      <xdr:rowOff>0</xdr:rowOff>
    </xdr:to>
    <xdr:cxnSp macro="">
      <xdr:nvCxnSpPr>
        <xdr:cNvPr id="140" name="Straight Arrow Connector 139"/>
        <xdr:cNvCxnSpPr/>
      </xdr:nvCxnSpPr>
      <xdr:spPr bwMode="auto">
        <a:xfrm rot="16200000" flipV="1">
          <a:off x="35694939" y="12358688"/>
          <a:ext cx="4200525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64</xdr:col>
      <xdr:colOff>9524</xdr:colOff>
      <xdr:row>99</xdr:row>
      <xdr:rowOff>9526</xdr:rowOff>
    </xdr:from>
    <xdr:to>
      <xdr:col>64</xdr:col>
      <xdr:colOff>9525</xdr:colOff>
      <xdr:row>125</xdr:row>
      <xdr:rowOff>9526</xdr:rowOff>
    </xdr:to>
    <xdr:cxnSp macro="">
      <xdr:nvCxnSpPr>
        <xdr:cNvPr id="141" name="Straight Arrow Connector 140"/>
        <xdr:cNvCxnSpPr/>
      </xdr:nvCxnSpPr>
      <xdr:spPr bwMode="auto">
        <a:xfrm rot="5400000" flipH="1" flipV="1">
          <a:off x="36918900" y="12372975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74</xdr:col>
      <xdr:colOff>0</xdr:colOff>
      <xdr:row>98</xdr:row>
      <xdr:rowOff>133351</xdr:rowOff>
    </xdr:from>
    <xdr:to>
      <xdr:col>74</xdr:col>
      <xdr:colOff>9532</xdr:colOff>
      <xdr:row>125</xdr:row>
      <xdr:rowOff>0</xdr:rowOff>
    </xdr:to>
    <xdr:cxnSp macro="">
      <xdr:nvCxnSpPr>
        <xdr:cNvPr id="142" name="Straight Arrow Connector 141"/>
        <xdr:cNvCxnSpPr/>
      </xdr:nvCxnSpPr>
      <xdr:spPr bwMode="auto">
        <a:xfrm rot="5400000" flipH="1" flipV="1">
          <a:off x="42995854" y="12344397"/>
          <a:ext cx="4238624" cy="953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68</xdr:col>
      <xdr:colOff>1</xdr:colOff>
      <xdr:row>98</xdr:row>
      <xdr:rowOff>152402</xdr:rowOff>
    </xdr:from>
    <xdr:to>
      <xdr:col>68</xdr:col>
      <xdr:colOff>9527</xdr:colOff>
      <xdr:row>125</xdr:row>
      <xdr:rowOff>0</xdr:rowOff>
    </xdr:to>
    <xdr:cxnSp macro="">
      <xdr:nvCxnSpPr>
        <xdr:cNvPr id="143" name="Straight Arrow Connector 142"/>
        <xdr:cNvCxnSpPr/>
      </xdr:nvCxnSpPr>
      <xdr:spPr bwMode="auto">
        <a:xfrm rot="5400000" flipH="1" flipV="1">
          <a:off x="39347777" y="12353926"/>
          <a:ext cx="4219573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70</xdr:col>
      <xdr:colOff>0</xdr:colOff>
      <xdr:row>98</xdr:row>
      <xdr:rowOff>152401</xdr:rowOff>
    </xdr:from>
    <xdr:to>
      <xdr:col>70</xdr:col>
      <xdr:colOff>1</xdr:colOff>
      <xdr:row>125</xdr:row>
      <xdr:rowOff>1</xdr:rowOff>
    </xdr:to>
    <xdr:cxnSp macro="">
      <xdr:nvCxnSpPr>
        <xdr:cNvPr id="144" name="Straight Arrow Connector 143"/>
        <xdr:cNvCxnSpPr/>
      </xdr:nvCxnSpPr>
      <xdr:spPr bwMode="auto">
        <a:xfrm rot="5400000" flipH="1" flipV="1">
          <a:off x="40562213" y="12358688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71</xdr:col>
      <xdr:colOff>600076</xdr:colOff>
      <xdr:row>98</xdr:row>
      <xdr:rowOff>152400</xdr:rowOff>
    </xdr:from>
    <xdr:to>
      <xdr:col>72</xdr:col>
      <xdr:colOff>19052</xdr:colOff>
      <xdr:row>125</xdr:row>
      <xdr:rowOff>0</xdr:rowOff>
    </xdr:to>
    <xdr:cxnSp macro="">
      <xdr:nvCxnSpPr>
        <xdr:cNvPr id="145" name="Straight Arrow Connector 144"/>
        <xdr:cNvCxnSpPr/>
      </xdr:nvCxnSpPr>
      <xdr:spPr bwMode="auto">
        <a:xfrm rot="5400000" flipH="1" flipV="1">
          <a:off x="41786176" y="12344400"/>
          <a:ext cx="4219575" cy="2857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76</xdr:col>
      <xdr:colOff>0</xdr:colOff>
      <xdr:row>98</xdr:row>
      <xdr:rowOff>133353</xdr:rowOff>
    </xdr:from>
    <xdr:to>
      <xdr:col>76</xdr:col>
      <xdr:colOff>19051</xdr:colOff>
      <xdr:row>125</xdr:row>
      <xdr:rowOff>1</xdr:rowOff>
    </xdr:to>
    <xdr:cxnSp macro="">
      <xdr:nvCxnSpPr>
        <xdr:cNvPr id="146" name="Straight Arrow Connector 145"/>
        <xdr:cNvCxnSpPr/>
      </xdr:nvCxnSpPr>
      <xdr:spPr bwMode="auto">
        <a:xfrm rot="5400000" flipH="1" flipV="1">
          <a:off x="44219814" y="12339639"/>
          <a:ext cx="4238623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77</xdr:col>
      <xdr:colOff>609599</xdr:colOff>
      <xdr:row>98</xdr:row>
      <xdr:rowOff>152401</xdr:rowOff>
    </xdr:from>
    <xdr:to>
      <xdr:col>78</xdr:col>
      <xdr:colOff>0</xdr:colOff>
      <xdr:row>124</xdr:row>
      <xdr:rowOff>152401</xdr:rowOff>
    </xdr:to>
    <xdr:cxnSp macro="">
      <xdr:nvCxnSpPr>
        <xdr:cNvPr id="147" name="Straight Arrow Connector 146"/>
        <xdr:cNvCxnSpPr/>
      </xdr:nvCxnSpPr>
      <xdr:spPr bwMode="auto">
        <a:xfrm rot="5400000" flipH="1" flipV="1">
          <a:off x="45443775" y="12353925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0</xdr:colOff>
      <xdr:row>99</xdr:row>
      <xdr:rowOff>0</xdr:rowOff>
    </xdr:from>
    <xdr:to>
      <xdr:col>4</xdr:col>
      <xdr:colOff>9521</xdr:colOff>
      <xdr:row>124</xdr:row>
      <xdr:rowOff>152400</xdr:rowOff>
    </xdr:to>
    <xdr:cxnSp macro="">
      <xdr:nvCxnSpPr>
        <xdr:cNvPr id="148" name="Straight Arrow Connector 147"/>
        <xdr:cNvCxnSpPr/>
      </xdr:nvCxnSpPr>
      <xdr:spPr bwMode="auto">
        <a:xfrm rot="16200000" flipV="1">
          <a:off x="342898" y="12353927"/>
          <a:ext cx="4200525" cy="95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0</xdr:colOff>
      <xdr:row>63</xdr:row>
      <xdr:rowOff>2</xdr:rowOff>
    </xdr:from>
    <xdr:to>
      <xdr:col>2</xdr:col>
      <xdr:colOff>1</xdr:colOff>
      <xdr:row>89</xdr:row>
      <xdr:rowOff>1</xdr:rowOff>
    </xdr:to>
    <xdr:cxnSp macro="">
      <xdr:nvCxnSpPr>
        <xdr:cNvPr id="149" name="Straight Arrow Connector 148"/>
        <xdr:cNvCxnSpPr/>
      </xdr:nvCxnSpPr>
      <xdr:spPr bwMode="auto">
        <a:xfrm rot="5400000" flipH="1" flipV="1">
          <a:off x="-885824" y="12477751"/>
          <a:ext cx="4210049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82</xdr:col>
      <xdr:colOff>0</xdr:colOff>
      <xdr:row>28</xdr:row>
      <xdr:rowOff>152400</xdr:rowOff>
    </xdr:from>
    <xdr:to>
      <xdr:col>82</xdr:col>
      <xdr:colOff>1</xdr:colOff>
      <xdr:row>54</xdr:row>
      <xdr:rowOff>152400</xdr:rowOff>
    </xdr:to>
    <xdr:cxnSp macro="">
      <xdr:nvCxnSpPr>
        <xdr:cNvPr id="150" name="Straight Arrow Connector 149"/>
        <xdr:cNvCxnSpPr/>
      </xdr:nvCxnSpPr>
      <xdr:spPr bwMode="auto">
        <a:xfrm rot="5400000" flipH="1" flipV="1">
          <a:off x="47882176" y="6962774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80</xdr:col>
      <xdr:colOff>1</xdr:colOff>
      <xdr:row>29</xdr:row>
      <xdr:rowOff>9525</xdr:rowOff>
    </xdr:from>
    <xdr:to>
      <xdr:col>80</xdr:col>
      <xdr:colOff>2</xdr:colOff>
      <xdr:row>55</xdr:row>
      <xdr:rowOff>9525</xdr:rowOff>
    </xdr:to>
    <xdr:cxnSp macro="">
      <xdr:nvCxnSpPr>
        <xdr:cNvPr id="151" name="Straight Arrow Connector 150"/>
        <xdr:cNvCxnSpPr/>
      </xdr:nvCxnSpPr>
      <xdr:spPr bwMode="auto">
        <a:xfrm rot="5400000" flipH="1" flipV="1">
          <a:off x="46662977" y="6981824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82</xdr:col>
      <xdr:colOff>1</xdr:colOff>
      <xdr:row>63</xdr:row>
      <xdr:rowOff>0</xdr:rowOff>
    </xdr:from>
    <xdr:to>
      <xdr:col>82</xdr:col>
      <xdr:colOff>2</xdr:colOff>
      <xdr:row>89</xdr:row>
      <xdr:rowOff>0</xdr:rowOff>
    </xdr:to>
    <xdr:cxnSp macro="">
      <xdr:nvCxnSpPr>
        <xdr:cNvPr id="152" name="Straight Arrow Connector 151"/>
        <xdr:cNvCxnSpPr/>
      </xdr:nvCxnSpPr>
      <xdr:spPr bwMode="auto">
        <a:xfrm rot="5400000" flipH="1" flipV="1">
          <a:off x="47882177" y="12477749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80</xdr:col>
      <xdr:colOff>1</xdr:colOff>
      <xdr:row>63</xdr:row>
      <xdr:rowOff>9525</xdr:rowOff>
    </xdr:from>
    <xdr:to>
      <xdr:col>80</xdr:col>
      <xdr:colOff>2</xdr:colOff>
      <xdr:row>89</xdr:row>
      <xdr:rowOff>9525</xdr:rowOff>
    </xdr:to>
    <xdr:cxnSp macro="">
      <xdr:nvCxnSpPr>
        <xdr:cNvPr id="153" name="Straight Arrow Connector 152"/>
        <xdr:cNvCxnSpPr/>
      </xdr:nvCxnSpPr>
      <xdr:spPr bwMode="auto">
        <a:xfrm rot="5400000" flipH="1" flipV="1">
          <a:off x="46662977" y="12487274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82</xdr:col>
      <xdr:colOff>1</xdr:colOff>
      <xdr:row>99</xdr:row>
      <xdr:rowOff>9525</xdr:rowOff>
    </xdr:from>
    <xdr:to>
      <xdr:col>82</xdr:col>
      <xdr:colOff>2</xdr:colOff>
      <xdr:row>125</xdr:row>
      <xdr:rowOff>9525</xdr:rowOff>
    </xdr:to>
    <xdr:cxnSp macro="">
      <xdr:nvCxnSpPr>
        <xdr:cNvPr id="154" name="Straight Arrow Connector 153"/>
        <xdr:cNvCxnSpPr/>
      </xdr:nvCxnSpPr>
      <xdr:spPr bwMode="auto">
        <a:xfrm rot="5400000" flipH="1" flipV="1">
          <a:off x="47882177" y="18316574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80</xdr:col>
      <xdr:colOff>1</xdr:colOff>
      <xdr:row>99</xdr:row>
      <xdr:rowOff>9525</xdr:rowOff>
    </xdr:from>
    <xdr:to>
      <xdr:col>80</xdr:col>
      <xdr:colOff>2</xdr:colOff>
      <xdr:row>125</xdr:row>
      <xdr:rowOff>9525</xdr:rowOff>
    </xdr:to>
    <xdr:cxnSp macro="">
      <xdr:nvCxnSpPr>
        <xdr:cNvPr id="155" name="Straight Arrow Connector 154"/>
        <xdr:cNvCxnSpPr/>
      </xdr:nvCxnSpPr>
      <xdr:spPr bwMode="auto">
        <a:xfrm rot="5400000" flipH="1" flipV="1">
          <a:off x="46662977" y="18316574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9526</xdr:colOff>
      <xdr:row>29</xdr:row>
      <xdr:rowOff>9526</xdr:rowOff>
    </xdr:from>
    <xdr:to>
      <xdr:col>2</xdr:col>
      <xdr:colOff>9527</xdr:colOff>
      <xdr:row>55</xdr:row>
      <xdr:rowOff>9526</xdr:rowOff>
    </xdr:to>
    <xdr:cxnSp macro="">
      <xdr:nvCxnSpPr>
        <xdr:cNvPr id="156" name="Straight Arrow Connector 155"/>
        <xdr:cNvCxnSpPr/>
      </xdr:nvCxnSpPr>
      <xdr:spPr bwMode="auto">
        <a:xfrm rot="5400000" flipH="1" flipV="1">
          <a:off x="-876298" y="6981825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</xdr:colOff>
      <xdr:row>99</xdr:row>
      <xdr:rowOff>9526</xdr:rowOff>
    </xdr:from>
    <xdr:to>
      <xdr:col>2</xdr:col>
      <xdr:colOff>2</xdr:colOff>
      <xdr:row>125</xdr:row>
      <xdr:rowOff>9526</xdr:rowOff>
    </xdr:to>
    <xdr:cxnSp macro="">
      <xdr:nvCxnSpPr>
        <xdr:cNvPr id="157" name="Straight Arrow Connector 156"/>
        <xdr:cNvCxnSpPr/>
      </xdr:nvCxnSpPr>
      <xdr:spPr bwMode="auto">
        <a:xfrm rot="5400000" flipH="1" flipV="1">
          <a:off x="-885823" y="18316575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61</xdr:row>
      <xdr:rowOff>9525</xdr:rowOff>
    </xdr:from>
    <xdr:to>
      <xdr:col>3</xdr:col>
      <xdr:colOff>0</xdr:colOff>
      <xdr:row>67</xdr:row>
      <xdr:rowOff>0</xdr:rowOff>
    </xdr:to>
    <xdr:sp macro="" textlink="">
      <xdr:nvSpPr>
        <xdr:cNvPr id="2" name="Line 4"/>
        <xdr:cNvSpPr>
          <a:spLocks noChangeShapeType="1"/>
        </xdr:cNvSpPr>
      </xdr:nvSpPr>
      <xdr:spPr bwMode="auto">
        <a:xfrm>
          <a:off x="1924050" y="17183100"/>
          <a:ext cx="0" cy="962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66</xdr:row>
      <xdr:rowOff>152400</xdr:rowOff>
    </xdr:from>
    <xdr:to>
      <xdr:col>6</xdr:col>
      <xdr:colOff>9525</xdr:colOff>
      <xdr:row>66</xdr:row>
      <xdr:rowOff>152400</xdr:rowOff>
    </xdr:to>
    <xdr:sp macro="" textlink="">
      <xdr:nvSpPr>
        <xdr:cNvPr id="3" name="Line 5"/>
        <xdr:cNvSpPr>
          <a:spLocks noChangeShapeType="1"/>
        </xdr:cNvSpPr>
      </xdr:nvSpPr>
      <xdr:spPr bwMode="auto">
        <a:xfrm>
          <a:off x="1924050" y="18135600"/>
          <a:ext cx="18383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61</xdr:row>
      <xdr:rowOff>9525</xdr:rowOff>
    </xdr:from>
    <xdr:to>
      <xdr:col>6</xdr:col>
      <xdr:colOff>0</xdr:colOff>
      <xdr:row>66</xdr:row>
      <xdr:rowOff>152400</xdr:rowOff>
    </xdr:to>
    <xdr:sp macro="" textlink="">
      <xdr:nvSpPr>
        <xdr:cNvPr id="4" name="Line 7"/>
        <xdr:cNvSpPr>
          <a:spLocks noChangeShapeType="1"/>
        </xdr:cNvSpPr>
      </xdr:nvSpPr>
      <xdr:spPr bwMode="auto">
        <a:xfrm flipV="1">
          <a:off x="3752850" y="17183100"/>
          <a:ext cx="0" cy="952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114300</xdr:colOff>
      <xdr:row>61</xdr:row>
      <xdr:rowOff>0</xdr:rowOff>
    </xdr:from>
    <xdr:to>
      <xdr:col>3</xdr:col>
      <xdr:colOff>114300</xdr:colOff>
      <xdr:row>66</xdr:row>
      <xdr:rowOff>0</xdr:rowOff>
    </xdr:to>
    <xdr:sp macro="" textlink="">
      <xdr:nvSpPr>
        <xdr:cNvPr id="5" name="Line 9"/>
        <xdr:cNvSpPr>
          <a:spLocks noChangeShapeType="1"/>
        </xdr:cNvSpPr>
      </xdr:nvSpPr>
      <xdr:spPr bwMode="auto">
        <a:xfrm>
          <a:off x="2038350" y="171735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61</xdr:row>
      <xdr:rowOff>0</xdr:rowOff>
    </xdr:from>
    <xdr:to>
      <xdr:col>5</xdr:col>
      <xdr:colOff>495300</xdr:colOff>
      <xdr:row>66</xdr:row>
      <xdr:rowOff>0</xdr:rowOff>
    </xdr:to>
    <xdr:sp macro="" textlink="">
      <xdr:nvSpPr>
        <xdr:cNvPr id="6" name="Line 11"/>
        <xdr:cNvSpPr>
          <a:spLocks noChangeShapeType="1"/>
        </xdr:cNvSpPr>
      </xdr:nvSpPr>
      <xdr:spPr bwMode="auto">
        <a:xfrm>
          <a:off x="3638550" y="171735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66</xdr:row>
      <xdr:rowOff>0</xdr:rowOff>
    </xdr:from>
    <xdr:to>
      <xdr:col>5</xdr:col>
      <xdr:colOff>495300</xdr:colOff>
      <xdr:row>66</xdr:row>
      <xdr:rowOff>0</xdr:rowOff>
    </xdr:to>
    <xdr:sp macro="" textlink="">
      <xdr:nvSpPr>
        <xdr:cNvPr id="7" name="Line 12"/>
        <xdr:cNvSpPr>
          <a:spLocks noChangeShapeType="1"/>
        </xdr:cNvSpPr>
      </xdr:nvSpPr>
      <xdr:spPr bwMode="auto">
        <a:xfrm flipH="1">
          <a:off x="2028825" y="17983200"/>
          <a:ext cx="1609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60</xdr:row>
      <xdr:rowOff>152400</xdr:rowOff>
    </xdr:from>
    <xdr:to>
      <xdr:col>7</xdr:col>
      <xdr:colOff>0</xdr:colOff>
      <xdr:row>60</xdr:row>
      <xdr:rowOff>152400</xdr:rowOff>
    </xdr:to>
    <xdr:sp macro="" textlink="">
      <xdr:nvSpPr>
        <xdr:cNvPr id="8" name="Line 13"/>
        <xdr:cNvSpPr>
          <a:spLocks noChangeShapeType="1"/>
        </xdr:cNvSpPr>
      </xdr:nvSpPr>
      <xdr:spPr bwMode="auto">
        <a:xfrm>
          <a:off x="1219200" y="17164050"/>
          <a:ext cx="3143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60</xdr:row>
      <xdr:rowOff>152400</xdr:rowOff>
    </xdr:from>
    <xdr:to>
      <xdr:col>2</xdr:col>
      <xdr:colOff>0</xdr:colOff>
      <xdr:row>70</xdr:row>
      <xdr:rowOff>0</xdr:rowOff>
    </xdr:to>
    <xdr:sp macro="" textlink="">
      <xdr:nvSpPr>
        <xdr:cNvPr id="9" name="Line 14"/>
        <xdr:cNvSpPr>
          <a:spLocks noChangeShapeType="1"/>
        </xdr:cNvSpPr>
      </xdr:nvSpPr>
      <xdr:spPr bwMode="auto">
        <a:xfrm>
          <a:off x="1219200" y="17164050"/>
          <a:ext cx="0" cy="1466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60</xdr:row>
      <xdr:rowOff>152400</xdr:rowOff>
    </xdr:from>
    <xdr:to>
      <xdr:col>6</xdr:col>
      <xdr:colOff>600075</xdr:colOff>
      <xdr:row>70</xdr:row>
      <xdr:rowOff>9525</xdr:rowOff>
    </xdr:to>
    <xdr:sp macro="" textlink="">
      <xdr:nvSpPr>
        <xdr:cNvPr id="10" name="Line 15"/>
        <xdr:cNvSpPr>
          <a:spLocks noChangeShapeType="1"/>
        </xdr:cNvSpPr>
      </xdr:nvSpPr>
      <xdr:spPr bwMode="auto">
        <a:xfrm>
          <a:off x="4352925" y="17164050"/>
          <a:ext cx="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59</xdr:row>
      <xdr:rowOff>0</xdr:rowOff>
    </xdr:from>
    <xdr:to>
      <xdr:col>4</xdr:col>
      <xdr:colOff>600075</xdr:colOff>
      <xdr:row>59</xdr:row>
      <xdr:rowOff>0</xdr:rowOff>
    </xdr:to>
    <xdr:sp macro="" textlink="">
      <xdr:nvSpPr>
        <xdr:cNvPr id="11" name="Line 17"/>
        <xdr:cNvSpPr>
          <a:spLocks noChangeShapeType="1"/>
        </xdr:cNvSpPr>
      </xdr:nvSpPr>
      <xdr:spPr bwMode="auto">
        <a:xfrm>
          <a:off x="2543175" y="16849725"/>
          <a:ext cx="590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123825</xdr:colOff>
      <xdr:row>59</xdr:row>
      <xdr:rowOff>9525</xdr:rowOff>
    </xdr:from>
    <xdr:to>
      <xdr:col>3</xdr:col>
      <xdr:colOff>600075</xdr:colOff>
      <xdr:row>61</xdr:row>
      <xdr:rowOff>9525</xdr:rowOff>
    </xdr:to>
    <xdr:sp macro="" textlink="">
      <xdr:nvSpPr>
        <xdr:cNvPr id="12" name="Line 18"/>
        <xdr:cNvSpPr>
          <a:spLocks noChangeShapeType="1"/>
        </xdr:cNvSpPr>
      </xdr:nvSpPr>
      <xdr:spPr bwMode="auto">
        <a:xfrm flipH="1">
          <a:off x="2047875" y="16859250"/>
          <a:ext cx="47625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59</xdr:row>
      <xdr:rowOff>9525</xdr:rowOff>
    </xdr:from>
    <xdr:to>
      <xdr:col>5</xdr:col>
      <xdr:colOff>485775</xdr:colOff>
      <xdr:row>60</xdr:row>
      <xdr:rowOff>152400</xdr:rowOff>
    </xdr:to>
    <xdr:sp macro="" textlink="">
      <xdr:nvSpPr>
        <xdr:cNvPr id="13" name="Line 19"/>
        <xdr:cNvSpPr>
          <a:spLocks noChangeShapeType="1"/>
        </xdr:cNvSpPr>
      </xdr:nvSpPr>
      <xdr:spPr bwMode="auto">
        <a:xfrm>
          <a:off x="3143250" y="16859250"/>
          <a:ext cx="485775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70</xdr:row>
      <xdr:rowOff>0</xdr:rowOff>
    </xdr:from>
    <xdr:to>
      <xdr:col>2</xdr:col>
      <xdr:colOff>0</xdr:colOff>
      <xdr:row>71</xdr:row>
      <xdr:rowOff>152400</xdr:rowOff>
    </xdr:to>
    <xdr:sp macro="" textlink="">
      <xdr:nvSpPr>
        <xdr:cNvPr id="14" name="Line 21"/>
        <xdr:cNvSpPr>
          <a:spLocks noChangeShapeType="1"/>
        </xdr:cNvSpPr>
      </xdr:nvSpPr>
      <xdr:spPr bwMode="auto">
        <a:xfrm flipV="1">
          <a:off x="1219200" y="18630900"/>
          <a:ext cx="0" cy="314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70</xdr:row>
      <xdr:rowOff>19050</xdr:rowOff>
    </xdr:from>
    <xdr:to>
      <xdr:col>6</xdr:col>
      <xdr:colOff>600075</xdr:colOff>
      <xdr:row>72</xdr:row>
      <xdr:rowOff>9525</xdr:rowOff>
    </xdr:to>
    <xdr:sp macro="" textlink="">
      <xdr:nvSpPr>
        <xdr:cNvPr id="15" name="Line 23"/>
        <xdr:cNvSpPr>
          <a:spLocks noChangeShapeType="1"/>
        </xdr:cNvSpPr>
      </xdr:nvSpPr>
      <xdr:spPr bwMode="auto">
        <a:xfrm>
          <a:off x="4352925" y="18649950"/>
          <a:ext cx="0" cy="314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64</xdr:row>
      <xdr:rowOff>0</xdr:rowOff>
    </xdr:from>
    <xdr:to>
      <xdr:col>6</xdr:col>
      <xdr:colOff>590550</xdr:colOff>
      <xdr:row>64</xdr:row>
      <xdr:rowOff>123825</xdr:rowOff>
    </xdr:to>
    <xdr:sp macro="" textlink="">
      <xdr:nvSpPr>
        <xdr:cNvPr id="37" name="Line 51"/>
        <xdr:cNvSpPr>
          <a:spLocks noChangeShapeType="1"/>
        </xdr:cNvSpPr>
      </xdr:nvSpPr>
      <xdr:spPr bwMode="auto">
        <a:xfrm flipV="1">
          <a:off x="1219200" y="17659350"/>
          <a:ext cx="3124200" cy="123825"/>
        </a:xfrm>
        <a:prstGeom prst="line">
          <a:avLst/>
        </a:prstGeom>
        <a:noFill/>
        <a:ln w="6350">
          <a:solidFill>
            <a:srgbClr val="FF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0</xdr:colOff>
      <xdr:row>67</xdr:row>
      <xdr:rowOff>0</xdr:rowOff>
    </xdr:from>
    <xdr:to>
      <xdr:col>4</xdr:col>
      <xdr:colOff>0</xdr:colOff>
      <xdr:row>70</xdr:row>
      <xdr:rowOff>0</xdr:rowOff>
    </xdr:to>
    <xdr:sp macro="" textlink="">
      <xdr:nvSpPr>
        <xdr:cNvPr id="38" name="Line 52"/>
        <xdr:cNvSpPr>
          <a:spLocks noChangeShapeType="1"/>
        </xdr:cNvSpPr>
      </xdr:nvSpPr>
      <xdr:spPr bwMode="auto">
        <a:xfrm>
          <a:off x="2533650" y="18145125"/>
          <a:ext cx="0" cy="48577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19050</xdr:colOff>
      <xdr:row>69</xdr:row>
      <xdr:rowOff>152400</xdr:rowOff>
    </xdr:from>
    <xdr:to>
      <xdr:col>4</xdr:col>
      <xdr:colOff>19050</xdr:colOff>
      <xdr:row>71</xdr:row>
      <xdr:rowOff>47625</xdr:rowOff>
    </xdr:to>
    <xdr:sp macro="" textlink="">
      <xdr:nvSpPr>
        <xdr:cNvPr id="39" name="Line 54"/>
        <xdr:cNvSpPr>
          <a:spLocks noChangeShapeType="1"/>
        </xdr:cNvSpPr>
      </xdr:nvSpPr>
      <xdr:spPr bwMode="auto">
        <a:xfrm>
          <a:off x="2552700" y="18621375"/>
          <a:ext cx="0" cy="21907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 editAs="oneCell">
    <xdr:from>
      <xdr:col>4</xdr:col>
      <xdr:colOff>66675</xdr:colOff>
      <xdr:row>70</xdr:row>
      <xdr:rowOff>0</xdr:rowOff>
    </xdr:from>
    <xdr:to>
      <xdr:col>4</xdr:col>
      <xdr:colOff>142875</xdr:colOff>
      <xdr:row>71</xdr:row>
      <xdr:rowOff>38100</xdr:rowOff>
    </xdr:to>
    <xdr:sp macro="" textlink="">
      <xdr:nvSpPr>
        <xdr:cNvPr id="40" name="Text Box 55"/>
        <xdr:cNvSpPr txBox="1">
          <a:spLocks noChangeArrowheads="1"/>
        </xdr:cNvSpPr>
      </xdr:nvSpPr>
      <xdr:spPr bwMode="auto">
        <a:xfrm>
          <a:off x="2600325" y="186309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66</xdr:row>
      <xdr:rowOff>0</xdr:rowOff>
    </xdr:from>
    <xdr:to>
      <xdr:col>4</xdr:col>
      <xdr:colOff>0</xdr:colOff>
      <xdr:row>66</xdr:row>
      <xdr:rowOff>152400</xdr:rowOff>
    </xdr:to>
    <xdr:sp macro="" textlink="">
      <xdr:nvSpPr>
        <xdr:cNvPr id="41" name="Line 56"/>
        <xdr:cNvSpPr>
          <a:spLocks noChangeShapeType="1"/>
        </xdr:cNvSpPr>
      </xdr:nvSpPr>
      <xdr:spPr bwMode="auto">
        <a:xfrm>
          <a:off x="2533650" y="17983200"/>
          <a:ext cx="0" cy="152400"/>
        </a:xfrm>
        <a:prstGeom prst="line">
          <a:avLst/>
        </a:prstGeom>
        <a:noFill/>
        <a:ln w="6350">
          <a:solidFill>
            <a:sysClr val="windowText" lastClr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0</xdr:colOff>
      <xdr:row>61</xdr:row>
      <xdr:rowOff>0</xdr:rowOff>
    </xdr:from>
    <xdr:to>
      <xdr:col>4</xdr:col>
      <xdr:colOff>0</xdr:colOff>
      <xdr:row>66</xdr:row>
      <xdr:rowOff>0</xdr:rowOff>
    </xdr:to>
    <xdr:sp macro="" textlink="">
      <xdr:nvSpPr>
        <xdr:cNvPr id="43" name="Line 62"/>
        <xdr:cNvSpPr>
          <a:spLocks noChangeShapeType="1"/>
        </xdr:cNvSpPr>
      </xdr:nvSpPr>
      <xdr:spPr bwMode="auto">
        <a:xfrm>
          <a:off x="2533650" y="17173575"/>
          <a:ext cx="0" cy="8096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228600</xdr:colOff>
      <xdr:row>60</xdr:row>
      <xdr:rowOff>152400</xdr:rowOff>
    </xdr:from>
    <xdr:to>
      <xdr:col>3</xdr:col>
      <xdr:colOff>314325</xdr:colOff>
      <xdr:row>61</xdr:row>
      <xdr:rowOff>47625</xdr:rowOff>
    </xdr:to>
    <xdr:sp macro="" textlink="">
      <xdr:nvSpPr>
        <xdr:cNvPr id="44" name="Line 63"/>
        <xdr:cNvSpPr>
          <a:spLocks noChangeShapeType="1"/>
        </xdr:cNvSpPr>
      </xdr:nvSpPr>
      <xdr:spPr bwMode="auto">
        <a:xfrm flipH="1">
          <a:off x="2152650" y="17164050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323850</xdr:colOff>
      <xdr:row>60</xdr:row>
      <xdr:rowOff>152400</xdr:rowOff>
    </xdr:from>
    <xdr:to>
      <xdr:col>3</xdr:col>
      <xdr:colOff>390525</xdr:colOff>
      <xdr:row>61</xdr:row>
      <xdr:rowOff>66675</xdr:rowOff>
    </xdr:to>
    <xdr:sp macro="" textlink="">
      <xdr:nvSpPr>
        <xdr:cNvPr id="45" name="Line 64"/>
        <xdr:cNvSpPr>
          <a:spLocks noChangeShapeType="1"/>
        </xdr:cNvSpPr>
      </xdr:nvSpPr>
      <xdr:spPr bwMode="auto">
        <a:xfrm>
          <a:off x="2247900" y="17164050"/>
          <a:ext cx="666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60</xdr:row>
      <xdr:rowOff>152400</xdr:rowOff>
    </xdr:from>
    <xdr:to>
      <xdr:col>3</xdr:col>
      <xdr:colOff>371475</xdr:colOff>
      <xdr:row>61</xdr:row>
      <xdr:rowOff>38100</xdr:rowOff>
    </xdr:to>
    <xdr:sp macro="" textlink="">
      <xdr:nvSpPr>
        <xdr:cNvPr id="46" name="Line 65"/>
        <xdr:cNvSpPr>
          <a:spLocks noChangeShapeType="1"/>
        </xdr:cNvSpPr>
      </xdr:nvSpPr>
      <xdr:spPr bwMode="auto">
        <a:xfrm flipH="1">
          <a:off x="2209800" y="1716405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60</xdr:row>
      <xdr:rowOff>152400</xdr:rowOff>
    </xdr:from>
    <xdr:to>
      <xdr:col>3</xdr:col>
      <xdr:colOff>438150</xdr:colOff>
      <xdr:row>61</xdr:row>
      <xdr:rowOff>57150</xdr:rowOff>
    </xdr:to>
    <xdr:sp macro="" textlink="">
      <xdr:nvSpPr>
        <xdr:cNvPr id="47" name="Line 66"/>
        <xdr:cNvSpPr>
          <a:spLocks noChangeShapeType="1"/>
        </xdr:cNvSpPr>
      </xdr:nvSpPr>
      <xdr:spPr bwMode="auto">
        <a:xfrm>
          <a:off x="2295525" y="17164050"/>
          <a:ext cx="666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60</xdr:row>
      <xdr:rowOff>152400</xdr:rowOff>
    </xdr:from>
    <xdr:to>
      <xdr:col>4</xdr:col>
      <xdr:colOff>447675</xdr:colOff>
      <xdr:row>61</xdr:row>
      <xdr:rowOff>47625</xdr:rowOff>
    </xdr:to>
    <xdr:sp macro="" textlink="">
      <xdr:nvSpPr>
        <xdr:cNvPr id="48" name="Line 67"/>
        <xdr:cNvSpPr>
          <a:spLocks noChangeShapeType="1"/>
        </xdr:cNvSpPr>
      </xdr:nvSpPr>
      <xdr:spPr bwMode="auto">
        <a:xfrm flipH="1">
          <a:off x="2886075" y="1716405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60</xdr:row>
      <xdr:rowOff>152400</xdr:rowOff>
    </xdr:from>
    <xdr:to>
      <xdr:col>4</xdr:col>
      <xdr:colOff>466725</xdr:colOff>
      <xdr:row>61</xdr:row>
      <xdr:rowOff>47625</xdr:rowOff>
    </xdr:to>
    <xdr:sp macro="" textlink="">
      <xdr:nvSpPr>
        <xdr:cNvPr id="49" name="Line 68"/>
        <xdr:cNvSpPr>
          <a:spLocks noChangeShapeType="1"/>
        </xdr:cNvSpPr>
      </xdr:nvSpPr>
      <xdr:spPr bwMode="auto">
        <a:xfrm>
          <a:off x="2971800" y="1716405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60</xdr:row>
      <xdr:rowOff>152400</xdr:rowOff>
    </xdr:from>
    <xdr:to>
      <xdr:col>4</xdr:col>
      <xdr:colOff>514350</xdr:colOff>
      <xdr:row>61</xdr:row>
      <xdr:rowOff>38100</xdr:rowOff>
    </xdr:to>
    <xdr:sp macro="" textlink="">
      <xdr:nvSpPr>
        <xdr:cNvPr id="50" name="Line 69"/>
        <xdr:cNvSpPr>
          <a:spLocks noChangeShapeType="1"/>
        </xdr:cNvSpPr>
      </xdr:nvSpPr>
      <xdr:spPr bwMode="auto">
        <a:xfrm flipV="1">
          <a:off x="2952750" y="1716405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60</xdr:row>
      <xdr:rowOff>152400</xdr:rowOff>
    </xdr:from>
    <xdr:to>
      <xdr:col>4</xdr:col>
      <xdr:colOff>542925</xdr:colOff>
      <xdr:row>61</xdr:row>
      <xdr:rowOff>57150</xdr:rowOff>
    </xdr:to>
    <xdr:sp macro="" textlink="">
      <xdr:nvSpPr>
        <xdr:cNvPr id="51" name="Line 70"/>
        <xdr:cNvSpPr>
          <a:spLocks noChangeShapeType="1"/>
        </xdr:cNvSpPr>
      </xdr:nvSpPr>
      <xdr:spPr bwMode="auto">
        <a:xfrm>
          <a:off x="3028950" y="1716405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56</xdr:row>
      <xdr:rowOff>0</xdr:rowOff>
    </xdr:from>
    <xdr:to>
      <xdr:col>7</xdr:col>
      <xdr:colOff>0</xdr:colOff>
      <xdr:row>56</xdr:row>
      <xdr:rowOff>0</xdr:rowOff>
    </xdr:to>
    <xdr:sp macro="" textlink="">
      <xdr:nvSpPr>
        <xdr:cNvPr id="52" name="Line 71"/>
        <xdr:cNvSpPr>
          <a:spLocks noChangeShapeType="1"/>
        </xdr:cNvSpPr>
      </xdr:nvSpPr>
      <xdr:spPr bwMode="auto">
        <a:xfrm>
          <a:off x="3752850" y="16363950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55</xdr:row>
      <xdr:rowOff>85725</xdr:rowOff>
    </xdr:from>
    <xdr:to>
      <xdr:col>6</xdr:col>
      <xdr:colOff>0</xdr:colOff>
      <xdr:row>56</xdr:row>
      <xdr:rowOff>85725</xdr:rowOff>
    </xdr:to>
    <xdr:sp macro="" textlink="">
      <xdr:nvSpPr>
        <xdr:cNvPr id="53" name="Line 72"/>
        <xdr:cNvSpPr>
          <a:spLocks noChangeShapeType="1"/>
        </xdr:cNvSpPr>
      </xdr:nvSpPr>
      <xdr:spPr bwMode="auto">
        <a:xfrm>
          <a:off x="3752850" y="162877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55</xdr:row>
      <xdr:rowOff>95250</xdr:rowOff>
    </xdr:from>
    <xdr:to>
      <xdr:col>7</xdr:col>
      <xdr:colOff>0</xdr:colOff>
      <xdr:row>56</xdr:row>
      <xdr:rowOff>66675</xdr:rowOff>
    </xdr:to>
    <xdr:sp macro="" textlink="">
      <xdr:nvSpPr>
        <xdr:cNvPr id="54" name="Line 73"/>
        <xdr:cNvSpPr>
          <a:spLocks noChangeShapeType="1"/>
        </xdr:cNvSpPr>
      </xdr:nvSpPr>
      <xdr:spPr bwMode="auto">
        <a:xfrm>
          <a:off x="4362450" y="1629727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55</xdr:row>
      <xdr:rowOff>95250</xdr:rowOff>
    </xdr:from>
    <xdr:to>
      <xdr:col>5</xdr:col>
      <xdr:colOff>485775</xdr:colOff>
      <xdr:row>56</xdr:row>
      <xdr:rowOff>57150</xdr:rowOff>
    </xdr:to>
    <xdr:sp macro="" textlink="">
      <xdr:nvSpPr>
        <xdr:cNvPr id="55" name="Line 74"/>
        <xdr:cNvSpPr>
          <a:spLocks noChangeShapeType="1"/>
        </xdr:cNvSpPr>
      </xdr:nvSpPr>
      <xdr:spPr bwMode="auto">
        <a:xfrm>
          <a:off x="3629025" y="162972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55</xdr:row>
      <xdr:rowOff>95250</xdr:rowOff>
    </xdr:from>
    <xdr:to>
      <xdr:col>3</xdr:col>
      <xdr:colOff>104775</xdr:colOff>
      <xdr:row>56</xdr:row>
      <xdr:rowOff>76200</xdr:rowOff>
    </xdr:to>
    <xdr:sp macro="" textlink="">
      <xdr:nvSpPr>
        <xdr:cNvPr id="56" name="Line 75"/>
        <xdr:cNvSpPr>
          <a:spLocks noChangeShapeType="1"/>
        </xdr:cNvSpPr>
      </xdr:nvSpPr>
      <xdr:spPr bwMode="auto">
        <a:xfrm>
          <a:off x="2028825" y="162972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55</xdr:row>
      <xdr:rowOff>95250</xdr:rowOff>
    </xdr:from>
    <xdr:to>
      <xdr:col>3</xdr:col>
      <xdr:colOff>0</xdr:colOff>
      <xdr:row>56</xdr:row>
      <xdr:rowOff>95250</xdr:rowOff>
    </xdr:to>
    <xdr:sp macro="" textlink="">
      <xdr:nvSpPr>
        <xdr:cNvPr id="57" name="Line 76"/>
        <xdr:cNvSpPr>
          <a:spLocks noChangeShapeType="1"/>
        </xdr:cNvSpPr>
      </xdr:nvSpPr>
      <xdr:spPr bwMode="auto">
        <a:xfrm>
          <a:off x="1924050" y="162972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55</xdr:row>
      <xdr:rowOff>95250</xdr:rowOff>
    </xdr:from>
    <xdr:to>
      <xdr:col>2</xdr:col>
      <xdr:colOff>0</xdr:colOff>
      <xdr:row>56</xdr:row>
      <xdr:rowOff>47625</xdr:rowOff>
    </xdr:to>
    <xdr:sp macro="" textlink="">
      <xdr:nvSpPr>
        <xdr:cNvPr id="58" name="Line 77"/>
        <xdr:cNvSpPr>
          <a:spLocks noChangeShapeType="1"/>
        </xdr:cNvSpPr>
      </xdr:nvSpPr>
      <xdr:spPr bwMode="auto">
        <a:xfrm>
          <a:off x="1219200" y="162972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55</xdr:row>
      <xdr:rowOff>152400</xdr:rowOff>
    </xdr:from>
    <xdr:to>
      <xdr:col>3</xdr:col>
      <xdr:colOff>0</xdr:colOff>
      <xdr:row>55</xdr:row>
      <xdr:rowOff>152400</xdr:rowOff>
    </xdr:to>
    <xdr:sp macro="" textlink="">
      <xdr:nvSpPr>
        <xdr:cNvPr id="59" name="Line 78"/>
        <xdr:cNvSpPr>
          <a:spLocks noChangeShapeType="1"/>
        </xdr:cNvSpPr>
      </xdr:nvSpPr>
      <xdr:spPr bwMode="auto">
        <a:xfrm>
          <a:off x="1219200" y="16354425"/>
          <a:ext cx="70485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104775</xdr:colOff>
      <xdr:row>55</xdr:row>
      <xdr:rowOff>152400</xdr:rowOff>
    </xdr:from>
    <xdr:to>
      <xdr:col>5</xdr:col>
      <xdr:colOff>485775</xdr:colOff>
      <xdr:row>55</xdr:row>
      <xdr:rowOff>152400</xdr:rowOff>
    </xdr:to>
    <xdr:sp macro="" textlink="">
      <xdr:nvSpPr>
        <xdr:cNvPr id="60" name="Line 80"/>
        <xdr:cNvSpPr>
          <a:spLocks noChangeShapeType="1"/>
        </xdr:cNvSpPr>
      </xdr:nvSpPr>
      <xdr:spPr bwMode="auto">
        <a:xfrm>
          <a:off x="2028825" y="16354425"/>
          <a:ext cx="16002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0</xdr:colOff>
      <xdr:row>57</xdr:row>
      <xdr:rowOff>123825</xdr:rowOff>
    </xdr:from>
    <xdr:to>
      <xdr:col>4</xdr:col>
      <xdr:colOff>0</xdr:colOff>
      <xdr:row>58</xdr:row>
      <xdr:rowOff>85725</xdr:rowOff>
    </xdr:to>
    <xdr:sp macro="" textlink="">
      <xdr:nvSpPr>
        <xdr:cNvPr id="61" name="Line 81"/>
        <xdr:cNvSpPr>
          <a:spLocks noChangeShapeType="1"/>
        </xdr:cNvSpPr>
      </xdr:nvSpPr>
      <xdr:spPr bwMode="auto">
        <a:xfrm>
          <a:off x="2533650" y="166497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57</xdr:row>
      <xdr:rowOff>133350</xdr:rowOff>
    </xdr:from>
    <xdr:to>
      <xdr:col>5</xdr:col>
      <xdr:colOff>0</xdr:colOff>
      <xdr:row>58</xdr:row>
      <xdr:rowOff>76200</xdr:rowOff>
    </xdr:to>
    <xdr:sp macro="" textlink="">
      <xdr:nvSpPr>
        <xdr:cNvPr id="62" name="Line 82"/>
        <xdr:cNvSpPr>
          <a:spLocks noChangeShapeType="1"/>
        </xdr:cNvSpPr>
      </xdr:nvSpPr>
      <xdr:spPr bwMode="auto">
        <a:xfrm>
          <a:off x="3143250" y="166592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95250</xdr:colOff>
      <xdr:row>57</xdr:row>
      <xdr:rowOff>133350</xdr:rowOff>
    </xdr:from>
    <xdr:to>
      <xdr:col>3</xdr:col>
      <xdr:colOff>95250</xdr:colOff>
      <xdr:row>58</xdr:row>
      <xdr:rowOff>57150</xdr:rowOff>
    </xdr:to>
    <xdr:sp macro="" textlink="">
      <xdr:nvSpPr>
        <xdr:cNvPr id="63" name="Line 83"/>
        <xdr:cNvSpPr>
          <a:spLocks noChangeShapeType="1"/>
        </xdr:cNvSpPr>
      </xdr:nvSpPr>
      <xdr:spPr bwMode="auto">
        <a:xfrm>
          <a:off x="2019300" y="166592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57</xdr:row>
      <xdr:rowOff>133350</xdr:rowOff>
    </xdr:from>
    <xdr:to>
      <xdr:col>5</xdr:col>
      <xdr:colOff>485775</xdr:colOff>
      <xdr:row>58</xdr:row>
      <xdr:rowOff>57150</xdr:rowOff>
    </xdr:to>
    <xdr:sp macro="" textlink="">
      <xdr:nvSpPr>
        <xdr:cNvPr id="64" name="Line 84"/>
        <xdr:cNvSpPr>
          <a:spLocks noChangeShapeType="1"/>
        </xdr:cNvSpPr>
      </xdr:nvSpPr>
      <xdr:spPr bwMode="auto">
        <a:xfrm>
          <a:off x="3629025" y="166592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85725</xdr:colOff>
      <xdr:row>58</xdr:row>
      <xdr:rowOff>28575</xdr:rowOff>
    </xdr:from>
    <xdr:to>
      <xdr:col>3</xdr:col>
      <xdr:colOff>600075</xdr:colOff>
      <xdr:row>58</xdr:row>
      <xdr:rowOff>28575</xdr:rowOff>
    </xdr:to>
    <xdr:sp macro="" textlink="">
      <xdr:nvSpPr>
        <xdr:cNvPr id="65" name="Line 85"/>
        <xdr:cNvSpPr>
          <a:spLocks noChangeShapeType="1"/>
        </xdr:cNvSpPr>
      </xdr:nvSpPr>
      <xdr:spPr bwMode="auto">
        <a:xfrm>
          <a:off x="2009775" y="16716375"/>
          <a:ext cx="51435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0</xdr:colOff>
      <xdr:row>58</xdr:row>
      <xdr:rowOff>38100</xdr:rowOff>
    </xdr:from>
    <xdr:to>
      <xdr:col>5</xdr:col>
      <xdr:colOff>0</xdr:colOff>
      <xdr:row>58</xdr:row>
      <xdr:rowOff>38100</xdr:rowOff>
    </xdr:to>
    <xdr:sp macro="" textlink="">
      <xdr:nvSpPr>
        <xdr:cNvPr id="66" name="Line 86"/>
        <xdr:cNvSpPr>
          <a:spLocks noChangeShapeType="1"/>
        </xdr:cNvSpPr>
      </xdr:nvSpPr>
      <xdr:spPr bwMode="auto">
        <a:xfrm>
          <a:off x="2533650" y="16725900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0</xdr:colOff>
      <xdr:row>58</xdr:row>
      <xdr:rowOff>38100</xdr:rowOff>
    </xdr:from>
    <xdr:to>
      <xdr:col>5</xdr:col>
      <xdr:colOff>485775</xdr:colOff>
      <xdr:row>58</xdr:row>
      <xdr:rowOff>38100</xdr:rowOff>
    </xdr:to>
    <xdr:sp macro="" textlink="">
      <xdr:nvSpPr>
        <xdr:cNvPr id="67" name="Line 88"/>
        <xdr:cNvSpPr>
          <a:spLocks noChangeShapeType="1"/>
        </xdr:cNvSpPr>
      </xdr:nvSpPr>
      <xdr:spPr bwMode="auto">
        <a:xfrm>
          <a:off x="3143250" y="16725900"/>
          <a:ext cx="485775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59</xdr:row>
      <xdr:rowOff>0</xdr:rowOff>
    </xdr:from>
    <xdr:to>
      <xdr:col>6</xdr:col>
      <xdr:colOff>0</xdr:colOff>
      <xdr:row>60</xdr:row>
      <xdr:rowOff>152400</xdr:rowOff>
    </xdr:to>
    <xdr:sp macro="" textlink="">
      <xdr:nvSpPr>
        <xdr:cNvPr id="68" name="Line 89"/>
        <xdr:cNvSpPr>
          <a:spLocks noChangeShapeType="1"/>
        </xdr:cNvSpPr>
      </xdr:nvSpPr>
      <xdr:spPr bwMode="auto">
        <a:xfrm>
          <a:off x="3752850" y="16849725"/>
          <a:ext cx="0" cy="3143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581025</xdr:colOff>
      <xdr:row>59</xdr:row>
      <xdr:rowOff>0</xdr:rowOff>
    </xdr:from>
    <xdr:to>
      <xdr:col>6</xdr:col>
      <xdr:colOff>38100</xdr:colOff>
      <xdr:row>59</xdr:row>
      <xdr:rowOff>0</xdr:rowOff>
    </xdr:to>
    <xdr:sp macro="" textlink="">
      <xdr:nvSpPr>
        <xdr:cNvPr id="69" name="Line 90"/>
        <xdr:cNvSpPr>
          <a:spLocks noChangeShapeType="1"/>
        </xdr:cNvSpPr>
      </xdr:nvSpPr>
      <xdr:spPr bwMode="auto">
        <a:xfrm>
          <a:off x="3724275" y="1684972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58</xdr:row>
      <xdr:rowOff>152400</xdr:rowOff>
    </xdr:from>
    <xdr:to>
      <xdr:col>4</xdr:col>
      <xdr:colOff>447675</xdr:colOff>
      <xdr:row>59</xdr:row>
      <xdr:rowOff>47625</xdr:rowOff>
    </xdr:to>
    <xdr:sp macro="" textlink="">
      <xdr:nvSpPr>
        <xdr:cNvPr id="70" name="Line 196"/>
        <xdr:cNvSpPr>
          <a:spLocks noChangeShapeType="1"/>
        </xdr:cNvSpPr>
      </xdr:nvSpPr>
      <xdr:spPr bwMode="auto">
        <a:xfrm flipH="1">
          <a:off x="2886075" y="168402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58</xdr:row>
      <xdr:rowOff>152400</xdr:rowOff>
    </xdr:from>
    <xdr:to>
      <xdr:col>4</xdr:col>
      <xdr:colOff>466725</xdr:colOff>
      <xdr:row>59</xdr:row>
      <xdr:rowOff>47625</xdr:rowOff>
    </xdr:to>
    <xdr:sp macro="" textlink="">
      <xdr:nvSpPr>
        <xdr:cNvPr id="71" name="Line 197"/>
        <xdr:cNvSpPr>
          <a:spLocks noChangeShapeType="1"/>
        </xdr:cNvSpPr>
      </xdr:nvSpPr>
      <xdr:spPr bwMode="auto">
        <a:xfrm>
          <a:off x="2971800" y="168402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58</xdr:row>
      <xdr:rowOff>152400</xdr:rowOff>
    </xdr:from>
    <xdr:to>
      <xdr:col>4</xdr:col>
      <xdr:colOff>514350</xdr:colOff>
      <xdr:row>59</xdr:row>
      <xdr:rowOff>38100</xdr:rowOff>
    </xdr:to>
    <xdr:sp macro="" textlink="">
      <xdr:nvSpPr>
        <xdr:cNvPr id="72" name="Line 198"/>
        <xdr:cNvSpPr>
          <a:spLocks noChangeShapeType="1"/>
        </xdr:cNvSpPr>
      </xdr:nvSpPr>
      <xdr:spPr bwMode="auto">
        <a:xfrm flipV="1">
          <a:off x="2952750" y="168402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58</xdr:row>
      <xdr:rowOff>152400</xdr:rowOff>
    </xdr:from>
    <xdr:to>
      <xdr:col>4</xdr:col>
      <xdr:colOff>542925</xdr:colOff>
      <xdr:row>59</xdr:row>
      <xdr:rowOff>57150</xdr:rowOff>
    </xdr:to>
    <xdr:sp macro="" textlink="">
      <xdr:nvSpPr>
        <xdr:cNvPr id="73" name="Line 199"/>
        <xdr:cNvSpPr>
          <a:spLocks noChangeShapeType="1"/>
        </xdr:cNvSpPr>
      </xdr:nvSpPr>
      <xdr:spPr bwMode="auto">
        <a:xfrm>
          <a:off x="3028950" y="168402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58</xdr:row>
      <xdr:rowOff>152400</xdr:rowOff>
    </xdr:from>
    <xdr:to>
      <xdr:col>4</xdr:col>
      <xdr:colOff>447675</xdr:colOff>
      <xdr:row>59</xdr:row>
      <xdr:rowOff>47625</xdr:rowOff>
    </xdr:to>
    <xdr:sp macro="" textlink="">
      <xdr:nvSpPr>
        <xdr:cNvPr id="74" name="Line 200"/>
        <xdr:cNvSpPr>
          <a:spLocks noChangeShapeType="1"/>
        </xdr:cNvSpPr>
      </xdr:nvSpPr>
      <xdr:spPr bwMode="auto">
        <a:xfrm flipH="1">
          <a:off x="2886075" y="168402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58</xdr:row>
      <xdr:rowOff>152400</xdr:rowOff>
    </xdr:from>
    <xdr:to>
      <xdr:col>4</xdr:col>
      <xdr:colOff>466725</xdr:colOff>
      <xdr:row>59</xdr:row>
      <xdr:rowOff>47625</xdr:rowOff>
    </xdr:to>
    <xdr:sp macro="" textlink="">
      <xdr:nvSpPr>
        <xdr:cNvPr id="75" name="Line 201"/>
        <xdr:cNvSpPr>
          <a:spLocks noChangeShapeType="1"/>
        </xdr:cNvSpPr>
      </xdr:nvSpPr>
      <xdr:spPr bwMode="auto">
        <a:xfrm>
          <a:off x="2971800" y="168402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58</xdr:row>
      <xdr:rowOff>152400</xdr:rowOff>
    </xdr:from>
    <xdr:to>
      <xdr:col>4</xdr:col>
      <xdr:colOff>514350</xdr:colOff>
      <xdr:row>59</xdr:row>
      <xdr:rowOff>38100</xdr:rowOff>
    </xdr:to>
    <xdr:sp macro="" textlink="">
      <xdr:nvSpPr>
        <xdr:cNvPr id="76" name="Line 202"/>
        <xdr:cNvSpPr>
          <a:spLocks noChangeShapeType="1"/>
        </xdr:cNvSpPr>
      </xdr:nvSpPr>
      <xdr:spPr bwMode="auto">
        <a:xfrm flipV="1">
          <a:off x="2952750" y="168402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58</xdr:row>
      <xdr:rowOff>152400</xdr:rowOff>
    </xdr:from>
    <xdr:to>
      <xdr:col>4</xdr:col>
      <xdr:colOff>542925</xdr:colOff>
      <xdr:row>59</xdr:row>
      <xdr:rowOff>57150</xdr:rowOff>
    </xdr:to>
    <xdr:sp macro="" textlink="">
      <xdr:nvSpPr>
        <xdr:cNvPr id="77" name="Line 203"/>
        <xdr:cNvSpPr>
          <a:spLocks noChangeShapeType="1"/>
        </xdr:cNvSpPr>
      </xdr:nvSpPr>
      <xdr:spPr bwMode="auto">
        <a:xfrm>
          <a:off x="3028950" y="168402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</xdr:colOff>
      <xdr:row>69</xdr:row>
      <xdr:rowOff>123825</xdr:rowOff>
    </xdr:from>
    <xdr:to>
      <xdr:col>6</xdr:col>
      <xdr:colOff>66675</xdr:colOff>
      <xdr:row>70</xdr:row>
      <xdr:rowOff>66675</xdr:rowOff>
    </xdr:to>
    <xdr:sp macro="" textlink="">
      <xdr:nvSpPr>
        <xdr:cNvPr id="78" name="Line 212"/>
        <xdr:cNvSpPr>
          <a:spLocks noChangeShapeType="1"/>
        </xdr:cNvSpPr>
      </xdr:nvSpPr>
      <xdr:spPr bwMode="auto">
        <a:xfrm>
          <a:off x="3724275" y="129349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685800</xdr:colOff>
      <xdr:row>73</xdr:row>
      <xdr:rowOff>57150</xdr:rowOff>
    </xdr:from>
    <xdr:to>
      <xdr:col>3</xdr:col>
      <xdr:colOff>171450</xdr:colOff>
      <xdr:row>73</xdr:row>
      <xdr:rowOff>57150</xdr:rowOff>
    </xdr:to>
    <xdr:sp macro="" textlink="">
      <xdr:nvSpPr>
        <xdr:cNvPr id="79" name="Line 225"/>
        <xdr:cNvSpPr>
          <a:spLocks noChangeShapeType="1"/>
        </xdr:cNvSpPr>
      </xdr:nvSpPr>
      <xdr:spPr bwMode="auto">
        <a:xfrm flipV="1">
          <a:off x="1905000" y="1917382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0</xdr:colOff>
      <xdr:row>54</xdr:row>
      <xdr:rowOff>19050</xdr:rowOff>
    </xdr:from>
    <xdr:to>
      <xdr:col>3</xdr:col>
      <xdr:colOff>0</xdr:colOff>
      <xdr:row>54</xdr:row>
      <xdr:rowOff>123825</xdr:rowOff>
    </xdr:to>
    <xdr:sp macro="" textlink="">
      <xdr:nvSpPr>
        <xdr:cNvPr id="84" name="Line 259"/>
        <xdr:cNvSpPr>
          <a:spLocks noChangeShapeType="1"/>
        </xdr:cNvSpPr>
      </xdr:nvSpPr>
      <xdr:spPr bwMode="auto">
        <a:xfrm>
          <a:off x="1924050" y="160591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95250</xdr:colOff>
      <xdr:row>54</xdr:row>
      <xdr:rowOff>9525</xdr:rowOff>
    </xdr:from>
    <xdr:to>
      <xdr:col>3</xdr:col>
      <xdr:colOff>95250</xdr:colOff>
      <xdr:row>54</xdr:row>
      <xdr:rowOff>152400</xdr:rowOff>
    </xdr:to>
    <xdr:sp macro="" textlink="">
      <xdr:nvSpPr>
        <xdr:cNvPr id="85" name="Line 260"/>
        <xdr:cNvSpPr>
          <a:spLocks noChangeShapeType="1"/>
        </xdr:cNvSpPr>
      </xdr:nvSpPr>
      <xdr:spPr bwMode="auto">
        <a:xfrm>
          <a:off x="2019300" y="160496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54</xdr:row>
      <xdr:rowOff>9525</xdr:rowOff>
    </xdr:from>
    <xdr:to>
      <xdr:col>6</xdr:col>
      <xdr:colOff>0</xdr:colOff>
      <xdr:row>54</xdr:row>
      <xdr:rowOff>123825</xdr:rowOff>
    </xdr:to>
    <xdr:sp macro="" textlink="">
      <xdr:nvSpPr>
        <xdr:cNvPr id="86" name="Line 261"/>
        <xdr:cNvSpPr>
          <a:spLocks noChangeShapeType="1"/>
        </xdr:cNvSpPr>
      </xdr:nvSpPr>
      <xdr:spPr bwMode="auto">
        <a:xfrm>
          <a:off x="3752850" y="160496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54</xdr:row>
      <xdr:rowOff>0</xdr:rowOff>
    </xdr:from>
    <xdr:to>
      <xdr:col>5</xdr:col>
      <xdr:colOff>495300</xdr:colOff>
      <xdr:row>54</xdr:row>
      <xdr:rowOff>104775</xdr:rowOff>
    </xdr:to>
    <xdr:sp macro="" textlink="">
      <xdr:nvSpPr>
        <xdr:cNvPr id="87" name="Line 264"/>
        <xdr:cNvSpPr>
          <a:spLocks noChangeShapeType="1"/>
        </xdr:cNvSpPr>
      </xdr:nvSpPr>
      <xdr:spPr bwMode="auto">
        <a:xfrm>
          <a:off x="3638550" y="160401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438150</xdr:colOff>
      <xdr:row>54</xdr:row>
      <xdr:rowOff>66675</xdr:rowOff>
    </xdr:from>
    <xdr:to>
      <xdr:col>2</xdr:col>
      <xdr:colOff>600075</xdr:colOff>
      <xdr:row>54</xdr:row>
      <xdr:rowOff>66675</xdr:rowOff>
    </xdr:to>
    <xdr:sp macro="" textlink="">
      <xdr:nvSpPr>
        <xdr:cNvPr id="88" name="Line 265"/>
        <xdr:cNvSpPr>
          <a:spLocks noChangeShapeType="1"/>
        </xdr:cNvSpPr>
      </xdr:nvSpPr>
      <xdr:spPr bwMode="auto">
        <a:xfrm>
          <a:off x="1657350" y="161067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95250</xdr:colOff>
      <xdr:row>54</xdr:row>
      <xdr:rowOff>66675</xdr:rowOff>
    </xdr:from>
    <xdr:to>
      <xdr:col>3</xdr:col>
      <xdr:colOff>209550</xdr:colOff>
      <xdr:row>54</xdr:row>
      <xdr:rowOff>76200</xdr:rowOff>
    </xdr:to>
    <xdr:sp macro="" textlink="">
      <xdr:nvSpPr>
        <xdr:cNvPr id="89" name="Line 266"/>
        <xdr:cNvSpPr>
          <a:spLocks noChangeShapeType="1"/>
        </xdr:cNvSpPr>
      </xdr:nvSpPr>
      <xdr:spPr bwMode="auto">
        <a:xfrm flipH="1" flipV="1">
          <a:off x="2019300" y="16106775"/>
          <a:ext cx="1143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390525</xdr:colOff>
      <xdr:row>54</xdr:row>
      <xdr:rowOff>47625</xdr:rowOff>
    </xdr:from>
    <xdr:to>
      <xdr:col>5</xdr:col>
      <xdr:colOff>495300</xdr:colOff>
      <xdr:row>54</xdr:row>
      <xdr:rowOff>57150</xdr:rowOff>
    </xdr:to>
    <xdr:sp macro="" textlink="">
      <xdr:nvSpPr>
        <xdr:cNvPr id="90" name="Line 267"/>
        <xdr:cNvSpPr>
          <a:spLocks noChangeShapeType="1"/>
        </xdr:cNvSpPr>
      </xdr:nvSpPr>
      <xdr:spPr bwMode="auto">
        <a:xfrm>
          <a:off x="3533775" y="16087725"/>
          <a:ext cx="1047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9525</xdr:colOff>
      <xdr:row>54</xdr:row>
      <xdr:rowOff>57150</xdr:rowOff>
    </xdr:from>
    <xdr:to>
      <xdr:col>6</xdr:col>
      <xdr:colOff>161925</xdr:colOff>
      <xdr:row>54</xdr:row>
      <xdr:rowOff>57150</xdr:rowOff>
    </xdr:to>
    <xdr:sp macro="" textlink="">
      <xdr:nvSpPr>
        <xdr:cNvPr id="91" name="Line 268"/>
        <xdr:cNvSpPr>
          <a:spLocks noChangeShapeType="1"/>
        </xdr:cNvSpPr>
      </xdr:nvSpPr>
      <xdr:spPr bwMode="auto">
        <a:xfrm flipH="1">
          <a:off x="3762375" y="160972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9525</xdr:colOff>
      <xdr:row>75</xdr:row>
      <xdr:rowOff>0</xdr:rowOff>
    </xdr:from>
    <xdr:to>
      <xdr:col>7</xdr:col>
      <xdr:colOff>0</xdr:colOff>
      <xdr:row>75</xdr:row>
      <xdr:rowOff>0</xdr:rowOff>
    </xdr:to>
    <xdr:sp macro="" textlink="">
      <xdr:nvSpPr>
        <xdr:cNvPr id="92" name="Line 271"/>
        <xdr:cNvSpPr>
          <a:spLocks noChangeShapeType="1"/>
        </xdr:cNvSpPr>
      </xdr:nvSpPr>
      <xdr:spPr bwMode="auto">
        <a:xfrm>
          <a:off x="1228725" y="19440525"/>
          <a:ext cx="3133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171450</xdr:colOff>
      <xdr:row>72</xdr:row>
      <xdr:rowOff>152400</xdr:rowOff>
    </xdr:from>
    <xdr:to>
      <xdr:col>3</xdr:col>
      <xdr:colOff>171450</xdr:colOff>
      <xdr:row>73</xdr:row>
      <xdr:rowOff>85725</xdr:rowOff>
    </xdr:to>
    <xdr:sp macro="" textlink="">
      <xdr:nvSpPr>
        <xdr:cNvPr id="94" name="Line 278"/>
        <xdr:cNvSpPr>
          <a:spLocks noChangeShapeType="1"/>
        </xdr:cNvSpPr>
      </xdr:nvSpPr>
      <xdr:spPr bwMode="auto">
        <a:xfrm>
          <a:off x="2095500" y="191071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381000</xdr:colOff>
      <xdr:row>73</xdr:row>
      <xdr:rowOff>47625</xdr:rowOff>
    </xdr:from>
    <xdr:to>
      <xdr:col>5</xdr:col>
      <xdr:colOff>381000</xdr:colOff>
      <xdr:row>73</xdr:row>
      <xdr:rowOff>133350</xdr:rowOff>
    </xdr:to>
    <xdr:sp macro="" textlink="">
      <xdr:nvSpPr>
        <xdr:cNvPr id="95" name="Line 279"/>
        <xdr:cNvSpPr>
          <a:spLocks noChangeShapeType="1"/>
        </xdr:cNvSpPr>
      </xdr:nvSpPr>
      <xdr:spPr bwMode="auto">
        <a:xfrm>
          <a:off x="3524250" y="191643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390525</xdr:colOff>
      <xdr:row>73</xdr:row>
      <xdr:rowOff>76200</xdr:rowOff>
    </xdr:from>
    <xdr:to>
      <xdr:col>6</xdr:col>
      <xdr:colOff>0</xdr:colOff>
      <xdr:row>73</xdr:row>
      <xdr:rowOff>76200</xdr:rowOff>
    </xdr:to>
    <xdr:sp macro="" textlink="">
      <xdr:nvSpPr>
        <xdr:cNvPr id="96" name="Line 282"/>
        <xdr:cNvSpPr>
          <a:spLocks noChangeShapeType="1"/>
        </xdr:cNvSpPr>
      </xdr:nvSpPr>
      <xdr:spPr bwMode="auto">
        <a:xfrm>
          <a:off x="3533775" y="1919287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238124</xdr:colOff>
      <xdr:row>62</xdr:row>
      <xdr:rowOff>57150</xdr:rowOff>
    </xdr:from>
    <xdr:to>
      <xdr:col>4</xdr:col>
      <xdr:colOff>333375</xdr:colOff>
      <xdr:row>64</xdr:row>
      <xdr:rowOff>57150</xdr:rowOff>
    </xdr:to>
    <xdr:sp macro="" textlink="">
      <xdr:nvSpPr>
        <xdr:cNvPr id="106" name="Line 341"/>
        <xdr:cNvSpPr>
          <a:spLocks noChangeShapeType="1"/>
        </xdr:cNvSpPr>
      </xdr:nvSpPr>
      <xdr:spPr bwMode="auto">
        <a:xfrm flipH="1">
          <a:off x="2771774" y="17392650"/>
          <a:ext cx="95251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333375</xdr:colOff>
      <xdr:row>62</xdr:row>
      <xdr:rowOff>66675</xdr:rowOff>
    </xdr:from>
    <xdr:to>
      <xdr:col>5</xdr:col>
      <xdr:colOff>9525</xdr:colOff>
      <xdr:row>62</xdr:row>
      <xdr:rowOff>66675</xdr:rowOff>
    </xdr:to>
    <xdr:sp macro="" textlink="">
      <xdr:nvSpPr>
        <xdr:cNvPr id="107" name="Line 342"/>
        <xdr:cNvSpPr>
          <a:spLocks noChangeShapeType="1"/>
        </xdr:cNvSpPr>
      </xdr:nvSpPr>
      <xdr:spPr bwMode="auto">
        <a:xfrm>
          <a:off x="2867025" y="17402175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85725</xdr:colOff>
      <xdr:row>69</xdr:row>
      <xdr:rowOff>0</xdr:rowOff>
    </xdr:from>
    <xdr:ext cx="175304" cy="170560"/>
    <xdr:sp macro="" textlink="">
      <xdr:nvSpPr>
        <xdr:cNvPr id="110" name="Text Box 161"/>
        <xdr:cNvSpPr txBox="1">
          <a:spLocks noChangeArrowheads="1"/>
        </xdr:cNvSpPr>
      </xdr:nvSpPr>
      <xdr:spPr bwMode="auto">
        <a:xfrm>
          <a:off x="2619375" y="18468975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6</xdr:col>
      <xdr:colOff>0</xdr:colOff>
      <xdr:row>70</xdr:row>
      <xdr:rowOff>66675</xdr:rowOff>
    </xdr:from>
    <xdr:to>
      <xdr:col>6</xdr:col>
      <xdr:colOff>590550</xdr:colOff>
      <xdr:row>70</xdr:row>
      <xdr:rowOff>68263</xdr:rowOff>
    </xdr:to>
    <xdr:cxnSp macro="">
      <xdr:nvCxnSpPr>
        <xdr:cNvPr id="111" name="Straight Connector 110"/>
        <xdr:cNvCxnSpPr/>
      </xdr:nvCxnSpPr>
      <xdr:spPr bwMode="auto">
        <a:xfrm>
          <a:off x="3752850" y="18697575"/>
          <a:ext cx="590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599281</xdr:colOff>
      <xdr:row>69</xdr:row>
      <xdr:rowOff>153194</xdr:rowOff>
    </xdr:from>
    <xdr:to>
      <xdr:col>5</xdr:col>
      <xdr:colOff>600869</xdr:colOff>
      <xdr:row>70</xdr:row>
      <xdr:rowOff>67469</xdr:rowOff>
    </xdr:to>
    <xdr:cxnSp macro="">
      <xdr:nvCxnSpPr>
        <xdr:cNvPr id="112" name="Straight Connector 111"/>
        <xdr:cNvCxnSpPr/>
      </xdr:nvCxnSpPr>
      <xdr:spPr bwMode="auto">
        <a:xfrm rot="5400000">
          <a:off x="3705225" y="18659475"/>
          <a:ext cx="762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609599</xdr:colOff>
      <xdr:row>71</xdr:row>
      <xdr:rowOff>152400</xdr:rowOff>
    </xdr:from>
    <xdr:to>
      <xdr:col>3</xdr:col>
      <xdr:colOff>9524</xdr:colOff>
      <xdr:row>72</xdr:row>
      <xdr:rowOff>0</xdr:rowOff>
    </xdr:to>
    <xdr:cxnSp macro="">
      <xdr:nvCxnSpPr>
        <xdr:cNvPr id="113" name="Straight Connector 112"/>
        <xdr:cNvCxnSpPr>
          <a:stCxn id="14" idx="0"/>
        </xdr:cNvCxnSpPr>
      </xdr:nvCxnSpPr>
      <xdr:spPr bwMode="auto">
        <a:xfrm rot="16200000" flipH="1">
          <a:off x="1571624" y="18592800"/>
          <a:ext cx="9525" cy="7143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72</xdr:row>
      <xdr:rowOff>0</xdr:rowOff>
    </xdr:from>
    <xdr:to>
      <xdr:col>6</xdr:col>
      <xdr:colOff>600075</xdr:colOff>
      <xdr:row>72</xdr:row>
      <xdr:rowOff>9525</xdr:rowOff>
    </xdr:to>
    <xdr:cxnSp macro="">
      <xdr:nvCxnSpPr>
        <xdr:cNvPr id="114" name="Straight Connector 113"/>
        <xdr:cNvCxnSpPr/>
      </xdr:nvCxnSpPr>
      <xdr:spPr bwMode="auto">
        <a:xfrm>
          <a:off x="3752850" y="18954750"/>
          <a:ext cx="6000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171450</xdr:colOff>
      <xdr:row>71</xdr:row>
      <xdr:rowOff>9525</xdr:rowOff>
    </xdr:from>
    <xdr:to>
      <xdr:col>5</xdr:col>
      <xdr:colOff>495300</xdr:colOff>
      <xdr:row>71</xdr:row>
      <xdr:rowOff>19051</xdr:rowOff>
    </xdr:to>
    <xdr:cxnSp macro="">
      <xdr:nvCxnSpPr>
        <xdr:cNvPr id="115" name="Straight Connector 114"/>
        <xdr:cNvCxnSpPr/>
      </xdr:nvCxnSpPr>
      <xdr:spPr bwMode="auto">
        <a:xfrm flipV="1">
          <a:off x="2095500" y="18802350"/>
          <a:ext cx="154305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</xdr:colOff>
      <xdr:row>71</xdr:row>
      <xdr:rowOff>9524</xdr:rowOff>
    </xdr:from>
    <xdr:to>
      <xdr:col>3</xdr:col>
      <xdr:colOff>180975</xdr:colOff>
      <xdr:row>72</xdr:row>
      <xdr:rowOff>9524</xdr:rowOff>
    </xdr:to>
    <xdr:cxnSp macro="">
      <xdr:nvCxnSpPr>
        <xdr:cNvPr id="116" name="Straight Connector 115"/>
        <xdr:cNvCxnSpPr/>
      </xdr:nvCxnSpPr>
      <xdr:spPr bwMode="auto">
        <a:xfrm rot="10800000" flipV="1">
          <a:off x="1933575" y="18802349"/>
          <a:ext cx="171450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495301</xdr:colOff>
      <xdr:row>71</xdr:row>
      <xdr:rowOff>19049</xdr:rowOff>
    </xdr:from>
    <xdr:to>
      <xdr:col>6</xdr:col>
      <xdr:colOff>19051</xdr:colOff>
      <xdr:row>71</xdr:row>
      <xdr:rowOff>161924</xdr:rowOff>
    </xdr:to>
    <xdr:cxnSp macro="">
      <xdr:nvCxnSpPr>
        <xdr:cNvPr id="117" name="Straight Connector 116"/>
        <xdr:cNvCxnSpPr/>
      </xdr:nvCxnSpPr>
      <xdr:spPr bwMode="auto">
        <a:xfrm rot="16200000" flipH="1">
          <a:off x="3633788" y="18816637"/>
          <a:ext cx="142875" cy="1333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</xdr:colOff>
      <xdr:row>72</xdr:row>
      <xdr:rowOff>66678</xdr:rowOff>
    </xdr:from>
    <xdr:to>
      <xdr:col>3</xdr:col>
      <xdr:colOff>9526</xdr:colOff>
      <xdr:row>73</xdr:row>
      <xdr:rowOff>133352</xdr:rowOff>
    </xdr:to>
    <xdr:cxnSp macro="">
      <xdr:nvCxnSpPr>
        <xdr:cNvPr id="120" name="Straight Connector 119"/>
        <xdr:cNvCxnSpPr/>
      </xdr:nvCxnSpPr>
      <xdr:spPr bwMode="auto">
        <a:xfrm rot="16200000" flipH="1">
          <a:off x="1719264" y="13473116"/>
          <a:ext cx="228599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72</xdr:row>
      <xdr:rowOff>85724</xdr:rowOff>
    </xdr:from>
    <xdr:to>
      <xdr:col>6</xdr:col>
      <xdr:colOff>1</xdr:colOff>
      <xdr:row>74</xdr:row>
      <xdr:rowOff>19050</xdr:rowOff>
    </xdr:to>
    <xdr:cxnSp macro="">
      <xdr:nvCxnSpPr>
        <xdr:cNvPr id="123" name="Straight Connector 122"/>
        <xdr:cNvCxnSpPr/>
      </xdr:nvCxnSpPr>
      <xdr:spPr bwMode="auto">
        <a:xfrm rot="5400000">
          <a:off x="3524250" y="13506449"/>
          <a:ext cx="257176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66675</xdr:colOff>
      <xdr:row>69</xdr:row>
      <xdr:rowOff>133350</xdr:rowOff>
    </xdr:from>
    <xdr:to>
      <xdr:col>6</xdr:col>
      <xdr:colOff>247650</xdr:colOff>
      <xdr:row>69</xdr:row>
      <xdr:rowOff>134938</xdr:rowOff>
    </xdr:to>
    <xdr:cxnSp macro="">
      <xdr:nvCxnSpPr>
        <xdr:cNvPr id="124" name="Straight Connector 123"/>
        <xdr:cNvCxnSpPr/>
      </xdr:nvCxnSpPr>
      <xdr:spPr bwMode="auto">
        <a:xfrm>
          <a:off x="3724275" y="12944475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1</xdr:col>
      <xdr:colOff>381000</xdr:colOff>
      <xdr:row>60</xdr:row>
      <xdr:rowOff>0</xdr:rowOff>
    </xdr:from>
    <xdr:ext cx="175304" cy="170560"/>
    <xdr:sp macro="" textlink="">
      <xdr:nvSpPr>
        <xdr:cNvPr id="127" name="Text Box 161"/>
        <xdr:cNvSpPr txBox="1">
          <a:spLocks noChangeArrowheads="1"/>
        </xdr:cNvSpPr>
      </xdr:nvSpPr>
      <xdr:spPr bwMode="auto">
        <a:xfrm>
          <a:off x="6038850" y="11515725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oneCellAnchor>
    <xdr:from>
      <xdr:col>4</xdr:col>
      <xdr:colOff>133350</xdr:colOff>
      <xdr:row>64</xdr:row>
      <xdr:rowOff>133350</xdr:rowOff>
    </xdr:from>
    <xdr:ext cx="175304" cy="170560"/>
    <xdr:sp macro="" textlink="">
      <xdr:nvSpPr>
        <xdr:cNvPr id="128" name="Text Box 161"/>
        <xdr:cNvSpPr txBox="1">
          <a:spLocks noChangeArrowheads="1"/>
        </xdr:cNvSpPr>
      </xdr:nvSpPr>
      <xdr:spPr bwMode="auto">
        <a:xfrm>
          <a:off x="2667000" y="17792700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1</xdr:col>
      <xdr:colOff>133350</xdr:colOff>
      <xdr:row>59</xdr:row>
      <xdr:rowOff>9525</xdr:rowOff>
    </xdr:from>
    <xdr:to>
      <xdr:col>2</xdr:col>
      <xdr:colOff>647700</xdr:colOff>
      <xdr:row>59</xdr:row>
      <xdr:rowOff>11113</xdr:rowOff>
    </xdr:to>
    <xdr:cxnSp macro="">
      <xdr:nvCxnSpPr>
        <xdr:cNvPr id="129" name="Straight Connector 128"/>
        <xdr:cNvCxnSpPr/>
      </xdr:nvCxnSpPr>
      <xdr:spPr bwMode="auto">
        <a:xfrm rot="10800000">
          <a:off x="742950" y="16859250"/>
          <a:ext cx="11239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1</xdr:col>
      <xdr:colOff>419100</xdr:colOff>
      <xdr:row>58</xdr:row>
      <xdr:rowOff>0</xdr:rowOff>
    </xdr:from>
    <xdr:ext cx="175304" cy="170560"/>
    <xdr:sp macro="" textlink="">
      <xdr:nvSpPr>
        <xdr:cNvPr id="130" name="Text Box 161"/>
        <xdr:cNvSpPr txBox="1">
          <a:spLocks noChangeArrowheads="1"/>
        </xdr:cNvSpPr>
      </xdr:nvSpPr>
      <xdr:spPr bwMode="auto">
        <a:xfrm>
          <a:off x="1028700" y="16687800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oneCellAnchor>
    <xdr:from>
      <xdr:col>2</xdr:col>
      <xdr:colOff>333375</xdr:colOff>
      <xdr:row>57</xdr:row>
      <xdr:rowOff>142875</xdr:rowOff>
    </xdr:from>
    <xdr:ext cx="125291" cy="170560"/>
    <xdr:sp macro="" textlink="">
      <xdr:nvSpPr>
        <xdr:cNvPr id="131" name="Text Box 161"/>
        <xdr:cNvSpPr txBox="1">
          <a:spLocks noChangeArrowheads="1"/>
        </xdr:cNvSpPr>
      </xdr:nvSpPr>
      <xdr:spPr bwMode="auto">
        <a:xfrm>
          <a:off x="1552575" y="16668750"/>
          <a:ext cx="125291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1</xdr:col>
      <xdr:colOff>600869</xdr:colOff>
      <xdr:row>69</xdr:row>
      <xdr:rowOff>151606</xdr:rowOff>
    </xdr:from>
    <xdr:to>
      <xdr:col>5</xdr:col>
      <xdr:colOff>600869</xdr:colOff>
      <xdr:row>69</xdr:row>
      <xdr:rowOff>153194</xdr:rowOff>
    </xdr:to>
    <xdr:cxnSp macro="">
      <xdr:nvCxnSpPr>
        <xdr:cNvPr id="133" name="Straight Connector 132"/>
        <xdr:cNvCxnSpPr/>
      </xdr:nvCxnSpPr>
      <xdr:spPr bwMode="auto">
        <a:xfrm rot="5400000" flipH="1" flipV="1">
          <a:off x="2428875" y="11744325"/>
          <a:ext cx="1588" cy="243840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361950</xdr:colOff>
      <xdr:row>61</xdr:row>
      <xdr:rowOff>95250</xdr:rowOff>
    </xdr:from>
    <xdr:to>
      <xdr:col>1</xdr:col>
      <xdr:colOff>304800</xdr:colOff>
      <xdr:row>61</xdr:row>
      <xdr:rowOff>96838</xdr:rowOff>
    </xdr:to>
    <xdr:cxnSp macro="">
      <xdr:nvCxnSpPr>
        <xdr:cNvPr id="98" name="Straight Connector 97"/>
        <xdr:cNvCxnSpPr/>
      </xdr:nvCxnSpPr>
      <xdr:spPr bwMode="auto">
        <a:xfrm rot="10800000">
          <a:off x="361950" y="10410825"/>
          <a:ext cx="5524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295275</xdr:colOff>
      <xdr:row>70</xdr:row>
      <xdr:rowOff>0</xdr:rowOff>
    </xdr:from>
    <xdr:to>
      <xdr:col>1</xdr:col>
      <xdr:colOff>381000</xdr:colOff>
      <xdr:row>70</xdr:row>
      <xdr:rowOff>9525</xdr:rowOff>
    </xdr:to>
    <xdr:cxnSp macro="">
      <xdr:nvCxnSpPr>
        <xdr:cNvPr id="100" name="Straight Connector 99"/>
        <xdr:cNvCxnSpPr/>
      </xdr:nvCxnSpPr>
      <xdr:spPr bwMode="auto">
        <a:xfrm flipV="1">
          <a:off x="295275" y="12973050"/>
          <a:ext cx="6953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323850</xdr:colOff>
      <xdr:row>71</xdr:row>
      <xdr:rowOff>152400</xdr:rowOff>
    </xdr:from>
    <xdr:to>
      <xdr:col>1</xdr:col>
      <xdr:colOff>390525</xdr:colOff>
      <xdr:row>71</xdr:row>
      <xdr:rowOff>152401</xdr:rowOff>
    </xdr:to>
    <xdr:cxnSp macro="">
      <xdr:nvCxnSpPr>
        <xdr:cNvPr id="102" name="Straight Connector 101"/>
        <xdr:cNvCxnSpPr/>
      </xdr:nvCxnSpPr>
      <xdr:spPr bwMode="auto">
        <a:xfrm>
          <a:off x="323850" y="12087225"/>
          <a:ext cx="67627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609598</xdr:colOff>
      <xdr:row>61</xdr:row>
      <xdr:rowOff>114303</xdr:rowOff>
    </xdr:from>
    <xdr:to>
      <xdr:col>0</xdr:col>
      <xdr:colOff>609599</xdr:colOff>
      <xdr:row>70</xdr:row>
      <xdr:rowOff>19050</xdr:rowOff>
    </xdr:to>
    <xdr:cxnSp macro="">
      <xdr:nvCxnSpPr>
        <xdr:cNvPr id="104" name="Straight Arrow Connector 103"/>
        <xdr:cNvCxnSpPr/>
      </xdr:nvCxnSpPr>
      <xdr:spPr bwMode="auto">
        <a:xfrm rot="16200000" flipH="1">
          <a:off x="-71437" y="11110913"/>
          <a:ext cx="1362072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608807</xdr:colOff>
      <xdr:row>70</xdr:row>
      <xdr:rowOff>19843</xdr:rowOff>
    </xdr:from>
    <xdr:to>
      <xdr:col>1</xdr:col>
      <xdr:colOff>795</xdr:colOff>
      <xdr:row>72</xdr:row>
      <xdr:rowOff>10318</xdr:rowOff>
    </xdr:to>
    <xdr:cxnSp macro="">
      <xdr:nvCxnSpPr>
        <xdr:cNvPr id="109" name="Straight Arrow Connector 108"/>
        <xdr:cNvCxnSpPr/>
      </xdr:nvCxnSpPr>
      <xdr:spPr bwMode="auto">
        <a:xfrm rot="5400000">
          <a:off x="452438" y="11949112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608808</xdr:colOff>
      <xdr:row>70</xdr:row>
      <xdr:rowOff>95253</xdr:rowOff>
    </xdr:from>
    <xdr:to>
      <xdr:col>8</xdr:col>
      <xdr:colOff>1</xdr:colOff>
      <xdr:row>72</xdr:row>
      <xdr:rowOff>794</xdr:rowOff>
    </xdr:to>
    <xdr:cxnSp macro="">
      <xdr:nvCxnSpPr>
        <xdr:cNvPr id="119" name="Straight Arrow Connector 118"/>
        <xdr:cNvCxnSpPr/>
      </xdr:nvCxnSpPr>
      <xdr:spPr bwMode="auto">
        <a:xfrm rot="5400000">
          <a:off x="4761709" y="13182602"/>
          <a:ext cx="229391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600077</xdr:colOff>
      <xdr:row>60</xdr:row>
      <xdr:rowOff>142875</xdr:rowOff>
    </xdr:from>
    <xdr:to>
      <xdr:col>8</xdr:col>
      <xdr:colOff>3</xdr:colOff>
      <xdr:row>70</xdr:row>
      <xdr:rowOff>57153</xdr:rowOff>
    </xdr:to>
    <xdr:cxnSp macro="">
      <xdr:nvCxnSpPr>
        <xdr:cNvPr id="121" name="Straight Arrow Connector 120"/>
        <xdr:cNvCxnSpPr/>
      </xdr:nvCxnSpPr>
      <xdr:spPr bwMode="auto">
        <a:xfrm rot="16200000" flipH="1">
          <a:off x="4105276" y="12258676"/>
          <a:ext cx="1533528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409575</xdr:colOff>
      <xdr:row>70</xdr:row>
      <xdr:rowOff>76200</xdr:rowOff>
    </xdr:from>
    <xdr:to>
      <xdr:col>8</xdr:col>
      <xdr:colOff>238125</xdr:colOff>
      <xdr:row>70</xdr:row>
      <xdr:rowOff>76201</xdr:rowOff>
    </xdr:to>
    <xdr:cxnSp macro="">
      <xdr:nvCxnSpPr>
        <xdr:cNvPr id="132" name="Straight Connector 131"/>
        <xdr:cNvCxnSpPr/>
      </xdr:nvCxnSpPr>
      <xdr:spPr bwMode="auto">
        <a:xfrm flipV="1">
          <a:off x="4676775" y="13049250"/>
          <a:ext cx="43815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600075</xdr:colOff>
      <xdr:row>71</xdr:row>
      <xdr:rowOff>142875</xdr:rowOff>
    </xdr:from>
    <xdr:to>
      <xdr:col>2</xdr:col>
      <xdr:colOff>76200</xdr:colOff>
      <xdr:row>71</xdr:row>
      <xdr:rowOff>152400</xdr:rowOff>
    </xdr:to>
    <xdr:cxnSp macro="">
      <xdr:nvCxnSpPr>
        <xdr:cNvPr id="134" name="Straight Connector 133"/>
        <xdr:cNvCxnSpPr/>
      </xdr:nvCxnSpPr>
      <xdr:spPr bwMode="auto">
        <a:xfrm flipV="1">
          <a:off x="600075" y="13277850"/>
          <a:ext cx="6953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304800</xdr:colOff>
      <xdr:row>60</xdr:row>
      <xdr:rowOff>152400</xdr:rowOff>
    </xdr:from>
    <xdr:to>
      <xdr:col>8</xdr:col>
      <xdr:colOff>219075</xdr:colOff>
      <xdr:row>61</xdr:row>
      <xdr:rowOff>1</xdr:rowOff>
    </xdr:to>
    <xdr:cxnSp macro="">
      <xdr:nvCxnSpPr>
        <xdr:cNvPr id="135" name="Straight Connector 134"/>
        <xdr:cNvCxnSpPr/>
      </xdr:nvCxnSpPr>
      <xdr:spPr bwMode="auto">
        <a:xfrm flipV="1">
          <a:off x="4572000" y="11506200"/>
          <a:ext cx="523875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209550</xdr:colOff>
      <xdr:row>72</xdr:row>
      <xdr:rowOff>9525</xdr:rowOff>
    </xdr:from>
    <xdr:to>
      <xdr:col>8</xdr:col>
      <xdr:colOff>247650</xdr:colOff>
      <xdr:row>72</xdr:row>
      <xdr:rowOff>9526</xdr:rowOff>
    </xdr:to>
    <xdr:cxnSp macro="">
      <xdr:nvCxnSpPr>
        <xdr:cNvPr id="136" name="Straight Connector 135"/>
        <xdr:cNvCxnSpPr/>
      </xdr:nvCxnSpPr>
      <xdr:spPr bwMode="auto">
        <a:xfrm flipV="1">
          <a:off x="4476750" y="13306425"/>
          <a:ext cx="64770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18257</xdr:colOff>
      <xdr:row>73</xdr:row>
      <xdr:rowOff>124619</xdr:rowOff>
    </xdr:from>
    <xdr:to>
      <xdr:col>2</xdr:col>
      <xdr:colOff>19845</xdr:colOff>
      <xdr:row>75</xdr:row>
      <xdr:rowOff>115094</xdr:rowOff>
    </xdr:to>
    <xdr:cxnSp macro="">
      <xdr:nvCxnSpPr>
        <xdr:cNvPr id="142" name="Straight Arrow Connector 141"/>
        <xdr:cNvCxnSpPr/>
      </xdr:nvCxnSpPr>
      <xdr:spPr bwMode="auto">
        <a:xfrm rot="5400000">
          <a:off x="1081088" y="13739813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8732</xdr:colOff>
      <xdr:row>73</xdr:row>
      <xdr:rowOff>96045</xdr:rowOff>
    </xdr:from>
    <xdr:to>
      <xdr:col>7</xdr:col>
      <xdr:colOff>10320</xdr:colOff>
      <xdr:row>75</xdr:row>
      <xdr:rowOff>86520</xdr:rowOff>
    </xdr:to>
    <xdr:cxnSp macro="">
      <xdr:nvCxnSpPr>
        <xdr:cNvPr id="143" name="Straight Arrow Connector 142"/>
        <xdr:cNvCxnSpPr/>
      </xdr:nvCxnSpPr>
      <xdr:spPr bwMode="auto">
        <a:xfrm rot="5400000">
          <a:off x="4119563" y="13711239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 editAs="oneCell">
    <xdr:from>
      <xdr:col>4</xdr:col>
      <xdr:colOff>0</xdr:colOff>
      <xdr:row>138</xdr:row>
      <xdr:rowOff>9525</xdr:rowOff>
    </xdr:from>
    <xdr:to>
      <xdr:col>4</xdr:col>
      <xdr:colOff>76200</xdr:colOff>
      <xdr:row>139</xdr:row>
      <xdr:rowOff>47625</xdr:rowOff>
    </xdr:to>
    <xdr:sp macro="" textlink="">
      <xdr:nvSpPr>
        <xdr:cNvPr id="105" name="Text Box 8"/>
        <xdr:cNvSpPr txBox="1">
          <a:spLocks noChangeArrowheads="1"/>
        </xdr:cNvSpPr>
      </xdr:nvSpPr>
      <xdr:spPr bwMode="auto">
        <a:xfrm>
          <a:off x="2438400" y="62769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138</xdr:row>
      <xdr:rowOff>9525</xdr:rowOff>
    </xdr:from>
    <xdr:to>
      <xdr:col>4</xdr:col>
      <xdr:colOff>76200</xdr:colOff>
      <xdr:row>139</xdr:row>
      <xdr:rowOff>47625</xdr:rowOff>
    </xdr:to>
    <xdr:sp macro="" textlink="">
      <xdr:nvSpPr>
        <xdr:cNvPr id="108" name="Text Box 49"/>
        <xdr:cNvSpPr txBox="1">
          <a:spLocks noChangeArrowheads="1"/>
        </xdr:cNvSpPr>
      </xdr:nvSpPr>
      <xdr:spPr bwMode="auto">
        <a:xfrm>
          <a:off x="2438400" y="62769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600075</xdr:colOff>
      <xdr:row>123</xdr:row>
      <xdr:rowOff>0</xdr:rowOff>
    </xdr:from>
    <xdr:to>
      <xdr:col>0</xdr:col>
      <xdr:colOff>600075</xdr:colOff>
      <xdr:row>136</xdr:row>
      <xdr:rowOff>0</xdr:rowOff>
    </xdr:to>
    <xdr:sp macro="" textlink="">
      <xdr:nvSpPr>
        <xdr:cNvPr id="118" name="Line 111"/>
        <xdr:cNvSpPr>
          <a:spLocks noChangeShapeType="1"/>
        </xdr:cNvSpPr>
      </xdr:nvSpPr>
      <xdr:spPr bwMode="auto">
        <a:xfrm>
          <a:off x="600075" y="4486275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590550</xdr:colOff>
      <xdr:row>136</xdr:row>
      <xdr:rowOff>0</xdr:rowOff>
    </xdr:from>
    <xdr:to>
      <xdr:col>2</xdr:col>
      <xdr:colOff>9525</xdr:colOff>
      <xdr:row>136</xdr:row>
      <xdr:rowOff>0</xdr:rowOff>
    </xdr:to>
    <xdr:sp macro="" textlink="">
      <xdr:nvSpPr>
        <xdr:cNvPr id="122" name="Line 112"/>
        <xdr:cNvSpPr>
          <a:spLocks noChangeShapeType="1"/>
        </xdr:cNvSpPr>
      </xdr:nvSpPr>
      <xdr:spPr bwMode="auto">
        <a:xfrm flipV="1">
          <a:off x="590550" y="5943600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600075</xdr:colOff>
      <xdr:row>123</xdr:row>
      <xdr:rowOff>0</xdr:rowOff>
    </xdr:from>
    <xdr:to>
      <xdr:col>2</xdr:col>
      <xdr:colOff>0</xdr:colOff>
      <xdr:row>123</xdr:row>
      <xdr:rowOff>0</xdr:rowOff>
    </xdr:to>
    <xdr:sp macro="" textlink="">
      <xdr:nvSpPr>
        <xdr:cNvPr id="125" name="Line 113"/>
        <xdr:cNvSpPr>
          <a:spLocks noChangeShapeType="1"/>
        </xdr:cNvSpPr>
      </xdr:nvSpPr>
      <xdr:spPr bwMode="auto">
        <a:xfrm>
          <a:off x="600075" y="4486275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123</xdr:row>
      <xdr:rowOff>0</xdr:rowOff>
    </xdr:from>
    <xdr:to>
      <xdr:col>1</xdr:col>
      <xdr:colOff>600075</xdr:colOff>
      <xdr:row>136</xdr:row>
      <xdr:rowOff>9525</xdr:rowOff>
    </xdr:to>
    <xdr:sp macro="" textlink="">
      <xdr:nvSpPr>
        <xdr:cNvPr id="126" name="Line 114"/>
        <xdr:cNvSpPr>
          <a:spLocks noChangeShapeType="1"/>
        </xdr:cNvSpPr>
      </xdr:nvSpPr>
      <xdr:spPr bwMode="auto">
        <a:xfrm>
          <a:off x="1209675" y="4486275"/>
          <a:ext cx="0" cy="1466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123</xdr:row>
      <xdr:rowOff>0</xdr:rowOff>
    </xdr:from>
    <xdr:to>
      <xdr:col>0</xdr:col>
      <xdr:colOff>600075</xdr:colOff>
      <xdr:row>123</xdr:row>
      <xdr:rowOff>66675</xdr:rowOff>
    </xdr:to>
    <xdr:sp macro="" textlink="">
      <xdr:nvSpPr>
        <xdr:cNvPr id="137" name="Line 115"/>
        <xdr:cNvSpPr>
          <a:spLocks noChangeShapeType="1"/>
        </xdr:cNvSpPr>
      </xdr:nvSpPr>
      <xdr:spPr bwMode="auto">
        <a:xfrm flipH="1">
          <a:off x="561975" y="44862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123</xdr:row>
      <xdr:rowOff>85725</xdr:rowOff>
    </xdr:from>
    <xdr:to>
      <xdr:col>0</xdr:col>
      <xdr:colOff>600075</xdr:colOff>
      <xdr:row>123</xdr:row>
      <xdr:rowOff>152400</xdr:rowOff>
    </xdr:to>
    <xdr:sp macro="" textlink="">
      <xdr:nvSpPr>
        <xdr:cNvPr id="138" name="Line 116"/>
        <xdr:cNvSpPr>
          <a:spLocks noChangeShapeType="1"/>
        </xdr:cNvSpPr>
      </xdr:nvSpPr>
      <xdr:spPr bwMode="auto">
        <a:xfrm flipH="1">
          <a:off x="571500" y="45720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124</xdr:row>
      <xdr:rowOff>0</xdr:rowOff>
    </xdr:from>
    <xdr:to>
      <xdr:col>0</xdr:col>
      <xdr:colOff>600075</xdr:colOff>
      <xdr:row>124</xdr:row>
      <xdr:rowOff>66675</xdr:rowOff>
    </xdr:to>
    <xdr:sp macro="" textlink="">
      <xdr:nvSpPr>
        <xdr:cNvPr id="139" name="Line 117"/>
        <xdr:cNvSpPr>
          <a:spLocks noChangeShapeType="1"/>
        </xdr:cNvSpPr>
      </xdr:nvSpPr>
      <xdr:spPr bwMode="auto">
        <a:xfrm flipH="1">
          <a:off x="561975" y="46482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124</xdr:row>
      <xdr:rowOff>85725</xdr:rowOff>
    </xdr:from>
    <xdr:to>
      <xdr:col>0</xdr:col>
      <xdr:colOff>600075</xdr:colOff>
      <xdr:row>124</xdr:row>
      <xdr:rowOff>152400</xdr:rowOff>
    </xdr:to>
    <xdr:sp macro="" textlink="">
      <xdr:nvSpPr>
        <xdr:cNvPr id="144" name="Line 118"/>
        <xdr:cNvSpPr>
          <a:spLocks noChangeShapeType="1"/>
        </xdr:cNvSpPr>
      </xdr:nvSpPr>
      <xdr:spPr bwMode="auto">
        <a:xfrm flipH="1">
          <a:off x="571500" y="47339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127</xdr:row>
      <xdr:rowOff>0</xdr:rowOff>
    </xdr:from>
    <xdr:to>
      <xdr:col>0</xdr:col>
      <xdr:colOff>600075</xdr:colOff>
      <xdr:row>127</xdr:row>
      <xdr:rowOff>66675</xdr:rowOff>
    </xdr:to>
    <xdr:sp macro="" textlink="">
      <xdr:nvSpPr>
        <xdr:cNvPr id="145" name="Line 119"/>
        <xdr:cNvSpPr>
          <a:spLocks noChangeShapeType="1"/>
        </xdr:cNvSpPr>
      </xdr:nvSpPr>
      <xdr:spPr bwMode="auto">
        <a:xfrm flipH="1">
          <a:off x="561975" y="48101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127</xdr:row>
      <xdr:rowOff>85725</xdr:rowOff>
    </xdr:from>
    <xdr:to>
      <xdr:col>0</xdr:col>
      <xdr:colOff>600075</xdr:colOff>
      <xdr:row>127</xdr:row>
      <xdr:rowOff>152400</xdr:rowOff>
    </xdr:to>
    <xdr:sp macro="" textlink="">
      <xdr:nvSpPr>
        <xdr:cNvPr id="146" name="Line 120"/>
        <xdr:cNvSpPr>
          <a:spLocks noChangeShapeType="1"/>
        </xdr:cNvSpPr>
      </xdr:nvSpPr>
      <xdr:spPr bwMode="auto">
        <a:xfrm flipH="1">
          <a:off x="571500" y="48958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128</xdr:row>
      <xdr:rowOff>0</xdr:rowOff>
    </xdr:from>
    <xdr:to>
      <xdr:col>0</xdr:col>
      <xdr:colOff>600075</xdr:colOff>
      <xdr:row>128</xdr:row>
      <xdr:rowOff>66675</xdr:rowOff>
    </xdr:to>
    <xdr:sp macro="" textlink="">
      <xdr:nvSpPr>
        <xdr:cNvPr id="147" name="Line 121"/>
        <xdr:cNvSpPr>
          <a:spLocks noChangeShapeType="1"/>
        </xdr:cNvSpPr>
      </xdr:nvSpPr>
      <xdr:spPr bwMode="auto">
        <a:xfrm flipH="1">
          <a:off x="561975" y="49720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128</xdr:row>
      <xdr:rowOff>85725</xdr:rowOff>
    </xdr:from>
    <xdr:to>
      <xdr:col>0</xdr:col>
      <xdr:colOff>600075</xdr:colOff>
      <xdr:row>128</xdr:row>
      <xdr:rowOff>152400</xdr:rowOff>
    </xdr:to>
    <xdr:sp macro="" textlink="">
      <xdr:nvSpPr>
        <xdr:cNvPr id="148" name="Line 122"/>
        <xdr:cNvSpPr>
          <a:spLocks noChangeShapeType="1"/>
        </xdr:cNvSpPr>
      </xdr:nvSpPr>
      <xdr:spPr bwMode="auto">
        <a:xfrm flipH="1">
          <a:off x="571500" y="50577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129</xdr:row>
      <xdr:rowOff>0</xdr:rowOff>
    </xdr:from>
    <xdr:to>
      <xdr:col>0</xdr:col>
      <xdr:colOff>600075</xdr:colOff>
      <xdr:row>129</xdr:row>
      <xdr:rowOff>66675</xdr:rowOff>
    </xdr:to>
    <xdr:sp macro="" textlink="">
      <xdr:nvSpPr>
        <xdr:cNvPr id="149" name="Line 123"/>
        <xdr:cNvSpPr>
          <a:spLocks noChangeShapeType="1"/>
        </xdr:cNvSpPr>
      </xdr:nvSpPr>
      <xdr:spPr bwMode="auto">
        <a:xfrm flipH="1">
          <a:off x="561975" y="51339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129</xdr:row>
      <xdr:rowOff>85725</xdr:rowOff>
    </xdr:from>
    <xdr:to>
      <xdr:col>0</xdr:col>
      <xdr:colOff>600075</xdr:colOff>
      <xdr:row>129</xdr:row>
      <xdr:rowOff>152400</xdr:rowOff>
    </xdr:to>
    <xdr:sp macro="" textlink="">
      <xdr:nvSpPr>
        <xdr:cNvPr id="150" name="Line 124"/>
        <xdr:cNvSpPr>
          <a:spLocks noChangeShapeType="1"/>
        </xdr:cNvSpPr>
      </xdr:nvSpPr>
      <xdr:spPr bwMode="auto">
        <a:xfrm flipH="1">
          <a:off x="571500" y="52197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130</xdr:row>
      <xdr:rowOff>0</xdr:rowOff>
    </xdr:from>
    <xdr:to>
      <xdr:col>0</xdr:col>
      <xdr:colOff>600075</xdr:colOff>
      <xdr:row>130</xdr:row>
      <xdr:rowOff>66675</xdr:rowOff>
    </xdr:to>
    <xdr:sp macro="" textlink="">
      <xdr:nvSpPr>
        <xdr:cNvPr id="151" name="Line 125"/>
        <xdr:cNvSpPr>
          <a:spLocks noChangeShapeType="1"/>
        </xdr:cNvSpPr>
      </xdr:nvSpPr>
      <xdr:spPr bwMode="auto">
        <a:xfrm flipH="1">
          <a:off x="561975" y="52959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130</xdr:row>
      <xdr:rowOff>85725</xdr:rowOff>
    </xdr:from>
    <xdr:to>
      <xdr:col>0</xdr:col>
      <xdr:colOff>600075</xdr:colOff>
      <xdr:row>130</xdr:row>
      <xdr:rowOff>152400</xdr:rowOff>
    </xdr:to>
    <xdr:sp macro="" textlink="">
      <xdr:nvSpPr>
        <xdr:cNvPr id="152" name="Line 126"/>
        <xdr:cNvSpPr>
          <a:spLocks noChangeShapeType="1"/>
        </xdr:cNvSpPr>
      </xdr:nvSpPr>
      <xdr:spPr bwMode="auto">
        <a:xfrm flipH="1">
          <a:off x="571500" y="53816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131</xdr:row>
      <xdr:rowOff>0</xdr:rowOff>
    </xdr:from>
    <xdr:to>
      <xdr:col>0</xdr:col>
      <xdr:colOff>600075</xdr:colOff>
      <xdr:row>131</xdr:row>
      <xdr:rowOff>66675</xdr:rowOff>
    </xdr:to>
    <xdr:sp macro="" textlink="">
      <xdr:nvSpPr>
        <xdr:cNvPr id="153" name="Line 127"/>
        <xdr:cNvSpPr>
          <a:spLocks noChangeShapeType="1"/>
        </xdr:cNvSpPr>
      </xdr:nvSpPr>
      <xdr:spPr bwMode="auto">
        <a:xfrm flipH="1">
          <a:off x="561975" y="54578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131</xdr:row>
      <xdr:rowOff>85725</xdr:rowOff>
    </xdr:from>
    <xdr:to>
      <xdr:col>0</xdr:col>
      <xdr:colOff>600075</xdr:colOff>
      <xdr:row>131</xdr:row>
      <xdr:rowOff>152400</xdr:rowOff>
    </xdr:to>
    <xdr:sp macro="" textlink="">
      <xdr:nvSpPr>
        <xdr:cNvPr id="154" name="Line 128"/>
        <xdr:cNvSpPr>
          <a:spLocks noChangeShapeType="1"/>
        </xdr:cNvSpPr>
      </xdr:nvSpPr>
      <xdr:spPr bwMode="auto">
        <a:xfrm flipH="1">
          <a:off x="571500" y="55435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134</xdr:row>
      <xdr:rowOff>0</xdr:rowOff>
    </xdr:from>
    <xdr:to>
      <xdr:col>0</xdr:col>
      <xdr:colOff>600075</xdr:colOff>
      <xdr:row>134</xdr:row>
      <xdr:rowOff>66675</xdr:rowOff>
    </xdr:to>
    <xdr:sp macro="" textlink="">
      <xdr:nvSpPr>
        <xdr:cNvPr id="155" name="Line 129"/>
        <xdr:cNvSpPr>
          <a:spLocks noChangeShapeType="1"/>
        </xdr:cNvSpPr>
      </xdr:nvSpPr>
      <xdr:spPr bwMode="auto">
        <a:xfrm flipH="1">
          <a:off x="561975" y="56197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134</xdr:row>
      <xdr:rowOff>85725</xdr:rowOff>
    </xdr:from>
    <xdr:to>
      <xdr:col>0</xdr:col>
      <xdr:colOff>600075</xdr:colOff>
      <xdr:row>134</xdr:row>
      <xdr:rowOff>152400</xdr:rowOff>
    </xdr:to>
    <xdr:sp macro="" textlink="">
      <xdr:nvSpPr>
        <xdr:cNvPr id="156" name="Line 130"/>
        <xdr:cNvSpPr>
          <a:spLocks noChangeShapeType="1"/>
        </xdr:cNvSpPr>
      </xdr:nvSpPr>
      <xdr:spPr bwMode="auto">
        <a:xfrm flipH="1">
          <a:off x="571500" y="57054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135</xdr:row>
      <xdr:rowOff>0</xdr:rowOff>
    </xdr:from>
    <xdr:to>
      <xdr:col>0</xdr:col>
      <xdr:colOff>600075</xdr:colOff>
      <xdr:row>135</xdr:row>
      <xdr:rowOff>66675</xdr:rowOff>
    </xdr:to>
    <xdr:sp macro="" textlink="">
      <xdr:nvSpPr>
        <xdr:cNvPr id="157" name="Line 131"/>
        <xdr:cNvSpPr>
          <a:spLocks noChangeShapeType="1"/>
        </xdr:cNvSpPr>
      </xdr:nvSpPr>
      <xdr:spPr bwMode="auto">
        <a:xfrm flipH="1">
          <a:off x="561975" y="57816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135</xdr:row>
      <xdr:rowOff>85725</xdr:rowOff>
    </xdr:from>
    <xdr:to>
      <xdr:col>0</xdr:col>
      <xdr:colOff>600075</xdr:colOff>
      <xdr:row>135</xdr:row>
      <xdr:rowOff>152400</xdr:rowOff>
    </xdr:to>
    <xdr:sp macro="" textlink="">
      <xdr:nvSpPr>
        <xdr:cNvPr id="158" name="Line 132"/>
        <xdr:cNvSpPr>
          <a:spLocks noChangeShapeType="1"/>
        </xdr:cNvSpPr>
      </xdr:nvSpPr>
      <xdr:spPr bwMode="auto">
        <a:xfrm flipH="1">
          <a:off x="571500" y="58674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135</xdr:row>
      <xdr:rowOff>0</xdr:rowOff>
    </xdr:from>
    <xdr:to>
      <xdr:col>0</xdr:col>
      <xdr:colOff>600075</xdr:colOff>
      <xdr:row>135</xdr:row>
      <xdr:rowOff>66675</xdr:rowOff>
    </xdr:to>
    <xdr:sp macro="" textlink="">
      <xdr:nvSpPr>
        <xdr:cNvPr id="159" name="Line 133"/>
        <xdr:cNvSpPr>
          <a:spLocks noChangeShapeType="1"/>
        </xdr:cNvSpPr>
      </xdr:nvSpPr>
      <xdr:spPr bwMode="auto">
        <a:xfrm flipH="1">
          <a:off x="561975" y="57816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135</xdr:row>
      <xdr:rowOff>85725</xdr:rowOff>
    </xdr:from>
    <xdr:to>
      <xdr:col>0</xdr:col>
      <xdr:colOff>600075</xdr:colOff>
      <xdr:row>135</xdr:row>
      <xdr:rowOff>152400</xdr:rowOff>
    </xdr:to>
    <xdr:sp macro="" textlink="">
      <xdr:nvSpPr>
        <xdr:cNvPr id="160" name="Line 134"/>
        <xdr:cNvSpPr>
          <a:spLocks noChangeShapeType="1"/>
        </xdr:cNvSpPr>
      </xdr:nvSpPr>
      <xdr:spPr bwMode="auto">
        <a:xfrm flipH="1">
          <a:off x="571500" y="58674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600075</xdr:colOff>
      <xdr:row>136</xdr:row>
      <xdr:rowOff>0</xdr:rowOff>
    </xdr:from>
    <xdr:to>
      <xdr:col>1</xdr:col>
      <xdr:colOff>47625</xdr:colOff>
      <xdr:row>136</xdr:row>
      <xdr:rowOff>38100</xdr:rowOff>
    </xdr:to>
    <xdr:sp macro="" textlink="">
      <xdr:nvSpPr>
        <xdr:cNvPr id="161" name="Line 135"/>
        <xdr:cNvSpPr>
          <a:spLocks noChangeShapeType="1"/>
        </xdr:cNvSpPr>
      </xdr:nvSpPr>
      <xdr:spPr bwMode="auto">
        <a:xfrm flipH="1">
          <a:off x="600075" y="5943600"/>
          <a:ext cx="5715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542925</xdr:colOff>
      <xdr:row>136</xdr:row>
      <xdr:rowOff>0</xdr:rowOff>
    </xdr:from>
    <xdr:to>
      <xdr:col>1</xdr:col>
      <xdr:colOff>581025</xdr:colOff>
      <xdr:row>136</xdr:row>
      <xdr:rowOff>47625</xdr:rowOff>
    </xdr:to>
    <xdr:sp macro="" textlink="">
      <xdr:nvSpPr>
        <xdr:cNvPr id="162" name="Line 136"/>
        <xdr:cNvSpPr>
          <a:spLocks noChangeShapeType="1"/>
        </xdr:cNvSpPr>
      </xdr:nvSpPr>
      <xdr:spPr bwMode="auto">
        <a:xfrm flipH="1">
          <a:off x="1152525" y="5943600"/>
          <a:ext cx="381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38100</xdr:colOff>
      <xdr:row>136</xdr:row>
      <xdr:rowOff>9525</xdr:rowOff>
    </xdr:from>
    <xdr:to>
      <xdr:col>1</xdr:col>
      <xdr:colOff>104775</xdr:colOff>
      <xdr:row>136</xdr:row>
      <xdr:rowOff>38100</xdr:rowOff>
    </xdr:to>
    <xdr:sp macro="" textlink="">
      <xdr:nvSpPr>
        <xdr:cNvPr id="163" name="Line 137"/>
        <xdr:cNvSpPr>
          <a:spLocks noChangeShapeType="1"/>
        </xdr:cNvSpPr>
      </xdr:nvSpPr>
      <xdr:spPr bwMode="auto">
        <a:xfrm flipH="1">
          <a:off x="647700" y="5953125"/>
          <a:ext cx="6667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123825</xdr:colOff>
      <xdr:row>136</xdr:row>
      <xdr:rowOff>0</xdr:rowOff>
    </xdr:from>
    <xdr:to>
      <xdr:col>1</xdr:col>
      <xdr:colOff>200025</xdr:colOff>
      <xdr:row>136</xdr:row>
      <xdr:rowOff>38100</xdr:rowOff>
    </xdr:to>
    <xdr:sp macro="" textlink="">
      <xdr:nvSpPr>
        <xdr:cNvPr id="164" name="Line 138"/>
        <xdr:cNvSpPr>
          <a:spLocks noChangeShapeType="1"/>
        </xdr:cNvSpPr>
      </xdr:nvSpPr>
      <xdr:spPr bwMode="auto">
        <a:xfrm flipH="1">
          <a:off x="733425" y="5943600"/>
          <a:ext cx="7620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135</xdr:row>
      <xdr:rowOff>152400</xdr:rowOff>
    </xdr:from>
    <xdr:to>
      <xdr:col>1</xdr:col>
      <xdr:colOff>304800</xdr:colOff>
      <xdr:row>136</xdr:row>
      <xdr:rowOff>38100</xdr:rowOff>
    </xdr:to>
    <xdr:sp macro="" textlink="">
      <xdr:nvSpPr>
        <xdr:cNvPr id="165" name="Line 139"/>
        <xdr:cNvSpPr>
          <a:spLocks noChangeShapeType="1"/>
        </xdr:cNvSpPr>
      </xdr:nvSpPr>
      <xdr:spPr bwMode="auto">
        <a:xfrm flipH="1">
          <a:off x="828675" y="5934075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136</xdr:row>
      <xdr:rowOff>0</xdr:rowOff>
    </xdr:from>
    <xdr:to>
      <xdr:col>1</xdr:col>
      <xdr:colOff>361950</xdr:colOff>
      <xdr:row>136</xdr:row>
      <xdr:rowOff>38100</xdr:rowOff>
    </xdr:to>
    <xdr:sp macro="" textlink="">
      <xdr:nvSpPr>
        <xdr:cNvPr id="166" name="Line 140"/>
        <xdr:cNvSpPr>
          <a:spLocks noChangeShapeType="1"/>
        </xdr:cNvSpPr>
      </xdr:nvSpPr>
      <xdr:spPr bwMode="auto">
        <a:xfrm flipH="1">
          <a:off x="904875" y="5943600"/>
          <a:ext cx="66675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361950</xdr:colOff>
      <xdr:row>136</xdr:row>
      <xdr:rowOff>0</xdr:rowOff>
    </xdr:from>
    <xdr:to>
      <xdr:col>1</xdr:col>
      <xdr:colOff>438150</xdr:colOff>
      <xdr:row>136</xdr:row>
      <xdr:rowOff>47625</xdr:rowOff>
    </xdr:to>
    <xdr:sp macro="" textlink="">
      <xdr:nvSpPr>
        <xdr:cNvPr id="167" name="Line 141"/>
        <xdr:cNvSpPr>
          <a:spLocks noChangeShapeType="1"/>
        </xdr:cNvSpPr>
      </xdr:nvSpPr>
      <xdr:spPr bwMode="auto">
        <a:xfrm flipH="1">
          <a:off x="971550" y="5943600"/>
          <a:ext cx="762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438150</xdr:colOff>
      <xdr:row>136</xdr:row>
      <xdr:rowOff>0</xdr:rowOff>
    </xdr:from>
    <xdr:to>
      <xdr:col>1</xdr:col>
      <xdr:colOff>514350</xdr:colOff>
      <xdr:row>136</xdr:row>
      <xdr:rowOff>57150</xdr:rowOff>
    </xdr:to>
    <xdr:sp macro="" textlink="">
      <xdr:nvSpPr>
        <xdr:cNvPr id="168" name="Line 142"/>
        <xdr:cNvSpPr>
          <a:spLocks noChangeShapeType="1"/>
        </xdr:cNvSpPr>
      </xdr:nvSpPr>
      <xdr:spPr bwMode="auto">
        <a:xfrm flipH="1">
          <a:off x="1047750" y="5943600"/>
          <a:ext cx="7620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190500</xdr:colOff>
      <xdr:row>123</xdr:row>
      <xdr:rowOff>0</xdr:rowOff>
    </xdr:from>
    <xdr:to>
      <xdr:col>0</xdr:col>
      <xdr:colOff>514350</xdr:colOff>
      <xdr:row>123</xdr:row>
      <xdr:rowOff>0</xdr:rowOff>
    </xdr:to>
    <xdr:sp macro="" textlink="">
      <xdr:nvSpPr>
        <xdr:cNvPr id="169" name="Line 143"/>
        <xdr:cNvSpPr>
          <a:spLocks noChangeShapeType="1"/>
        </xdr:cNvSpPr>
      </xdr:nvSpPr>
      <xdr:spPr bwMode="auto">
        <a:xfrm>
          <a:off x="190500" y="448627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228600</xdr:colOff>
      <xdr:row>136</xdr:row>
      <xdr:rowOff>0</xdr:rowOff>
    </xdr:from>
    <xdr:to>
      <xdr:col>0</xdr:col>
      <xdr:colOff>504825</xdr:colOff>
      <xdr:row>136</xdr:row>
      <xdr:rowOff>0</xdr:rowOff>
    </xdr:to>
    <xdr:sp macro="" textlink="">
      <xdr:nvSpPr>
        <xdr:cNvPr id="170" name="Line 144"/>
        <xdr:cNvSpPr>
          <a:spLocks noChangeShapeType="1"/>
        </xdr:cNvSpPr>
      </xdr:nvSpPr>
      <xdr:spPr bwMode="auto">
        <a:xfrm>
          <a:off x="228600" y="594360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447675</xdr:colOff>
      <xdr:row>123</xdr:row>
      <xdr:rowOff>0</xdr:rowOff>
    </xdr:from>
    <xdr:to>
      <xdr:col>0</xdr:col>
      <xdr:colOff>447675</xdr:colOff>
      <xdr:row>136</xdr:row>
      <xdr:rowOff>19050</xdr:rowOff>
    </xdr:to>
    <xdr:sp macro="" textlink="">
      <xdr:nvSpPr>
        <xdr:cNvPr id="171" name="Line 145"/>
        <xdr:cNvSpPr>
          <a:spLocks noChangeShapeType="1"/>
        </xdr:cNvSpPr>
      </xdr:nvSpPr>
      <xdr:spPr bwMode="auto">
        <a:xfrm>
          <a:off x="447675" y="4486275"/>
          <a:ext cx="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0</xdr:colOff>
      <xdr:row>137</xdr:row>
      <xdr:rowOff>104775</xdr:rowOff>
    </xdr:from>
    <xdr:to>
      <xdr:col>1</xdr:col>
      <xdr:colOff>0</xdr:colOff>
      <xdr:row>138</xdr:row>
      <xdr:rowOff>47625</xdr:rowOff>
    </xdr:to>
    <xdr:sp macro="" textlink="">
      <xdr:nvSpPr>
        <xdr:cNvPr id="172" name="Line 146"/>
        <xdr:cNvSpPr>
          <a:spLocks noChangeShapeType="1"/>
        </xdr:cNvSpPr>
      </xdr:nvSpPr>
      <xdr:spPr bwMode="auto">
        <a:xfrm>
          <a:off x="609600" y="62103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137</xdr:row>
      <xdr:rowOff>104775</xdr:rowOff>
    </xdr:from>
    <xdr:to>
      <xdr:col>2</xdr:col>
      <xdr:colOff>0</xdr:colOff>
      <xdr:row>138</xdr:row>
      <xdr:rowOff>47625</xdr:rowOff>
    </xdr:to>
    <xdr:sp macro="" textlink="">
      <xdr:nvSpPr>
        <xdr:cNvPr id="173" name="Line 147"/>
        <xdr:cNvSpPr>
          <a:spLocks noChangeShapeType="1"/>
        </xdr:cNvSpPr>
      </xdr:nvSpPr>
      <xdr:spPr bwMode="auto">
        <a:xfrm>
          <a:off x="1219200" y="62103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137</xdr:row>
      <xdr:rowOff>133350</xdr:rowOff>
    </xdr:from>
    <xdr:to>
      <xdr:col>2</xdr:col>
      <xdr:colOff>0</xdr:colOff>
      <xdr:row>137</xdr:row>
      <xdr:rowOff>133350</xdr:rowOff>
    </xdr:to>
    <xdr:sp macro="" textlink="">
      <xdr:nvSpPr>
        <xdr:cNvPr id="174" name="Line 148"/>
        <xdr:cNvSpPr>
          <a:spLocks noChangeShapeType="1"/>
        </xdr:cNvSpPr>
      </xdr:nvSpPr>
      <xdr:spPr bwMode="auto">
        <a:xfrm>
          <a:off x="609600" y="6238875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514350</xdr:colOff>
      <xdr:row>123</xdr:row>
      <xdr:rowOff>0</xdr:rowOff>
    </xdr:from>
    <xdr:to>
      <xdr:col>4</xdr:col>
      <xdr:colOff>600075</xdr:colOff>
      <xdr:row>130</xdr:row>
      <xdr:rowOff>0</xdr:rowOff>
    </xdr:to>
    <xdr:sp macro="" textlink="">
      <xdr:nvSpPr>
        <xdr:cNvPr id="175" name="Line 149"/>
        <xdr:cNvSpPr>
          <a:spLocks noChangeShapeType="1"/>
        </xdr:cNvSpPr>
      </xdr:nvSpPr>
      <xdr:spPr bwMode="auto">
        <a:xfrm flipH="1">
          <a:off x="2952750" y="4486275"/>
          <a:ext cx="85725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504825</xdr:colOff>
      <xdr:row>129</xdr:row>
      <xdr:rowOff>152400</xdr:rowOff>
    </xdr:from>
    <xdr:to>
      <xdr:col>4</xdr:col>
      <xdr:colOff>504825</xdr:colOff>
      <xdr:row>137</xdr:row>
      <xdr:rowOff>57150</xdr:rowOff>
    </xdr:to>
    <xdr:sp macro="" textlink="">
      <xdr:nvSpPr>
        <xdr:cNvPr id="176" name="Line 150"/>
        <xdr:cNvSpPr>
          <a:spLocks noChangeShapeType="1"/>
        </xdr:cNvSpPr>
      </xdr:nvSpPr>
      <xdr:spPr bwMode="auto">
        <a:xfrm>
          <a:off x="2943225" y="5286375"/>
          <a:ext cx="0" cy="876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238125</xdr:colOff>
      <xdr:row>123</xdr:row>
      <xdr:rowOff>0</xdr:rowOff>
    </xdr:from>
    <xdr:to>
      <xdr:col>5</xdr:col>
      <xdr:colOff>238125</xdr:colOff>
      <xdr:row>135</xdr:row>
      <xdr:rowOff>152400</xdr:rowOff>
    </xdr:to>
    <xdr:sp macro="" textlink="">
      <xdr:nvSpPr>
        <xdr:cNvPr id="177" name="Line 151"/>
        <xdr:cNvSpPr>
          <a:spLocks noChangeShapeType="1"/>
        </xdr:cNvSpPr>
      </xdr:nvSpPr>
      <xdr:spPr bwMode="auto">
        <a:xfrm>
          <a:off x="3286125" y="4486275"/>
          <a:ext cx="0" cy="1447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514350</xdr:colOff>
      <xdr:row>137</xdr:row>
      <xdr:rowOff>57150</xdr:rowOff>
    </xdr:from>
    <xdr:to>
      <xdr:col>6</xdr:col>
      <xdr:colOff>19050</xdr:colOff>
      <xdr:row>137</xdr:row>
      <xdr:rowOff>57150</xdr:rowOff>
    </xdr:to>
    <xdr:sp macro="" textlink="">
      <xdr:nvSpPr>
        <xdr:cNvPr id="178" name="Line 152"/>
        <xdr:cNvSpPr>
          <a:spLocks noChangeShapeType="1"/>
        </xdr:cNvSpPr>
      </xdr:nvSpPr>
      <xdr:spPr bwMode="auto">
        <a:xfrm>
          <a:off x="2952750" y="6162675"/>
          <a:ext cx="723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238125</xdr:colOff>
      <xdr:row>135</xdr:row>
      <xdr:rowOff>152400</xdr:rowOff>
    </xdr:from>
    <xdr:to>
      <xdr:col>5</xdr:col>
      <xdr:colOff>600075</xdr:colOff>
      <xdr:row>135</xdr:row>
      <xdr:rowOff>152400</xdr:rowOff>
    </xdr:to>
    <xdr:sp macro="" textlink="">
      <xdr:nvSpPr>
        <xdr:cNvPr id="179" name="Line 153"/>
        <xdr:cNvSpPr>
          <a:spLocks noChangeShapeType="1"/>
        </xdr:cNvSpPr>
      </xdr:nvSpPr>
      <xdr:spPr bwMode="auto">
        <a:xfrm flipV="1">
          <a:off x="3286125" y="5934075"/>
          <a:ext cx="36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135</xdr:row>
      <xdr:rowOff>152400</xdr:rowOff>
    </xdr:from>
    <xdr:to>
      <xdr:col>6</xdr:col>
      <xdr:colOff>285750</xdr:colOff>
      <xdr:row>135</xdr:row>
      <xdr:rowOff>152400</xdr:rowOff>
    </xdr:to>
    <xdr:sp macro="" textlink="">
      <xdr:nvSpPr>
        <xdr:cNvPr id="181" name="Line 155"/>
        <xdr:cNvSpPr>
          <a:spLocks noChangeShapeType="1"/>
        </xdr:cNvSpPr>
      </xdr:nvSpPr>
      <xdr:spPr bwMode="auto">
        <a:xfrm>
          <a:off x="3667125" y="593407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137</xdr:row>
      <xdr:rowOff>57150</xdr:rowOff>
    </xdr:from>
    <xdr:to>
      <xdr:col>6</xdr:col>
      <xdr:colOff>295275</xdr:colOff>
      <xdr:row>137</xdr:row>
      <xdr:rowOff>57150</xdr:rowOff>
    </xdr:to>
    <xdr:sp macro="" textlink="">
      <xdr:nvSpPr>
        <xdr:cNvPr id="182" name="Line 156"/>
        <xdr:cNvSpPr>
          <a:spLocks noChangeShapeType="1"/>
        </xdr:cNvSpPr>
      </xdr:nvSpPr>
      <xdr:spPr bwMode="auto">
        <a:xfrm>
          <a:off x="3667125" y="6162675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276225</xdr:colOff>
      <xdr:row>135</xdr:row>
      <xdr:rowOff>28575</xdr:rowOff>
    </xdr:from>
    <xdr:to>
      <xdr:col>6</xdr:col>
      <xdr:colOff>276225</xdr:colOff>
      <xdr:row>136</xdr:row>
      <xdr:rowOff>57150</xdr:rowOff>
    </xdr:to>
    <xdr:sp macro="" textlink="">
      <xdr:nvSpPr>
        <xdr:cNvPr id="183" name="Line 157"/>
        <xdr:cNvSpPr>
          <a:spLocks noChangeShapeType="1"/>
        </xdr:cNvSpPr>
      </xdr:nvSpPr>
      <xdr:spPr bwMode="auto">
        <a:xfrm>
          <a:off x="3933825" y="581025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219075</xdr:colOff>
      <xdr:row>136</xdr:row>
      <xdr:rowOff>57150</xdr:rowOff>
    </xdr:from>
    <xdr:to>
      <xdr:col>6</xdr:col>
      <xdr:colOff>276225</xdr:colOff>
      <xdr:row>136</xdr:row>
      <xdr:rowOff>57150</xdr:rowOff>
    </xdr:to>
    <xdr:sp macro="" textlink="">
      <xdr:nvSpPr>
        <xdr:cNvPr id="184" name="Line 158"/>
        <xdr:cNvSpPr>
          <a:spLocks noChangeShapeType="1"/>
        </xdr:cNvSpPr>
      </xdr:nvSpPr>
      <xdr:spPr bwMode="auto">
        <a:xfrm>
          <a:off x="3876675" y="6000750"/>
          <a:ext cx="57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219075</xdr:colOff>
      <xdr:row>136</xdr:row>
      <xdr:rowOff>66675</xdr:rowOff>
    </xdr:from>
    <xdr:to>
      <xdr:col>6</xdr:col>
      <xdr:colOff>352425</xdr:colOff>
      <xdr:row>137</xdr:row>
      <xdr:rowOff>0</xdr:rowOff>
    </xdr:to>
    <xdr:sp macro="" textlink="">
      <xdr:nvSpPr>
        <xdr:cNvPr id="185" name="Line 159"/>
        <xdr:cNvSpPr>
          <a:spLocks noChangeShapeType="1"/>
        </xdr:cNvSpPr>
      </xdr:nvSpPr>
      <xdr:spPr bwMode="auto">
        <a:xfrm>
          <a:off x="3876675" y="6010275"/>
          <a:ext cx="1333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276225</xdr:colOff>
      <xdr:row>136</xdr:row>
      <xdr:rowOff>152400</xdr:rowOff>
    </xdr:from>
    <xdr:to>
      <xdr:col>6</xdr:col>
      <xdr:colOff>342900</xdr:colOff>
      <xdr:row>136</xdr:row>
      <xdr:rowOff>152400</xdr:rowOff>
    </xdr:to>
    <xdr:sp macro="" textlink="">
      <xdr:nvSpPr>
        <xdr:cNvPr id="186" name="Line 160"/>
        <xdr:cNvSpPr>
          <a:spLocks noChangeShapeType="1"/>
        </xdr:cNvSpPr>
      </xdr:nvSpPr>
      <xdr:spPr bwMode="auto">
        <a:xfrm flipH="1">
          <a:off x="3933825" y="609600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276225</xdr:colOff>
      <xdr:row>136</xdr:row>
      <xdr:rowOff>152400</xdr:rowOff>
    </xdr:from>
    <xdr:to>
      <xdr:col>6</xdr:col>
      <xdr:colOff>276225</xdr:colOff>
      <xdr:row>137</xdr:row>
      <xdr:rowOff>104775</xdr:rowOff>
    </xdr:to>
    <xdr:sp macro="" textlink="">
      <xdr:nvSpPr>
        <xdr:cNvPr id="187" name="Line 161"/>
        <xdr:cNvSpPr>
          <a:spLocks noChangeShapeType="1"/>
        </xdr:cNvSpPr>
      </xdr:nvSpPr>
      <xdr:spPr bwMode="auto">
        <a:xfrm>
          <a:off x="3933825" y="609600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123</xdr:row>
      <xdr:rowOff>0</xdr:rowOff>
    </xdr:from>
    <xdr:to>
      <xdr:col>5</xdr:col>
      <xdr:colOff>238125</xdr:colOff>
      <xdr:row>123</xdr:row>
      <xdr:rowOff>0</xdr:rowOff>
    </xdr:to>
    <xdr:sp macro="" textlink="">
      <xdr:nvSpPr>
        <xdr:cNvPr id="188" name="Line 162"/>
        <xdr:cNvSpPr>
          <a:spLocks noChangeShapeType="1"/>
        </xdr:cNvSpPr>
      </xdr:nvSpPr>
      <xdr:spPr bwMode="auto">
        <a:xfrm>
          <a:off x="3028950" y="4486275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276225</xdr:colOff>
      <xdr:row>131</xdr:row>
      <xdr:rowOff>0</xdr:rowOff>
    </xdr:from>
    <xdr:to>
      <xdr:col>7</xdr:col>
      <xdr:colOff>28575</xdr:colOff>
      <xdr:row>131</xdr:row>
      <xdr:rowOff>0</xdr:rowOff>
    </xdr:to>
    <xdr:sp macro="" textlink="">
      <xdr:nvSpPr>
        <xdr:cNvPr id="189" name="Line 163"/>
        <xdr:cNvSpPr>
          <a:spLocks noChangeShapeType="1"/>
        </xdr:cNvSpPr>
      </xdr:nvSpPr>
      <xdr:spPr bwMode="auto">
        <a:xfrm>
          <a:off x="3324225" y="5457825"/>
          <a:ext cx="971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581025</xdr:colOff>
      <xdr:row>130</xdr:row>
      <xdr:rowOff>0</xdr:rowOff>
    </xdr:from>
    <xdr:to>
      <xdr:col>8</xdr:col>
      <xdr:colOff>390525</xdr:colOff>
      <xdr:row>130</xdr:row>
      <xdr:rowOff>0</xdr:rowOff>
    </xdr:to>
    <xdr:sp macro="" textlink="">
      <xdr:nvSpPr>
        <xdr:cNvPr id="190" name="Line 164"/>
        <xdr:cNvSpPr>
          <a:spLocks noChangeShapeType="1"/>
        </xdr:cNvSpPr>
      </xdr:nvSpPr>
      <xdr:spPr bwMode="auto">
        <a:xfrm>
          <a:off x="4238625" y="14887575"/>
          <a:ext cx="1028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314325</xdr:colOff>
      <xdr:row>130</xdr:row>
      <xdr:rowOff>76200</xdr:rowOff>
    </xdr:from>
    <xdr:to>
      <xdr:col>5</xdr:col>
      <xdr:colOff>390525</xdr:colOff>
      <xdr:row>130</xdr:row>
      <xdr:rowOff>152400</xdr:rowOff>
    </xdr:to>
    <xdr:sp macro="" textlink="">
      <xdr:nvSpPr>
        <xdr:cNvPr id="192" name="AutoShape 166"/>
        <xdr:cNvSpPr>
          <a:spLocks noChangeArrowheads="1"/>
        </xdr:cNvSpPr>
      </xdr:nvSpPr>
      <xdr:spPr bwMode="auto">
        <a:xfrm>
          <a:off x="3362325" y="5372100"/>
          <a:ext cx="76200" cy="762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504825</xdr:colOff>
      <xdr:row>139</xdr:row>
      <xdr:rowOff>95250</xdr:rowOff>
    </xdr:from>
    <xdr:to>
      <xdr:col>4</xdr:col>
      <xdr:colOff>504825</xdr:colOff>
      <xdr:row>140</xdr:row>
      <xdr:rowOff>38100</xdr:rowOff>
    </xdr:to>
    <xdr:sp macro="" textlink="">
      <xdr:nvSpPr>
        <xdr:cNvPr id="193" name="Line 167"/>
        <xdr:cNvSpPr>
          <a:spLocks noChangeShapeType="1"/>
        </xdr:cNvSpPr>
      </xdr:nvSpPr>
      <xdr:spPr bwMode="auto">
        <a:xfrm>
          <a:off x="2943225" y="65246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247650</xdr:colOff>
      <xdr:row>131</xdr:row>
      <xdr:rowOff>0</xdr:rowOff>
    </xdr:from>
    <xdr:to>
      <xdr:col>5</xdr:col>
      <xdr:colOff>542925</xdr:colOff>
      <xdr:row>135</xdr:row>
      <xdr:rowOff>152400</xdr:rowOff>
    </xdr:to>
    <xdr:sp macro="" textlink="">
      <xdr:nvSpPr>
        <xdr:cNvPr id="194" name="Line 168"/>
        <xdr:cNvSpPr>
          <a:spLocks noChangeShapeType="1"/>
        </xdr:cNvSpPr>
      </xdr:nvSpPr>
      <xdr:spPr bwMode="auto">
        <a:xfrm>
          <a:off x="3295650" y="5457825"/>
          <a:ext cx="295275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139</xdr:row>
      <xdr:rowOff>152400</xdr:rowOff>
    </xdr:from>
    <xdr:to>
      <xdr:col>5</xdr:col>
      <xdr:colOff>257175</xdr:colOff>
      <xdr:row>139</xdr:row>
      <xdr:rowOff>152400</xdr:rowOff>
    </xdr:to>
    <xdr:sp macro="" textlink="">
      <xdr:nvSpPr>
        <xdr:cNvPr id="195" name="Line 169"/>
        <xdr:cNvSpPr>
          <a:spLocks noChangeShapeType="1"/>
        </xdr:cNvSpPr>
      </xdr:nvSpPr>
      <xdr:spPr bwMode="auto">
        <a:xfrm>
          <a:off x="2933700" y="6581775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504825</xdr:colOff>
      <xdr:row>123</xdr:row>
      <xdr:rowOff>0</xdr:rowOff>
    </xdr:from>
    <xdr:to>
      <xdr:col>4</xdr:col>
      <xdr:colOff>504825</xdr:colOff>
      <xdr:row>129</xdr:row>
      <xdr:rowOff>152400</xdr:rowOff>
    </xdr:to>
    <xdr:sp macro="" textlink="">
      <xdr:nvSpPr>
        <xdr:cNvPr id="196" name="Line 170"/>
        <xdr:cNvSpPr>
          <a:spLocks noChangeShapeType="1"/>
        </xdr:cNvSpPr>
      </xdr:nvSpPr>
      <xdr:spPr bwMode="auto">
        <a:xfrm flipV="1">
          <a:off x="2943225" y="4486275"/>
          <a:ext cx="0" cy="800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123</xdr:row>
      <xdr:rowOff>9525</xdr:rowOff>
    </xdr:from>
    <xdr:to>
      <xdr:col>4</xdr:col>
      <xdr:colOff>495300</xdr:colOff>
      <xdr:row>128</xdr:row>
      <xdr:rowOff>152400</xdr:rowOff>
    </xdr:to>
    <xdr:sp macro="" textlink="">
      <xdr:nvSpPr>
        <xdr:cNvPr id="197" name="Line 171"/>
        <xdr:cNvSpPr>
          <a:spLocks noChangeShapeType="1"/>
        </xdr:cNvSpPr>
      </xdr:nvSpPr>
      <xdr:spPr bwMode="auto">
        <a:xfrm flipH="1">
          <a:off x="2800350" y="4495800"/>
          <a:ext cx="133350" cy="62865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</xdr:spPr>
    </xdr:sp>
    <xdr:clientData/>
  </xdr:twoCellAnchor>
  <xdr:twoCellAnchor>
    <xdr:from>
      <xdr:col>4</xdr:col>
      <xdr:colOff>0</xdr:colOff>
      <xdr:row>128</xdr:row>
      <xdr:rowOff>133350</xdr:rowOff>
    </xdr:from>
    <xdr:to>
      <xdr:col>4</xdr:col>
      <xdr:colOff>371475</xdr:colOff>
      <xdr:row>136</xdr:row>
      <xdr:rowOff>9525</xdr:rowOff>
    </xdr:to>
    <xdr:sp macro="" textlink="">
      <xdr:nvSpPr>
        <xdr:cNvPr id="198" name="Line 172"/>
        <xdr:cNvSpPr>
          <a:spLocks noChangeShapeType="1"/>
        </xdr:cNvSpPr>
      </xdr:nvSpPr>
      <xdr:spPr bwMode="auto">
        <a:xfrm flipH="1">
          <a:off x="2438400" y="5105400"/>
          <a:ext cx="371475" cy="847725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</xdr:spPr>
    </xdr:sp>
    <xdr:clientData/>
  </xdr:twoCellAnchor>
  <xdr:twoCellAnchor>
    <xdr:from>
      <xdr:col>4</xdr:col>
      <xdr:colOff>9525</xdr:colOff>
      <xdr:row>136</xdr:row>
      <xdr:rowOff>9525</xdr:rowOff>
    </xdr:from>
    <xdr:to>
      <xdr:col>4</xdr:col>
      <xdr:colOff>514350</xdr:colOff>
      <xdr:row>136</xdr:row>
      <xdr:rowOff>9525</xdr:rowOff>
    </xdr:to>
    <xdr:sp macro="" textlink="">
      <xdr:nvSpPr>
        <xdr:cNvPr id="199" name="Line 173"/>
        <xdr:cNvSpPr>
          <a:spLocks noChangeShapeType="1"/>
        </xdr:cNvSpPr>
      </xdr:nvSpPr>
      <xdr:spPr bwMode="auto">
        <a:xfrm>
          <a:off x="2447925" y="5953125"/>
          <a:ext cx="504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sp>
    <xdr:clientData/>
  </xdr:twoCellAnchor>
  <xdr:twoCellAnchor>
    <xdr:from>
      <xdr:col>4</xdr:col>
      <xdr:colOff>361950</xdr:colOff>
      <xdr:row>128</xdr:row>
      <xdr:rowOff>152400</xdr:rowOff>
    </xdr:from>
    <xdr:to>
      <xdr:col>4</xdr:col>
      <xdr:colOff>495300</xdr:colOff>
      <xdr:row>128</xdr:row>
      <xdr:rowOff>152400</xdr:rowOff>
    </xdr:to>
    <xdr:sp macro="" textlink="">
      <xdr:nvSpPr>
        <xdr:cNvPr id="200" name="Line 174"/>
        <xdr:cNvSpPr>
          <a:spLocks noChangeShapeType="1"/>
        </xdr:cNvSpPr>
      </xdr:nvSpPr>
      <xdr:spPr bwMode="auto">
        <a:xfrm>
          <a:off x="2800350" y="512445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prstDash val="sysDash"/>
          <a:round/>
          <a:headEnd/>
          <a:tailEnd/>
        </a:ln>
      </xdr:spPr>
    </xdr:sp>
    <xdr:clientData/>
  </xdr:twoCellAnchor>
  <xdr:twoCellAnchor>
    <xdr:from>
      <xdr:col>4</xdr:col>
      <xdr:colOff>361950</xdr:colOff>
      <xdr:row>128</xdr:row>
      <xdr:rowOff>152400</xdr:rowOff>
    </xdr:from>
    <xdr:to>
      <xdr:col>4</xdr:col>
      <xdr:colOff>361950</xdr:colOff>
      <xdr:row>136</xdr:row>
      <xdr:rowOff>9525</xdr:rowOff>
    </xdr:to>
    <xdr:sp macro="" textlink="">
      <xdr:nvSpPr>
        <xdr:cNvPr id="201" name="Line 175"/>
        <xdr:cNvSpPr>
          <a:spLocks noChangeShapeType="1"/>
        </xdr:cNvSpPr>
      </xdr:nvSpPr>
      <xdr:spPr bwMode="auto">
        <a:xfrm>
          <a:off x="2800350" y="5124450"/>
          <a:ext cx="0" cy="828675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</xdr:spPr>
    </xdr:sp>
    <xdr:clientData/>
  </xdr:twoCellAnchor>
  <xdr:twoCellAnchor>
    <xdr:from>
      <xdr:col>3</xdr:col>
      <xdr:colOff>600075</xdr:colOff>
      <xdr:row>122</xdr:row>
      <xdr:rowOff>152400</xdr:rowOff>
    </xdr:from>
    <xdr:to>
      <xdr:col>4</xdr:col>
      <xdr:colOff>485775</xdr:colOff>
      <xdr:row>136</xdr:row>
      <xdr:rowOff>9525</xdr:rowOff>
    </xdr:to>
    <xdr:sp macro="" textlink="">
      <xdr:nvSpPr>
        <xdr:cNvPr id="202" name="Line 176"/>
        <xdr:cNvSpPr>
          <a:spLocks noChangeShapeType="1"/>
        </xdr:cNvSpPr>
      </xdr:nvSpPr>
      <xdr:spPr bwMode="auto">
        <a:xfrm flipH="1">
          <a:off x="2428875" y="4476750"/>
          <a:ext cx="49530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0</xdr:col>
      <xdr:colOff>428625</xdr:colOff>
      <xdr:row>129</xdr:row>
      <xdr:rowOff>0</xdr:rowOff>
    </xdr:from>
    <xdr:ext cx="123825" cy="342900"/>
    <xdr:sp macro="" textlink="">
      <xdr:nvSpPr>
        <xdr:cNvPr id="203" name="Text Box 194"/>
        <xdr:cNvSpPr txBox="1">
          <a:spLocks noChangeArrowheads="1"/>
        </xdr:cNvSpPr>
      </xdr:nvSpPr>
      <xdr:spPr bwMode="auto">
        <a:xfrm>
          <a:off x="428625" y="5133975"/>
          <a:ext cx="123825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0</xdr:col>
      <xdr:colOff>0</xdr:colOff>
      <xdr:row>129</xdr:row>
      <xdr:rowOff>0</xdr:rowOff>
    </xdr:from>
    <xdr:ext cx="161925" cy="180975"/>
    <xdr:sp macro="" textlink="">
      <xdr:nvSpPr>
        <xdr:cNvPr id="204" name="Text Box 197"/>
        <xdr:cNvSpPr txBox="1">
          <a:spLocks noChangeArrowheads="1"/>
        </xdr:cNvSpPr>
      </xdr:nvSpPr>
      <xdr:spPr bwMode="auto">
        <a:xfrm>
          <a:off x="0" y="5133975"/>
          <a:ext cx="1619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1</xdr:col>
      <xdr:colOff>428625</xdr:colOff>
      <xdr:row>138</xdr:row>
      <xdr:rowOff>0</xdr:rowOff>
    </xdr:from>
    <xdr:ext cx="123825" cy="180975"/>
    <xdr:sp macro="" textlink="">
      <xdr:nvSpPr>
        <xdr:cNvPr id="205" name="Text Box 198"/>
        <xdr:cNvSpPr txBox="1">
          <a:spLocks noChangeArrowheads="1"/>
        </xdr:cNvSpPr>
      </xdr:nvSpPr>
      <xdr:spPr bwMode="auto">
        <a:xfrm>
          <a:off x="1038225" y="62674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1</xdr:col>
      <xdr:colOff>0</xdr:colOff>
      <xdr:row>137</xdr:row>
      <xdr:rowOff>142875</xdr:rowOff>
    </xdr:from>
    <xdr:ext cx="200025" cy="180975"/>
    <xdr:sp macro="" textlink="">
      <xdr:nvSpPr>
        <xdr:cNvPr id="206" name="Text Box 199"/>
        <xdr:cNvSpPr txBox="1">
          <a:spLocks noChangeArrowheads="1"/>
        </xdr:cNvSpPr>
      </xdr:nvSpPr>
      <xdr:spPr bwMode="auto">
        <a:xfrm>
          <a:off x="609600" y="6248400"/>
          <a:ext cx="2000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a =</a:t>
          </a:r>
        </a:p>
      </xdr:txBody>
    </xdr:sp>
    <xdr:clientData/>
  </xdr:oneCellAnchor>
  <xdr:twoCellAnchor>
    <xdr:from>
      <xdr:col>4</xdr:col>
      <xdr:colOff>0</xdr:colOff>
      <xdr:row>136</xdr:row>
      <xdr:rowOff>123825</xdr:rowOff>
    </xdr:from>
    <xdr:to>
      <xdr:col>4</xdr:col>
      <xdr:colOff>0</xdr:colOff>
      <xdr:row>137</xdr:row>
      <xdr:rowOff>47625</xdr:rowOff>
    </xdr:to>
    <xdr:sp macro="" textlink="">
      <xdr:nvSpPr>
        <xdr:cNvPr id="207" name="Line 200"/>
        <xdr:cNvSpPr>
          <a:spLocks noChangeShapeType="1"/>
        </xdr:cNvSpPr>
      </xdr:nvSpPr>
      <xdr:spPr bwMode="auto">
        <a:xfrm>
          <a:off x="2438400" y="60674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137</xdr:row>
      <xdr:rowOff>0</xdr:rowOff>
    </xdr:from>
    <xdr:to>
      <xdr:col>4</xdr:col>
      <xdr:colOff>504825</xdr:colOff>
      <xdr:row>137</xdr:row>
      <xdr:rowOff>0</xdr:rowOff>
    </xdr:to>
    <xdr:sp macro="" textlink="">
      <xdr:nvSpPr>
        <xdr:cNvPr id="208" name="Line 201"/>
        <xdr:cNvSpPr>
          <a:spLocks noChangeShapeType="1"/>
        </xdr:cNvSpPr>
      </xdr:nvSpPr>
      <xdr:spPr bwMode="auto">
        <a:xfrm>
          <a:off x="2438400" y="6105525"/>
          <a:ext cx="504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266700</xdr:colOff>
      <xdr:row>138</xdr:row>
      <xdr:rowOff>123825</xdr:rowOff>
    </xdr:from>
    <xdr:to>
      <xdr:col>5</xdr:col>
      <xdr:colOff>266700</xdr:colOff>
      <xdr:row>140</xdr:row>
      <xdr:rowOff>47625</xdr:rowOff>
    </xdr:to>
    <xdr:sp macro="" textlink="">
      <xdr:nvSpPr>
        <xdr:cNvPr id="209" name="Line 202"/>
        <xdr:cNvSpPr>
          <a:spLocks noChangeShapeType="1"/>
        </xdr:cNvSpPr>
      </xdr:nvSpPr>
      <xdr:spPr bwMode="auto">
        <a:xfrm flipH="1">
          <a:off x="3314700" y="639127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238125</xdr:colOff>
      <xdr:row>135</xdr:row>
      <xdr:rowOff>28575</xdr:rowOff>
    </xdr:from>
    <xdr:to>
      <xdr:col>5</xdr:col>
      <xdr:colOff>457200</xdr:colOff>
      <xdr:row>135</xdr:row>
      <xdr:rowOff>28575</xdr:rowOff>
    </xdr:to>
    <xdr:sp macro="" textlink="">
      <xdr:nvSpPr>
        <xdr:cNvPr id="210" name="Line 203"/>
        <xdr:cNvSpPr>
          <a:spLocks noChangeShapeType="1"/>
        </xdr:cNvSpPr>
      </xdr:nvSpPr>
      <xdr:spPr bwMode="auto">
        <a:xfrm flipH="1">
          <a:off x="3286125" y="581025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247650</xdr:colOff>
      <xdr:row>134</xdr:row>
      <xdr:rowOff>57150</xdr:rowOff>
    </xdr:from>
    <xdr:to>
      <xdr:col>5</xdr:col>
      <xdr:colOff>371475</xdr:colOff>
      <xdr:row>134</xdr:row>
      <xdr:rowOff>57150</xdr:rowOff>
    </xdr:to>
    <xdr:sp macro="" textlink="">
      <xdr:nvSpPr>
        <xdr:cNvPr id="211" name="Line 204"/>
        <xdr:cNvSpPr>
          <a:spLocks noChangeShapeType="1"/>
        </xdr:cNvSpPr>
      </xdr:nvSpPr>
      <xdr:spPr bwMode="auto">
        <a:xfrm flipH="1">
          <a:off x="3295650" y="567690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171450</xdr:colOff>
      <xdr:row>123</xdr:row>
      <xdr:rowOff>0</xdr:rowOff>
    </xdr:from>
    <xdr:to>
      <xdr:col>4</xdr:col>
      <xdr:colOff>504825</xdr:colOff>
      <xdr:row>123</xdr:row>
      <xdr:rowOff>0</xdr:rowOff>
    </xdr:to>
    <xdr:sp macro="" textlink="">
      <xdr:nvSpPr>
        <xdr:cNvPr id="212" name="Line 205"/>
        <xdr:cNvSpPr>
          <a:spLocks noChangeShapeType="1"/>
        </xdr:cNvSpPr>
      </xdr:nvSpPr>
      <xdr:spPr bwMode="auto">
        <a:xfrm flipH="1">
          <a:off x="2000250" y="14916150"/>
          <a:ext cx="942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19050</xdr:colOff>
      <xdr:row>123</xdr:row>
      <xdr:rowOff>0</xdr:rowOff>
    </xdr:from>
    <xdr:to>
      <xdr:col>4</xdr:col>
      <xdr:colOff>123825</xdr:colOff>
      <xdr:row>123</xdr:row>
      <xdr:rowOff>76200</xdr:rowOff>
    </xdr:to>
    <xdr:sp macro="" textlink="">
      <xdr:nvSpPr>
        <xdr:cNvPr id="213" name="Line 206"/>
        <xdr:cNvSpPr>
          <a:spLocks noChangeShapeType="1"/>
        </xdr:cNvSpPr>
      </xdr:nvSpPr>
      <xdr:spPr bwMode="auto">
        <a:xfrm flipH="1">
          <a:off x="2457450" y="4486275"/>
          <a:ext cx="1047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123</xdr:row>
      <xdr:rowOff>0</xdr:rowOff>
    </xdr:from>
    <xdr:to>
      <xdr:col>4</xdr:col>
      <xdr:colOff>219075</xdr:colOff>
      <xdr:row>123</xdr:row>
      <xdr:rowOff>85725</xdr:rowOff>
    </xdr:to>
    <xdr:sp macro="" textlink="">
      <xdr:nvSpPr>
        <xdr:cNvPr id="214" name="Line 207"/>
        <xdr:cNvSpPr>
          <a:spLocks noChangeShapeType="1"/>
        </xdr:cNvSpPr>
      </xdr:nvSpPr>
      <xdr:spPr bwMode="auto">
        <a:xfrm>
          <a:off x="2571750" y="4486275"/>
          <a:ext cx="857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123</xdr:row>
      <xdr:rowOff>0</xdr:rowOff>
    </xdr:from>
    <xdr:to>
      <xdr:col>4</xdr:col>
      <xdr:colOff>209550</xdr:colOff>
      <xdr:row>123</xdr:row>
      <xdr:rowOff>76200</xdr:rowOff>
    </xdr:to>
    <xdr:sp macro="" textlink="">
      <xdr:nvSpPr>
        <xdr:cNvPr id="215" name="Line 208"/>
        <xdr:cNvSpPr>
          <a:spLocks noChangeShapeType="1"/>
        </xdr:cNvSpPr>
      </xdr:nvSpPr>
      <xdr:spPr bwMode="auto">
        <a:xfrm flipH="1">
          <a:off x="2571750" y="4486275"/>
          <a:ext cx="762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209550</xdr:colOff>
      <xdr:row>123</xdr:row>
      <xdr:rowOff>0</xdr:rowOff>
    </xdr:from>
    <xdr:to>
      <xdr:col>4</xdr:col>
      <xdr:colOff>295275</xdr:colOff>
      <xdr:row>123</xdr:row>
      <xdr:rowOff>76200</xdr:rowOff>
    </xdr:to>
    <xdr:sp macro="" textlink="">
      <xdr:nvSpPr>
        <xdr:cNvPr id="216" name="Line 209"/>
        <xdr:cNvSpPr>
          <a:spLocks noChangeShapeType="1"/>
        </xdr:cNvSpPr>
      </xdr:nvSpPr>
      <xdr:spPr bwMode="auto">
        <a:xfrm>
          <a:off x="2647950" y="4486275"/>
          <a:ext cx="8572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457200</xdr:colOff>
      <xdr:row>122</xdr:row>
      <xdr:rowOff>142875</xdr:rowOff>
    </xdr:from>
    <xdr:to>
      <xdr:col>9</xdr:col>
      <xdr:colOff>180975</xdr:colOff>
      <xdr:row>122</xdr:row>
      <xdr:rowOff>142875</xdr:rowOff>
    </xdr:to>
    <xdr:sp macro="" textlink="">
      <xdr:nvSpPr>
        <xdr:cNvPr id="217" name="Line 210"/>
        <xdr:cNvSpPr>
          <a:spLocks noChangeShapeType="1"/>
        </xdr:cNvSpPr>
      </xdr:nvSpPr>
      <xdr:spPr bwMode="auto">
        <a:xfrm>
          <a:off x="5334000" y="1373505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485775</xdr:colOff>
      <xdr:row>135</xdr:row>
      <xdr:rowOff>142875</xdr:rowOff>
    </xdr:from>
    <xdr:to>
      <xdr:col>9</xdr:col>
      <xdr:colOff>123825</xdr:colOff>
      <xdr:row>135</xdr:row>
      <xdr:rowOff>142875</xdr:rowOff>
    </xdr:to>
    <xdr:sp macro="" textlink="">
      <xdr:nvSpPr>
        <xdr:cNvPr id="218" name="Line 211"/>
        <xdr:cNvSpPr>
          <a:spLocks noChangeShapeType="1"/>
        </xdr:cNvSpPr>
      </xdr:nvSpPr>
      <xdr:spPr bwMode="auto">
        <a:xfrm>
          <a:off x="5362575" y="15840075"/>
          <a:ext cx="247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9525</xdr:colOff>
      <xdr:row>122</xdr:row>
      <xdr:rowOff>142875</xdr:rowOff>
    </xdr:from>
    <xdr:to>
      <xdr:col>9</xdr:col>
      <xdr:colOff>9525</xdr:colOff>
      <xdr:row>135</xdr:row>
      <xdr:rowOff>142875</xdr:rowOff>
    </xdr:to>
    <xdr:sp macro="" textlink="">
      <xdr:nvSpPr>
        <xdr:cNvPr id="219" name="Line 212"/>
        <xdr:cNvSpPr>
          <a:spLocks noChangeShapeType="1"/>
        </xdr:cNvSpPr>
      </xdr:nvSpPr>
      <xdr:spPr bwMode="auto">
        <a:xfrm>
          <a:off x="5495925" y="13735050"/>
          <a:ext cx="0" cy="2105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 editAs="oneCell">
    <xdr:from>
      <xdr:col>9</xdr:col>
      <xdr:colOff>0</xdr:colOff>
      <xdr:row>129</xdr:row>
      <xdr:rowOff>0</xdr:rowOff>
    </xdr:from>
    <xdr:to>
      <xdr:col>9</xdr:col>
      <xdr:colOff>76200</xdr:colOff>
      <xdr:row>130</xdr:row>
      <xdr:rowOff>38100</xdr:rowOff>
    </xdr:to>
    <xdr:sp macro="" textlink="">
      <xdr:nvSpPr>
        <xdr:cNvPr id="220" name="Text Box 213"/>
        <xdr:cNvSpPr txBox="1">
          <a:spLocks noChangeArrowheads="1"/>
        </xdr:cNvSpPr>
      </xdr:nvSpPr>
      <xdr:spPr bwMode="auto">
        <a:xfrm>
          <a:off x="4876800" y="51339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129</xdr:row>
      <xdr:rowOff>0</xdr:rowOff>
    </xdr:from>
    <xdr:to>
      <xdr:col>9</xdr:col>
      <xdr:colOff>76200</xdr:colOff>
      <xdr:row>130</xdr:row>
      <xdr:rowOff>38100</xdr:rowOff>
    </xdr:to>
    <xdr:sp macro="" textlink="">
      <xdr:nvSpPr>
        <xdr:cNvPr id="221" name="Text Box 214"/>
        <xdr:cNvSpPr txBox="1">
          <a:spLocks noChangeArrowheads="1"/>
        </xdr:cNvSpPr>
      </xdr:nvSpPr>
      <xdr:spPr bwMode="auto">
        <a:xfrm>
          <a:off x="4876800" y="51339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9</xdr:col>
      <xdr:colOff>304800</xdr:colOff>
      <xdr:row>128</xdr:row>
      <xdr:rowOff>152400</xdr:rowOff>
    </xdr:from>
    <xdr:ext cx="123825" cy="180975"/>
    <xdr:sp macro="" textlink="">
      <xdr:nvSpPr>
        <xdr:cNvPr id="222" name="Text Box 215"/>
        <xdr:cNvSpPr txBox="1">
          <a:spLocks noChangeArrowheads="1"/>
        </xdr:cNvSpPr>
      </xdr:nvSpPr>
      <xdr:spPr bwMode="auto">
        <a:xfrm>
          <a:off x="5181600" y="51244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590550</xdr:colOff>
      <xdr:row>131</xdr:row>
      <xdr:rowOff>0</xdr:rowOff>
    </xdr:from>
    <xdr:to>
      <xdr:col>5</xdr:col>
      <xdr:colOff>590550</xdr:colOff>
      <xdr:row>135</xdr:row>
      <xdr:rowOff>152400</xdr:rowOff>
    </xdr:to>
    <xdr:sp macro="" textlink="">
      <xdr:nvSpPr>
        <xdr:cNvPr id="223" name="Line 216"/>
        <xdr:cNvSpPr>
          <a:spLocks noChangeShapeType="1"/>
        </xdr:cNvSpPr>
      </xdr:nvSpPr>
      <xdr:spPr bwMode="auto">
        <a:xfrm>
          <a:off x="3638550" y="5457825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495300</xdr:colOff>
      <xdr:row>128</xdr:row>
      <xdr:rowOff>152400</xdr:rowOff>
    </xdr:from>
    <xdr:to>
      <xdr:col>2</xdr:col>
      <xdr:colOff>495300</xdr:colOff>
      <xdr:row>136</xdr:row>
      <xdr:rowOff>0</xdr:rowOff>
    </xdr:to>
    <xdr:sp macro="" textlink="">
      <xdr:nvSpPr>
        <xdr:cNvPr id="224" name="Line 217"/>
        <xdr:cNvSpPr>
          <a:spLocks noChangeShapeType="1"/>
        </xdr:cNvSpPr>
      </xdr:nvSpPr>
      <xdr:spPr bwMode="auto">
        <a:xfrm>
          <a:off x="1714500" y="5124450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171450</xdr:colOff>
      <xdr:row>122</xdr:row>
      <xdr:rowOff>142875</xdr:rowOff>
    </xdr:from>
    <xdr:to>
      <xdr:col>4</xdr:col>
      <xdr:colOff>171450</xdr:colOff>
      <xdr:row>129</xdr:row>
      <xdr:rowOff>0</xdr:rowOff>
    </xdr:to>
    <xdr:sp macro="" textlink="">
      <xdr:nvSpPr>
        <xdr:cNvPr id="225" name="Line 218"/>
        <xdr:cNvSpPr>
          <a:spLocks noChangeShapeType="1"/>
        </xdr:cNvSpPr>
      </xdr:nvSpPr>
      <xdr:spPr bwMode="auto">
        <a:xfrm flipV="1">
          <a:off x="2609850" y="4467225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6</xdr:col>
      <xdr:colOff>600075</xdr:colOff>
      <xdr:row>132</xdr:row>
      <xdr:rowOff>142875</xdr:rowOff>
    </xdr:from>
    <xdr:ext cx="123825" cy="180975"/>
    <xdr:sp macro="" textlink="">
      <xdr:nvSpPr>
        <xdr:cNvPr id="226" name="Text Box 219"/>
        <xdr:cNvSpPr txBox="1">
          <a:spLocks noChangeArrowheads="1"/>
        </xdr:cNvSpPr>
      </xdr:nvSpPr>
      <xdr:spPr bwMode="auto">
        <a:xfrm>
          <a:off x="4257675" y="15354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257175</xdr:colOff>
      <xdr:row>130</xdr:row>
      <xdr:rowOff>142875</xdr:rowOff>
    </xdr:from>
    <xdr:ext cx="123825" cy="180975"/>
    <xdr:sp macro="" textlink="">
      <xdr:nvSpPr>
        <xdr:cNvPr id="227" name="Text Box 220"/>
        <xdr:cNvSpPr txBox="1">
          <a:spLocks noChangeArrowheads="1"/>
        </xdr:cNvSpPr>
      </xdr:nvSpPr>
      <xdr:spPr bwMode="auto">
        <a:xfrm>
          <a:off x="2085975" y="54387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600075</xdr:colOff>
      <xdr:row>126</xdr:row>
      <xdr:rowOff>0</xdr:rowOff>
    </xdr:from>
    <xdr:ext cx="123825" cy="180975"/>
    <xdr:sp macro="" textlink="">
      <xdr:nvSpPr>
        <xdr:cNvPr id="228" name="Text Box 221"/>
        <xdr:cNvSpPr txBox="1">
          <a:spLocks noChangeArrowheads="1"/>
        </xdr:cNvSpPr>
      </xdr:nvSpPr>
      <xdr:spPr bwMode="auto">
        <a:xfrm>
          <a:off x="2428875" y="48101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533400</xdr:colOff>
      <xdr:row>138</xdr:row>
      <xdr:rowOff>76200</xdr:rowOff>
    </xdr:from>
    <xdr:to>
      <xdr:col>5</xdr:col>
      <xdr:colOff>533400</xdr:colOff>
      <xdr:row>139</xdr:row>
      <xdr:rowOff>66675</xdr:rowOff>
    </xdr:to>
    <xdr:sp macro="" textlink="">
      <xdr:nvSpPr>
        <xdr:cNvPr id="229" name="Line 222"/>
        <xdr:cNvSpPr>
          <a:spLocks noChangeShapeType="1"/>
        </xdr:cNvSpPr>
      </xdr:nvSpPr>
      <xdr:spPr bwMode="auto">
        <a:xfrm flipH="1">
          <a:off x="3581400" y="63436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266700</xdr:colOff>
      <xdr:row>138</xdr:row>
      <xdr:rowOff>152400</xdr:rowOff>
    </xdr:from>
    <xdr:to>
      <xdr:col>5</xdr:col>
      <xdr:colOff>523875</xdr:colOff>
      <xdr:row>138</xdr:row>
      <xdr:rowOff>152400</xdr:rowOff>
    </xdr:to>
    <xdr:sp macro="" textlink="">
      <xdr:nvSpPr>
        <xdr:cNvPr id="230" name="Line 223"/>
        <xdr:cNvSpPr>
          <a:spLocks noChangeShapeType="1"/>
        </xdr:cNvSpPr>
      </xdr:nvSpPr>
      <xdr:spPr bwMode="auto">
        <a:xfrm>
          <a:off x="3314700" y="641985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5</xdr:col>
      <xdr:colOff>295275</xdr:colOff>
      <xdr:row>137</xdr:row>
      <xdr:rowOff>142875</xdr:rowOff>
    </xdr:from>
    <xdr:ext cx="175304" cy="170560"/>
    <xdr:sp macro="" textlink="">
      <xdr:nvSpPr>
        <xdr:cNvPr id="231" name="Text Box 224"/>
        <xdr:cNvSpPr txBox="1">
          <a:spLocks noChangeArrowheads="1"/>
        </xdr:cNvSpPr>
      </xdr:nvSpPr>
      <xdr:spPr bwMode="auto">
        <a:xfrm>
          <a:off x="3343275" y="16163925"/>
          <a:ext cx="175304" cy="170560"/>
        </a:xfrm>
        <a:prstGeom prst="rect">
          <a:avLst/>
        </a:prstGeom>
        <a:solidFill>
          <a:srgbClr val="FFFF00"/>
        </a:solidFill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FF0000"/>
              </a:solidFill>
              <a:latin typeface="Arial"/>
              <a:cs typeface="Arial"/>
            </a:rPr>
            <a:t>P2</a:t>
          </a:r>
        </a:p>
      </xdr:txBody>
    </xdr:sp>
    <xdr:clientData/>
  </xdr:oneCellAnchor>
  <xdr:twoCellAnchor>
    <xdr:from>
      <xdr:col>5</xdr:col>
      <xdr:colOff>0</xdr:colOff>
      <xdr:row>121</xdr:row>
      <xdr:rowOff>95250</xdr:rowOff>
    </xdr:from>
    <xdr:to>
      <xdr:col>5</xdr:col>
      <xdr:colOff>0</xdr:colOff>
      <xdr:row>122</xdr:row>
      <xdr:rowOff>47625</xdr:rowOff>
    </xdr:to>
    <xdr:sp macro="" textlink="">
      <xdr:nvSpPr>
        <xdr:cNvPr id="232" name="Line 225"/>
        <xdr:cNvSpPr>
          <a:spLocks noChangeShapeType="1"/>
        </xdr:cNvSpPr>
      </xdr:nvSpPr>
      <xdr:spPr bwMode="auto">
        <a:xfrm>
          <a:off x="3048000" y="42576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228600</xdr:colOff>
      <xdr:row>121</xdr:row>
      <xdr:rowOff>104775</xdr:rowOff>
    </xdr:from>
    <xdr:to>
      <xdr:col>5</xdr:col>
      <xdr:colOff>228600</xdr:colOff>
      <xdr:row>122</xdr:row>
      <xdr:rowOff>57150</xdr:rowOff>
    </xdr:to>
    <xdr:sp macro="" textlink="">
      <xdr:nvSpPr>
        <xdr:cNvPr id="233" name="Line 226"/>
        <xdr:cNvSpPr>
          <a:spLocks noChangeShapeType="1"/>
        </xdr:cNvSpPr>
      </xdr:nvSpPr>
      <xdr:spPr bwMode="auto">
        <a:xfrm>
          <a:off x="3276600" y="426720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122</xdr:row>
      <xdr:rowOff>9525</xdr:rowOff>
    </xdr:from>
    <xdr:to>
      <xdr:col>5</xdr:col>
      <xdr:colOff>228600</xdr:colOff>
      <xdr:row>122</xdr:row>
      <xdr:rowOff>9525</xdr:rowOff>
    </xdr:to>
    <xdr:sp macro="" textlink="">
      <xdr:nvSpPr>
        <xdr:cNvPr id="234" name="Line 227"/>
        <xdr:cNvSpPr>
          <a:spLocks noChangeShapeType="1"/>
        </xdr:cNvSpPr>
      </xdr:nvSpPr>
      <xdr:spPr bwMode="auto">
        <a:xfrm>
          <a:off x="3048000" y="43338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6</xdr:col>
      <xdr:colOff>57150</xdr:colOff>
      <xdr:row>133</xdr:row>
      <xdr:rowOff>0</xdr:rowOff>
    </xdr:from>
    <xdr:ext cx="285750" cy="180975"/>
    <xdr:sp macro="" textlink="">
      <xdr:nvSpPr>
        <xdr:cNvPr id="235" name="Text Box 228"/>
        <xdr:cNvSpPr txBox="1">
          <a:spLocks noChangeArrowheads="1"/>
        </xdr:cNvSpPr>
      </xdr:nvSpPr>
      <xdr:spPr bwMode="auto">
        <a:xfrm>
          <a:off x="3714750" y="5619750"/>
          <a:ext cx="28575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18288" bIns="0" anchor="t" upright="1">
          <a:spAutoFit/>
        </a:bodyPr>
        <a:lstStyle/>
        <a:p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 =</a:t>
          </a:r>
        </a:p>
      </xdr:txBody>
    </xdr:sp>
    <xdr:clientData/>
  </xdr:oneCellAnchor>
  <xdr:twoCellAnchor>
    <xdr:from>
      <xdr:col>5</xdr:col>
      <xdr:colOff>133350</xdr:colOff>
      <xdr:row>124</xdr:row>
      <xdr:rowOff>57150</xdr:rowOff>
    </xdr:from>
    <xdr:to>
      <xdr:col>5</xdr:col>
      <xdr:colOff>504825</xdr:colOff>
      <xdr:row>128</xdr:row>
      <xdr:rowOff>104775</xdr:rowOff>
    </xdr:to>
    <xdr:sp macro="" textlink="">
      <xdr:nvSpPr>
        <xdr:cNvPr id="236" name="Line 291"/>
        <xdr:cNvSpPr>
          <a:spLocks noChangeShapeType="1"/>
        </xdr:cNvSpPr>
      </xdr:nvSpPr>
      <xdr:spPr bwMode="auto">
        <a:xfrm flipV="1">
          <a:off x="3181350" y="4705350"/>
          <a:ext cx="371475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/>
        </a:ln>
      </xdr:spPr>
    </xdr:sp>
    <xdr:clientData/>
  </xdr:twoCellAnchor>
  <xdr:twoCellAnchor>
    <xdr:from>
      <xdr:col>5</xdr:col>
      <xdr:colOff>514350</xdr:colOff>
      <xdr:row>124</xdr:row>
      <xdr:rowOff>57150</xdr:rowOff>
    </xdr:from>
    <xdr:to>
      <xdr:col>6</xdr:col>
      <xdr:colOff>0</xdr:colOff>
      <xdr:row>124</xdr:row>
      <xdr:rowOff>57150</xdr:rowOff>
    </xdr:to>
    <xdr:sp macro="" textlink="">
      <xdr:nvSpPr>
        <xdr:cNvPr id="237" name="Line 292"/>
        <xdr:cNvSpPr>
          <a:spLocks noChangeShapeType="1"/>
        </xdr:cNvSpPr>
      </xdr:nvSpPr>
      <xdr:spPr bwMode="auto">
        <a:xfrm>
          <a:off x="3562350" y="47053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590550</xdr:colOff>
      <xdr:row>139</xdr:row>
      <xdr:rowOff>142875</xdr:rowOff>
    </xdr:from>
    <xdr:ext cx="228600" cy="180975"/>
    <xdr:sp macro="" textlink="">
      <xdr:nvSpPr>
        <xdr:cNvPr id="238" name="Text Box 434"/>
        <xdr:cNvSpPr txBox="1">
          <a:spLocks noChangeArrowheads="1"/>
        </xdr:cNvSpPr>
      </xdr:nvSpPr>
      <xdr:spPr bwMode="auto">
        <a:xfrm>
          <a:off x="3028950" y="6572250"/>
          <a:ext cx="228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twoCellAnchor>
    <xdr:from>
      <xdr:col>2</xdr:col>
      <xdr:colOff>276225</xdr:colOff>
      <xdr:row>136</xdr:row>
      <xdr:rowOff>0</xdr:rowOff>
    </xdr:from>
    <xdr:to>
      <xdr:col>3</xdr:col>
      <xdr:colOff>571500</xdr:colOff>
      <xdr:row>136</xdr:row>
      <xdr:rowOff>0</xdr:rowOff>
    </xdr:to>
    <xdr:sp macro="" textlink="">
      <xdr:nvSpPr>
        <xdr:cNvPr id="239" name="Line 520"/>
        <xdr:cNvSpPr>
          <a:spLocks noChangeShapeType="1"/>
        </xdr:cNvSpPr>
      </xdr:nvSpPr>
      <xdr:spPr bwMode="auto">
        <a:xfrm>
          <a:off x="1495425" y="5943600"/>
          <a:ext cx="90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504825</xdr:colOff>
      <xdr:row>130</xdr:row>
      <xdr:rowOff>0</xdr:rowOff>
    </xdr:from>
    <xdr:to>
      <xdr:col>5</xdr:col>
      <xdr:colOff>238125</xdr:colOff>
      <xdr:row>130</xdr:row>
      <xdr:rowOff>0</xdr:rowOff>
    </xdr:to>
    <xdr:sp macro="" textlink="">
      <xdr:nvSpPr>
        <xdr:cNvPr id="240" name="Line 521"/>
        <xdr:cNvSpPr>
          <a:spLocks noChangeShapeType="1"/>
        </xdr:cNvSpPr>
      </xdr:nvSpPr>
      <xdr:spPr bwMode="auto">
        <a:xfrm>
          <a:off x="2943225" y="52959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5</xdr:col>
      <xdr:colOff>257175</xdr:colOff>
      <xdr:row>121</xdr:row>
      <xdr:rowOff>9525</xdr:rowOff>
    </xdr:from>
    <xdr:ext cx="228600" cy="180975"/>
    <xdr:sp macro="" textlink="">
      <xdr:nvSpPr>
        <xdr:cNvPr id="241" name="Text Box 522"/>
        <xdr:cNvSpPr txBox="1">
          <a:spLocks noChangeArrowheads="1"/>
        </xdr:cNvSpPr>
      </xdr:nvSpPr>
      <xdr:spPr bwMode="auto">
        <a:xfrm>
          <a:off x="3305175" y="4171950"/>
          <a:ext cx="228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5</xdr:col>
      <xdr:colOff>266700</xdr:colOff>
      <xdr:row>129</xdr:row>
      <xdr:rowOff>0</xdr:rowOff>
    </xdr:from>
    <xdr:ext cx="228600" cy="180975"/>
    <xdr:sp macro="" textlink="">
      <xdr:nvSpPr>
        <xdr:cNvPr id="242" name="Text Box 523"/>
        <xdr:cNvSpPr txBox="1">
          <a:spLocks noChangeArrowheads="1"/>
        </xdr:cNvSpPr>
      </xdr:nvSpPr>
      <xdr:spPr bwMode="auto">
        <a:xfrm>
          <a:off x="3314700" y="5133975"/>
          <a:ext cx="228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twoCellAnchor>
    <xdr:from>
      <xdr:col>7</xdr:col>
      <xdr:colOff>152400</xdr:colOff>
      <xdr:row>130</xdr:row>
      <xdr:rowOff>0</xdr:rowOff>
    </xdr:from>
    <xdr:to>
      <xdr:col>7</xdr:col>
      <xdr:colOff>152400</xdr:colOff>
      <xdr:row>136</xdr:row>
      <xdr:rowOff>9525</xdr:rowOff>
    </xdr:to>
    <xdr:sp macro="" textlink="">
      <xdr:nvSpPr>
        <xdr:cNvPr id="243" name="Line 524"/>
        <xdr:cNvSpPr>
          <a:spLocks noChangeShapeType="1"/>
        </xdr:cNvSpPr>
      </xdr:nvSpPr>
      <xdr:spPr bwMode="auto">
        <a:xfrm>
          <a:off x="4419600" y="5295900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7</xdr:col>
      <xdr:colOff>47625</xdr:colOff>
      <xdr:row>130</xdr:row>
      <xdr:rowOff>0</xdr:rowOff>
    </xdr:from>
    <xdr:to>
      <xdr:col>7</xdr:col>
      <xdr:colOff>209550</xdr:colOff>
      <xdr:row>130</xdr:row>
      <xdr:rowOff>0</xdr:rowOff>
    </xdr:to>
    <xdr:sp macro="" textlink="">
      <xdr:nvSpPr>
        <xdr:cNvPr id="244" name="Line 525"/>
        <xdr:cNvSpPr>
          <a:spLocks noChangeShapeType="1"/>
        </xdr:cNvSpPr>
      </xdr:nvSpPr>
      <xdr:spPr bwMode="auto">
        <a:xfrm>
          <a:off x="4314825" y="529590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66675</xdr:colOff>
      <xdr:row>136</xdr:row>
      <xdr:rowOff>0</xdr:rowOff>
    </xdr:from>
    <xdr:to>
      <xdr:col>7</xdr:col>
      <xdr:colOff>219075</xdr:colOff>
      <xdr:row>136</xdr:row>
      <xdr:rowOff>0</xdr:rowOff>
    </xdr:to>
    <xdr:sp macro="" textlink="">
      <xdr:nvSpPr>
        <xdr:cNvPr id="245" name="Line 526"/>
        <xdr:cNvSpPr>
          <a:spLocks noChangeShapeType="1"/>
        </xdr:cNvSpPr>
      </xdr:nvSpPr>
      <xdr:spPr bwMode="auto">
        <a:xfrm>
          <a:off x="4333875" y="594360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7</xdr:col>
      <xdr:colOff>428625</xdr:colOff>
      <xdr:row>130</xdr:row>
      <xdr:rowOff>152400</xdr:rowOff>
    </xdr:from>
    <xdr:ext cx="123825" cy="180975"/>
    <xdr:sp macro="" textlink="">
      <xdr:nvSpPr>
        <xdr:cNvPr id="246" name="Text Box 527"/>
        <xdr:cNvSpPr txBox="1">
          <a:spLocks noChangeArrowheads="1"/>
        </xdr:cNvSpPr>
      </xdr:nvSpPr>
      <xdr:spPr bwMode="auto">
        <a:xfrm>
          <a:off x="4695825" y="5448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7</xdr:col>
      <xdr:colOff>28575</xdr:colOff>
      <xdr:row>122</xdr:row>
      <xdr:rowOff>152400</xdr:rowOff>
    </xdr:from>
    <xdr:to>
      <xdr:col>7</xdr:col>
      <xdr:colOff>228600</xdr:colOff>
      <xdr:row>122</xdr:row>
      <xdr:rowOff>152400</xdr:rowOff>
    </xdr:to>
    <xdr:sp macro="" textlink="">
      <xdr:nvSpPr>
        <xdr:cNvPr id="247" name="Line 528"/>
        <xdr:cNvSpPr>
          <a:spLocks noChangeShapeType="1"/>
        </xdr:cNvSpPr>
      </xdr:nvSpPr>
      <xdr:spPr bwMode="auto">
        <a:xfrm>
          <a:off x="4295775" y="4476750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142875</xdr:colOff>
      <xdr:row>122</xdr:row>
      <xdr:rowOff>152400</xdr:rowOff>
    </xdr:from>
    <xdr:to>
      <xdr:col>7</xdr:col>
      <xdr:colOff>142875</xdr:colOff>
      <xdr:row>130</xdr:row>
      <xdr:rowOff>0</xdr:rowOff>
    </xdr:to>
    <xdr:sp macro="" textlink="">
      <xdr:nvSpPr>
        <xdr:cNvPr id="248" name="Line 529"/>
        <xdr:cNvSpPr>
          <a:spLocks noChangeShapeType="1"/>
        </xdr:cNvSpPr>
      </xdr:nvSpPr>
      <xdr:spPr bwMode="auto">
        <a:xfrm>
          <a:off x="4410075" y="4476750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7</xdr:col>
      <xdr:colOff>428625</xdr:colOff>
      <xdr:row>126</xdr:row>
      <xdr:rowOff>0</xdr:rowOff>
    </xdr:from>
    <xdr:ext cx="123825" cy="180975"/>
    <xdr:sp macro="" textlink="">
      <xdr:nvSpPr>
        <xdr:cNvPr id="249" name="Text Box 530"/>
        <xdr:cNvSpPr txBox="1">
          <a:spLocks noChangeArrowheads="1"/>
        </xdr:cNvSpPr>
      </xdr:nvSpPr>
      <xdr:spPr bwMode="auto">
        <a:xfrm>
          <a:off x="4695825" y="142398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438150</xdr:colOff>
      <xdr:row>128</xdr:row>
      <xdr:rowOff>9525</xdr:rowOff>
    </xdr:from>
    <xdr:ext cx="123825" cy="180975"/>
    <xdr:sp macro="" textlink="">
      <xdr:nvSpPr>
        <xdr:cNvPr id="250" name="Text Box 531"/>
        <xdr:cNvSpPr txBox="1">
          <a:spLocks noChangeArrowheads="1"/>
        </xdr:cNvSpPr>
      </xdr:nvSpPr>
      <xdr:spPr bwMode="auto">
        <a:xfrm>
          <a:off x="2266950" y="49815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</xdr:col>
      <xdr:colOff>266700</xdr:colOff>
      <xdr:row>129</xdr:row>
      <xdr:rowOff>152400</xdr:rowOff>
    </xdr:from>
    <xdr:ext cx="160941" cy="170560"/>
    <xdr:sp macro="" textlink="">
      <xdr:nvSpPr>
        <xdr:cNvPr id="251" name="Text Box 532"/>
        <xdr:cNvSpPr txBox="1">
          <a:spLocks noChangeArrowheads="1"/>
        </xdr:cNvSpPr>
      </xdr:nvSpPr>
      <xdr:spPr bwMode="auto">
        <a:xfrm>
          <a:off x="3924300" y="15716250"/>
          <a:ext cx="16094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 </a:t>
          </a:r>
          <a:endParaRPr lang="en-GB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4</xdr:col>
      <xdr:colOff>571500</xdr:colOff>
      <xdr:row>129</xdr:row>
      <xdr:rowOff>133350</xdr:rowOff>
    </xdr:from>
    <xdr:ext cx="228600" cy="180975"/>
    <xdr:sp macro="" textlink="">
      <xdr:nvSpPr>
        <xdr:cNvPr id="252" name="Text Box 535"/>
        <xdr:cNvSpPr txBox="1">
          <a:spLocks noChangeArrowheads="1"/>
        </xdr:cNvSpPr>
      </xdr:nvSpPr>
      <xdr:spPr bwMode="auto">
        <a:xfrm>
          <a:off x="3009900" y="5267325"/>
          <a:ext cx="228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3</xdr:col>
      <xdr:colOff>438150</xdr:colOff>
      <xdr:row>128</xdr:row>
      <xdr:rowOff>9525</xdr:rowOff>
    </xdr:from>
    <xdr:ext cx="123825" cy="180975"/>
    <xdr:sp macro="" textlink="">
      <xdr:nvSpPr>
        <xdr:cNvPr id="253" name="Text Box 536"/>
        <xdr:cNvSpPr txBox="1">
          <a:spLocks noChangeArrowheads="1"/>
        </xdr:cNvSpPr>
      </xdr:nvSpPr>
      <xdr:spPr bwMode="auto">
        <a:xfrm>
          <a:off x="2266950" y="49815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438150</xdr:colOff>
      <xdr:row>128</xdr:row>
      <xdr:rowOff>9525</xdr:rowOff>
    </xdr:from>
    <xdr:ext cx="123825" cy="180975"/>
    <xdr:sp macro="" textlink="">
      <xdr:nvSpPr>
        <xdr:cNvPr id="254" name="Text Box 537"/>
        <xdr:cNvSpPr txBox="1">
          <a:spLocks noChangeArrowheads="1"/>
        </xdr:cNvSpPr>
      </xdr:nvSpPr>
      <xdr:spPr bwMode="auto">
        <a:xfrm>
          <a:off x="2266950" y="49815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</xdr:col>
      <xdr:colOff>533400</xdr:colOff>
      <xdr:row>128</xdr:row>
      <xdr:rowOff>0</xdr:rowOff>
    </xdr:from>
    <xdr:ext cx="210955" cy="170560"/>
    <xdr:sp macro="" textlink="">
      <xdr:nvSpPr>
        <xdr:cNvPr id="255" name="Text Box 544"/>
        <xdr:cNvSpPr txBox="1">
          <a:spLocks noChangeArrowheads="1"/>
        </xdr:cNvSpPr>
      </xdr:nvSpPr>
      <xdr:spPr bwMode="auto">
        <a:xfrm>
          <a:off x="1752600" y="14716125"/>
          <a:ext cx="21095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oneCellAnchor>
  <xdr:twoCellAnchor>
    <xdr:from>
      <xdr:col>2</xdr:col>
      <xdr:colOff>438150</xdr:colOff>
      <xdr:row>128</xdr:row>
      <xdr:rowOff>47625</xdr:rowOff>
    </xdr:from>
    <xdr:to>
      <xdr:col>2</xdr:col>
      <xdr:colOff>542925</xdr:colOff>
      <xdr:row>128</xdr:row>
      <xdr:rowOff>152400</xdr:rowOff>
    </xdr:to>
    <xdr:sp macro="" textlink="">
      <xdr:nvSpPr>
        <xdr:cNvPr id="256" name="AutoShape 545"/>
        <xdr:cNvSpPr>
          <a:spLocks noChangeArrowheads="1"/>
        </xdr:cNvSpPr>
      </xdr:nvSpPr>
      <xdr:spPr bwMode="auto">
        <a:xfrm>
          <a:off x="1657350" y="5019675"/>
          <a:ext cx="104775" cy="104775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142875</xdr:colOff>
      <xdr:row>124</xdr:row>
      <xdr:rowOff>66675</xdr:rowOff>
    </xdr:from>
    <xdr:to>
      <xdr:col>2</xdr:col>
      <xdr:colOff>409575</xdr:colOff>
      <xdr:row>129</xdr:row>
      <xdr:rowOff>0</xdr:rowOff>
    </xdr:to>
    <xdr:sp macro="" textlink="">
      <xdr:nvSpPr>
        <xdr:cNvPr id="257" name="Line 546"/>
        <xdr:cNvSpPr>
          <a:spLocks noChangeShapeType="1"/>
        </xdr:cNvSpPr>
      </xdr:nvSpPr>
      <xdr:spPr bwMode="auto">
        <a:xfrm>
          <a:off x="1362075" y="4714875"/>
          <a:ext cx="2667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142875</xdr:colOff>
      <xdr:row>124</xdr:row>
      <xdr:rowOff>66675</xdr:rowOff>
    </xdr:from>
    <xdr:to>
      <xdr:col>2</xdr:col>
      <xdr:colOff>266700</xdr:colOff>
      <xdr:row>124</xdr:row>
      <xdr:rowOff>66675</xdr:rowOff>
    </xdr:to>
    <xdr:sp macro="" textlink="">
      <xdr:nvSpPr>
        <xdr:cNvPr id="258" name="Line 547"/>
        <xdr:cNvSpPr>
          <a:spLocks noChangeShapeType="1"/>
        </xdr:cNvSpPr>
      </xdr:nvSpPr>
      <xdr:spPr bwMode="auto">
        <a:xfrm>
          <a:off x="1362075" y="4714875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</xdr:col>
      <xdr:colOff>438150</xdr:colOff>
      <xdr:row>135</xdr:row>
      <xdr:rowOff>9525</xdr:rowOff>
    </xdr:from>
    <xdr:ext cx="123825" cy="180975"/>
    <xdr:sp macro="" textlink="">
      <xdr:nvSpPr>
        <xdr:cNvPr id="260" name="Text Box 549"/>
        <xdr:cNvSpPr txBox="1">
          <a:spLocks noChangeArrowheads="1"/>
        </xdr:cNvSpPr>
      </xdr:nvSpPr>
      <xdr:spPr bwMode="auto">
        <a:xfrm>
          <a:off x="2266950" y="57912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</xdr:col>
      <xdr:colOff>590550</xdr:colOff>
      <xdr:row>135</xdr:row>
      <xdr:rowOff>9525</xdr:rowOff>
    </xdr:from>
    <xdr:ext cx="171450" cy="161925"/>
    <xdr:sp macro="" textlink="">
      <xdr:nvSpPr>
        <xdr:cNvPr id="261" name="Text Box 550"/>
        <xdr:cNvSpPr txBox="1">
          <a:spLocks noChangeArrowheads="1"/>
        </xdr:cNvSpPr>
      </xdr:nvSpPr>
      <xdr:spPr bwMode="auto">
        <a:xfrm>
          <a:off x="1809750" y="5791200"/>
          <a:ext cx="1714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800" b="1" i="0" strike="noStrike">
              <a:solidFill>
                <a:srgbClr val="000000"/>
              </a:solidFill>
              <a:latin typeface="Arial"/>
              <a:cs typeface="Arial"/>
            </a:rPr>
            <a:t>EL.</a:t>
          </a:r>
        </a:p>
      </xdr:txBody>
    </xdr:sp>
    <xdr:clientData/>
  </xdr:oneCellAnchor>
  <xdr:twoCellAnchor editAs="oneCell">
    <xdr:from>
      <xdr:col>8</xdr:col>
      <xdr:colOff>571500</xdr:colOff>
      <xdr:row>122</xdr:row>
      <xdr:rowOff>133350</xdr:rowOff>
    </xdr:from>
    <xdr:to>
      <xdr:col>9</xdr:col>
      <xdr:colOff>38100</xdr:colOff>
      <xdr:row>124</xdr:row>
      <xdr:rowOff>9525</xdr:rowOff>
    </xdr:to>
    <xdr:sp macro="" textlink="">
      <xdr:nvSpPr>
        <xdr:cNvPr id="262" name="Text Box 552"/>
        <xdr:cNvSpPr txBox="1">
          <a:spLocks noChangeArrowheads="1"/>
        </xdr:cNvSpPr>
      </xdr:nvSpPr>
      <xdr:spPr bwMode="auto">
        <a:xfrm>
          <a:off x="5448300" y="44577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600075</xdr:colOff>
      <xdr:row>122</xdr:row>
      <xdr:rowOff>142875</xdr:rowOff>
    </xdr:from>
    <xdr:to>
      <xdr:col>9</xdr:col>
      <xdr:colOff>66675</xdr:colOff>
      <xdr:row>124</xdr:row>
      <xdr:rowOff>19050</xdr:rowOff>
    </xdr:to>
    <xdr:sp macro="" textlink="">
      <xdr:nvSpPr>
        <xdr:cNvPr id="263" name="Text Box 554"/>
        <xdr:cNvSpPr txBox="1">
          <a:spLocks noChangeArrowheads="1"/>
        </xdr:cNvSpPr>
      </xdr:nvSpPr>
      <xdr:spPr bwMode="auto">
        <a:xfrm>
          <a:off x="5476875" y="44672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5</xdr:col>
      <xdr:colOff>419100</xdr:colOff>
      <xdr:row>130</xdr:row>
      <xdr:rowOff>9525</xdr:rowOff>
    </xdr:from>
    <xdr:ext cx="180975" cy="171450"/>
    <xdr:sp macro="" textlink="">
      <xdr:nvSpPr>
        <xdr:cNvPr id="264" name="Text Box 555"/>
        <xdr:cNvSpPr txBox="1">
          <a:spLocks noChangeArrowheads="1"/>
        </xdr:cNvSpPr>
      </xdr:nvSpPr>
      <xdr:spPr bwMode="auto">
        <a:xfrm>
          <a:off x="3467100" y="5305425"/>
          <a:ext cx="1809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900" b="1" i="0" strike="noStrike">
              <a:solidFill>
                <a:srgbClr val="000000"/>
              </a:solidFill>
              <a:latin typeface="Arial"/>
              <a:cs typeface="Arial"/>
            </a:rPr>
            <a:t>EL.</a:t>
          </a:r>
        </a:p>
      </xdr:txBody>
    </xdr:sp>
    <xdr:clientData/>
  </xdr:oneCellAnchor>
  <xdr:oneCellAnchor>
    <xdr:from>
      <xdr:col>3</xdr:col>
      <xdr:colOff>38100</xdr:colOff>
      <xdr:row>126</xdr:row>
      <xdr:rowOff>0</xdr:rowOff>
    </xdr:from>
    <xdr:ext cx="266700" cy="180975"/>
    <xdr:sp macro="" textlink="">
      <xdr:nvSpPr>
        <xdr:cNvPr id="265" name="Text Box 556"/>
        <xdr:cNvSpPr txBox="1">
          <a:spLocks noChangeArrowheads="1"/>
        </xdr:cNvSpPr>
      </xdr:nvSpPr>
      <xdr:spPr bwMode="auto">
        <a:xfrm>
          <a:off x="1866900" y="4810125"/>
          <a:ext cx="2667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 =</a:t>
          </a:r>
        </a:p>
      </xdr:txBody>
    </xdr:sp>
    <xdr:clientData/>
  </xdr:oneCellAnchor>
  <xdr:twoCellAnchor editAs="oneCell">
    <xdr:from>
      <xdr:col>6</xdr:col>
      <xdr:colOff>266700</xdr:colOff>
      <xdr:row>127</xdr:row>
      <xdr:rowOff>0</xdr:rowOff>
    </xdr:from>
    <xdr:to>
      <xdr:col>6</xdr:col>
      <xdr:colOff>342900</xdr:colOff>
      <xdr:row>128</xdr:row>
      <xdr:rowOff>38100</xdr:rowOff>
    </xdr:to>
    <xdr:sp macro="" textlink="">
      <xdr:nvSpPr>
        <xdr:cNvPr id="266" name="Text Box 557"/>
        <xdr:cNvSpPr txBox="1">
          <a:spLocks noChangeArrowheads="1"/>
        </xdr:cNvSpPr>
      </xdr:nvSpPr>
      <xdr:spPr bwMode="auto">
        <a:xfrm>
          <a:off x="3924300" y="48101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571500</xdr:colOff>
      <xdr:row>127</xdr:row>
      <xdr:rowOff>133350</xdr:rowOff>
    </xdr:from>
    <xdr:to>
      <xdr:col>6</xdr:col>
      <xdr:colOff>38100</xdr:colOff>
      <xdr:row>129</xdr:row>
      <xdr:rowOff>9525</xdr:rowOff>
    </xdr:to>
    <xdr:sp macro="" textlink="">
      <xdr:nvSpPr>
        <xdr:cNvPr id="267" name="Text Box 558"/>
        <xdr:cNvSpPr txBox="1">
          <a:spLocks noChangeArrowheads="1"/>
        </xdr:cNvSpPr>
      </xdr:nvSpPr>
      <xdr:spPr bwMode="auto">
        <a:xfrm>
          <a:off x="3619500" y="49434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266700</xdr:colOff>
      <xdr:row>127</xdr:row>
      <xdr:rowOff>0</xdr:rowOff>
    </xdr:from>
    <xdr:to>
      <xdr:col>6</xdr:col>
      <xdr:colOff>342900</xdr:colOff>
      <xdr:row>128</xdr:row>
      <xdr:rowOff>38100</xdr:rowOff>
    </xdr:to>
    <xdr:sp macro="" textlink="">
      <xdr:nvSpPr>
        <xdr:cNvPr id="268" name="Text Box 559"/>
        <xdr:cNvSpPr txBox="1">
          <a:spLocks noChangeArrowheads="1"/>
        </xdr:cNvSpPr>
      </xdr:nvSpPr>
      <xdr:spPr bwMode="auto">
        <a:xfrm>
          <a:off x="3924300" y="48101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600075</xdr:colOff>
      <xdr:row>127</xdr:row>
      <xdr:rowOff>142875</xdr:rowOff>
    </xdr:from>
    <xdr:to>
      <xdr:col>6</xdr:col>
      <xdr:colOff>66675</xdr:colOff>
      <xdr:row>129</xdr:row>
      <xdr:rowOff>19050</xdr:rowOff>
    </xdr:to>
    <xdr:sp macro="" textlink="">
      <xdr:nvSpPr>
        <xdr:cNvPr id="269" name="Text Box 560"/>
        <xdr:cNvSpPr txBox="1">
          <a:spLocks noChangeArrowheads="1"/>
        </xdr:cNvSpPr>
      </xdr:nvSpPr>
      <xdr:spPr bwMode="auto">
        <a:xfrm>
          <a:off x="3648075" y="49530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266700</xdr:colOff>
      <xdr:row>127</xdr:row>
      <xdr:rowOff>0</xdr:rowOff>
    </xdr:from>
    <xdr:to>
      <xdr:col>6</xdr:col>
      <xdr:colOff>342900</xdr:colOff>
      <xdr:row>128</xdr:row>
      <xdr:rowOff>38100</xdr:rowOff>
    </xdr:to>
    <xdr:sp macro="" textlink="">
      <xdr:nvSpPr>
        <xdr:cNvPr id="270" name="Text Box 561"/>
        <xdr:cNvSpPr txBox="1">
          <a:spLocks noChangeArrowheads="1"/>
        </xdr:cNvSpPr>
      </xdr:nvSpPr>
      <xdr:spPr bwMode="auto">
        <a:xfrm>
          <a:off x="3924300" y="48101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571500</xdr:colOff>
      <xdr:row>127</xdr:row>
      <xdr:rowOff>133350</xdr:rowOff>
    </xdr:from>
    <xdr:to>
      <xdr:col>6</xdr:col>
      <xdr:colOff>38100</xdr:colOff>
      <xdr:row>129</xdr:row>
      <xdr:rowOff>9525</xdr:rowOff>
    </xdr:to>
    <xdr:sp macro="" textlink="">
      <xdr:nvSpPr>
        <xdr:cNvPr id="271" name="Text Box 562"/>
        <xdr:cNvSpPr txBox="1">
          <a:spLocks noChangeArrowheads="1"/>
        </xdr:cNvSpPr>
      </xdr:nvSpPr>
      <xdr:spPr bwMode="auto">
        <a:xfrm>
          <a:off x="3619500" y="49434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266700</xdr:colOff>
      <xdr:row>127</xdr:row>
      <xdr:rowOff>0</xdr:rowOff>
    </xdr:from>
    <xdr:to>
      <xdr:col>6</xdr:col>
      <xdr:colOff>342900</xdr:colOff>
      <xdr:row>128</xdr:row>
      <xdr:rowOff>38100</xdr:rowOff>
    </xdr:to>
    <xdr:sp macro="" textlink="">
      <xdr:nvSpPr>
        <xdr:cNvPr id="272" name="Text Box 563"/>
        <xdr:cNvSpPr txBox="1">
          <a:spLocks noChangeArrowheads="1"/>
        </xdr:cNvSpPr>
      </xdr:nvSpPr>
      <xdr:spPr bwMode="auto">
        <a:xfrm>
          <a:off x="3924300" y="48101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600075</xdr:colOff>
      <xdr:row>127</xdr:row>
      <xdr:rowOff>142875</xdr:rowOff>
    </xdr:from>
    <xdr:to>
      <xdr:col>6</xdr:col>
      <xdr:colOff>66675</xdr:colOff>
      <xdr:row>129</xdr:row>
      <xdr:rowOff>19050</xdr:rowOff>
    </xdr:to>
    <xdr:sp macro="" textlink="">
      <xdr:nvSpPr>
        <xdr:cNvPr id="273" name="Text Box 564"/>
        <xdr:cNvSpPr txBox="1">
          <a:spLocks noChangeArrowheads="1"/>
        </xdr:cNvSpPr>
      </xdr:nvSpPr>
      <xdr:spPr bwMode="auto">
        <a:xfrm>
          <a:off x="3648075" y="49530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571500</xdr:colOff>
      <xdr:row>128</xdr:row>
      <xdr:rowOff>123825</xdr:rowOff>
    </xdr:from>
    <xdr:to>
      <xdr:col>6</xdr:col>
      <xdr:colOff>104775</xdr:colOff>
      <xdr:row>130</xdr:row>
      <xdr:rowOff>19050</xdr:rowOff>
    </xdr:to>
    <xdr:sp macro="" textlink="">
      <xdr:nvSpPr>
        <xdr:cNvPr id="274" name="Line 565"/>
        <xdr:cNvSpPr>
          <a:spLocks noChangeShapeType="1"/>
        </xdr:cNvSpPr>
      </xdr:nvSpPr>
      <xdr:spPr bwMode="auto">
        <a:xfrm>
          <a:off x="3619500" y="5095875"/>
          <a:ext cx="142875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581025</xdr:colOff>
      <xdr:row>128</xdr:row>
      <xdr:rowOff>123825</xdr:rowOff>
    </xdr:from>
    <xdr:to>
      <xdr:col>5</xdr:col>
      <xdr:colOff>600075</xdr:colOff>
      <xdr:row>128</xdr:row>
      <xdr:rowOff>123825</xdr:rowOff>
    </xdr:to>
    <xdr:sp macro="" textlink="">
      <xdr:nvSpPr>
        <xdr:cNvPr id="275" name="Line 566"/>
        <xdr:cNvSpPr>
          <a:spLocks noChangeShapeType="1"/>
        </xdr:cNvSpPr>
      </xdr:nvSpPr>
      <xdr:spPr bwMode="auto">
        <a:xfrm>
          <a:off x="3629025" y="5095875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600075</xdr:colOff>
      <xdr:row>242</xdr:row>
      <xdr:rowOff>0</xdr:rowOff>
    </xdr:from>
    <xdr:to>
      <xdr:col>5</xdr:col>
      <xdr:colOff>0</xdr:colOff>
      <xdr:row>242</xdr:row>
      <xdr:rowOff>161925</xdr:rowOff>
    </xdr:to>
    <xdr:sp macro="" textlink="">
      <xdr:nvSpPr>
        <xdr:cNvPr id="289" name="Text Box 154"/>
        <xdr:cNvSpPr txBox="1">
          <a:spLocks noChangeArrowheads="1"/>
        </xdr:cNvSpPr>
      </xdr:nvSpPr>
      <xdr:spPr bwMode="auto">
        <a:xfrm>
          <a:off x="3038475" y="193357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244</xdr:row>
      <xdr:rowOff>0</xdr:rowOff>
    </xdr:from>
    <xdr:to>
      <xdr:col>5</xdr:col>
      <xdr:colOff>0</xdr:colOff>
      <xdr:row>244</xdr:row>
      <xdr:rowOff>161925</xdr:rowOff>
    </xdr:to>
    <xdr:sp macro="" textlink="">
      <xdr:nvSpPr>
        <xdr:cNvPr id="290" name="Text Box 154"/>
        <xdr:cNvSpPr txBox="1">
          <a:spLocks noChangeArrowheads="1"/>
        </xdr:cNvSpPr>
      </xdr:nvSpPr>
      <xdr:spPr bwMode="auto">
        <a:xfrm>
          <a:off x="3038475" y="197262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245</xdr:row>
      <xdr:rowOff>0</xdr:rowOff>
    </xdr:from>
    <xdr:to>
      <xdr:col>5</xdr:col>
      <xdr:colOff>0</xdr:colOff>
      <xdr:row>245</xdr:row>
      <xdr:rowOff>161925</xdr:rowOff>
    </xdr:to>
    <xdr:sp macro="" textlink="">
      <xdr:nvSpPr>
        <xdr:cNvPr id="291" name="Text Box 154"/>
        <xdr:cNvSpPr txBox="1">
          <a:spLocks noChangeArrowheads="1"/>
        </xdr:cNvSpPr>
      </xdr:nvSpPr>
      <xdr:spPr bwMode="auto">
        <a:xfrm>
          <a:off x="3038475" y="199263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262</xdr:row>
      <xdr:rowOff>0</xdr:rowOff>
    </xdr:from>
    <xdr:to>
      <xdr:col>2</xdr:col>
      <xdr:colOff>171450</xdr:colOff>
      <xdr:row>270</xdr:row>
      <xdr:rowOff>9525</xdr:rowOff>
    </xdr:to>
    <xdr:sp macro="" textlink="">
      <xdr:nvSpPr>
        <xdr:cNvPr id="259" name="Line 240"/>
        <xdr:cNvSpPr>
          <a:spLocks noChangeShapeType="1"/>
        </xdr:cNvSpPr>
      </xdr:nvSpPr>
      <xdr:spPr bwMode="auto">
        <a:xfrm>
          <a:off x="781050" y="26593800"/>
          <a:ext cx="0" cy="1304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171450</xdr:colOff>
      <xdr:row>270</xdr:row>
      <xdr:rowOff>0</xdr:rowOff>
    </xdr:from>
    <xdr:to>
      <xdr:col>3</xdr:col>
      <xdr:colOff>514350</xdr:colOff>
      <xdr:row>270</xdr:row>
      <xdr:rowOff>0</xdr:rowOff>
    </xdr:to>
    <xdr:sp macro="" textlink="">
      <xdr:nvSpPr>
        <xdr:cNvPr id="276" name="Line 241"/>
        <xdr:cNvSpPr>
          <a:spLocks noChangeShapeType="1"/>
        </xdr:cNvSpPr>
      </xdr:nvSpPr>
      <xdr:spPr bwMode="auto">
        <a:xfrm>
          <a:off x="781050" y="27889200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342900</xdr:colOff>
      <xdr:row>269</xdr:row>
      <xdr:rowOff>0</xdr:rowOff>
    </xdr:from>
    <xdr:to>
      <xdr:col>3</xdr:col>
      <xdr:colOff>514350</xdr:colOff>
      <xdr:row>269</xdr:row>
      <xdr:rowOff>0</xdr:rowOff>
    </xdr:to>
    <xdr:sp macro="" textlink="">
      <xdr:nvSpPr>
        <xdr:cNvPr id="277" name="Line 242"/>
        <xdr:cNvSpPr>
          <a:spLocks noChangeShapeType="1"/>
        </xdr:cNvSpPr>
      </xdr:nvSpPr>
      <xdr:spPr bwMode="auto">
        <a:xfrm flipH="1">
          <a:off x="952500" y="27727275"/>
          <a:ext cx="781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342900</xdr:colOff>
      <xdr:row>262</xdr:row>
      <xdr:rowOff>0</xdr:rowOff>
    </xdr:from>
    <xdr:to>
      <xdr:col>2</xdr:col>
      <xdr:colOff>342900</xdr:colOff>
      <xdr:row>268</xdr:row>
      <xdr:rowOff>152400</xdr:rowOff>
    </xdr:to>
    <xdr:sp macro="" textlink="">
      <xdr:nvSpPr>
        <xdr:cNvPr id="278" name="Line 243"/>
        <xdr:cNvSpPr>
          <a:spLocks noChangeShapeType="1"/>
        </xdr:cNvSpPr>
      </xdr:nvSpPr>
      <xdr:spPr bwMode="auto">
        <a:xfrm flipV="1">
          <a:off x="952500" y="26593800"/>
          <a:ext cx="0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261</xdr:row>
      <xdr:rowOff>152400</xdr:rowOff>
    </xdr:from>
    <xdr:to>
      <xdr:col>2</xdr:col>
      <xdr:colOff>342900</xdr:colOff>
      <xdr:row>261</xdr:row>
      <xdr:rowOff>152400</xdr:rowOff>
    </xdr:to>
    <xdr:sp macro="" textlink="">
      <xdr:nvSpPr>
        <xdr:cNvPr id="279" name="Line 244"/>
        <xdr:cNvSpPr>
          <a:spLocks noChangeShapeType="1"/>
        </xdr:cNvSpPr>
      </xdr:nvSpPr>
      <xdr:spPr bwMode="auto">
        <a:xfrm>
          <a:off x="771525" y="2658427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504825</xdr:colOff>
      <xdr:row>268</xdr:row>
      <xdr:rowOff>38100</xdr:rowOff>
    </xdr:from>
    <xdr:to>
      <xdr:col>3</xdr:col>
      <xdr:colOff>504825</xdr:colOff>
      <xdr:row>269</xdr:row>
      <xdr:rowOff>38100</xdr:rowOff>
    </xdr:to>
    <xdr:sp macro="" textlink="">
      <xdr:nvSpPr>
        <xdr:cNvPr id="280" name="Line 245"/>
        <xdr:cNvSpPr>
          <a:spLocks noChangeShapeType="1"/>
        </xdr:cNvSpPr>
      </xdr:nvSpPr>
      <xdr:spPr bwMode="auto">
        <a:xfrm>
          <a:off x="1724025" y="276034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269</xdr:row>
      <xdr:rowOff>38100</xdr:rowOff>
    </xdr:from>
    <xdr:to>
      <xdr:col>3</xdr:col>
      <xdr:colOff>514350</xdr:colOff>
      <xdr:row>269</xdr:row>
      <xdr:rowOff>38100</xdr:rowOff>
    </xdr:to>
    <xdr:sp macro="" textlink="">
      <xdr:nvSpPr>
        <xdr:cNvPr id="281" name="Line 246"/>
        <xdr:cNvSpPr>
          <a:spLocks noChangeShapeType="1"/>
        </xdr:cNvSpPr>
      </xdr:nvSpPr>
      <xdr:spPr bwMode="auto">
        <a:xfrm flipH="1">
          <a:off x="1685925" y="27765375"/>
          <a:ext cx="47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269</xdr:row>
      <xdr:rowOff>38100</xdr:rowOff>
    </xdr:from>
    <xdr:to>
      <xdr:col>3</xdr:col>
      <xdr:colOff>552450</xdr:colOff>
      <xdr:row>269</xdr:row>
      <xdr:rowOff>95250</xdr:rowOff>
    </xdr:to>
    <xdr:sp macro="" textlink="">
      <xdr:nvSpPr>
        <xdr:cNvPr id="282" name="Line 247"/>
        <xdr:cNvSpPr>
          <a:spLocks noChangeShapeType="1"/>
        </xdr:cNvSpPr>
      </xdr:nvSpPr>
      <xdr:spPr bwMode="auto">
        <a:xfrm>
          <a:off x="1685925" y="27765375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514350</xdr:colOff>
      <xdr:row>269</xdr:row>
      <xdr:rowOff>104775</xdr:rowOff>
    </xdr:from>
    <xdr:to>
      <xdr:col>3</xdr:col>
      <xdr:colOff>552450</xdr:colOff>
      <xdr:row>269</xdr:row>
      <xdr:rowOff>104775</xdr:rowOff>
    </xdr:to>
    <xdr:sp macro="" textlink="">
      <xdr:nvSpPr>
        <xdr:cNvPr id="283" name="Line 248"/>
        <xdr:cNvSpPr>
          <a:spLocks noChangeShapeType="1"/>
        </xdr:cNvSpPr>
      </xdr:nvSpPr>
      <xdr:spPr bwMode="auto">
        <a:xfrm flipH="1">
          <a:off x="1733550" y="27832050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504825</xdr:colOff>
      <xdr:row>269</xdr:row>
      <xdr:rowOff>104775</xdr:rowOff>
    </xdr:from>
    <xdr:to>
      <xdr:col>3</xdr:col>
      <xdr:colOff>504825</xdr:colOff>
      <xdr:row>270</xdr:row>
      <xdr:rowOff>142875</xdr:rowOff>
    </xdr:to>
    <xdr:sp macro="" textlink="">
      <xdr:nvSpPr>
        <xdr:cNvPr id="284" name="Line 249"/>
        <xdr:cNvSpPr>
          <a:spLocks noChangeShapeType="1"/>
        </xdr:cNvSpPr>
      </xdr:nvSpPr>
      <xdr:spPr bwMode="auto">
        <a:xfrm>
          <a:off x="1724025" y="2783205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342900</xdr:colOff>
      <xdr:row>259</xdr:row>
      <xdr:rowOff>0</xdr:rowOff>
    </xdr:from>
    <xdr:to>
      <xdr:col>2</xdr:col>
      <xdr:colOff>342900</xdr:colOff>
      <xdr:row>261</xdr:row>
      <xdr:rowOff>152400</xdr:rowOff>
    </xdr:to>
    <xdr:sp macro="" textlink="">
      <xdr:nvSpPr>
        <xdr:cNvPr id="285" name="Line 250"/>
        <xdr:cNvSpPr>
          <a:spLocks noChangeShapeType="1"/>
        </xdr:cNvSpPr>
      </xdr:nvSpPr>
      <xdr:spPr bwMode="auto">
        <a:xfrm flipV="1">
          <a:off x="952500" y="26108025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2</xdr:col>
      <xdr:colOff>523875</xdr:colOff>
      <xdr:row>262</xdr:row>
      <xdr:rowOff>0</xdr:rowOff>
    </xdr:from>
    <xdr:to>
      <xdr:col>3</xdr:col>
      <xdr:colOff>342900</xdr:colOff>
      <xdr:row>269</xdr:row>
      <xdr:rowOff>0</xdr:rowOff>
    </xdr:to>
    <xdr:sp macro="" textlink="">
      <xdr:nvSpPr>
        <xdr:cNvPr id="286" name="Line 251"/>
        <xdr:cNvSpPr>
          <a:spLocks noChangeShapeType="1"/>
        </xdr:cNvSpPr>
      </xdr:nvSpPr>
      <xdr:spPr bwMode="auto">
        <a:xfrm>
          <a:off x="1133475" y="26593800"/>
          <a:ext cx="428625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342900</xdr:colOff>
      <xdr:row>259</xdr:row>
      <xdr:rowOff>0</xdr:rowOff>
    </xdr:from>
    <xdr:to>
      <xdr:col>2</xdr:col>
      <xdr:colOff>523875</xdr:colOff>
      <xdr:row>262</xdr:row>
      <xdr:rowOff>0</xdr:rowOff>
    </xdr:to>
    <xdr:sp macro="" textlink="">
      <xdr:nvSpPr>
        <xdr:cNvPr id="287" name="Line 252"/>
        <xdr:cNvSpPr>
          <a:spLocks noChangeShapeType="1"/>
        </xdr:cNvSpPr>
      </xdr:nvSpPr>
      <xdr:spPr bwMode="auto">
        <a:xfrm>
          <a:off x="952500" y="26108025"/>
          <a:ext cx="180975" cy="48577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</xdr:col>
      <xdr:colOff>333375</xdr:colOff>
      <xdr:row>262</xdr:row>
      <xdr:rowOff>0</xdr:rowOff>
    </xdr:from>
    <xdr:to>
      <xdr:col>2</xdr:col>
      <xdr:colOff>523875</xdr:colOff>
      <xdr:row>262</xdr:row>
      <xdr:rowOff>0</xdr:rowOff>
    </xdr:to>
    <xdr:sp macro="" textlink="">
      <xdr:nvSpPr>
        <xdr:cNvPr id="288" name="Line 253"/>
        <xdr:cNvSpPr>
          <a:spLocks noChangeShapeType="1"/>
        </xdr:cNvSpPr>
      </xdr:nvSpPr>
      <xdr:spPr bwMode="auto">
        <a:xfrm flipH="1">
          <a:off x="942975" y="2659380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352425</xdr:colOff>
      <xdr:row>264</xdr:row>
      <xdr:rowOff>0</xdr:rowOff>
    </xdr:from>
    <xdr:to>
      <xdr:col>3</xdr:col>
      <xdr:colOff>28575</xdr:colOff>
      <xdr:row>264</xdr:row>
      <xdr:rowOff>0</xdr:rowOff>
    </xdr:to>
    <xdr:sp macro="" textlink="">
      <xdr:nvSpPr>
        <xdr:cNvPr id="293" name="Line 254"/>
        <xdr:cNvSpPr>
          <a:spLocks noChangeShapeType="1"/>
        </xdr:cNvSpPr>
      </xdr:nvSpPr>
      <xdr:spPr bwMode="auto">
        <a:xfrm flipH="1">
          <a:off x="962025" y="2691765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333375</xdr:colOff>
      <xdr:row>266</xdr:row>
      <xdr:rowOff>152400</xdr:rowOff>
    </xdr:from>
    <xdr:to>
      <xdr:col>3</xdr:col>
      <xdr:colOff>190500</xdr:colOff>
      <xdr:row>266</xdr:row>
      <xdr:rowOff>152400</xdr:rowOff>
    </xdr:to>
    <xdr:sp macro="" textlink="">
      <xdr:nvSpPr>
        <xdr:cNvPr id="294" name="Line 255"/>
        <xdr:cNvSpPr>
          <a:spLocks noChangeShapeType="1"/>
        </xdr:cNvSpPr>
      </xdr:nvSpPr>
      <xdr:spPr bwMode="auto">
        <a:xfrm flipH="1">
          <a:off x="942975" y="2739390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342900</xdr:colOff>
      <xdr:row>269</xdr:row>
      <xdr:rowOff>0</xdr:rowOff>
    </xdr:from>
    <xdr:to>
      <xdr:col>3</xdr:col>
      <xdr:colOff>304800</xdr:colOff>
      <xdr:row>269</xdr:row>
      <xdr:rowOff>0</xdr:rowOff>
    </xdr:to>
    <xdr:sp macro="" textlink="">
      <xdr:nvSpPr>
        <xdr:cNvPr id="295" name="Line 256"/>
        <xdr:cNvSpPr>
          <a:spLocks noChangeShapeType="1"/>
        </xdr:cNvSpPr>
      </xdr:nvSpPr>
      <xdr:spPr bwMode="auto">
        <a:xfrm flipH="1">
          <a:off x="952500" y="27727275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</xdr:col>
      <xdr:colOff>581025</xdr:colOff>
      <xdr:row>262</xdr:row>
      <xdr:rowOff>0</xdr:rowOff>
    </xdr:from>
    <xdr:to>
      <xdr:col>3</xdr:col>
      <xdr:colOff>581025</xdr:colOff>
      <xdr:row>269</xdr:row>
      <xdr:rowOff>0</xdr:rowOff>
    </xdr:to>
    <xdr:sp macro="" textlink="">
      <xdr:nvSpPr>
        <xdr:cNvPr id="296" name="Line 257"/>
        <xdr:cNvSpPr>
          <a:spLocks noChangeShapeType="1"/>
        </xdr:cNvSpPr>
      </xdr:nvSpPr>
      <xdr:spPr bwMode="auto">
        <a:xfrm>
          <a:off x="1800225" y="26593800"/>
          <a:ext cx="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466725</xdr:colOff>
      <xdr:row>262</xdr:row>
      <xdr:rowOff>0</xdr:rowOff>
    </xdr:from>
    <xdr:to>
      <xdr:col>4</xdr:col>
      <xdr:colOff>19050</xdr:colOff>
      <xdr:row>262</xdr:row>
      <xdr:rowOff>0</xdr:rowOff>
    </xdr:to>
    <xdr:sp macro="" textlink="">
      <xdr:nvSpPr>
        <xdr:cNvPr id="297" name="Line 258"/>
        <xdr:cNvSpPr>
          <a:spLocks noChangeShapeType="1"/>
        </xdr:cNvSpPr>
      </xdr:nvSpPr>
      <xdr:spPr bwMode="auto">
        <a:xfrm>
          <a:off x="1685925" y="2659380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533400</xdr:colOff>
      <xdr:row>269</xdr:row>
      <xdr:rowOff>0</xdr:rowOff>
    </xdr:from>
    <xdr:to>
      <xdr:col>4</xdr:col>
      <xdr:colOff>28575</xdr:colOff>
      <xdr:row>269</xdr:row>
      <xdr:rowOff>0</xdr:rowOff>
    </xdr:to>
    <xdr:sp macro="" textlink="">
      <xdr:nvSpPr>
        <xdr:cNvPr id="298" name="Line 259"/>
        <xdr:cNvSpPr>
          <a:spLocks noChangeShapeType="1"/>
        </xdr:cNvSpPr>
      </xdr:nvSpPr>
      <xdr:spPr bwMode="auto">
        <a:xfrm>
          <a:off x="1752600" y="2772727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581025</xdr:colOff>
      <xdr:row>259</xdr:row>
      <xdr:rowOff>0</xdr:rowOff>
    </xdr:from>
    <xdr:to>
      <xdr:col>3</xdr:col>
      <xdr:colOff>581025</xdr:colOff>
      <xdr:row>262</xdr:row>
      <xdr:rowOff>0</xdr:rowOff>
    </xdr:to>
    <xdr:sp macro="" textlink="">
      <xdr:nvSpPr>
        <xdr:cNvPr id="299" name="Line 260"/>
        <xdr:cNvSpPr>
          <a:spLocks noChangeShapeType="1"/>
        </xdr:cNvSpPr>
      </xdr:nvSpPr>
      <xdr:spPr bwMode="auto">
        <a:xfrm>
          <a:off x="1800225" y="261080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476250</xdr:colOff>
      <xdr:row>259</xdr:row>
      <xdr:rowOff>0</xdr:rowOff>
    </xdr:from>
    <xdr:to>
      <xdr:col>4</xdr:col>
      <xdr:colOff>9525</xdr:colOff>
      <xdr:row>259</xdr:row>
      <xdr:rowOff>0</xdr:rowOff>
    </xdr:to>
    <xdr:sp macro="" textlink="">
      <xdr:nvSpPr>
        <xdr:cNvPr id="300" name="Line 261"/>
        <xdr:cNvSpPr>
          <a:spLocks noChangeShapeType="1"/>
        </xdr:cNvSpPr>
      </xdr:nvSpPr>
      <xdr:spPr bwMode="auto">
        <a:xfrm>
          <a:off x="1695450" y="261080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2</xdr:col>
      <xdr:colOff>342900</xdr:colOff>
      <xdr:row>261</xdr:row>
      <xdr:rowOff>19050</xdr:rowOff>
    </xdr:from>
    <xdr:to>
      <xdr:col>2</xdr:col>
      <xdr:colOff>542925</xdr:colOff>
      <xdr:row>262</xdr:row>
      <xdr:rowOff>28575</xdr:rowOff>
    </xdr:to>
    <xdr:sp macro="" textlink="">
      <xdr:nvSpPr>
        <xdr:cNvPr id="301" name="Text Box 262"/>
        <xdr:cNvSpPr txBox="1">
          <a:spLocks noChangeArrowheads="1"/>
        </xdr:cNvSpPr>
      </xdr:nvSpPr>
      <xdr:spPr bwMode="auto">
        <a:xfrm>
          <a:off x="952500" y="26450925"/>
          <a:ext cx="20002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800" b="1" i="0" strike="noStrike">
              <a:solidFill>
                <a:srgbClr val="000000"/>
              </a:solidFill>
              <a:latin typeface="Arial"/>
              <a:cs typeface="Arial"/>
            </a:rPr>
            <a:t>P1</a:t>
          </a:r>
        </a:p>
      </xdr:txBody>
    </xdr:sp>
    <xdr:clientData/>
  </xdr:twoCellAnchor>
  <xdr:twoCellAnchor editAs="oneCell">
    <xdr:from>
      <xdr:col>4</xdr:col>
      <xdr:colOff>266700</xdr:colOff>
      <xdr:row>260</xdr:row>
      <xdr:rowOff>0</xdr:rowOff>
    </xdr:from>
    <xdr:to>
      <xdr:col>4</xdr:col>
      <xdr:colOff>447675</xdr:colOff>
      <xdr:row>261</xdr:row>
      <xdr:rowOff>19050</xdr:rowOff>
    </xdr:to>
    <xdr:sp macro="" textlink="">
      <xdr:nvSpPr>
        <xdr:cNvPr id="302" name="Text Box 263"/>
        <xdr:cNvSpPr txBox="1">
          <a:spLocks noChangeArrowheads="1"/>
        </xdr:cNvSpPr>
      </xdr:nvSpPr>
      <xdr:spPr bwMode="auto">
        <a:xfrm>
          <a:off x="2095500" y="26269950"/>
          <a:ext cx="1809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oneCellAnchor>
    <xdr:from>
      <xdr:col>4</xdr:col>
      <xdr:colOff>266700</xdr:colOff>
      <xdr:row>265</xdr:row>
      <xdr:rowOff>0</xdr:rowOff>
    </xdr:from>
    <xdr:ext cx="123825" cy="180975"/>
    <xdr:sp macro="" textlink="">
      <xdr:nvSpPr>
        <xdr:cNvPr id="303" name="Text Box 264"/>
        <xdr:cNvSpPr txBox="1">
          <a:spLocks noChangeArrowheads="1"/>
        </xdr:cNvSpPr>
      </xdr:nvSpPr>
      <xdr:spPr bwMode="auto">
        <a:xfrm>
          <a:off x="2095500" y="270795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6</xdr:col>
      <xdr:colOff>0</xdr:colOff>
      <xdr:row>259</xdr:row>
      <xdr:rowOff>0</xdr:rowOff>
    </xdr:from>
    <xdr:to>
      <xdr:col>7</xdr:col>
      <xdr:colOff>600075</xdr:colOff>
      <xdr:row>259</xdr:row>
      <xdr:rowOff>0</xdr:rowOff>
    </xdr:to>
    <xdr:sp macro="" textlink="">
      <xdr:nvSpPr>
        <xdr:cNvPr id="304" name="Line 265"/>
        <xdr:cNvSpPr>
          <a:spLocks noChangeShapeType="1"/>
        </xdr:cNvSpPr>
      </xdr:nvSpPr>
      <xdr:spPr bwMode="auto">
        <a:xfrm>
          <a:off x="3048000" y="265938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259</xdr:row>
      <xdr:rowOff>0</xdr:rowOff>
    </xdr:from>
    <xdr:to>
      <xdr:col>8</xdr:col>
      <xdr:colOff>0</xdr:colOff>
      <xdr:row>264</xdr:row>
      <xdr:rowOff>0</xdr:rowOff>
    </xdr:to>
    <xdr:sp macro="" textlink="">
      <xdr:nvSpPr>
        <xdr:cNvPr id="305" name="Line 266"/>
        <xdr:cNvSpPr>
          <a:spLocks noChangeShapeType="1"/>
        </xdr:cNvSpPr>
      </xdr:nvSpPr>
      <xdr:spPr bwMode="auto">
        <a:xfrm>
          <a:off x="4267200" y="26593800"/>
          <a:ext cx="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260</xdr:row>
      <xdr:rowOff>57150</xdr:rowOff>
    </xdr:from>
    <xdr:to>
      <xdr:col>7</xdr:col>
      <xdr:colOff>342900</xdr:colOff>
      <xdr:row>260</xdr:row>
      <xdr:rowOff>57150</xdr:rowOff>
    </xdr:to>
    <xdr:sp macro="" textlink="">
      <xdr:nvSpPr>
        <xdr:cNvPr id="306" name="Line 267"/>
        <xdr:cNvSpPr>
          <a:spLocks noChangeShapeType="1"/>
        </xdr:cNvSpPr>
      </xdr:nvSpPr>
      <xdr:spPr bwMode="auto">
        <a:xfrm>
          <a:off x="3048000" y="26812875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342900</xdr:colOff>
      <xdr:row>260</xdr:row>
      <xdr:rowOff>57150</xdr:rowOff>
    </xdr:from>
    <xdr:to>
      <xdr:col>7</xdr:col>
      <xdr:colOff>342900</xdr:colOff>
      <xdr:row>264</xdr:row>
      <xdr:rowOff>9525</xdr:rowOff>
    </xdr:to>
    <xdr:sp macro="" textlink="">
      <xdr:nvSpPr>
        <xdr:cNvPr id="307" name="Line 268"/>
        <xdr:cNvSpPr>
          <a:spLocks noChangeShapeType="1"/>
        </xdr:cNvSpPr>
      </xdr:nvSpPr>
      <xdr:spPr bwMode="auto">
        <a:xfrm flipH="1">
          <a:off x="4000500" y="26812875"/>
          <a:ext cx="0" cy="600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243321</xdr:colOff>
      <xdr:row>267</xdr:row>
      <xdr:rowOff>65809</xdr:rowOff>
    </xdr:from>
    <xdr:to>
      <xdr:col>7</xdr:col>
      <xdr:colOff>414771</xdr:colOff>
      <xdr:row>267</xdr:row>
      <xdr:rowOff>65809</xdr:rowOff>
    </xdr:to>
    <xdr:sp macro="" textlink="">
      <xdr:nvSpPr>
        <xdr:cNvPr id="308" name="Line 269"/>
        <xdr:cNvSpPr>
          <a:spLocks noChangeShapeType="1"/>
        </xdr:cNvSpPr>
      </xdr:nvSpPr>
      <xdr:spPr bwMode="auto">
        <a:xfrm>
          <a:off x="4516582" y="37711207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419100</xdr:colOff>
      <xdr:row>267</xdr:row>
      <xdr:rowOff>5195</xdr:rowOff>
    </xdr:from>
    <xdr:to>
      <xdr:col>7</xdr:col>
      <xdr:colOff>419100</xdr:colOff>
      <xdr:row>267</xdr:row>
      <xdr:rowOff>70138</xdr:rowOff>
    </xdr:to>
    <xdr:sp macro="" textlink="">
      <xdr:nvSpPr>
        <xdr:cNvPr id="309" name="Line 270"/>
        <xdr:cNvSpPr>
          <a:spLocks noChangeShapeType="1"/>
        </xdr:cNvSpPr>
      </xdr:nvSpPr>
      <xdr:spPr bwMode="auto">
        <a:xfrm flipV="1">
          <a:off x="4692361" y="37650593"/>
          <a:ext cx="0" cy="6494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414771</xdr:colOff>
      <xdr:row>267</xdr:row>
      <xdr:rowOff>10391</xdr:rowOff>
    </xdr:from>
    <xdr:to>
      <xdr:col>7</xdr:col>
      <xdr:colOff>500496</xdr:colOff>
      <xdr:row>267</xdr:row>
      <xdr:rowOff>113434</xdr:rowOff>
    </xdr:to>
    <xdr:sp macro="" textlink="">
      <xdr:nvSpPr>
        <xdr:cNvPr id="310" name="Line 271"/>
        <xdr:cNvSpPr>
          <a:spLocks noChangeShapeType="1"/>
        </xdr:cNvSpPr>
      </xdr:nvSpPr>
      <xdr:spPr bwMode="auto">
        <a:xfrm>
          <a:off x="4688032" y="37655789"/>
          <a:ext cx="85725" cy="10304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500496</xdr:colOff>
      <xdr:row>267</xdr:row>
      <xdr:rowOff>56284</xdr:rowOff>
    </xdr:from>
    <xdr:to>
      <xdr:col>7</xdr:col>
      <xdr:colOff>500496</xdr:colOff>
      <xdr:row>267</xdr:row>
      <xdr:rowOff>122959</xdr:rowOff>
    </xdr:to>
    <xdr:sp macro="" textlink="">
      <xdr:nvSpPr>
        <xdr:cNvPr id="311" name="Line 272"/>
        <xdr:cNvSpPr>
          <a:spLocks noChangeShapeType="1"/>
        </xdr:cNvSpPr>
      </xdr:nvSpPr>
      <xdr:spPr bwMode="auto">
        <a:xfrm flipV="1">
          <a:off x="4773757" y="37701682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500496</xdr:colOff>
      <xdr:row>267</xdr:row>
      <xdr:rowOff>56284</xdr:rowOff>
    </xdr:from>
    <xdr:to>
      <xdr:col>8</xdr:col>
      <xdr:colOff>138546</xdr:colOff>
      <xdr:row>267</xdr:row>
      <xdr:rowOff>56284</xdr:rowOff>
    </xdr:to>
    <xdr:sp macro="" textlink="">
      <xdr:nvSpPr>
        <xdr:cNvPr id="312" name="Line 273"/>
        <xdr:cNvSpPr>
          <a:spLocks noChangeShapeType="1"/>
        </xdr:cNvSpPr>
      </xdr:nvSpPr>
      <xdr:spPr bwMode="auto">
        <a:xfrm>
          <a:off x="4773757" y="37701682"/>
          <a:ext cx="2485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600075</xdr:colOff>
      <xdr:row>259</xdr:row>
      <xdr:rowOff>0</xdr:rowOff>
    </xdr:from>
    <xdr:to>
      <xdr:col>5</xdr:col>
      <xdr:colOff>600075</xdr:colOff>
      <xdr:row>260</xdr:row>
      <xdr:rowOff>66675</xdr:rowOff>
    </xdr:to>
    <xdr:sp macro="" textlink="">
      <xdr:nvSpPr>
        <xdr:cNvPr id="313" name="Line 274"/>
        <xdr:cNvSpPr>
          <a:spLocks noChangeShapeType="1"/>
        </xdr:cNvSpPr>
      </xdr:nvSpPr>
      <xdr:spPr bwMode="auto">
        <a:xfrm>
          <a:off x="3038475" y="26593800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419100</xdr:colOff>
      <xdr:row>257</xdr:row>
      <xdr:rowOff>76200</xdr:rowOff>
    </xdr:from>
    <xdr:to>
      <xdr:col>6</xdr:col>
      <xdr:colOff>419100</xdr:colOff>
      <xdr:row>259</xdr:row>
      <xdr:rowOff>114300</xdr:rowOff>
    </xdr:to>
    <xdr:sp macro="" textlink="">
      <xdr:nvSpPr>
        <xdr:cNvPr id="314" name="Line 275"/>
        <xdr:cNvSpPr>
          <a:spLocks noChangeShapeType="1"/>
        </xdr:cNvSpPr>
      </xdr:nvSpPr>
      <xdr:spPr bwMode="auto">
        <a:xfrm>
          <a:off x="3467100" y="26346150"/>
          <a:ext cx="0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419100</xdr:colOff>
      <xdr:row>257</xdr:row>
      <xdr:rowOff>85725</xdr:rowOff>
    </xdr:from>
    <xdr:to>
      <xdr:col>6</xdr:col>
      <xdr:colOff>600075</xdr:colOff>
      <xdr:row>257</xdr:row>
      <xdr:rowOff>85725</xdr:rowOff>
    </xdr:to>
    <xdr:sp macro="" textlink="">
      <xdr:nvSpPr>
        <xdr:cNvPr id="315" name="Line 276"/>
        <xdr:cNvSpPr>
          <a:spLocks noChangeShapeType="1"/>
        </xdr:cNvSpPr>
      </xdr:nvSpPr>
      <xdr:spPr bwMode="auto">
        <a:xfrm>
          <a:off x="3467100" y="2635567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262</xdr:row>
      <xdr:rowOff>95249</xdr:rowOff>
    </xdr:from>
    <xdr:to>
      <xdr:col>7</xdr:col>
      <xdr:colOff>333375</xdr:colOff>
      <xdr:row>262</xdr:row>
      <xdr:rowOff>95250</xdr:rowOff>
    </xdr:to>
    <xdr:sp macro="" textlink="">
      <xdr:nvSpPr>
        <xdr:cNvPr id="316" name="Line 277"/>
        <xdr:cNvSpPr>
          <a:spLocks noChangeShapeType="1"/>
        </xdr:cNvSpPr>
      </xdr:nvSpPr>
      <xdr:spPr bwMode="auto">
        <a:xfrm>
          <a:off x="4219575" y="43862624"/>
          <a:ext cx="381000" cy="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266700</xdr:colOff>
      <xdr:row>259</xdr:row>
      <xdr:rowOff>0</xdr:rowOff>
    </xdr:from>
    <xdr:to>
      <xdr:col>8</xdr:col>
      <xdr:colOff>266700</xdr:colOff>
      <xdr:row>264</xdr:row>
      <xdr:rowOff>0</xdr:rowOff>
    </xdr:to>
    <xdr:sp macro="" textlink="">
      <xdr:nvSpPr>
        <xdr:cNvPr id="317" name="Line 278"/>
        <xdr:cNvSpPr>
          <a:spLocks noChangeShapeType="1"/>
        </xdr:cNvSpPr>
      </xdr:nvSpPr>
      <xdr:spPr bwMode="auto">
        <a:xfrm flipH="1">
          <a:off x="4533900" y="26593800"/>
          <a:ext cx="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9525</xdr:colOff>
      <xdr:row>259</xdr:row>
      <xdr:rowOff>0</xdr:rowOff>
    </xdr:from>
    <xdr:to>
      <xdr:col>8</xdr:col>
      <xdr:colOff>266700</xdr:colOff>
      <xdr:row>259</xdr:row>
      <xdr:rowOff>0</xdr:rowOff>
    </xdr:to>
    <xdr:sp macro="" textlink="">
      <xdr:nvSpPr>
        <xdr:cNvPr id="318" name="Line 279"/>
        <xdr:cNvSpPr>
          <a:spLocks noChangeShapeType="1"/>
        </xdr:cNvSpPr>
      </xdr:nvSpPr>
      <xdr:spPr bwMode="auto">
        <a:xfrm flipH="1">
          <a:off x="4276725" y="2659380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0</xdr:colOff>
      <xdr:row>264</xdr:row>
      <xdr:rowOff>0</xdr:rowOff>
    </xdr:from>
    <xdr:to>
      <xdr:col>8</xdr:col>
      <xdr:colOff>276225</xdr:colOff>
      <xdr:row>264</xdr:row>
      <xdr:rowOff>0</xdr:rowOff>
    </xdr:to>
    <xdr:sp macro="" textlink="">
      <xdr:nvSpPr>
        <xdr:cNvPr id="319" name="Line 280"/>
        <xdr:cNvSpPr>
          <a:spLocks noChangeShapeType="1"/>
        </xdr:cNvSpPr>
      </xdr:nvSpPr>
      <xdr:spPr bwMode="auto">
        <a:xfrm flipH="1">
          <a:off x="4267200" y="274034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9525</xdr:colOff>
      <xdr:row>260</xdr:row>
      <xdr:rowOff>76200</xdr:rowOff>
    </xdr:from>
    <xdr:to>
      <xdr:col>8</xdr:col>
      <xdr:colOff>276225</xdr:colOff>
      <xdr:row>260</xdr:row>
      <xdr:rowOff>76200</xdr:rowOff>
    </xdr:to>
    <xdr:sp macro="" textlink="">
      <xdr:nvSpPr>
        <xdr:cNvPr id="320" name="Line 281"/>
        <xdr:cNvSpPr>
          <a:spLocks noChangeShapeType="1"/>
        </xdr:cNvSpPr>
      </xdr:nvSpPr>
      <xdr:spPr bwMode="auto">
        <a:xfrm flipH="1">
          <a:off x="4276725" y="2683192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0</xdr:colOff>
      <xdr:row>262</xdr:row>
      <xdr:rowOff>66675</xdr:rowOff>
    </xdr:from>
    <xdr:to>
      <xdr:col>8</xdr:col>
      <xdr:colOff>266700</xdr:colOff>
      <xdr:row>262</xdr:row>
      <xdr:rowOff>66675</xdr:rowOff>
    </xdr:to>
    <xdr:sp macro="" textlink="">
      <xdr:nvSpPr>
        <xdr:cNvPr id="321" name="Line 282"/>
        <xdr:cNvSpPr>
          <a:spLocks noChangeShapeType="1"/>
        </xdr:cNvSpPr>
      </xdr:nvSpPr>
      <xdr:spPr bwMode="auto">
        <a:xfrm flipH="1">
          <a:off x="4267200" y="2714625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0</xdr:colOff>
      <xdr:row>268</xdr:row>
      <xdr:rowOff>95250</xdr:rowOff>
    </xdr:from>
    <xdr:to>
      <xdr:col>6</xdr:col>
      <xdr:colOff>0</xdr:colOff>
      <xdr:row>269</xdr:row>
      <xdr:rowOff>76200</xdr:rowOff>
    </xdr:to>
    <xdr:sp macro="" textlink="">
      <xdr:nvSpPr>
        <xdr:cNvPr id="322" name="Line 283"/>
        <xdr:cNvSpPr>
          <a:spLocks noChangeShapeType="1"/>
        </xdr:cNvSpPr>
      </xdr:nvSpPr>
      <xdr:spPr bwMode="auto">
        <a:xfrm flipH="1">
          <a:off x="3048000" y="2766060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333375</xdr:colOff>
      <xdr:row>268</xdr:row>
      <xdr:rowOff>95250</xdr:rowOff>
    </xdr:from>
    <xdr:to>
      <xdr:col>7</xdr:col>
      <xdr:colOff>333375</xdr:colOff>
      <xdr:row>269</xdr:row>
      <xdr:rowOff>47625</xdr:rowOff>
    </xdr:to>
    <xdr:sp macro="" textlink="">
      <xdr:nvSpPr>
        <xdr:cNvPr id="323" name="Line 284"/>
        <xdr:cNvSpPr>
          <a:spLocks noChangeShapeType="1"/>
        </xdr:cNvSpPr>
      </xdr:nvSpPr>
      <xdr:spPr bwMode="auto">
        <a:xfrm>
          <a:off x="3990975" y="2766060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268</xdr:row>
      <xdr:rowOff>104775</xdr:rowOff>
    </xdr:from>
    <xdr:to>
      <xdr:col>8</xdr:col>
      <xdr:colOff>0</xdr:colOff>
      <xdr:row>269</xdr:row>
      <xdr:rowOff>38100</xdr:rowOff>
    </xdr:to>
    <xdr:sp macro="" textlink="">
      <xdr:nvSpPr>
        <xdr:cNvPr id="324" name="Line 285"/>
        <xdr:cNvSpPr>
          <a:spLocks noChangeShapeType="1"/>
        </xdr:cNvSpPr>
      </xdr:nvSpPr>
      <xdr:spPr bwMode="auto">
        <a:xfrm>
          <a:off x="4267200" y="276701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269</xdr:row>
      <xdr:rowOff>0</xdr:rowOff>
    </xdr:from>
    <xdr:to>
      <xdr:col>7</xdr:col>
      <xdr:colOff>333375</xdr:colOff>
      <xdr:row>269</xdr:row>
      <xdr:rowOff>0</xdr:rowOff>
    </xdr:to>
    <xdr:sp macro="" textlink="">
      <xdr:nvSpPr>
        <xdr:cNvPr id="325" name="Line 286"/>
        <xdr:cNvSpPr>
          <a:spLocks noChangeShapeType="1"/>
        </xdr:cNvSpPr>
      </xdr:nvSpPr>
      <xdr:spPr bwMode="auto">
        <a:xfrm>
          <a:off x="3048000" y="27727275"/>
          <a:ext cx="942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7</xdr:col>
      <xdr:colOff>333375</xdr:colOff>
      <xdr:row>269</xdr:row>
      <xdr:rowOff>0</xdr:rowOff>
    </xdr:from>
    <xdr:to>
      <xdr:col>8</xdr:col>
      <xdr:colOff>0</xdr:colOff>
      <xdr:row>269</xdr:row>
      <xdr:rowOff>0</xdr:rowOff>
    </xdr:to>
    <xdr:sp macro="" textlink="">
      <xdr:nvSpPr>
        <xdr:cNvPr id="326" name="Line 287"/>
        <xdr:cNvSpPr>
          <a:spLocks noChangeShapeType="1"/>
        </xdr:cNvSpPr>
      </xdr:nvSpPr>
      <xdr:spPr bwMode="auto">
        <a:xfrm>
          <a:off x="3990975" y="2772727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542925</xdr:colOff>
      <xdr:row>258</xdr:row>
      <xdr:rowOff>152400</xdr:rowOff>
    </xdr:from>
    <xdr:to>
      <xdr:col>5</xdr:col>
      <xdr:colOff>542925</xdr:colOff>
      <xdr:row>260</xdr:row>
      <xdr:rowOff>76200</xdr:rowOff>
    </xdr:to>
    <xdr:sp macro="" textlink="">
      <xdr:nvSpPr>
        <xdr:cNvPr id="327" name="Line 288"/>
        <xdr:cNvSpPr>
          <a:spLocks noChangeShapeType="1"/>
        </xdr:cNvSpPr>
      </xdr:nvSpPr>
      <xdr:spPr bwMode="auto">
        <a:xfrm>
          <a:off x="2981325" y="2658427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381000</xdr:colOff>
      <xdr:row>259</xdr:row>
      <xdr:rowOff>0</xdr:rowOff>
    </xdr:from>
    <xdr:to>
      <xdr:col>5</xdr:col>
      <xdr:colOff>523875</xdr:colOff>
      <xdr:row>259</xdr:row>
      <xdr:rowOff>0</xdr:rowOff>
    </xdr:to>
    <xdr:sp macro="" textlink="">
      <xdr:nvSpPr>
        <xdr:cNvPr id="328" name="Line 289"/>
        <xdr:cNvSpPr>
          <a:spLocks noChangeShapeType="1"/>
        </xdr:cNvSpPr>
      </xdr:nvSpPr>
      <xdr:spPr bwMode="auto">
        <a:xfrm>
          <a:off x="2819400" y="265938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260</xdr:row>
      <xdr:rowOff>76200</xdr:rowOff>
    </xdr:from>
    <xdr:to>
      <xdr:col>5</xdr:col>
      <xdr:colOff>552450</xdr:colOff>
      <xdr:row>260</xdr:row>
      <xdr:rowOff>76200</xdr:rowOff>
    </xdr:to>
    <xdr:sp macro="" textlink="">
      <xdr:nvSpPr>
        <xdr:cNvPr id="329" name="Line 290"/>
        <xdr:cNvSpPr>
          <a:spLocks noChangeShapeType="1"/>
        </xdr:cNvSpPr>
      </xdr:nvSpPr>
      <xdr:spPr bwMode="auto">
        <a:xfrm>
          <a:off x="2914650" y="26831925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</xdr:col>
      <xdr:colOff>409575</xdr:colOff>
      <xdr:row>259</xdr:row>
      <xdr:rowOff>0</xdr:rowOff>
    </xdr:from>
    <xdr:ext cx="123825" cy="180975"/>
    <xdr:sp macro="" textlink="">
      <xdr:nvSpPr>
        <xdr:cNvPr id="330" name="Text Box 293"/>
        <xdr:cNvSpPr txBox="1">
          <a:spLocks noChangeArrowheads="1"/>
        </xdr:cNvSpPr>
      </xdr:nvSpPr>
      <xdr:spPr bwMode="auto">
        <a:xfrm>
          <a:off x="2847975" y="265938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</xdr:col>
      <xdr:colOff>590550</xdr:colOff>
      <xdr:row>268</xdr:row>
      <xdr:rowOff>0</xdr:rowOff>
    </xdr:from>
    <xdr:ext cx="123825" cy="180975"/>
    <xdr:sp macro="" textlink="">
      <xdr:nvSpPr>
        <xdr:cNvPr id="331" name="Text Box 294"/>
        <xdr:cNvSpPr txBox="1">
          <a:spLocks noChangeArrowheads="1"/>
        </xdr:cNvSpPr>
      </xdr:nvSpPr>
      <xdr:spPr bwMode="auto">
        <a:xfrm>
          <a:off x="3638550" y="275653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600075</xdr:colOff>
      <xdr:row>268</xdr:row>
      <xdr:rowOff>9525</xdr:rowOff>
    </xdr:from>
    <xdr:ext cx="123825" cy="180975"/>
    <xdr:sp macro="" textlink="">
      <xdr:nvSpPr>
        <xdr:cNvPr id="332" name="Text Box 295"/>
        <xdr:cNvSpPr txBox="1">
          <a:spLocks noChangeArrowheads="1"/>
        </xdr:cNvSpPr>
      </xdr:nvSpPr>
      <xdr:spPr bwMode="auto">
        <a:xfrm>
          <a:off x="4257675" y="275748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476250</xdr:colOff>
      <xdr:row>259</xdr:row>
      <xdr:rowOff>0</xdr:rowOff>
    </xdr:from>
    <xdr:to>
      <xdr:col>9</xdr:col>
      <xdr:colOff>28575</xdr:colOff>
      <xdr:row>259</xdr:row>
      <xdr:rowOff>0</xdr:rowOff>
    </xdr:to>
    <xdr:sp macro="" textlink="">
      <xdr:nvSpPr>
        <xdr:cNvPr id="333" name="Line 296"/>
        <xdr:cNvSpPr>
          <a:spLocks noChangeShapeType="1"/>
        </xdr:cNvSpPr>
      </xdr:nvSpPr>
      <xdr:spPr bwMode="auto">
        <a:xfrm>
          <a:off x="4743450" y="2659380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476250</xdr:colOff>
      <xdr:row>264</xdr:row>
      <xdr:rowOff>0</xdr:rowOff>
    </xdr:from>
    <xdr:to>
      <xdr:col>9</xdr:col>
      <xdr:colOff>28575</xdr:colOff>
      <xdr:row>264</xdr:row>
      <xdr:rowOff>0</xdr:rowOff>
    </xdr:to>
    <xdr:sp macro="" textlink="">
      <xdr:nvSpPr>
        <xdr:cNvPr id="334" name="Line 297"/>
        <xdr:cNvSpPr>
          <a:spLocks noChangeShapeType="1"/>
        </xdr:cNvSpPr>
      </xdr:nvSpPr>
      <xdr:spPr bwMode="auto">
        <a:xfrm>
          <a:off x="4743450" y="2740342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561975</xdr:colOff>
      <xdr:row>259</xdr:row>
      <xdr:rowOff>0</xdr:rowOff>
    </xdr:from>
    <xdr:to>
      <xdr:col>8</xdr:col>
      <xdr:colOff>561975</xdr:colOff>
      <xdr:row>264</xdr:row>
      <xdr:rowOff>0</xdr:rowOff>
    </xdr:to>
    <xdr:sp macro="" textlink="">
      <xdr:nvSpPr>
        <xdr:cNvPr id="335" name="Line 298"/>
        <xdr:cNvSpPr>
          <a:spLocks noChangeShapeType="1"/>
        </xdr:cNvSpPr>
      </xdr:nvSpPr>
      <xdr:spPr bwMode="auto">
        <a:xfrm>
          <a:off x="4829175" y="26593800"/>
          <a:ext cx="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352425</xdr:colOff>
      <xdr:row>260</xdr:row>
      <xdr:rowOff>142875</xdr:rowOff>
    </xdr:from>
    <xdr:ext cx="123825" cy="180975"/>
    <xdr:sp macro="" textlink="">
      <xdr:nvSpPr>
        <xdr:cNvPr id="336" name="Text Box 299"/>
        <xdr:cNvSpPr txBox="1">
          <a:spLocks noChangeArrowheads="1"/>
        </xdr:cNvSpPr>
      </xdr:nvSpPr>
      <xdr:spPr bwMode="auto">
        <a:xfrm>
          <a:off x="5838825" y="362997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333375</xdr:colOff>
      <xdr:row>264</xdr:row>
      <xdr:rowOff>0</xdr:rowOff>
    </xdr:from>
    <xdr:to>
      <xdr:col>9</xdr:col>
      <xdr:colOff>209550</xdr:colOff>
      <xdr:row>264</xdr:row>
      <xdr:rowOff>0</xdr:rowOff>
    </xdr:to>
    <xdr:sp macro="" textlink="">
      <xdr:nvSpPr>
        <xdr:cNvPr id="337" name="Line 300"/>
        <xdr:cNvSpPr>
          <a:spLocks noChangeShapeType="1"/>
        </xdr:cNvSpPr>
      </xdr:nvSpPr>
      <xdr:spPr bwMode="auto">
        <a:xfrm>
          <a:off x="4600575" y="27403425"/>
          <a:ext cx="485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9</xdr:col>
      <xdr:colOff>285750</xdr:colOff>
      <xdr:row>263</xdr:row>
      <xdr:rowOff>66675</xdr:rowOff>
    </xdr:from>
    <xdr:ext cx="104775" cy="180975"/>
    <xdr:sp macro="" textlink="">
      <xdr:nvSpPr>
        <xdr:cNvPr id="338" name="Text Box 301"/>
        <xdr:cNvSpPr txBox="1">
          <a:spLocks noChangeArrowheads="1"/>
        </xdr:cNvSpPr>
      </xdr:nvSpPr>
      <xdr:spPr bwMode="auto">
        <a:xfrm>
          <a:off x="5162550" y="27308175"/>
          <a:ext cx="1047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oneCellAnchor>
  <xdr:oneCellAnchor>
    <xdr:from>
      <xdr:col>9</xdr:col>
      <xdr:colOff>333375</xdr:colOff>
      <xdr:row>263</xdr:row>
      <xdr:rowOff>104775</xdr:rowOff>
    </xdr:from>
    <xdr:ext cx="85725" cy="171450"/>
    <xdr:sp macro="" textlink="">
      <xdr:nvSpPr>
        <xdr:cNvPr id="339" name="Text Box 302"/>
        <xdr:cNvSpPr txBox="1">
          <a:spLocks noChangeArrowheads="1"/>
        </xdr:cNvSpPr>
      </xdr:nvSpPr>
      <xdr:spPr bwMode="auto">
        <a:xfrm>
          <a:off x="5210175" y="27346275"/>
          <a:ext cx="8572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Arial"/>
              <a:cs typeface="Arial"/>
            </a:rPr>
            <a:t>L</a:t>
          </a:r>
        </a:p>
      </xdr:txBody>
    </xdr:sp>
    <xdr:clientData/>
  </xdr:oneCellAnchor>
  <xdr:twoCellAnchor>
    <xdr:from>
      <xdr:col>4</xdr:col>
      <xdr:colOff>76200</xdr:colOff>
      <xdr:row>269</xdr:row>
      <xdr:rowOff>0</xdr:rowOff>
    </xdr:from>
    <xdr:to>
      <xdr:col>4</xdr:col>
      <xdr:colOff>304800</xdr:colOff>
      <xdr:row>269</xdr:row>
      <xdr:rowOff>0</xdr:rowOff>
    </xdr:to>
    <xdr:sp macro="" textlink="">
      <xdr:nvSpPr>
        <xdr:cNvPr id="341" name="Line 304"/>
        <xdr:cNvSpPr>
          <a:spLocks noChangeShapeType="1"/>
        </xdr:cNvSpPr>
      </xdr:nvSpPr>
      <xdr:spPr bwMode="auto">
        <a:xfrm>
          <a:off x="2514600" y="371284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0</xdr:col>
      <xdr:colOff>142875</xdr:colOff>
      <xdr:row>268</xdr:row>
      <xdr:rowOff>66675</xdr:rowOff>
    </xdr:from>
    <xdr:ext cx="104775" cy="180975"/>
    <xdr:sp macro="" textlink="">
      <xdr:nvSpPr>
        <xdr:cNvPr id="342" name="Text Box 305"/>
        <xdr:cNvSpPr txBox="1">
          <a:spLocks noChangeArrowheads="1"/>
        </xdr:cNvSpPr>
      </xdr:nvSpPr>
      <xdr:spPr bwMode="auto">
        <a:xfrm>
          <a:off x="142875" y="37033200"/>
          <a:ext cx="1047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X</a:t>
          </a:r>
        </a:p>
      </xdr:txBody>
    </xdr:sp>
    <xdr:clientData/>
  </xdr:oneCellAnchor>
  <xdr:oneCellAnchor>
    <xdr:from>
      <xdr:col>4</xdr:col>
      <xdr:colOff>323850</xdr:colOff>
      <xdr:row>268</xdr:row>
      <xdr:rowOff>66675</xdr:rowOff>
    </xdr:from>
    <xdr:ext cx="104775" cy="180975"/>
    <xdr:sp macro="" textlink="">
      <xdr:nvSpPr>
        <xdr:cNvPr id="343" name="Text Box 306"/>
        <xdr:cNvSpPr txBox="1">
          <a:spLocks noChangeArrowheads="1"/>
        </xdr:cNvSpPr>
      </xdr:nvSpPr>
      <xdr:spPr bwMode="auto">
        <a:xfrm>
          <a:off x="2152650" y="27632025"/>
          <a:ext cx="1047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X</a:t>
          </a:r>
        </a:p>
      </xdr:txBody>
    </xdr:sp>
    <xdr:clientData/>
  </xdr:oneCellAnchor>
  <xdr:twoCellAnchor>
    <xdr:from>
      <xdr:col>7</xdr:col>
      <xdr:colOff>381000</xdr:colOff>
      <xdr:row>259</xdr:row>
      <xdr:rowOff>28575</xdr:rowOff>
    </xdr:from>
    <xdr:to>
      <xdr:col>7</xdr:col>
      <xdr:colOff>457200</xdr:colOff>
      <xdr:row>259</xdr:row>
      <xdr:rowOff>104775</xdr:rowOff>
    </xdr:to>
    <xdr:sp macro="" textlink="">
      <xdr:nvSpPr>
        <xdr:cNvPr id="344" name="Oval 436"/>
        <xdr:cNvSpPr>
          <a:spLocks noChangeArrowheads="1"/>
        </xdr:cNvSpPr>
      </xdr:nvSpPr>
      <xdr:spPr bwMode="auto">
        <a:xfrm>
          <a:off x="4038600" y="26622375"/>
          <a:ext cx="76200" cy="762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259</xdr:row>
      <xdr:rowOff>19050</xdr:rowOff>
    </xdr:from>
    <xdr:to>
      <xdr:col>7</xdr:col>
      <xdr:colOff>571500</xdr:colOff>
      <xdr:row>259</xdr:row>
      <xdr:rowOff>95250</xdr:rowOff>
    </xdr:to>
    <xdr:sp macro="" textlink="">
      <xdr:nvSpPr>
        <xdr:cNvPr id="345" name="Oval 437"/>
        <xdr:cNvSpPr>
          <a:spLocks noChangeArrowheads="1"/>
        </xdr:cNvSpPr>
      </xdr:nvSpPr>
      <xdr:spPr bwMode="auto">
        <a:xfrm>
          <a:off x="4152900" y="26612850"/>
          <a:ext cx="76200" cy="762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259</xdr:row>
      <xdr:rowOff>152400</xdr:rowOff>
    </xdr:from>
    <xdr:to>
      <xdr:col>7</xdr:col>
      <xdr:colOff>457200</xdr:colOff>
      <xdr:row>260</xdr:row>
      <xdr:rowOff>66675</xdr:rowOff>
    </xdr:to>
    <xdr:sp macro="" textlink="">
      <xdr:nvSpPr>
        <xdr:cNvPr id="346" name="Oval 438"/>
        <xdr:cNvSpPr>
          <a:spLocks noChangeArrowheads="1"/>
        </xdr:cNvSpPr>
      </xdr:nvSpPr>
      <xdr:spPr bwMode="auto">
        <a:xfrm>
          <a:off x="4038600" y="26746200"/>
          <a:ext cx="76200" cy="762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259</xdr:row>
      <xdr:rowOff>142875</xdr:rowOff>
    </xdr:from>
    <xdr:to>
      <xdr:col>7</xdr:col>
      <xdr:colOff>571500</xdr:colOff>
      <xdr:row>260</xdr:row>
      <xdr:rowOff>57150</xdr:rowOff>
    </xdr:to>
    <xdr:sp macro="" textlink="">
      <xdr:nvSpPr>
        <xdr:cNvPr id="347" name="Oval 439"/>
        <xdr:cNvSpPr>
          <a:spLocks noChangeArrowheads="1"/>
        </xdr:cNvSpPr>
      </xdr:nvSpPr>
      <xdr:spPr bwMode="auto">
        <a:xfrm>
          <a:off x="4152900" y="26736675"/>
          <a:ext cx="76200" cy="762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571500</xdr:colOff>
      <xdr:row>259</xdr:row>
      <xdr:rowOff>85726</xdr:rowOff>
    </xdr:from>
    <xdr:to>
      <xdr:col>2</xdr:col>
      <xdr:colOff>287655</xdr:colOff>
      <xdr:row>261</xdr:row>
      <xdr:rowOff>152400</xdr:rowOff>
    </xdr:to>
    <xdr:sp macro="" textlink="">
      <xdr:nvSpPr>
        <xdr:cNvPr id="348" name="Line 277"/>
        <xdr:cNvSpPr>
          <a:spLocks noChangeShapeType="1"/>
        </xdr:cNvSpPr>
      </xdr:nvSpPr>
      <xdr:spPr bwMode="auto">
        <a:xfrm>
          <a:off x="1181100" y="35594926"/>
          <a:ext cx="325755" cy="39052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476250</xdr:colOff>
      <xdr:row>270</xdr:row>
      <xdr:rowOff>9525</xdr:rowOff>
    </xdr:from>
    <xdr:to>
      <xdr:col>3</xdr:col>
      <xdr:colOff>0</xdr:colOff>
      <xdr:row>272</xdr:row>
      <xdr:rowOff>9525</xdr:rowOff>
    </xdr:to>
    <xdr:cxnSp macro="">
      <xdr:nvCxnSpPr>
        <xdr:cNvPr id="359" name="Straight Arrow Connector 358"/>
        <xdr:cNvCxnSpPr/>
      </xdr:nvCxnSpPr>
      <xdr:spPr bwMode="auto">
        <a:xfrm rot="16200000" flipV="1">
          <a:off x="1600200" y="37919025"/>
          <a:ext cx="323850" cy="1333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0</xdr:colOff>
      <xdr:row>294</xdr:row>
      <xdr:rowOff>0</xdr:rowOff>
    </xdr:from>
    <xdr:to>
      <xdr:col>3</xdr:col>
      <xdr:colOff>0</xdr:colOff>
      <xdr:row>303</xdr:row>
      <xdr:rowOff>0</xdr:rowOff>
    </xdr:to>
    <xdr:sp macro="" textlink="">
      <xdr:nvSpPr>
        <xdr:cNvPr id="349" name="Line 313"/>
        <xdr:cNvSpPr>
          <a:spLocks noChangeShapeType="1"/>
        </xdr:cNvSpPr>
      </xdr:nvSpPr>
      <xdr:spPr bwMode="auto">
        <a:xfrm>
          <a:off x="1219200" y="34775775"/>
          <a:ext cx="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190500</xdr:colOff>
      <xdr:row>294</xdr:row>
      <xdr:rowOff>0</xdr:rowOff>
    </xdr:from>
    <xdr:to>
      <xdr:col>3</xdr:col>
      <xdr:colOff>190500</xdr:colOff>
      <xdr:row>303</xdr:row>
      <xdr:rowOff>0</xdr:rowOff>
    </xdr:to>
    <xdr:sp macro="" textlink="">
      <xdr:nvSpPr>
        <xdr:cNvPr id="350" name="Line 314"/>
        <xdr:cNvSpPr>
          <a:spLocks noChangeShapeType="1"/>
        </xdr:cNvSpPr>
      </xdr:nvSpPr>
      <xdr:spPr bwMode="auto">
        <a:xfrm>
          <a:off x="1409700" y="34775775"/>
          <a:ext cx="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303</xdr:row>
      <xdr:rowOff>0</xdr:rowOff>
    </xdr:from>
    <xdr:to>
      <xdr:col>3</xdr:col>
      <xdr:colOff>0</xdr:colOff>
      <xdr:row>303</xdr:row>
      <xdr:rowOff>0</xdr:rowOff>
    </xdr:to>
    <xdr:sp macro="" textlink="">
      <xdr:nvSpPr>
        <xdr:cNvPr id="351" name="Line 315"/>
        <xdr:cNvSpPr>
          <a:spLocks noChangeShapeType="1"/>
        </xdr:cNvSpPr>
      </xdr:nvSpPr>
      <xdr:spPr bwMode="auto">
        <a:xfrm flipH="1">
          <a:off x="657225" y="35909250"/>
          <a:ext cx="561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57150</xdr:colOff>
      <xdr:row>304</xdr:row>
      <xdr:rowOff>85725</xdr:rowOff>
    </xdr:from>
    <xdr:to>
      <xdr:col>4</xdr:col>
      <xdr:colOff>333375</xdr:colOff>
      <xdr:row>304</xdr:row>
      <xdr:rowOff>85725</xdr:rowOff>
    </xdr:to>
    <xdr:sp macro="" textlink="">
      <xdr:nvSpPr>
        <xdr:cNvPr id="352" name="Line 316"/>
        <xdr:cNvSpPr>
          <a:spLocks noChangeShapeType="1"/>
        </xdr:cNvSpPr>
      </xdr:nvSpPr>
      <xdr:spPr bwMode="auto">
        <a:xfrm>
          <a:off x="666750" y="36156900"/>
          <a:ext cx="1495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190500</xdr:colOff>
      <xdr:row>303</xdr:row>
      <xdr:rowOff>0</xdr:rowOff>
    </xdr:from>
    <xdr:to>
      <xdr:col>4</xdr:col>
      <xdr:colOff>304800</xdr:colOff>
      <xdr:row>303</xdr:row>
      <xdr:rowOff>0</xdr:rowOff>
    </xdr:to>
    <xdr:sp macro="" textlink="">
      <xdr:nvSpPr>
        <xdr:cNvPr id="353" name="Line 317"/>
        <xdr:cNvSpPr>
          <a:spLocks noChangeShapeType="1"/>
        </xdr:cNvSpPr>
      </xdr:nvSpPr>
      <xdr:spPr bwMode="auto">
        <a:xfrm>
          <a:off x="1409700" y="35909250"/>
          <a:ext cx="723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314325</xdr:colOff>
      <xdr:row>302</xdr:row>
      <xdr:rowOff>104775</xdr:rowOff>
    </xdr:from>
    <xdr:to>
      <xdr:col>4</xdr:col>
      <xdr:colOff>314325</xdr:colOff>
      <xdr:row>303</xdr:row>
      <xdr:rowOff>66675</xdr:rowOff>
    </xdr:to>
    <xdr:sp macro="" textlink="">
      <xdr:nvSpPr>
        <xdr:cNvPr id="354" name="Line 318"/>
        <xdr:cNvSpPr>
          <a:spLocks noChangeShapeType="1"/>
        </xdr:cNvSpPr>
      </xdr:nvSpPr>
      <xdr:spPr bwMode="auto">
        <a:xfrm>
          <a:off x="2143125" y="358521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303</xdr:row>
      <xdr:rowOff>85725</xdr:rowOff>
    </xdr:from>
    <xdr:to>
      <xdr:col>4</xdr:col>
      <xdr:colOff>314325</xdr:colOff>
      <xdr:row>303</xdr:row>
      <xdr:rowOff>85725</xdr:rowOff>
    </xdr:to>
    <xdr:sp macro="" textlink="">
      <xdr:nvSpPr>
        <xdr:cNvPr id="355" name="Line 319"/>
        <xdr:cNvSpPr>
          <a:spLocks noChangeShapeType="1"/>
        </xdr:cNvSpPr>
      </xdr:nvSpPr>
      <xdr:spPr bwMode="auto">
        <a:xfrm flipH="1">
          <a:off x="2047875" y="359949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303</xdr:row>
      <xdr:rowOff>85725</xdr:rowOff>
    </xdr:from>
    <xdr:to>
      <xdr:col>4</xdr:col>
      <xdr:colOff>390525</xdr:colOff>
      <xdr:row>304</xdr:row>
      <xdr:rowOff>0</xdr:rowOff>
    </xdr:to>
    <xdr:sp macro="" textlink="">
      <xdr:nvSpPr>
        <xdr:cNvPr id="356" name="Line 320"/>
        <xdr:cNvSpPr>
          <a:spLocks noChangeShapeType="1"/>
        </xdr:cNvSpPr>
      </xdr:nvSpPr>
      <xdr:spPr bwMode="auto">
        <a:xfrm>
          <a:off x="2047875" y="35994975"/>
          <a:ext cx="17145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314325</xdr:colOff>
      <xdr:row>304</xdr:row>
      <xdr:rowOff>0</xdr:rowOff>
    </xdr:from>
    <xdr:to>
      <xdr:col>4</xdr:col>
      <xdr:colOff>400050</xdr:colOff>
      <xdr:row>304</xdr:row>
      <xdr:rowOff>0</xdr:rowOff>
    </xdr:to>
    <xdr:sp macro="" textlink="">
      <xdr:nvSpPr>
        <xdr:cNvPr id="357" name="Line 321"/>
        <xdr:cNvSpPr>
          <a:spLocks noChangeShapeType="1"/>
        </xdr:cNvSpPr>
      </xdr:nvSpPr>
      <xdr:spPr bwMode="auto">
        <a:xfrm flipH="1">
          <a:off x="2143125" y="36071175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314325</xdr:colOff>
      <xdr:row>303</xdr:row>
      <xdr:rowOff>152400</xdr:rowOff>
    </xdr:from>
    <xdr:to>
      <xdr:col>4</xdr:col>
      <xdr:colOff>314325</xdr:colOff>
      <xdr:row>304</xdr:row>
      <xdr:rowOff>142875</xdr:rowOff>
    </xdr:to>
    <xdr:sp macro="" textlink="">
      <xdr:nvSpPr>
        <xdr:cNvPr id="358" name="Line 322"/>
        <xdr:cNvSpPr>
          <a:spLocks noChangeShapeType="1"/>
        </xdr:cNvSpPr>
      </xdr:nvSpPr>
      <xdr:spPr bwMode="auto">
        <a:xfrm>
          <a:off x="2143125" y="360616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302</xdr:row>
      <xdr:rowOff>104775</xdr:rowOff>
    </xdr:from>
    <xdr:to>
      <xdr:col>2</xdr:col>
      <xdr:colOff>47625</xdr:colOff>
      <xdr:row>303</xdr:row>
      <xdr:rowOff>47625</xdr:rowOff>
    </xdr:to>
    <xdr:sp macro="" textlink="">
      <xdr:nvSpPr>
        <xdr:cNvPr id="360" name="Line 323"/>
        <xdr:cNvSpPr>
          <a:spLocks noChangeShapeType="1"/>
        </xdr:cNvSpPr>
      </xdr:nvSpPr>
      <xdr:spPr bwMode="auto">
        <a:xfrm>
          <a:off x="657225" y="358521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590550</xdr:colOff>
      <xdr:row>303</xdr:row>
      <xdr:rowOff>57150</xdr:rowOff>
    </xdr:from>
    <xdr:to>
      <xdr:col>2</xdr:col>
      <xdr:colOff>47625</xdr:colOff>
      <xdr:row>303</xdr:row>
      <xdr:rowOff>57150</xdr:rowOff>
    </xdr:to>
    <xdr:sp macro="" textlink="">
      <xdr:nvSpPr>
        <xdr:cNvPr id="361" name="Line 324"/>
        <xdr:cNvSpPr>
          <a:spLocks noChangeShapeType="1"/>
        </xdr:cNvSpPr>
      </xdr:nvSpPr>
      <xdr:spPr bwMode="auto">
        <a:xfrm flipH="1">
          <a:off x="590550" y="3596640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590550</xdr:colOff>
      <xdr:row>303</xdr:row>
      <xdr:rowOff>66675</xdr:rowOff>
    </xdr:from>
    <xdr:to>
      <xdr:col>2</xdr:col>
      <xdr:colOff>104775</xdr:colOff>
      <xdr:row>303</xdr:row>
      <xdr:rowOff>123825</xdr:rowOff>
    </xdr:to>
    <xdr:sp macro="" textlink="">
      <xdr:nvSpPr>
        <xdr:cNvPr id="362" name="Line 325"/>
        <xdr:cNvSpPr>
          <a:spLocks noChangeShapeType="1"/>
        </xdr:cNvSpPr>
      </xdr:nvSpPr>
      <xdr:spPr bwMode="auto">
        <a:xfrm>
          <a:off x="590550" y="35975925"/>
          <a:ext cx="1238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303</xdr:row>
      <xdr:rowOff>142875</xdr:rowOff>
    </xdr:from>
    <xdr:to>
      <xdr:col>2</xdr:col>
      <xdr:colOff>95250</xdr:colOff>
      <xdr:row>303</xdr:row>
      <xdr:rowOff>142875</xdr:rowOff>
    </xdr:to>
    <xdr:sp macro="" textlink="">
      <xdr:nvSpPr>
        <xdr:cNvPr id="363" name="Line 326"/>
        <xdr:cNvSpPr>
          <a:spLocks noChangeShapeType="1"/>
        </xdr:cNvSpPr>
      </xdr:nvSpPr>
      <xdr:spPr bwMode="auto">
        <a:xfrm flipH="1">
          <a:off x="657225" y="36052125"/>
          <a:ext cx="47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303</xdr:row>
      <xdr:rowOff>152400</xdr:rowOff>
    </xdr:from>
    <xdr:to>
      <xdr:col>2</xdr:col>
      <xdr:colOff>47625</xdr:colOff>
      <xdr:row>304</xdr:row>
      <xdr:rowOff>142875</xdr:rowOff>
    </xdr:to>
    <xdr:sp macro="" textlink="">
      <xdr:nvSpPr>
        <xdr:cNvPr id="364" name="Line 327"/>
        <xdr:cNvSpPr>
          <a:spLocks noChangeShapeType="1"/>
        </xdr:cNvSpPr>
      </xdr:nvSpPr>
      <xdr:spPr bwMode="auto">
        <a:xfrm>
          <a:off x="657225" y="360616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600075</xdr:colOff>
      <xdr:row>293</xdr:row>
      <xdr:rowOff>152400</xdr:rowOff>
    </xdr:from>
    <xdr:to>
      <xdr:col>3</xdr:col>
      <xdr:colOff>190500</xdr:colOff>
      <xdr:row>293</xdr:row>
      <xdr:rowOff>152400</xdr:rowOff>
    </xdr:to>
    <xdr:sp macro="" textlink="">
      <xdr:nvSpPr>
        <xdr:cNvPr id="365" name="Line 328"/>
        <xdr:cNvSpPr>
          <a:spLocks noChangeShapeType="1"/>
        </xdr:cNvSpPr>
      </xdr:nvSpPr>
      <xdr:spPr bwMode="auto">
        <a:xfrm>
          <a:off x="1209675" y="34766250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247650</xdr:colOff>
      <xdr:row>296</xdr:row>
      <xdr:rowOff>0</xdr:rowOff>
    </xdr:from>
    <xdr:to>
      <xdr:col>3</xdr:col>
      <xdr:colOff>0</xdr:colOff>
      <xdr:row>303</xdr:row>
      <xdr:rowOff>0</xdr:rowOff>
    </xdr:to>
    <xdr:sp macro="" textlink="">
      <xdr:nvSpPr>
        <xdr:cNvPr id="366" name="Line 329"/>
        <xdr:cNvSpPr>
          <a:spLocks noChangeShapeType="1"/>
        </xdr:cNvSpPr>
      </xdr:nvSpPr>
      <xdr:spPr bwMode="auto">
        <a:xfrm flipH="1">
          <a:off x="857250" y="35099625"/>
          <a:ext cx="36195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302</xdr:row>
      <xdr:rowOff>152400</xdr:rowOff>
    </xdr:from>
    <xdr:to>
      <xdr:col>3</xdr:col>
      <xdr:colOff>9525</xdr:colOff>
      <xdr:row>303</xdr:row>
      <xdr:rowOff>0</xdr:rowOff>
    </xdr:to>
    <xdr:sp macro="" textlink="">
      <xdr:nvSpPr>
        <xdr:cNvPr id="367" name="Line 330"/>
        <xdr:cNvSpPr>
          <a:spLocks noChangeShapeType="1"/>
        </xdr:cNvSpPr>
      </xdr:nvSpPr>
      <xdr:spPr bwMode="auto">
        <a:xfrm flipV="1">
          <a:off x="876300" y="3589972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371475</xdr:colOff>
      <xdr:row>301</xdr:row>
      <xdr:rowOff>57150</xdr:rowOff>
    </xdr:from>
    <xdr:to>
      <xdr:col>3</xdr:col>
      <xdr:colOff>0</xdr:colOff>
      <xdr:row>301</xdr:row>
      <xdr:rowOff>57150</xdr:rowOff>
    </xdr:to>
    <xdr:sp macro="" textlink="">
      <xdr:nvSpPr>
        <xdr:cNvPr id="368" name="Line 331"/>
        <xdr:cNvSpPr>
          <a:spLocks noChangeShapeType="1"/>
        </xdr:cNvSpPr>
      </xdr:nvSpPr>
      <xdr:spPr bwMode="auto">
        <a:xfrm>
          <a:off x="981075" y="3564255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485775</xdr:colOff>
      <xdr:row>298</xdr:row>
      <xdr:rowOff>76200</xdr:rowOff>
    </xdr:from>
    <xdr:to>
      <xdr:col>2</xdr:col>
      <xdr:colOff>600075</xdr:colOff>
      <xdr:row>298</xdr:row>
      <xdr:rowOff>76200</xdr:rowOff>
    </xdr:to>
    <xdr:sp macro="" textlink="">
      <xdr:nvSpPr>
        <xdr:cNvPr id="369" name="Line 332"/>
        <xdr:cNvSpPr>
          <a:spLocks noChangeShapeType="1"/>
        </xdr:cNvSpPr>
      </xdr:nvSpPr>
      <xdr:spPr bwMode="auto">
        <a:xfrm>
          <a:off x="1704975" y="436721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542925</xdr:colOff>
      <xdr:row>296</xdr:row>
      <xdr:rowOff>0</xdr:rowOff>
    </xdr:from>
    <xdr:to>
      <xdr:col>3</xdr:col>
      <xdr:colOff>542925</xdr:colOff>
      <xdr:row>303</xdr:row>
      <xdr:rowOff>0</xdr:rowOff>
    </xdr:to>
    <xdr:sp macro="" textlink="">
      <xdr:nvSpPr>
        <xdr:cNvPr id="370" name="Line 333"/>
        <xdr:cNvSpPr>
          <a:spLocks noChangeShapeType="1"/>
        </xdr:cNvSpPr>
      </xdr:nvSpPr>
      <xdr:spPr bwMode="auto">
        <a:xfrm flipH="1">
          <a:off x="1762125" y="35099625"/>
          <a:ext cx="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476250</xdr:colOff>
      <xdr:row>296</xdr:row>
      <xdr:rowOff>0</xdr:rowOff>
    </xdr:from>
    <xdr:to>
      <xdr:col>3</xdr:col>
      <xdr:colOff>590550</xdr:colOff>
      <xdr:row>296</xdr:row>
      <xdr:rowOff>0</xdr:rowOff>
    </xdr:to>
    <xdr:sp macro="" textlink="">
      <xdr:nvSpPr>
        <xdr:cNvPr id="371" name="Line 334"/>
        <xdr:cNvSpPr>
          <a:spLocks noChangeShapeType="1"/>
        </xdr:cNvSpPr>
      </xdr:nvSpPr>
      <xdr:spPr bwMode="auto">
        <a:xfrm>
          <a:off x="1695450" y="350996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361950</xdr:colOff>
      <xdr:row>299</xdr:row>
      <xdr:rowOff>9525</xdr:rowOff>
    </xdr:from>
    <xdr:ext cx="123825" cy="180975"/>
    <xdr:sp macro="" textlink="">
      <xdr:nvSpPr>
        <xdr:cNvPr id="372" name="Text Box 335"/>
        <xdr:cNvSpPr txBox="1">
          <a:spLocks noChangeArrowheads="1"/>
        </xdr:cNvSpPr>
      </xdr:nvSpPr>
      <xdr:spPr bwMode="auto">
        <a:xfrm>
          <a:off x="2190750" y="354330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6</xdr:col>
      <xdr:colOff>600075</xdr:colOff>
      <xdr:row>294</xdr:row>
      <xdr:rowOff>0</xdr:rowOff>
    </xdr:from>
    <xdr:to>
      <xdr:col>6</xdr:col>
      <xdr:colOff>600075</xdr:colOff>
      <xdr:row>303</xdr:row>
      <xdr:rowOff>0</xdr:rowOff>
    </xdr:to>
    <xdr:sp macro="" textlink="">
      <xdr:nvSpPr>
        <xdr:cNvPr id="373" name="Line 336"/>
        <xdr:cNvSpPr>
          <a:spLocks noChangeShapeType="1"/>
        </xdr:cNvSpPr>
      </xdr:nvSpPr>
      <xdr:spPr bwMode="auto">
        <a:xfrm>
          <a:off x="3648075" y="34937700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590550</xdr:colOff>
      <xdr:row>303</xdr:row>
      <xdr:rowOff>0</xdr:rowOff>
    </xdr:from>
    <xdr:to>
      <xdr:col>8</xdr:col>
      <xdr:colOff>9525</xdr:colOff>
      <xdr:row>303</xdr:row>
      <xdr:rowOff>0</xdr:rowOff>
    </xdr:to>
    <xdr:sp macro="" textlink="">
      <xdr:nvSpPr>
        <xdr:cNvPr id="374" name="Line 337"/>
        <xdr:cNvSpPr>
          <a:spLocks noChangeShapeType="1"/>
        </xdr:cNvSpPr>
      </xdr:nvSpPr>
      <xdr:spPr bwMode="auto">
        <a:xfrm flipV="1">
          <a:off x="3638550" y="36395025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294</xdr:row>
      <xdr:rowOff>0</xdr:rowOff>
    </xdr:from>
    <xdr:to>
      <xdr:col>8</xdr:col>
      <xdr:colOff>0</xdr:colOff>
      <xdr:row>294</xdr:row>
      <xdr:rowOff>0</xdr:rowOff>
    </xdr:to>
    <xdr:sp macro="" textlink="">
      <xdr:nvSpPr>
        <xdr:cNvPr id="375" name="Line 338"/>
        <xdr:cNvSpPr>
          <a:spLocks noChangeShapeType="1"/>
        </xdr:cNvSpPr>
      </xdr:nvSpPr>
      <xdr:spPr bwMode="auto">
        <a:xfrm>
          <a:off x="3648075" y="3493770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294</xdr:row>
      <xdr:rowOff>0</xdr:rowOff>
    </xdr:from>
    <xdr:to>
      <xdr:col>7</xdr:col>
      <xdr:colOff>600075</xdr:colOff>
      <xdr:row>303</xdr:row>
      <xdr:rowOff>9525</xdr:rowOff>
    </xdr:to>
    <xdr:sp macro="" textlink="">
      <xdr:nvSpPr>
        <xdr:cNvPr id="376" name="Line 339"/>
        <xdr:cNvSpPr>
          <a:spLocks noChangeShapeType="1"/>
        </xdr:cNvSpPr>
      </xdr:nvSpPr>
      <xdr:spPr bwMode="auto">
        <a:xfrm>
          <a:off x="4257675" y="34937700"/>
          <a:ext cx="0" cy="1466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294</xdr:row>
      <xdr:rowOff>0</xdr:rowOff>
    </xdr:from>
    <xdr:to>
      <xdr:col>6</xdr:col>
      <xdr:colOff>600075</xdr:colOff>
      <xdr:row>294</xdr:row>
      <xdr:rowOff>66675</xdr:rowOff>
    </xdr:to>
    <xdr:sp macro="" textlink="">
      <xdr:nvSpPr>
        <xdr:cNvPr id="377" name="Line 340"/>
        <xdr:cNvSpPr>
          <a:spLocks noChangeShapeType="1"/>
        </xdr:cNvSpPr>
      </xdr:nvSpPr>
      <xdr:spPr bwMode="auto">
        <a:xfrm flipH="1">
          <a:off x="3609975" y="349377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294</xdr:row>
      <xdr:rowOff>85725</xdr:rowOff>
    </xdr:from>
    <xdr:to>
      <xdr:col>6</xdr:col>
      <xdr:colOff>600075</xdr:colOff>
      <xdr:row>294</xdr:row>
      <xdr:rowOff>152400</xdr:rowOff>
    </xdr:to>
    <xdr:sp macro="" textlink="">
      <xdr:nvSpPr>
        <xdr:cNvPr id="378" name="Line 341"/>
        <xdr:cNvSpPr>
          <a:spLocks noChangeShapeType="1"/>
        </xdr:cNvSpPr>
      </xdr:nvSpPr>
      <xdr:spPr bwMode="auto">
        <a:xfrm flipH="1">
          <a:off x="3619500" y="350234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295</xdr:row>
      <xdr:rowOff>0</xdr:rowOff>
    </xdr:from>
    <xdr:to>
      <xdr:col>6</xdr:col>
      <xdr:colOff>600075</xdr:colOff>
      <xdr:row>295</xdr:row>
      <xdr:rowOff>66675</xdr:rowOff>
    </xdr:to>
    <xdr:sp macro="" textlink="">
      <xdr:nvSpPr>
        <xdr:cNvPr id="379" name="Line 342"/>
        <xdr:cNvSpPr>
          <a:spLocks noChangeShapeType="1"/>
        </xdr:cNvSpPr>
      </xdr:nvSpPr>
      <xdr:spPr bwMode="auto">
        <a:xfrm flipH="1">
          <a:off x="3609975" y="350996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295</xdr:row>
      <xdr:rowOff>85725</xdr:rowOff>
    </xdr:from>
    <xdr:to>
      <xdr:col>6</xdr:col>
      <xdr:colOff>600075</xdr:colOff>
      <xdr:row>295</xdr:row>
      <xdr:rowOff>152400</xdr:rowOff>
    </xdr:to>
    <xdr:sp macro="" textlink="">
      <xdr:nvSpPr>
        <xdr:cNvPr id="380" name="Line 343"/>
        <xdr:cNvSpPr>
          <a:spLocks noChangeShapeType="1"/>
        </xdr:cNvSpPr>
      </xdr:nvSpPr>
      <xdr:spPr bwMode="auto">
        <a:xfrm flipH="1">
          <a:off x="3619500" y="351853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296</xdr:row>
      <xdr:rowOff>0</xdr:rowOff>
    </xdr:from>
    <xdr:to>
      <xdr:col>6</xdr:col>
      <xdr:colOff>600075</xdr:colOff>
      <xdr:row>296</xdr:row>
      <xdr:rowOff>66675</xdr:rowOff>
    </xdr:to>
    <xdr:sp macro="" textlink="">
      <xdr:nvSpPr>
        <xdr:cNvPr id="381" name="Line 344"/>
        <xdr:cNvSpPr>
          <a:spLocks noChangeShapeType="1"/>
        </xdr:cNvSpPr>
      </xdr:nvSpPr>
      <xdr:spPr bwMode="auto">
        <a:xfrm flipH="1">
          <a:off x="3609975" y="352615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296</xdr:row>
      <xdr:rowOff>85725</xdr:rowOff>
    </xdr:from>
    <xdr:to>
      <xdr:col>6</xdr:col>
      <xdr:colOff>600075</xdr:colOff>
      <xdr:row>296</xdr:row>
      <xdr:rowOff>152400</xdr:rowOff>
    </xdr:to>
    <xdr:sp macro="" textlink="">
      <xdr:nvSpPr>
        <xdr:cNvPr id="382" name="Line 345"/>
        <xdr:cNvSpPr>
          <a:spLocks noChangeShapeType="1"/>
        </xdr:cNvSpPr>
      </xdr:nvSpPr>
      <xdr:spPr bwMode="auto">
        <a:xfrm flipH="1">
          <a:off x="3619500" y="353472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297</xdr:row>
      <xdr:rowOff>0</xdr:rowOff>
    </xdr:from>
    <xdr:to>
      <xdr:col>6</xdr:col>
      <xdr:colOff>600075</xdr:colOff>
      <xdr:row>297</xdr:row>
      <xdr:rowOff>66675</xdr:rowOff>
    </xdr:to>
    <xdr:sp macro="" textlink="">
      <xdr:nvSpPr>
        <xdr:cNvPr id="383" name="Line 346"/>
        <xdr:cNvSpPr>
          <a:spLocks noChangeShapeType="1"/>
        </xdr:cNvSpPr>
      </xdr:nvSpPr>
      <xdr:spPr bwMode="auto">
        <a:xfrm flipH="1">
          <a:off x="3609975" y="354234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297</xdr:row>
      <xdr:rowOff>85725</xdr:rowOff>
    </xdr:from>
    <xdr:to>
      <xdr:col>6</xdr:col>
      <xdr:colOff>600075</xdr:colOff>
      <xdr:row>297</xdr:row>
      <xdr:rowOff>152400</xdr:rowOff>
    </xdr:to>
    <xdr:sp macro="" textlink="">
      <xdr:nvSpPr>
        <xdr:cNvPr id="384" name="Line 347"/>
        <xdr:cNvSpPr>
          <a:spLocks noChangeShapeType="1"/>
        </xdr:cNvSpPr>
      </xdr:nvSpPr>
      <xdr:spPr bwMode="auto">
        <a:xfrm flipH="1">
          <a:off x="3619500" y="355092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298</xdr:row>
      <xdr:rowOff>0</xdr:rowOff>
    </xdr:from>
    <xdr:to>
      <xdr:col>6</xdr:col>
      <xdr:colOff>600075</xdr:colOff>
      <xdr:row>298</xdr:row>
      <xdr:rowOff>66675</xdr:rowOff>
    </xdr:to>
    <xdr:sp macro="" textlink="">
      <xdr:nvSpPr>
        <xdr:cNvPr id="385" name="Line 348"/>
        <xdr:cNvSpPr>
          <a:spLocks noChangeShapeType="1"/>
        </xdr:cNvSpPr>
      </xdr:nvSpPr>
      <xdr:spPr bwMode="auto">
        <a:xfrm flipH="1">
          <a:off x="3609975" y="355854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298</xdr:row>
      <xdr:rowOff>85725</xdr:rowOff>
    </xdr:from>
    <xdr:to>
      <xdr:col>6</xdr:col>
      <xdr:colOff>600075</xdr:colOff>
      <xdr:row>298</xdr:row>
      <xdr:rowOff>152400</xdr:rowOff>
    </xdr:to>
    <xdr:sp macro="" textlink="">
      <xdr:nvSpPr>
        <xdr:cNvPr id="386" name="Line 349"/>
        <xdr:cNvSpPr>
          <a:spLocks noChangeShapeType="1"/>
        </xdr:cNvSpPr>
      </xdr:nvSpPr>
      <xdr:spPr bwMode="auto">
        <a:xfrm flipH="1">
          <a:off x="3619500" y="356711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299</xdr:row>
      <xdr:rowOff>0</xdr:rowOff>
    </xdr:from>
    <xdr:to>
      <xdr:col>6</xdr:col>
      <xdr:colOff>600075</xdr:colOff>
      <xdr:row>299</xdr:row>
      <xdr:rowOff>66675</xdr:rowOff>
    </xdr:to>
    <xdr:sp macro="" textlink="">
      <xdr:nvSpPr>
        <xdr:cNvPr id="387" name="Line 350"/>
        <xdr:cNvSpPr>
          <a:spLocks noChangeShapeType="1"/>
        </xdr:cNvSpPr>
      </xdr:nvSpPr>
      <xdr:spPr bwMode="auto">
        <a:xfrm flipH="1">
          <a:off x="3609975" y="357473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299</xdr:row>
      <xdr:rowOff>85725</xdr:rowOff>
    </xdr:from>
    <xdr:to>
      <xdr:col>6</xdr:col>
      <xdr:colOff>600075</xdr:colOff>
      <xdr:row>299</xdr:row>
      <xdr:rowOff>152400</xdr:rowOff>
    </xdr:to>
    <xdr:sp macro="" textlink="">
      <xdr:nvSpPr>
        <xdr:cNvPr id="388" name="Line 351"/>
        <xdr:cNvSpPr>
          <a:spLocks noChangeShapeType="1"/>
        </xdr:cNvSpPr>
      </xdr:nvSpPr>
      <xdr:spPr bwMode="auto">
        <a:xfrm flipH="1">
          <a:off x="3619500" y="358330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300</xdr:row>
      <xdr:rowOff>0</xdr:rowOff>
    </xdr:from>
    <xdr:to>
      <xdr:col>6</xdr:col>
      <xdr:colOff>600075</xdr:colOff>
      <xdr:row>300</xdr:row>
      <xdr:rowOff>66675</xdr:rowOff>
    </xdr:to>
    <xdr:sp macro="" textlink="">
      <xdr:nvSpPr>
        <xdr:cNvPr id="389" name="Line 352"/>
        <xdr:cNvSpPr>
          <a:spLocks noChangeShapeType="1"/>
        </xdr:cNvSpPr>
      </xdr:nvSpPr>
      <xdr:spPr bwMode="auto">
        <a:xfrm flipH="1">
          <a:off x="3609975" y="359092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300</xdr:row>
      <xdr:rowOff>85725</xdr:rowOff>
    </xdr:from>
    <xdr:to>
      <xdr:col>6</xdr:col>
      <xdr:colOff>600075</xdr:colOff>
      <xdr:row>300</xdr:row>
      <xdr:rowOff>152400</xdr:rowOff>
    </xdr:to>
    <xdr:sp macro="" textlink="">
      <xdr:nvSpPr>
        <xdr:cNvPr id="390" name="Line 353"/>
        <xdr:cNvSpPr>
          <a:spLocks noChangeShapeType="1"/>
        </xdr:cNvSpPr>
      </xdr:nvSpPr>
      <xdr:spPr bwMode="auto">
        <a:xfrm flipH="1">
          <a:off x="3619500" y="359949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301</xdr:row>
      <xdr:rowOff>0</xdr:rowOff>
    </xdr:from>
    <xdr:to>
      <xdr:col>6</xdr:col>
      <xdr:colOff>600075</xdr:colOff>
      <xdr:row>301</xdr:row>
      <xdr:rowOff>66675</xdr:rowOff>
    </xdr:to>
    <xdr:sp macro="" textlink="">
      <xdr:nvSpPr>
        <xdr:cNvPr id="391" name="Line 354"/>
        <xdr:cNvSpPr>
          <a:spLocks noChangeShapeType="1"/>
        </xdr:cNvSpPr>
      </xdr:nvSpPr>
      <xdr:spPr bwMode="auto">
        <a:xfrm flipH="1">
          <a:off x="3609975" y="360711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301</xdr:row>
      <xdr:rowOff>85725</xdr:rowOff>
    </xdr:from>
    <xdr:to>
      <xdr:col>6</xdr:col>
      <xdr:colOff>600075</xdr:colOff>
      <xdr:row>301</xdr:row>
      <xdr:rowOff>152400</xdr:rowOff>
    </xdr:to>
    <xdr:sp macro="" textlink="">
      <xdr:nvSpPr>
        <xdr:cNvPr id="392" name="Line 355"/>
        <xdr:cNvSpPr>
          <a:spLocks noChangeShapeType="1"/>
        </xdr:cNvSpPr>
      </xdr:nvSpPr>
      <xdr:spPr bwMode="auto">
        <a:xfrm flipH="1">
          <a:off x="3619500" y="361569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302</xdr:row>
      <xdr:rowOff>0</xdr:rowOff>
    </xdr:from>
    <xdr:to>
      <xdr:col>6</xdr:col>
      <xdr:colOff>600075</xdr:colOff>
      <xdr:row>302</xdr:row>
      <xdr:rowOff>66675</xdr:rowOff>
    </xdr:to>
    <xdr:sp macro="" textlink="">
      <xdr:nvSpPr>
        <xdr:cNvPr id="393" name="Line 356"/>
        <xdr:cNvSpPr>
          <a:spLocks noChangeShapeType="1"/>
        </xdr:cNvSpPr>
      </xdr:nvSpPr>
      <xdr:spPr bwMode="auto">
        <a:xfrm flipH="1">
          <a:off x="3609975" y="362331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302</xdr:row>
      <xdr:rowOff>85725</xdr:rowOff>
    </xdr:from>
    <xdr:to>
      <xdr:col>6</xdr:col>
      <xdr:colOff>600075</xdr:colOff>
      <xdr:row>302</xdr:row>
      <xdr:rowOff>152400</xdr:rowOff>
    </xdr:to>
    <xdr:sp macro="" textlink="">
      <xdr:nvSpPr>
        <xdr:cNvPr id="394" name="Line 357"/>
        <xdr:cNvSpPr>
          <a:spLocks noChangeShapeType="1"/>
        </xdr:cNvSpPr>
      </xdr:nvSpPr>
      <xdr:spPr bwMode="auto">
        <a:xfrm flipH="1">
          <a:off x="3619500" y="363188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302</xdr:row>
      <xdr:rowOff>0</xdr:rowOff>
    </xdr:from>
    <xdr:to>
      <xdr:col>6</xdr:col>
      <xdr:colOff>600075</xdr:colOff>
      <xdr:row>302</xdr:row>
      <xdr:rowOff>66675</xdr:rowOff>
    </xdr:to>
    <xdr:sp macro="" textlink="">
      <xdr:nvSpPr>
        <xdr:cNvPr id="395" name="Line 358"/>
        <xdr:cNvSpPr>
          <a:spLocks noChangeShapeType="1"/>
        </xdr:cNvSpPr>
      </xdr:nvSpPr>
      <xdr:spPr bwMode="auto">
        <a:xfrm flipH="1">
          <a:off x="3609975" y="362331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302</xdr:row>
      <xdr:rowOff>85725</xdr:rowOff>
    </xdr:from>
    <xdr:to>
      <xdr:col>6</xdr:col>
      <xdr:colOff>600075</xdr:colOff>
      <xdr:row>302</xdr:row>
      <xdr:rowOff>152400</xdr:rowOff>
    </xdr:to>
    <xdr:sp macro="" textlink="">
      <xdr:nvSpPr>
        <xdr:cNvPr id="396" name="Line 359"/>
        <xdr:cNvSpPr>
          <a:spLocks noChangeShapeType="1"/>
        </xdr:cNvSpPr>
      </xdr:nvSpPr>
      <xdr:spPr bwMode="auto">
        <a:xfrm flipH="1">
          <a:off x="3619500" y="363188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303</xdr:row>
      <xdr:rowOff>0</xdr:rowOff>
    </xdr:from>
    <xdr:to>
      <xdr:col>7</xdr:col>
      <xdr:colOff>47625</xdr:colOff>
      <xdr:row>303</xdr:row>
      <xdr:rowOff>38100</xdr:rowOff>
    </xdr:to>
    <xdr:sp macro="" textlink="">
      <xdr:nvSpPr>
        <xdr:cNvPr id="397" name="Line 360"/>
        <xdr:cNvSpPr>
          <a:spLocks noChangeShapeType="1"/>
        </xdr:cNvSpPr>
      </xdr:nvSpPr>
      <xdr:spPr bwMode="auto">
        <a:xfrm flipH="1">
          <a:off x="3648075" y="36395025"/>
          <a:ext cx="5715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542925</xdr:colOff>
      <xdr:row>303</xdr:row>
      <xdr:rowOff>0</xdr:rowOff>
    </xdr:from>
    <xdr:to>
      <xdr:col>7</xdr:col>
      <xdr:colOff>581025</xdr:colOff>
      <xdr:row>303</xdr:row>
      <xdr:rowOff>47625</xdr:rowOff>
    </xdr:to>
    <xdr:sp macro="" textlink="">
      <xdr:nvSpPr>
        <xdr:cNvPr id="398" name="Line 361"/>
        <xdr:cNvSpPr>
          <a:spLocks noChangeShapeType="1"/>
        </xdr:cNvSpPr>
      </xdr:nvSpPr>
      <xdr:spPr bwMode="auto">
        <a:xfrm flipH="1">
          <a:off x="4200525" y="36395025"/>
          <a:ext cx="381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303</xdr:row>
      <xdr:rowOff>9525</xdr:rowOff>
    </xdr:from>
    <xdr:to>
      <xdr:col>7</xdr:col>
      <xdr:colOff>104775</xdr:colOff>
      <xdr:row>303</xdr:row>
      <xdr:rowOff>38100</xdr:rowOff>
    </xdr:to>
    <xdr:sp macro="" textlink="">
      <xdr:nvSpPr>
        <xdr:cNvPr id="399" name="Line 362"/>
        <xdr:cNvSpPr>
          <a:spLocks noChangeShapeType="1"/>
        </xdr:cNvSpPr>
      </xdr:nvSpPr>
      <xdr:spPr bwMode="auto">
        <a:xfrm flipH="1">
          <a:off x="3695700" y="36404550"/>
          <a:ext cx="6667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123825</xdr:colOff>
      <xdr:row>303</xdr:row>
      <xdr:rowOff>0</xdr:rowOff>
    </xdr:from>
    <xdr:to>
      <xdr:col>7</xdr:col>
      <xdr:colOff>200025</xdr:colOff>
      <xdr:row>303</xdr:row>
      <xdr:rowOff>38100</xdr:rowOff>
    </xdr:to>
    <xdr:sp macro="" textlink="">
      <xdr:nvSpPr>
        <xdr:cNvPr id="400" name="Line 363"/>
        <xdr:cNvSpPr>
          <a:spLocks noChangeShapeType="1"/>
        </xdr:cNvSpPr>
      </xdr:nvSpPr>
      <xdr:spPr bwMode="auto">
        <a:xfrm flipH="1">
          <a:off x="3781425" y="36395025"/>
          <a:ext cx="7620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219075</xdr:colOff>
      <xdr:row>302</xdr:row>
      <xdr:rowOff>152400</xdr:rowOff>
    </xdr:from>
    <xdr:to>
      <xdr:col>7</xdr:col>
      <xdr:colOff>304800</xdr:colOff>
      <xdr:row>303</xdr:row>
      <xdr:rowOff>38100</xdr:rowOff>
    </xdr:to>
    <xdr:sp macro="" textlink="">
      <xdr:nvSpPr>
        <xdr:cNvPr id="401" name="Line 364"/>
        <xdr:cNvSpPr>
          <a:spLocks noChangeShapeType="1"/>
        </xdr:cNvSpPr>
      </xdr:nvSpPr>
      <xdr:spPr bwMode="auto">
        <a:xfrm flipH="1">
          <a:off x="3876675" y="363855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295275</xdr:colOff>
      <xdr:row>303</xdr:row>
      <xdr:rowOff>0</xdr:rowOff>
    </xdr:from>
    <xdr:to>
      <xdr:col>7</xdr:col>
      <xdr:colOff>361950</xdr:colOff>
      <xdr:row>303</xdr:row>
      <xdr:rowOff>38100</xdr:rowOff>
    </xdr:to>
    <xdr:sp macro="" textlink="">
      <xdr:nvSpPr>
        <xdr:cNvPr id="402" name="Line 365"/>
        <xdr:cNvSpPr>
          <a:spLocks noChangeShapeType="1"/>
        </xdr:cNvSpPr>
      </xdr:nvSpPr>
      <xdr:spPr bwMode="auto">
        <a:xfrm flipH="1">
          <a:off x="3952875" y="36395025"/>
          <a:ext cx="66675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361950</xdr:colOff>
      <xdr:row>303</xdr:row>
      <xdr:rowOff>0</xdr:rowOff>
    </xdr:from>
    <xdr:to>
      <xdr:col>7</xdr:col>
      <xdr:colOff>438150</xdr:colOff>
      <xdr:row>303</xdr:row>
      <xdr:rowOff>47625</xdr:rowOff>
    </xdr:to>
    <xdr:sp macro="" textlink="">
      <xdr:nvSpPr>
        <xdr:cNvPr id="403" name="Line 366"/>
        <xdr:cNvSpPr>
          <a:spLocks noChangeShapeType="1"/>
        </xdr:cNvSpPr>
      </xdr:nvSpPr>
      <xdr:spPr bwMode="auto">
        <a:xfrm flipH="1">
          <a:off x="4019550" y="36395025"/>
          <a:ext cx="762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438150</xdr:colOff>
      <xdr:row>303</xdr:row>
      <xdr:rowOff>0</xdr:rowOff>
    </xdr:from>
    <xdr:to>
      <xdr:col>7</xdr:col>
      <xdr:colOff>514350</xdr:colOff>
      <xdr:row>303</xdr:row>
      <xdr:rowOff>57150</xdr:rowOff>
    </xdr:to>
    <xdr:sp macro="" textlink="">
      <xdr:nvSpPr>
        <xdr:cNvPr id="404" name="Line 367"/>
        <xdr:cNvSpPr>
          <a:spLocks noChangeShapeType="1"/>
        </xdr:cNvSpPr>
      </xdr:nvSpPr>
      <xdr:spPr bwMode="auto">
        <a:xfrm flipH="1">
          <a:off x="4095750" y="36395025"/>
          <a:ext cx="7620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190500</xdr:colOff>
      <xdr:row>294</xdr:row>
      <xdr:rowOff>0</xdr:rowOff>
    </xdr:from>
    <xdr:to>
      <xdr:col>6</xdr:col>
      <xdr:colOff>514350</xdr:colOff>
      <xdr:row>294</xdr:row>
      <xdr:rowOff>0</xdr:rowOff>
    </xdr:to>
    <xdr:sp macro="" textlink="">
      <xdr:nvSpPr>
        <xdr:cNvPr id="405" name="Line 368"/>
        <xdr:cNvSpPr>
          <a:spLocks noChangeShapeType="1"/>
        </xdr:cNvSpPr>
      </xdr:nvSpPr>
      <xdr:spPr bwMode="auto">
        <a:xfrm>
          <a:off x="3238500" y="349377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228600</xdr:colOff>
      <xdr:row>303</xdr:row>
      <xdr:rowOff>0</xdr:rowOff>
    </xdr:from>
    <xdr:to>
      <xdr:col>6</xdr:col>
      <xdr:colOff>504825</xdr:colOff>
      <xdr:row>303</xdr:row>
      <xdr:rowOff>0</xdr:rowOff>
    </xdr:to>
    <xdr:sp macro="" textlink="">
      <xdr:nvSpPr>
        <xdr:cNvPr id="406" name="Line 369"/>
        <xdr:cNvSpPr>
          <a:spLocks noChangeShapeType="1"/>
        </xdr:cNvSpPr>
      </xdr:nvSpPr>
      <xdr:spPr bwMode="auto">
        <a:xfrm>
          <a:off x="3276600" y="363950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447675</xdr:colOff>
      <xdr:row>294</xdr:row>
      <xdr:rowOff>0</xdr:rowOff>
    </xdr:from>
    <xdr:to>
      <xdr:col>6</xdr:col>
      <xdr:colOff>447675</xdr:colOff>
      <xdr:row>303</xdr:row>
      <xdr:rowOff>19050</xdr:rowOff>
    </xdr:to>
    <xdr:sp macro="" textlink="">
      <xdr:nvSpPr>
        <xdr:cNvPr id="407" name="Line 370"/>
        <xdr:cNvSpPr>
          <a:spLocks noChangeShapeType="1"/>
        </xdr:cNvSpPr>
      </xdr:nvSpPr>
      <xdr:spPr bwMode="auto">
        <a:xfrm>
          <a:off x="3495675" y="34937700"/>
          <a:ext cx="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7</xdr:col>
      <xdr:colOff>0</xdr:colOff>
      <xdr:row>304</xdr:row>
      <xdr:rowOff>104775</xdr:rowOff>
    </xdr:from>
    <xdr:to>
      <xdr:col>7</xdr:col>
      <xdr:colOff>0</xdr:colOff>
      <xdr:row>306</xdr:row>
      <xdr:rowOff>47625</xdr:rowOff>
    </xdr:to>
    <xdr:sp macro="" textlink="">
      <xdr:nvSpPr>
        <xdr:cNvPr id="408" name="Line 371"/>
        <xdr:cNvSpPr>
          <a:spLocks noChangeShapeType="1"/>
        </xdr:cNvSpPr>
      </xdr:nvSpPr>
      <xdr:spPr bwMode="auto">
        <a:xfrm>
          <a:off x="3657600" y="366617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304</xdr:row>
      <xdr:rowOff>133350</xdr:rowOff>
    </xdr:from>
    <xdr:to>
      <xdr:col>8</xdr:col>
      <xdr:colOff>0</xdr:colOff>
      <xdr:row>304</xdr:row>
      <xdr:rowOff>133350</xdr:rowOff>
    </xdr:to>
    <xdr:sp macro="" textlink="">
      <xdr:nvSpPr>
        <xdr:cNvPr id="409" name="Line 372"/>
        <xdr:cNvSpPr>
          <a:spLocks noChangeShapeType="1"/>
        </xdr:cNvSpPr>
      </xdr:nvSpPr>
      <xdr:spPr bwMode="auto">
        <a:xfrm>
          <a:off x="3657600" y="3669030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6</xdr:col>
      <xdr:colOff>428625</xdr:colOff>
      <xdr:row>298</xdr:row>
      <xdr:rowOff>0</xdr:rowOff>
    </xdr:from>
    <xdr:ext cx="123825" cy="342900"/>
    <xdr:sp macro="" textlink="">
      <xdr:nvSpPr>
        <xdr:cNvPr id="410" name="Text Box 373"/>
        <xdr:cNvSpPr txBox="1">
          <a:spLocks noChangeArrowheads="1"/>
        </xdr:cNvSpPr>
      </xdr:nvSpPr>
      <xdr:spPr bwMode="auto">
        <a:xfrm>
          <a:off x="3476625" y="35585400"/>
          <a:ext cx="123825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6</xdr:col>
      <xdr:colOff>0</xdr:colOff>
      <xdr:row>298</xdr:row>
      <xdr:rowOff>0</xdr:rowOff>
    </xdr:from>
    <xdr:ext cx="161925" cy="180975"/>
    <xdr:sp macro="" textlink="">
      <xdr:nvSpPr>
        <xdr:cNvPr id="411" name="Text Box 374"/>
        <xdr:cNvSpPr txBox="1">
          <a:spLocks noChangeArrowheads="1"/>
        </xdr:cNvSpPr>
      </xdr:nvSpPr>
      <xdr:spPr bwMode="auto">
        <a:xfrm>
          <a:off x="3048000" y="35585400"/>
          <a:ext cx="1619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7</xdr:col>
      <xdr:colOff>428625</xdr:colOff>
      <xdr:row>306</xdr:row>
      <xdr:rowOff>0</xdr:rowOff>
    </xdr:from>
    <xdr:ext cx="123825" cy="180975"/>
    <xdr:sp macro="" textlink="">
      <xdr:nvSpPr>
        <xdr:cNvPr id="412" name="Text Box 375"/>
        <xdr:cNvSpPr txBox="1">
          <a:spLocks noChangeArrowheads="1"/>
        </xdr:cNvSpPr>
      </xdr:nvSpPr>
      <xdr:spPr bwMode="auto">
        <a:xfrm>
          <a:off x="4086225" y="367188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0</xdr:colOff>
      <xdr:row>304</xdr:row>
      <xdr:rowOff>142875</xdr:rowOff>
    </xdr:from>
    <xdr:ext cx="200025" cy="180975"/>
    <xdr:sp macro="" textlink="">
      <xdr:nvSpPr>
        <xdr:cNvPr id="413" name="Text Box 376"/>
        <xdr:cNvSpPr txBox="1">
          <a:spLocks noChangeArrowheads="1"/>
        </xdr:cNvSpPr>
      </xdr:nvSpPr>
      <xdr:spPr bwMode="auto">
        <a:xfrm>
          <a:off x="3657600" y="36699825"/>
          <a:ext cx="2000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a =</a:t>
          </a:r>
        </a:p>
      </xdr:txBody>
    </xdr:sp>
    <xdr:clientData/>
  </xdr:oneCellAnchor>
  <xdr:twoCellAnchor>
    <xdr:from>
      <xdr:col>6</xdr:col>
      <xdr:colOff>600075</xdr:colOff>
      <xdr:row>294</xdr:row>
      <xdr:rowOff>0</xdr:rowOff>
    </xdr:from>
    <xdr:to>
      <xdr:col>6</xdr:col>
      <xdr:colOff>600075</xdr:colOff>
      <xdr:row>303</xdr:row>
      <xdr:rowOff>0</xdr:rowOff>
    </xdr:to>
    <xdr:sp macro="" textlink="">
      <xdr:nvSpPr>
        <xdr:cNvPr id="414" name="Line 377"/>
        <xdr:cNvSpPr>
          <a:spLocks noChangeShapeType="1"/>
        </xdr:cNvSpPr>
      </xdr:nvSpPr>
      <xdr:spPr bwMode="auto">
        <a:xfrm>
          <a:off x="3648075" y="34937700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590550</xdr:colOff>
      <xdr:row>303</xdr:row>
      <xdr:rowOff>0</xdr:rowOff>
    </xdr:from>
    <xdr:to>
      <xdr:col>8</xdr:col>
      <xdr:colOff>9525</xdr:colOff>
      <xdr:row>303</xdr:row>
      <xdr:rowOff>0</xdr:rowOff>
    </xdr:to>
    <xdr:sp macro="" textlink="">
      <xdr:nvSpPr>
        <xdr:cNvPr id="415" name="Line 378"/>
        <xdr:cNvSpPr>
          <a:spLocks noChangeShapeType="1"/>
        </xdr:cNvSpPr>
      </xdr:nvSpPr>
      <xdr:spPr bwMode="auto">
        <a:xfrm flipV="1">
          <a:off x="3638550" y="36395025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294</xdr:row>
      <xdr:rowOff>0</xdr:rowOff>
    </xdr:from>
    <xdr:to>
      <xdr:col>8</xdr:col>
      <xdr:colOff>0</xdr:colOff>
      <xdr:row>294</xdr:row>
      <xdr:rowOff>0</xdr:rowOff>
    </xdr:to>
    <xdr:sp macro="" textlink="">
      <xdr:nvSpPr>
        <xdr:cNvPr id="416" name="Line 379"/>
        <xdr:cNvSpPr>
          <a:spLocks noChangeShapeType="1"/>
        </xdr:cNvSpPr>
      </xdr:nvSpPr>
      <xdr:spPr bwMode="auto">
        <a:xfrm>
          <a:off x="3648075" y="3493770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294</xdr:row>
      <xdr:rowOff>0</xdr:rowOff>
    </xdr:from>
    <xdr:to>
      <xdr:col>7</xdr:col>
      <xdr:colOff>600075</xdr:colOff>
      <xdr:row>303</xdr:row>
      <xdr:rowOff>9525</xdr:rowOff>
    </xdr:to>
    <xdr:sp macro="" textlink="">
      <xdr:nvSpPr>
        <xdr:cNvPr id="417" name="Line 380"/>
        <xdr:cNvSpPr>
          <a:spLocks noChangeShapeType="1"/>
        </xdr:cNvSpPr>
      </xdr:nvSpPr>
      <xdr:spPr bwMode="auto">
        <a:xfrm>
          <a:off x="4257675" y="34937700"/>
          <a:ext cx="0" cy="1466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294</xdr:row>
      <xdr:rowOff>0</xdr:rowOff>
    </xdr:from>
    <xdr:to>
      <xdr:col>6</xdr:col>
      <xdr:colOff>600075</xdr:colOff>
      <xdr:row>294</xdr:row>
      <xdr:rowOff>66675</xdr:rowOff>
    </xdr:to>
    <xdr:sp macro="" textlink="">
      <xdr:nvSpPr>
        <xdr:cNvPr id="418" name="Line 381"/>
        <xdr:cNvSpPr>
          <a:spLocks noChangeShapeType="1"/>
        </xdr:cNvSpPr>
      </xdr:nvSpPr>
      <xdr:spPr bwMode="auto">
        <a:xfrm flipH="1">
          <a:off x="3609975" y="349377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294</xdr:row>
      <xdr:rowOff>85725</xdr:rowOff>
    </xdr:from>
    <xdr:to>
      <xdr:col>6</xdr:col>
      <xdr:colOff>600075</xdr:colOff>
      <xdr:row>294</xdr:row>
      <xdr:rowOff>152400</xdr:rowOff>
    </xdr:to>
    <xdr:sp macro="" textlink="">
      <xdr:nvSpPr>
        <xdr:cNvPr id="419" name="Line 382"/>
        <xdr:cNvSpPr>
          <a:spLocks noChangeShapeType="1"/>
        </xdr:cNvSpPr>
      </xdr:nvSpPr>
      <xdr:spPr bwMode="auto">
        <a:xfrm flipH="1">
          <a:off x="3619500" y="350234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295</xdr:row>
      <xdr:rowOff>0</xdr:rowOff>
    </xdr:from>
    <xdr:to>
      <xdr:col>6</xdr:col>
      <xdr:colOff>600075</xdr:colOff>
      <xdr:row>295</xdr:row>
      <xdr:rowOff>66675</xdr:rowOff>
    </xdr:to>
    <xdr:sp macro="" textlink="">
      <xdr:nvSpPr>
        <xdr:cNvPr id="420" name="Line 383"/>
        <xdr:cNvSpPr>
          <a:spLocks noChangeShapeType="1"/>
        </xdr:cNvSpPr>
      </xdr:nvSpPr>
      <xdr:spPr bwMode="auto">
        <a:xfrm flipH="1">
          <a:off x="3609975" y="350996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295</xdr:row>
      <xdr:rowOff>85725</xdr:rowOff>
    </xdr:from>
    <xdr:to>
      <xdr:col>6</xdr:col>
      <xdr:colOff>600075</xdr:colOff>
      <xdr:row>295</xdr:row>
      <xdr:rowOff>152400</xdr:rowOff>
    </xdr:to>
    <xdr:sp macro="" textlink="">
      <xdr:nvSpPr>
        <xdr:cNvPr id="421" name="Line 384"/>
        <xdr:cNvSpPr>
          <a:spLocks noChangeShapeType="1"/>
        </xdr:cNvSpPr>
      </xdr:nvSpPr>
      <xdr:spPr bwMode="auto">
        <a:xfrm flipH="1">
          <a:off x="3619500" y="351853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296</xdr:row>
      <xdr:rowOff>0</xdr:rowOff>
    </xdr:from>
    <xdr:to>
      <xdr:col>6</xdr:col>
      <xdr:colOff>600075</xdr:colOff>
      <xdr:row>296</xdr:row>
      <xdr:rowOff>66675</xdr:rowOff>
    </xdr:to>
    <xdr:sp macro="" textlink="">
      <xdr:nvSpPr>
        <xdr:cNvPr id="422" name="Line 385"/>
        <xdr:cNvSpPr>
          <a:spLocks noChangeShapeType="1"/>
        </xdr:cNvSpPr>
      </xdr:nvSpPr>
      <xdr:spPr bwMode="auto">
        <a:xfrm flipH="1">
          <a:off x="3609975" y="352615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296</xdr:row>
      <xdr:rowOff>85725</xdr:rowOff>
    </xdr:from>
    <xdr:to>
      <xdr:col>6</xdr:col>
      <xdr:colOff>600075</xdr:colOff>
      <xdr:row>296</xdr:row>
      <xdr:rowOff>152400</xdr:rowOff>
    </xdr:to>
    <xdr:sp macro="" textlink="">
      <xdr:nvSpPr>
        <xdr:cNvPr id="423" name="Line 386"/>
        <xdr:cNvSpPr>
          <a:spLocks noChangeShapeType="1"/>
        </xdr:cNvSpPr>
      </xdr:nvSpPr>
      <xdr:spPr bwMode="auto">
        <a:xfrm flipH="1">
          <a:off x="3619500" y="353472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297</xdr:row>
      <xdr:rowOff>0</xdr:rowOff>
    </xdr:from>
    <xdr:to>
      <xdr:col>6</xdr:col>
      <xdr:colOff>600075</xdr:colOff>
      <xdr:row>297</xdr:row>
      <xdr:rowOff>66675</xdr:rowOff>
    </xdr:to>
    <xdr:sp macro="" textlink="">
      <xdr:nvSpPr>
        <xdr:cNvPr id="424" name="Line 387"/>
        <xdr:cNvSpPr>
          <a:spLocks noChangeShapeType="1"/>
        </xdr:cNvSpPr>
      </xdr:nvSpPr>
      <xdr:spPr bwMode="auto">
        <a:xfrm flipH="1">
          <a:off x="3609975" y="354234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297</xdr:row>
      <xdr:rowOff>85725</xdr:rowOff>
    </xdr:from>
    <xdr:to>
      <xdr:col>6</xdr:col>
      <xdr:colOff>600075</xdr:colOff>
      <xdr:row>297</xdr:row>
      <xdr:rowOff>152400</xdr:rowOff>
    </xdr:to>
    <xdr:sp macro="" textlink="">
      <xdr:nvSpPr>
        <xdr:cNvPr id="425" name="Line 388"/>
        <xdr:cNvSpPr>
          <a:spLocks noChangeShapeType="1"/>
        </xdr:cNvSpPr>
      </xdr:nvSpPr>
      <xdr:spPr bwMode="auto">
        <a:xfrm flipH="1">
          <a:off x="3619500" y="355092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298</xdr:row>
      <xdr:rowOff>0</xdr:rowOff>
    </xdr:from>
    <xdr:to>
      <xdr:col>6</xdr:col>
      <xdr:colOff>600075</xdr:colOff>
      <xdr:row>298</xdr:row>
      <xdr:rowOff>66675</xdr:rowOff>
    </xdr:to>
    <xdr:sp macro="" textlink="">
      <xdr:nvSpPr>
        <xdr:cNvPr id="426" name="Line 389"/>
        <xdr:cNvSpPr>
          <a:spLocks noChangeShapeType="1"/>
        </xdr:cNvSpPr>
      </xdr:nvSpPr>
      <xdr:spPr bwMode="auto">
        <a:xfrm flipH="1">
          <a:off x="3609975" y="355854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298</xdr:row>
      <xdr:rowOff>85725</xdr:rowOff>
    </xdr:from>
    <xdr:to>
      <xdr:col>6</xdr:col>
      <xdr:colOff>600075</xdr:colOff>
      <xdr:row>298</xdr:row>
      <xdr:rowOff>152400</xdr:rowOff>
    </xdr:to>
    <xdr:sp macro="" textlink="">
      <xdr:nvSpPr>
        <xdr:cNvPr id="427" name="Line 390"/>
        <xdr:cNvSpPr>
          <a:spLocks noChangeShapeType="1"/>
        </xdr:cNvSpPr>
      </xdr:nvSpPr>
      <xdr:spPr bwMode="auto">
        <a:xfrm flipH="1">
          <a:off x="3619500" y="356711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299</xdr:row>
      <xdr:rowOff>0</xdr:rowOff>
    </xdr:from>
    <xdr:to>
      <xdr:col>6</xdr:col>
      <xdr:colOff>600075</xdr:colOff>
      <xdr:row>299</xdr:row>
      <xdr:rowOff>66675</xdr:rowOff>
    </xdr:to>
    <xdr:sp macro="" textlink="">
      <xdr:nvSpPr>
        <xdr:cNvPr id="428" name="Line 391"/>
        <xdr:cNvSpPr>
          <a:spLocks noChangeShapeType="1"/>
        </xdr:cNvSpPr>
      </xdr:nvSpPr>
      <xdr:spPr bwMode="auto">
        <a:xfrm flipH="1">
          <a:off x="3609975" y="357473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299</xdr:row>
      <xdr:rowOff>85725</xdr:rowOff>
    </xdr:from>
    <xdr:to>
      <xdr:col>6</xdr:col>
      <xdr:colOff>600075</xdr:colOff>
      <xdr:row>299</xdr:row>
      <xdr:rowOff>152400</xdr:rowOff>
    </xdr:to>
    <xdr:sp macro="" textlink="">
      <xdr:nvSpPr>
        <xdr:cNvPr id="429" name="Line 392"/>
        <xdr:cNvSpPr>
          <a:spLocks noChangeShapeType="1"/>
        </xdr:cNvSpPr>
      </xdr:nvSpPr>
      <xdr:spPr bwMode="auto">
        <a:xfrm flipH="1">
          <a:off x="3619500" y="358330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300</xdr:row>
      <xdr:rowOff>0</xdr:rowOff>
    </xdr:from>
    <xdr:to>
      <xdr:col>6</xdr:col>
      <xdr:colOff>600075</xdr:colOff>
      <xdr:row>300</xdr:row>
      <xdr:rowOff>66675</xdr:rowOff>
    </xdr:to>
    <xdr:sp macro="" textlink="">
      <xdr:nvSpPr>
        <xdr:cNvPr id="430" name="Line 393"/>
        <xdr:cNvSpPr>
          <a:spLocks noChangeShapeType="1"/>
        </xdr:cNvSpPr>
      </xdr:nvSpPr>
      <xdr:spPr bwMode="auto">
        <a:xfrm flipH="1">
          <a:off x="3609975" y="359092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300</xdr:row>
      <xdr:rowOff>85725</xdr:rowOff>
    </xdr:from>
    <xdr:to>
      <xdr:col>6</xdr:col>
      <xdr:colOff>600075</xdr:colOff>
      <xdr:row>300</xdr:row>
      <xdr:rowOff>152400</xdr:rowOff>
    </xdr:to>
    <xdr:sp macro="" textlink="">
      <xdr:nvSpPr>
        <xdr:cNvPr id="431" name="Line 394"/>
        <xdr:cNvSpPr>
          <a:spLocks noChangeShapeType="1"/>
        </xdr:cNvSpPr>
      </xdr:nvSpPr>
      <xdr:spPr bwMode="auto">
        <a:xfrm flipH="1">
          <a:off x="3619500" y="359949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301</xdr:row>
      <xdr:rowOff>0</xdr:rowOff>
    </xdr:from>
    <xdr:to>
      <xdr:col>6</xdr:col>
      <xdr:colOff>600075</xdr:colOff>
      <xdr:row>301</xdr:row>
      <xdr:rowOff>66675</xdr:rowOff>
    </xdr:to>
    <xdr:sp macro="" textlink="">
      <xdr:nvSpPr>
        <xdr:cNvPr id="432" name="Line 395"/>
        <xdr:cNvSpPr>
          <a:spLocks noChangeShapeType="1"/>
        </xdr:cNvSpPr>
      </xdr:nvSpPr>
      <xdr:spPr bwMode="auto">
        <a:xfrm flipH="1">
          <a:off x="3609975" y="360711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301</xdr:row>
      <xdr:rowOff>85725</xdr:rowOff>
    </xdr:from>
    <xdr:to>
      <xdr:col>6</xdr:col>
      <xdr:colOff>600075</xdr:colOff>
      <xdr:row>301</xdr:row>
      <xdr:rowOff>152400</xdr:rowOff>
    </xdr:to>
    <xdr:sp macro="" textlink="">
      <xdr:nvSpPr>
        <xdr:cNvPr id="433" name="Line 396"/>
        <xdr:cNvSpPr>
          <a:spLocks noChangeShapeType="1"/>
        </xdr:cNvSpPr>
      </xdr:nvSpPr>
      <xdr:spPr bwMode="auto">
        <a:xfrm flipH="1">
          <a:off x="3619500" y="361569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302</xdr:row>
      <xdr:rowOff>0</xdr:rowOff>
    </xdr:from>
    <xdr:to>
      <xdr:col>6</xdr:col>
      <xdr:colOff>600075</xdr:colOff>
      <xdr:row>302</xdr:row>
      <xdr:rowOff>66675</xdr:rowOff>
    </xdr:to>
    <xdr:sp macro="" textlink="">
      <xdr:nvSpPr>
        <xdr:cNvPr id="434" name="Line 397"/>
        <xdr:cNvSpPr>
          <a:spLocks noChangeShapeType="1"/>
        </xdr:cNvSpPr>
      </xdr:nvSpPr>
      <xdr:spPr bwMode="auto">
        <a:xfrm flipH="1">
          <a:off x="3609975" y="362331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302</xdr:row>
      <xdr:rowOff>85725</xdr:rowOff>
    </xdr:from>
    <xdr:to>
      <xdr:col>6</xdr:col>
      <xdr:colOff>600075</xdr:colOff>
      <xdr:row>302</xdr:row>
      <xdr:rowOff>152400</xdr:rowOff>
    </xdr:to>
    <xdr:sp macro="" textlink="">
      <xdr:nvSpPr>
        <xdr:cNvPr id="435" name="Line 398"/>
        <xdr:cNvSpPr>
          <a:spLocks noChangeShapeType="1"/>
        </xdr:cNvSpPr>
      </xdr:nvSpPr>
      <xdr:spPr bwMode="auto">
        <a:xfrm flipH="1">
          <a:off x="3619500" y="363188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302</xdr:row>
      <xdr:rowOff>0</xdr:rowOff>
    </xdr:from>
    <xdr:to>
      <xdr:col>6</xdr:col>
      <xdr:colOff>600075</xdr:colOff>
      <xdr:row>302</xdr:row>
      <xdr:rowOff>66675</xdr:rowOff>
    </xdr:to>
    <xdr:sp macro="" textlink="">
      <xdr:nvSpPr>
        <xdr:cNvPr id="436" name="Line 399"/>
        <xdr:cNvSpPr>
          <a:spLocks noChangeShapeType="1"/>
        </xdr:cNvSpPr>
      </xdr:nvSpPr>
      <xdr:spPr bwMode="auto">
        <a:xfrm flipH="1">
          <a:off x="3609975" y="362331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302</xdr:row>
      <xdr:rowOff>85725</xdr:rowOff>
    </xdr:from>
    <xdr:to>
      <xdr:col>6</xdr:col>
      <xdr:colOff>600075</xdr:colOff>
      <xdr:row>302</xdr:row>
      <xdr:rowOff>152400</xdr:rowOff>
    </xdr:to>
    <xdr:sp macro="" textlink="">
      <xdr:nvSpPr>
        <xdr:cNvPr id="437" name="Line 400"/>
        <xdr:cNvSpPr>
          <a:spLocks noChangeShapeType="1"/>
        </xdr:cNvSpPr>
      </xdr:nvSpPr>
      <xdr:spPr bwMode="auto">
        <a:xfrm flipH="1">
          <a:off x="3619500" y="363188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303</xdr:row>
      <xdr:rowOff>0</xdr:rowOff>
    </xdr:from>
    <xdr:to>
      <xdr:col>7</xdr:col>
      <xdr:colOff>47625</xdr:colOff>
      <xdr:row>303</xdr:row>
      <xdr:rowOff>38100</xdr:rowOff>
    </xdr:to>
    <xdr:sp macro="" textlink="">
      <xdr:nvSpPr>
        <xdr:cNvPr id="438" name="Line 401"/>
        <xdr:cNvSpPr>
          <a:spLocks noChangeShapeType="1"/>
        </xdr:cNvSpPr>
      </xdr:nvSpPr>
      <xdr:spPr bwMode="auto">
        <a:xfrm flipH="1">
          <a:off x="3648075" y="36395025"/>
          <a:ext cx="5715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542925</xdr:colOff>
      <xdr:row>303</xdr:row>
      <xdr:rowOff>0</xdr:rowOff>
    </xdr:from>
    <xdr:to>
      <xdr:col>7</xdr:col>
      <xdr:colOff>581025</xdr:colOff>
      <xdr:row>303</xdr:row>
      <xdr:rowOff>47625</xdr:rowOff>
    </xdr:to>
    <xdr:sp macro="" textlink="">
      <xdr:nvSpPr>
        <xdr:cNvPr id="439" name="Line 402"/>
        <xdr:cNvSpPr>
          <a:spLocks noChangeShapeType="1"/>
        </xdr:cNvSpPr>
      </xdr:nvSpPr>
      <xdr:spPr bwMode="auto">
        <a:xfrm flipH="1">
          <a:off x="4200525" y="36395025"/>
          <a:ext cx="381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303</xdr:row>
      <xdr:rowOff>9525</xdr:rowOff>
    </xdr:from>
    <xdr:to>
      <xdr:col>7</xdr:col>
      <xdr:colOff>104775</xdr:colOff>
      <xdr:row>303</xdr:row>
      <xdr:rowOff>38100</xdr:rowOff>
    </xdr:to>
    <xdr:sp macro="" textlink="">
      <xdr:nvSpPr>
        <xdr:cNvPr id="440" name="Line 403"/>
        <xdr:cNvSpPr>
          <a:spLocks noChangeShapeType="1"/>
        </xdr:cNvSpPr>
      </xdr:nvSpPr>
      <xdr:spPr bwMode="auto">
        <a:xfrm flipH="1">
          <a:off x="3695700" y="36404550"/>
          <a:ext cx="6667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123825</xdr:colOff>
      <xdr:row>303</xdr:row>
      <xdr:rowOff>0</xdr:rowOff>
    </xdr:from>
    <xdr:to>
      <xdr:col>7</xdr:col>
      <xdr:colOff>200025</xdr:colOff>
      <xdr:row>303</xdr:row>
      <xdr:rowOff>38100</xdr:rowOff>
    </xdr:to>
    <xdr:sp macro="" textlink="">
      <xdr:nvSpPr>
        <xdr:cNvPr id="441" name="Line 404"/>
        <xdr:cNvSpPr>
          <a:spLocks noChangeShapeType="1"/>
        </xdr:cNvSpPr>
      </xdr:nvSpPr>
      <xdr:spPr bwMode="auto">
        <a:xfrm flipH="1">
          <a:off x="3781425" y="36395025"/>
          <a:ext cx="7620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219075</xdr:colOff>
      <xdr:row>302</xdr:row>
      <xdr:rowOff>152400</xdr:rowOff>
    </xdr:from>
    <xdr:to>
      <xdr:col>7</xdr:col>
      <xdr:colOff>304800</xdr:colOff>
      <xdr:row>303</xdr:row>
      <xdr:rowOff>38100</xdr:rowOff>
    </xdr:to>
    <xdr:sp macro="" textlink="">
      <xdr:nvSpPr>
        <xdr:cNvPr id="442" name="Line 405"/>
        <xdr:cNvSpPr>
          <a:spLocks noChangeShapeType="1"/>
        </xdr:cNvSpPr>
      </xdr:nvSpPr>
      <xdr:spPr bwMode="auto">
        <a:xfrm flipH="1">
          <a:off x="3876675" y="363855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295275</xdr:colOff>
      <xdr:row>303</xdr:row>
      <xdr:rowOff>0</xdr:rowOff>
    </xdr:from>
    <xdr:to>
      <xdr:col>7</xdr:col>
      <xdr:colOff>361950</xdr:colOff>
      <xdr:row>303</xdr:row>
      <xdr:rowOff>38100</xdr:rowOff>
    </xdr:to>
    <xdr:sp macro="" textlink="">
      <xdr:nvSpPr>
        <xdr:cNvPr id="443" name="Line 406"/>
        <xdr:cNvSpPr>
          <a:spLocks noChangeShapeType="1"/>
        </xdr:cNvSpPr>
      </xdr:nvSpPr>
      <xdr:spPr bwMode="auto">
        <a:xfrm flipH="1">
          <a:off x="3952875" y="36395025"/>
          <a:ext cx="66675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361950</xdr:colOff>
      <xdr:row>303</xdr:row>
      <xdr:rowOff>0</xdr:rowOff>
    </xdr:from>
    <xdr:to>
      <xdr:col>7</xdr:col>
      <xdr:colOff>438150</xdr:colOff>
      <xdr:row>303</xdr:row>
      <xdr:rowOff>47625</xdr:rowOff>
    </xdr:to>
    <xdr:sp macro="" textlink="">
      <xdr:nvSpPr>
        <xdr:cNvPr id="444" name="Line 407"/>
        <xdr:cNvSpPr>
          <a:spLocks noChangeShapeType="1"/>
        </xdr:cNvSpPr>
      </xdr:nvSpPr>
      <xdr:spPr bwMode="auto">
        <a:xfrm flipH="1">
          <a:off x="4019550" y="36395025"/>
          <a:ext cx="762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438150</xdr:colOff>
      <xdr:row>303</xdr:row>
      <xdr:rowOff>0</xdr:rowOff>
    </xdr:from>
    <xdr:to>
      <xdr:col>7</xdr:col>
      <xdr:colOff>514350</xdr:colOff>
      <xdr:row>303</xdr:row>
      <xdr:rowOff>57150</xdr:rowOff>
    </xdr:to>
    <xdr:sp macro="" textlink="">
      <xdr:nvSpPr>
        <xdr:cNvPr id="445" name="Line 408"/>
        <xdr:cNvSpPr>
          <a:spLocks noChangeShapeType="1"/>
        </xdr:cNvSpPr>
      </xdr:nvSpPr>
      <xdr:spPr bwMode="auto">
        <a:xfrm flipH="1">
          <a:off x="4095750" y="36395025"/>
          <a:ext cx="7620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190500</xdr:colOff>
      <xdr:row>294</xdr:row>
      <xdr:rowOff>0</xdr:rowOff>
    </xdr:from>
    <xdr:to>
      <xdr:col>6</xdr:col>
      <xdr:colOff>514350</xdr:colOff>
      <xdr:row>294</xdr:row>
      <xdr:rowOff>0</xdr:rowOff>
    </xdr:to>
    <xdr:sp macro="" textlink="">
      <xdr:nvSpPr>
        <xdr:cNvPr id="446" name="Line 409"/>
        <xdr:cNvSpPr>
          <a:spLocks noChangeShapeType="1"/>
        </xdr:cNvSpPr>
      </xdr:nvSpPr>
      <xdr:spPr bwMode="auto">
        <a:xfrm>
          <a:off x="3238500" y="349377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228600</xdr:colOff>
      <xdr:row>303</xdr:row>
      <xdr:rowOff>0</xdr:rowOff>
    </xdr:from>
    <xdr:to>
      <xdr:col>6</xdr:col>
      <xdr:colOff>504825</xdr:colOff>
      <xdr:row>303</xdr:row>
      <xdr:rowOff>0</xdr:rowOff>
    </xdr:to>
    <xdr:sp macro="" textlink="">
      <xdr:nvSpPr>
        <xdr:cNvPr id="447" name="Line 410"/>
        <xdr:cNvSpPr>
          <a:spLocks noChangeShapeType="1"/>
        </xdr:cNvSpPr>
      </xdr:nvSpPr>
      <xdr:spPr bwMode="auto">
        <a:xfrm>
          <a:off x="3276600" y="363950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447675</xdr:colOff>
      <xdr:row>294</xdr:row>
      <xdr:rowOff>0</xdr:rowOff>
    </xdr:from>
    <xdr:to>
      <xdr:col>6</xdr:col>
      <xdr:colOff>447675</xdr:colOff>
      <xdr:row>303</xdr:row>
      <xdr:rowOff>19050</xdr:rowOff>
    </xdr:to>
    <xdr:sp macro="" textlink="">
      <xdr:nvSpPr>
        <xdr:cNvPr id="448" name="Line 411"/>
        <xdr:cNvSpPr>
          <a:spLocks noChangeShapeType="1"/>
        </xdr:cNvSpPr>
      </xdr:nvSpPr>
      <xdr:spPr bwMode="auto">
        <a:xfrm>
          <a:off x="3495675" y="34937700"/>
          <a:ext cx="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7</xdr:col>
      <xdr:colOff>0</xdr:colOff>
      <xdr:row>304</xdr:row>
      <xdr:rowOff>104775</xdr:rowOff>
    </xdr:from>
    <xdr:to>
      <xdr:col>7</xdr:col>
      <xdr:colOff>0</xdr:colOff>
      <xdr:row>306</xdr:row>
      <xdr:rowOff>47625</xdr:rowOff>
    </xdr:to>
    <xdr:sp macro="" textlink="">
      <xdr:nvSpPr>
        <xdr:cNvPr id="449" name="Line 412"/>
        <xdr:cNvSpPr>
          <a:spLocks noChangeShapeType="1"/>
        </xdr:cNvSpPr>
      </xdr:nvSpPr>
      <xdr:spPr bwMode="auto">
        <a:xfrm>
          <a:off x="3657600" y="366617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304</xdr:row>
      <xdr:rowOff>133350</xdr:rowOff>
    </xdr:from>
    <xdr:to>
      <xdr:col>8</xdr:col>
      <xdr:colOff>0</xdr:colOff>
      <xdr:row>304</xdr:row>
      <xdr:rowOff>133350</xdr:rowOff>
    </xdr:to>
    <xdr:sp macro="" textlink="">
      <xdr:nvSpPr>
        <xdr:cNvPr id="450" name="Line 413"/>
        <xdr:cNvSpPr>
          <a:spLocks noChangeShapeType="1"/>
        </xdr:cNvSpPr>
      </xdr:nvSpPr>
      <xdr:spPr bwMode="auto">
        <a:xfrm>
          <a:off x="3657600" y="3669030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6</xdr:col>
      <xdr:colOff>428625</xdr:colOff>
      <xdr:row>298</xdr:row>
      <xdr:rowOff>0</xdr:rowOff>
    </xdr:from>
    <xdr:ext cx="123825" cy="342900"/>
    <xdr:sp macro="" textlink="">
      <xdr:nvSpPr>
        <xdr:cNvPr id="451" name="Text Box 414"/>
        <xdr:cNvSpPr txBox="1">
          <a:spLocks noChangeArrowheads="1"/>
        </xdr:cNvSpPr>
      </xdr:nvSpPr>
      <xdr:spPr bwMode="auto">
        <a:xfrm>
          <a:off x="3476625" y="35585400"/>
          <a:ext cx="123825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6</xdr:col>
      <xdr:colOff>0</xdr:colOff>
      <xdr:row>298</xdr:row>
      <xdr:rowOff>0</xdr:rowOff>
    </xdr:from>
    <xdr:ext cx="161925" cy="180975"/>
    <xdr:sp macro="" textlink="">
      <xdr:nvSpPr>
        <xdr:cNvPr id="452" name="Text Box 415"/>
        <xdr:cNvSpPr txBox="1">
          <a:spLocks noChangeArrowheads="1"/>
        </xdr:cNvSpPr>
      </xdr:nvSpPr>
      <xdr:spPr bwMode="auto">
        <a:xfrm>
          <a:off x="3048000" y="35585400"/>
          <a:ext cx="1619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7</xdr:col>
      <xdr:colOff>428625</xdr:colOff>
      <xdr:row>306</xdr:row>
      <xdr:rowOff>0</xdr:rowOff>
    </xdr:from>
    <xdr:ext cx="123825" cy="180975"/>
    <xdr:sp macro="" textlink="">
      <xdr:nvSpPr>
        <xdr:cNvPr id="453" name="Text Box 416"/>
        <xdr:cNvSpPr txBox="1">
          <a:spLocks noChangeArrowheads="1"/>
        </xdr:cNvSpPr>
      </xdr:nvSpPr>
      <xdr:spPr bwMode="auto">
        <a:xfrm>
          <a:off x="4086225" y="367188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0</xdr:colOff>
      <xdr:row>304</xdr:row>
      <xdr:rowOff>142875</xdr:rowOff>
    </xdr:from>
    <xdr:ext cx="200025" cy="180975"/>
    <xdr:sp macro="" textlink="">
      <xdr:nvSpPr>
        <xdr:cNvPr id="454" name="Text Box 417"/>
        <xdr:cNvSpPr txBox="1">
          <a:spLocks noChangeArrowheads="1"/>
        </xdr:cNvSpPr>
      </xdr:nvSpPr>
      <xdr:spPr bwMode="auto">
        <a:xfrm>
          <a:off x="3657600" y="36699825"/>
          <a:ext cx="2000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a =</a:t>
          </a:r>
        </a:p>
      </xdr:txBody>
    </xdr:sp>
    <xdr:clientData/>
  </xdr:oneCellAnchor>
  <xdr:twoCellAnchor>
    <xdr:from>
      <xdr:col>3</xdr:col>
      <xdr:colOff>0</xdr:colOff>
      <xdr:row>305</xdr:row>
      <xdr:rowOff>95250</xdr:rowOff>
    </xdr:from>
    <xdr:to>
      <xdr:col>3</xdr:col>
      <xdr:colOff>0</xdr:colOff>
      <xdr:row>306</xdr:row>
      <xdr:rowOff>47625</xdr:rowOff>
    </xdr:to>
    <xdr:sp macro="" textlink="">
      <xdr:nvSpPr>
        <xdr:cNvPr id="455" name="Line 426"/>
        <xdr:cNvSpPr>
          <a:spLocks noChangeShapeType="1"/>
        </xdr:cNvSpPr>
      </xdr:nvSpPr>
      <xdr:spPr bwMode="auto">
        <a:xfrm>
          <a:off x="1219200" y="363283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305</xdr:row>
      <xdr:rowOff>114300</xdr:rowOff>
    </xdr:from>
    <xdr:to>
      <xdr:col>3</xdr:col>
      <xdr:colOff>200025</xdr:colOff>
      <xdr:row>306</xdr:row>
      <xdr:rowOff>28575</xdr:rowOff>
    </xdr:to>
    <xdr:sp macro="" textlink="">
      <xdr:nvSpPr>
        <xdr:cNvPr id="456" name="Line 427"/>
        <xdr:cNvSpPr>
          <a:spLocks noChangeShapeType="1"/>
        </xdr:cNvSpPr>
      </xdr:nvSpPr>
      <xdr:spPr bwMode="auto">
        <a:xfrm>
          <a:off x="1419225" y="3634740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306</xdr:row>
      <xdr:rowOff>0</xdr:rowOff>
    </xdr:from>
    <xdr:to>
      <xdr:col>3</xdr:col>
      <xdr:colOff>200025</xdr:colOff>
      <xdr:row>306</xdr:row>
      <xdr:rowOff>0</xdr:rowOff>
    </xdr:to>
    <xdr:sp macro="" textlink="">
      <xdr:nvSpPr>
        <xdr:cNvPr id="457" name="Line 428"/>
        <xdr:cNvSpPr>
          <a:spLocks noChangeShapeType="1"/>
        </xdr:cNvSpPr>
      </xdr:nvSpPr>
      <xdr:spPr bwMode="auto">
        <a:xfrm>
          <a:off x="1219200" y="36395025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3</xdr:col>
      <xdr:colOff>304800</xdr:colOff>
      <xdr:row>305</xdr:row>
      <xdr:rowOff>0</xdr:rowOff>
    </xdr:from>
    <xdr:ext cx="123825" cy="180975"/>
    <xdr:sp macro="" textlink="">
      <xdr:nvSpPr>
        <xdr:cNvPr id="458" name="Text Box 429"/>
        <xdr:cNvSpPr txBox="1">
          <a:spLocks noChangeArrowheads="1"/>
        </xdr:cNvSpPr>
      </xdr:nvSpPr>
      <xdr:spPr bwMode="auto">
        <a:xfrm>
          <a:off x="1524000" y="362331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</xdr:col>
      <xdr:colOff>114300</xdr:colOff>
      <xdr:row>294</xdr:row>
      <xdr:rowOff>57150</xdr:rowOff>
    </xdr:from>
    <xdr:to>
      <xdr:col>3</xdr:col>
      <xdr:colOff>600075</xdr:colOff>
      <xdr:row>296</xdr:row>
      <xdr:rowOff>19050</xdr:rowOff>
    </xdr:to>
    <xdr:sp macro="" textlink="">
      <xdr:nvSpPr>
        <xdr:cNvPr id="459" name="Line 430"/>
        <xdr:cNvSpPr>
          <a:spLocks noChangeShapeType="1"/>
        </xdr:cNvSpPr>
      </xdr:nvSpPr>
      <xdr:spPr bwMode="auto">
        <a:xfrm flipV="1">
          <a:off x="1333500" y="34832925"/>
          <a:ext cx="485775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/>
        </a:ln>
      </xdr:spPr>
    </xdr:sp>
    <xdr:clientData/>
  </xdr:twoCellAnchor>
  <xdr:twoCellAnchor>
    <xdr:from>
      <xdr:col>4</xdr:col>
      <xdr:colOff>0</xdr:colOff>
      <xdr:row>294</xdr:row>
      <xdr:rowOff>57150</xdr:rowOff>
    </xdr:from>
    <xdr:to>
      <xdr:col>4</xdr:col>
      <xdr:colOff>180975</xdr:colOff>
      <xdr:row>294</xdr:row>
      <xdr:rowOff>57150</xdr:rowOff>
    </xdr:to>
    <xdr:sp macro="" textlink="">
      <xdr:nvSpPr>
        <xdr:cNvPr id="460" name="Line 431"/>
        <xdr:cNvSpPr>
          <a:spLocks noChangeShapeType="1"/>
        </xdr:cNvSpPr>
      </xdr:nvSpPr>
      <xdr:spPr bwMode="auto">
        <a:xfrm>
          <a:off x="1828800" y="3483292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419100</xdr:colOff>
      <xdr:row>294</xdr:row>
      <xdr:rowOff>152400</xdr:rowOff>
    </xdr:from>
    <xdr:ext cx="125291" cy="170560"/>
    <xdr:sp macro="" textlink="">
      <xdr:nvSpPr>
        <xdr:cNvPr id="464" name="Text Box 534"/>
        <xdr:cNvSpPr txBox="1">
          <a:spLocks noChangeArrowheads="1"/>
        </xdr:cNvSpPr>
      </xdr:nvSpPr>
      <xdr:spPr bwMode="auto">
        <a:xfrm>
          <a:off x="6076950" y="43862625"/>
          <a:ext cx="12529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  <a:endParaRPr lang="en-GB" sz="8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5</xdr:col>
      <xdr:colOff>295275</xdr:colOff>
      <xdr:row>302</xdr:row>
      <xdr:rowOff>0</xdr:rowOff>
    </xdr:from>
    <xdr:ext cx="123825" cy="180975"/>
    <xdr:sp macro="" textlink="">
      <xdr:nvSpPr>
        <xdr:cNvPr id="465" name="Text Box 581"/>
        <xdr:cNvSpPr txBox="1">
          <a:spLocks noChangeArrowheads="1"/>
        </xdr:cNvSpPr>
      </xdr:nvSpPr>
      <xdr:spPr bwMode="auto">
        <a:xfrm>
          <a:off x="2733675" y="357473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4</xdr:col>
      <xdr:colOff>323850</xdr:colOff>
      <xdr:row>301</xdr:row>
      <xdr:rowOff>152400</xdr:rowOff>
    </xdr:from>
    <xdr:ext cx="200025" cy="180975"/>
    <xdr:sp macro="" textlink="">
      <xdr:nvSpPr>
        <xdr:cNvPr id="466" name="Text Box 582"/>
        <xdr:cNvSpPr txBox="1">
          <a:spLocks noChangeArrowheads="1"/>
        </xdr:cNvSpPr>
      </xdr:nvSpPr>
      <xdr:spPr bwMode="auto">
        <a:xfrm>
          <a:off x="2152650" y="35737800"/>
          <a:ext cx="2000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oneCellAnchor>
  <xdr:twoCellAnchor>
    <xdr:from>
      <xdr:col>4</xdr:col>
      <xdr:colOff>142875</xdr:colOff>
      <xdr:row>302</xdr:row>
      <xdr:rowOff>76200</xdr:rowOff>
    </xdr:from>
    <xdr:to>
      <xdr:col>4</xdr:col>
      <xdr:colOff>257175</xdr:colOff>
      <xdr:row>302</xdr:row>
      <xdr:rowOff>152400</xdr:rowOff>
    </xdr:to>
    <xdr:sp macro="" textlink="">
      <xdr:nvSpPr>
        <xdr:cNvPr id="467" name="AutoShape 583"/>
        <xdr:cNvSpPr>
          <a:spLocks noChangeArrowheads="1"/>
        </xdr:cNvSpPr>
      </xdr:nvSpPr>
      <xdr:spPr bwMode="auto">
        <a:xfrm>
          <a:off x="1971675" y="35823525"/>
          <a:ext cx="114300" cy="76200"/>
        </a:xfrm>
        <a:prstGeom prst="flowChartMerge">
          <a:avLst/>
        </a:prstGeom>
        <a:solidFill>
          <a:srgbClr val="FFFFFF"/>
        </a:solidFill>
        <a:ln w="158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133350</xdr:colOff>
      <xdr:row>296</xdr:row>
      <xdr:rowOff>0</xdr:rowOff>
    </xdr:from>
    <xdr:to>
      <xdr:col>2</xdr:col>
      <xdr:colOff>476250</xdr:colOff>
      <xdr:row>296</xdr:row>
      <xdr:rowOff>9525</xdr:rowOff>
    </xdr:to>
    <xdr:cxnSp macro="">
      <xdr:nvCxnSpPr>
        <xdr:cNvPr id="469" name="Straight Connector 468"/>
        <xdr:cNvCxnSpPr/>
      </xdr:nvCxnSpPr>
      <xdr:spPr bwMode="auto">
        <a:xfrm flipV="1">
          <a:off x="742950" y="43872150"/>
          <a:ext cx="9525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190500</xdr:colOff>
      <xdr:row>293</xdr:row>
      <xdr:rowOff>152400</xdr:rowOff>
    </xdr:from>
    <xdr:to>
      <xdr:col>2</xdr:col>
      <xdr:colOff>523875</xdr:colOff>
      <xdr:row>294</xdr:row>
      <xdr:rowOff>0</xdr:rowOff>
    </xdr:to>
    <xdr:cxnSp macro="">
      <xdr:nvCxnSpPr>
        <xdr:cNvPr id="471" name="Straight Connector 470"/>
        <xdr:cNvCxnSpPr/>
      </xdr:nvCxnSpPr>
      <xdr:spPr bwMode="auto">
        <a:xfrm flipV="1">
          <a:off x="800100" y="43538775"/>
          <a:ext cx="9429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424656</xdr:colOff>
      <xdr:row>303</xdr:row>
      <xdr:rowOff>8731</xdr:rowOff>
    </xdr:from>
    <xdr:to>
      <xdr:col>5</xdr:col>
      <xdr:colOff>457993</xdr:colOff>
      <xdr:row>303</xdr:row>
      <xdr:rowOff>10319</xdr:rowOff>
    </xdr:to>
    <xdr:cxnSp macro="">
      <xdr:nvCxnSpPr>
        <xdr:cNvPr id="473" name="Straight Connector 472"/>
        <xdr:cNvCxnSpPr>
          <a:stCxn id="466" idx="2"/>
        </xdr:cNvCxnSpPr>
      </xdr:nvCxnSpPr>
      <xdr:spPr bwMode="auto">
        <a:xfrm rot="16200000" flipH="1">
          <a:off x="3183731" y="44369831"/>
          <a:ext cx="1588" cy="64293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 editAs="oneCell">
    <xdr:from>
      <xdr:col>4</xdr:col>
      <xdr:colOff>600075</xdr:colOff>
      <xdr:row>336</xdr:row>
      <xdr:rowOff>0</xdr:rowOff>
    </xdr:from>
    <xdr:to>
      <xdr:col>5</xdr:col>
      <xdr:colOff>0</xdr:colOff>
      <xdr:row>336</xdr:row>
      <xdr:rowOff>161925</xdr:rowOff>
    </xdr:to>
    <xdr:sp macro="" textlink="">
      <xdr:nvSpPr>
        <xdr:cNvPr id="474" name="Text Box 154"/>
        <xdr:cNvSpPr txBox="1">
          <a:spLocks noChangeArrowheads="1"/>
        </xdr:cNvSpPr>
      </xdr:nvSpPr>
      <xdr:spPr bwMode="auto">
        <a:xfrm>
          <a:off x="3038475" y="344614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337</xdr:row>
      <xdr:rowOff>0</xdr:rowOff>
    </xdr:from>
    <xdr:to>
      <xdr:col>5</xdr:col>
      <xdr:colOff>0</xdr:colOff>
      <xdr:row>338</xdr:row>
      <xdr:rowOff>0</xdr:rowOff>
    </xdr:to>
    <xdr:sp macro="" textlink="">
      <xdr:nvSpPr>
        <xdr:cNvPr id="475" name="Text Box 154"/>
        <xdr:cNvSpPr txBox="1">
          <a:spLocks noChangeArrowheads="1"/>
        </xdr:cNvSpPr>
      </xdr:nvSpPr>
      <xdr:spPr bwMode="auto">
        <a:xfrm>
          <a:off x="3038475" y="348519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337</xdr:row>
      <xdr:rowOff>0</xdr:rowOff>
    </xdr:from>
    <xdr:to>
      <xdr:col>5</xdr:col>
      <xdr:colOff>0</xdr:colOff>
      <xdr:row>338</xdr:row>
      <xdr:rowOff>0</xdr:rowOff>
    </xdr:to>
    <xdr:sp macro="" textlink="">
      <xdr:nvSpPr>
        <xdr:cNvPr id="476" name="Text Box 154"/>
        <xdr:cNvSpPr txBox="1">
          <a:spLocks noChangeArrowheads="1"/>
        </xdr:cNvSpPr>
      </xdr:nvSpPr>
      <xdr:spPr bwMode="auto">
        <a:xfrm>
          <a:off x="3038475" y="350520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335</xdr:row>
      <xdr:rowOff>0</xdr:rowOff>
    </xdr:from>
    <xdr:to>
      <xdr:col>5</xdr:col>
      <xdr:colOff>0</xdr:colOff>
      <xdr:row>335</xdr:row>
      <xdr:rowOff>161925</xdr:rowOff>
    </xdr:to>
    <xdr:sp macro="" textlink="">
      <xdr:nvSpPr>
        <xdr:cNvPr id="477" name="Text Box 154"/>
        <xdr:cNvSpPr txBox="1">
          <a:spLocks noChangeArrowheads="1"/>
        </xdr:cNvSpPr>
      </xdr:nvSpPr>
      <xdr:spPr bwMode="auto">
        <a:xfrm>
          <a:off x="3038475" y="342614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343</xdr:row>
      <xdr:rowOff>0</xdr:rowOff>
    </xdr:from>
    <xdr:to>
      <xdr:col>2</xdr:col>
      <xdr:colOff>0</xdr:colOff>
      <xdr:row>351</xdr:row>
      <xdr:rowOff>28575</xdr:rowOff>
    </xdr:to>
    <xdr:sp macro="" textlink="">
      <xdr:nvSpPr>
        <xdr:cNvPr id="461" name="Line 435"/>
        <xdr:cNvSpPr>
          <a:spLocks noChangeShapeType="1"/>
        </xdr:cNvSpPr>
      </xdr:nvSpPr>
      <xdr:spPr bwMode="auto">
        <a:xfrm>
          <a:off x="1219200" y="47339250"/>
          <a:ext cx="0" cy="1323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2</xdr:col>
      <xdr:colOff>142875</xdr:colOff>
      <xdr:row>343</xdr:row>
      <xdr:rowOff>0</xdr:rowOff>
    </xdr:from>
    <xdr:to>
      <xdr:col>2</xdr:col>
      <xdr:colOff>142875</xdr:colOff>
      <xdr:row>350</xdr:row>
      <xdr:rowOff>0</xdr:rowOff>
    </xdr:to>
    <xdr:sp macro="" textlink="">
      <xdr:nvSpPr>
        <xdr:cNvPr id="462" name="Line 440"/>
        <xdr:cNvSpPr>
          <a:spLocks noChangeShapeType="1"/>
        </xdr:cNvSpPr>
      </xdr:nvSpPr>
      <xdr:spPr bwMode="auto">
        <a:xfrm flipH="1">
          <a:off x="1362075" y="47339250"/>
          <a:ext cx="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142875</xdr:colOff>
      <xdr:row>350</xdr:row>
      <xdr:rowOff>0</xdr:rowOff>
    </xdr:from>
    <xdr:to>
      <xdr:col>3</xdr:col>
      <xdr:colOff>209550</xdr:colOff>
      <xdr:row>350</xdr:row>
      <xdr:rowOff>0</xdr:rowOff>
    </xdr:to>
    <xdr:sp macro="" textlink="">
      <xdr:nvSpPr>
        <xdr:cNvPr id="463" name="Line 441"/>
        <xdr:cNvSpPr>
          <a:spLocks noChangeShapeType="1"/>
        </xdr:cNvSpPr>
      </xdr:nvSpPr>
      <xdr:spPr bwMode="auto">
        <a:xfrm flipH="1">
          <a:off x="1362075" y="48472725"/>
          <a:ext cx="676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0</xdr:colOff>
      <xdr:row>351</xdr:row>
      <xdr:rowOff>9525</xdr:rowOff>
    </xdr:from>
    <xdr:to>
      <xdr:col>3</xdr:col>
      <xdr:colOff>209550</xdr:colOff>
      <xdr:row>351</xdr:row>
      <xdr:rowOff>9525</xdr:rowOff>
    </xdr:to>
    <xdr:sp macro="" textlink="">
      <xdr:nvSpPr>
        <xdr:cNvPr id="468" name="Line 442"/>
        <xdr:cNvSpPr>
          <a:spLocks noChangeShapeType="1"/>
        </xdr:cNvSpPr>
      </xdr:nvSpPr>
      <xdr:spPr bwMode="auto">
        <a:xfrm>
          <a:off x="1219200" y="50834925"/>
          <a:ext cx="819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343</xdr:row>
      <xdr:rowOff>0</xdr:rowOff>
    </xdr:from>
    <xdr:to>
      <xdr:col>2</xdr:col>
      <xdr:colOff>142875</xdr:colOff>
      <xdr:row>343</xdr:row>
      <xdr:rowOff>0</xdr:rowOff>
    </xdr:to>
    <xdr:sp macro="" textlink="">
      <xdr:nvSpPr>
        <xdr:cNvPr id="470" name="Line 443"/>
        <xdr:cNvSpPr>
          <a:spLocks noChangeShapeType="1"/>
        </xdr:cNvSpPr>
      </xdr:nvSpPr>
      <xdr:spPr bwMode="auto">
        <a:xfrm flipH="1">
          <a:off x="762000" y="47339250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343</xdr:row>
      <xdr:rowOff>0</xdr:rowOff>
    </xdr:from>
    <xdr:to>
      <xdr:col>1</xdr:col>
      <xdr:colOff>9525</xdr:colOff>
      <xdr:row>354</xdr:row>
      <xdr:rowOff>0</xdr:rowOff>
    </xdr:to>
    <xdr:sp macro="" textlink="">
      <xdr:nvSpPr>
        <xdr:cNvPr id="472" name="Line 444"/>
        <xdr:cNvSpPr>
          <a:spLocks noChangeShapeType="1"/>
        </xdr:cNvSpPr>
      </xdr:nvSpPr>
      <xdr:spPr bwMode="auto">
        <a:xfrm>
          <a:off x="619125" y="49368075"/>
          <a:ext cx="0" cy="1781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390525</xdr:colOff>
      <xdr:row>354</xdr:row>
      <xdr:rowOff>9525</xdr:rowOff>
    </xdr:from>
    <xdr:to>
      <xdr:col>1</xdr:col>
      <xdr:colOff>238125</xdr:colOff>
      <xdr:row>354</xdr:row>
      <xdr:rowOff>9525</xdr:rowOff>
    </xdr:to>
    <xdr:sp macro="" textlink="">
      <xdr:nvSpPr>
        <xdr:cNvPr id="478" name="Line 445"/>
        <xdr:cNvSpPr>
          <a:spLocks noChangeShapeType="1"/>
        </xdr:cNvSpPr>
      </xdr:nvSpPr>
      <xdr:spPr bwMode="auto">
        <a:xfrm>
          <a:off x="390525" y="5132070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400050</xdr:colOff>
      <xdr:row>353</xdr:row>
      <xdr:rowOff>142875</xdr:rowOff>
    </xdr:from>
    <xdr:to>
      <xdr:col>2</xdr:col>
      <xdr:colOff>419100</xdr:colOff>
      <xdr:row>353</xdr:row>
      <xdr:rowOff>142875</xdr:rowOff>
    </xdr:to>
    <xdr:sp macro="" textlink="">
      <xdr:nvSpPr>
        <xdr:cNvPr id="479" name="Line 446"/>
        <xdr:cNvSpPr>
          <a:spLocks noChangeShapeType="1"/>
        </xdr:cNvSpPr>
      </xdr:nvSpPr>
      <xdr:spPr bwMode="auto">
        <a:xfrm>
          <a:off x="1009650" y="51292125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238125</xdr:colOff>
      <xdr:row>353</xdr:row>
      <xdr:rowOff>47625</xdr:rowOff>
    </xdr:from>
    <xdr:to>
      <xdr:col>1</xdr:col>
      <xdr:colOff>238125</xdr:colOff>
      <xdr:row>353</xdr:row>
      <xdr:rowOff>152400</xdr:rowOff>
    </xdr:to>
    <xdr:sp macro="" textlink="">
      <xdr:nvSpPr>
        <xdr:cNvPr id="480" name="Line 447"/>
        <xdr:cNvSpPr>
          <a:spLocks noChangeShapeType="1"/>
        </xdr:cNvSpPr>
      </xdr:nvSpPr>
      <xdr:spPr bwMode="auto">
        <a:xfrm flipV="1">
          <a:off x="847725" y="5119687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238125</xdr:colOff>
      <xdr:row>353</xdr:row>
      <xdr:rowOff>47625</xdr:rowOff>
    </xdr:from>
    <xdr:to>
      <xdr:col>1</xdr:col>
      <xdr:colOff>419100</xdr:colOff>
      <xdr:row>354</xdr:row>
      <xdr:rowOff>66675</xdr:rowOff>
    </xdr:to>
    <xdr:sp macro="" textlink="">
      <xdr:nvSpPr>
        <xdr:cNvPr id="481" name="Line 448"/>
        <xdr:cNvSpPr>
          <a:spLocks noChangeShapeType="1"/>
        </xdr:cNvSpPr>
      </xdr:nvSpPr>
      <xdr:spPr bwMode="auto">
        <a:xfrm>
          <a:off x="847725" y="51196875"/>
          <a:ext cx="1809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409575</xdr:colOff>
      <xdr:row>353</xdr:row>
      <xdr:rowOff>133350</xdr:rowOff>
    </xdr:from>
    <xdr:to>
      <xdr:col>1</xdr:col>
      <xdr:colOff>409575</xdr:colOff>
      <xdr:row>354</xdr:row>
      <xdr:rowOff>66675</xdr:rowOff>
    </xdr:to>
    <xdr:sp macro="" textlink="">
      <xdr:nvSpPr>
        <xdr:cNvPr id="482" name="Line 449"/>
        <xdr:cNvSpPr>
          <a:spLocks noChangeShapeType="1"/>
        </xdr:cNvSpPr>
      </xdr:nvSpPr>
      <xdr:spPr bwMode="auto">
        <a:xfrm flipV="1">
          <a:off x="1019175" y="512826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349</xdr:row>
      <xdr:rowOff>57150</xdr:rowOff>
    </xdr:from>
    <xdr:to>
      <xdr:col>3</xdr:col>
      <xdr:colOff>200025</xdr:colOff>
      <xdr:row>350</xdr:row>
      <xdr:rowOff>66675</xdr:rowOff>
    </xdr:to>
    <xdr:sp macro="" textlink="">
      <xdr:nvSpPr>
        <xdr:cNvPr id="483" name="Line 450"/>
        <xdr:cNvSpPr>
          <a:spLocks noChangeShapeType="1"/>
        </xdr:cNvSpPr>
      </xdr:nvSpPr>
      <xdr:spPr bwMode="auto">
        <a:xfrm>
          <a:off x="2028825" y="4836795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123825</xdr:colOff>
      <xdr:row>350</xdr:row>
      <xdr:rowOff>66675</xdr:rowOff>
    </xdr:from>
    <xdr:to>
      <xdr:col>3</xdr:col>
      <xdr:colOff>190500</xdr:colOff>
      <xdr:row>350</xdr:row>
      <xdr:rowOff>66675</xdr:rowOff>
    </xdr:to>
    <xdr:sp macro="" textlink="">
      <xdr:nvSpPr>
        <xdr:cNvPr id="484" name="Line 451"/>
        <xdr:cNvSpPr>
          <a:spLocks noChangeShapeType="1"/>
        </xdr:cNvSpPr>
      </xdr:nvSpPr>
      <xdr:spPr bwMode="auto">
        <a:xfrm flipH="1">
          <a:off x="1952625" y="4853940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133350</xdr:colOff>
      <xdr:row>350</xdr:row>
      <xdr:rowOff>66675</xdr:rowOff>
    </xdr:from>
    <xdr:to>
      <xdr:col>3</xdr:col>
      <xdr:colOff>276225</xdr:colOff>
      <xdr:row>351</xdr:row>
      <xdr:rowOff>0</xdr:rowOff>
    </xdr:to>
    <xdr:sp macro="" textlink="">
      <xdr:nvSpPr>
        <xdr:cNvPr id="485" name="Line 452"/>
        <xdr:cNvSpPr>
          <a:spLocks noChangeShapeType="1"/>
        </xdr:cNvSpPr>
      </xdr:nvSpPr>
      <xdr:spPr bwMode="auto">
        <a:xfrm>
          <a:off x="1962150" y="48539400"/>
          <a:ext cx="14287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350</xdr:row>
      <xdr:rowOff>152400</xdr:rowOff>
    </xdr:from>
    <xdr:to>
      <xdr:col>3</xdr:col>
      <xdr:colOff>257175</xdr:colOff>
      <xdr:row>351</xdr:row>
      <xdr:rowOff>0</xdr:rowOff>
    </xdr:to>
    <xdr:sp macro="" textlink="">
      <xdr:nvSpPr>
        <xdr:cNvPr id="486" name="Line 453"/>
        <xdr:cNvSpPr>
          <a:spLocks noChangeShapeType="1"/>
        </xdr:cNvSpPr>
      </xdr:nvSpPr>
      <xdr:spPr bwMode="auto">
        <a:xfrm flipH="1">
          <a:off x="2028825" y="48625125"/>
          <a:ext cx="571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343</xdr:row>
      <xdr:rowOff>0</xdr:rowOff>
    </xdr:from>
    <xdr:to>
      <xdr:col>3</xdr:col>
      <xdr:colOff>9525</xdr:colOff>
      <xdr:row>350</xdr:row>
      <xdr:rowOff>19050</xdr:rowOff>
    </xdr:to>
    <xdr:sp macro="" textlink="">
      <xdr:nvSpPr>
        <xdr:cNvPr id="488" name="Line 455"/>
        <xdr:cNvSpPr>
          <a:spLocks noChangeShapeType="1"/>
        </xdr:cNvSpPr>
      </xdr:nvSpPr>
      <xdr:spPr bwMode="auto">
        <a:xfrm>
          <a:off x="1552575" y="47339250"/>
          <a:ext cx="285750" cy="1152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342</xdr:row>
      <xdr:rowOff>152400</xdr:rowOff>
    </xdr:from>
    <xdr:to>
      <xdr:col>2</xdr:col>
      <xdr:colOff>333375</xdr:colOff>
      <xdr:row>342</xdr:row>
      <xdr:rowOff>152400</xdr:rowOff>
    </xdr:to>
    <xdr:sp macro="" textlink="">
      <xdr:nvSpPr>
        <xdr:cNvPr id="489" name="Line 456"/>
        <xdr:cNvSpPr>
          <a:spLocks noChangeShapeType="1"/>
        </xdr:cNvSpPr>
      </xdr:nvSpPr>
      <xdr:spPr bwMode="auto">
        <a:xfrm flipH="1">
          <a:off x="1371600" y="4732972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142875</xdr:colOff>
      <xdr:row>345</xdr:row>
      <xdr:rowOff>0</xdr:rowOff>
    </xdr:from>
    <xdr:to>
      <xdr:col>2</xdr:col>
      <xdr:colOff>409575</xdr:colOff>
      <xdr:row>345</xdr:row>
      <xdr:rowOff>0</xdr:rowOff>
    </xdr:to>
    <xdr:sp macro="" textlink="">
      <xdr:nvSpPr>
        <xdr:cNvPr id="490" name="Line 457"/>
        <xdr:cNvSpPr>
          <a:spLocks noChangeShapeType="1"/>
        </xdr:cNvSpPr>
      </xdr:nvSpPr>
      <xdr:spPr bwMode="auto">
        <a:xfrm flipH="1">
          <a:off x="1362075" y="4766310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142875</xdr:colOff>
      <xdr:row>347</xdr:row>
      <xdr:rowOff>152400</xdr:rowOff>
    </xdr:from>
    <xdr:to>
      <xdr:col>2</xdr:col>
      <xdr:colOff>523875</xdr:colOff>
      <xdr:row>347</xdr:row>
      <xdr:rowOff>152400</xdr:rowOff>
    </xdr:to>
    <xdr:sp macro="" textlink="">
      <xdr:nvSpPr>
        <xdr:cNvPr id="491" name="Line 458"/>
        <xdr:cNvSpPr>
          <a:spLocks noChangeShapeType="1"/>
        </xdr:cNvSpPr>
      </xdr:nvSpPr>
      <xdr:spPr bwMode="auto">
        <a:xfrm flipH="1">
          <a:off x="1362075" y="48139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314325</xdr:colOff>
      <xdr:row>350</xdr:row>
      <xdr:rowOff>0</xdr:rowOff>
    </xdr:from>
    <xdr:to>
      <xdr:col>4</xdr:col>
      <xdr:colOff>0</xdr:colOff>
      <xdr:row>350</xdr:row>
      <xdr:rowOff>0</xdr:rowOff>
    </xdr:to>
    <xdr:sp macro="" textlink="">
      <xdr:nvSpPr>
        <xdr:cNvPr id="492" name="Line 459"/>
        <xdr:cNvSpPr>
          <a:spLocks noChangeShapeType="1"/>
        </xdr:cNvSpPr>
      </xdr:nvSpPr>
      <xdr:spPr bwMode="auto">
        <a:xfrm>
          <a:off x="2143125" y="4847272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304800</xdr:colOff>
      <xdr:row>349</xdr:row>
      <xdr:rowOff>152400</xdr:rowOff>
    </xdr:from>
    <xdr:to>
      <xdr:col>0</xdr:col>
      <xdr:colOff>533400</xdr:colOff>
      <xdr:row>349</xdr:row>
      <xdr:rowOff>152400</xdr:rowOff>
    </xdr:to>
    <xdr:sp macro="" textlink="">
      <xdr:nvSpPr>
        <xdr:cNvPr id="493" name="Line 460"/>
        <xdr:cNvSpPr>
          <a:spLocks noChangeShapeType="1"/>
        </xdr:cNvSpPr>
      </xdr:nvSpPr>
      <xdr:spPr bwMode="auto">
        <a:xfrm flipH="1" flipV="1">
          <a:off x="304800" y="504920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57150</xdr:colOff>
      <xdr:row>349</xdr:row>
      <xdr:rowOff>85725</xdr:rowOff>
    </xdr:from>
    <xdr:ext cx="95250" cy="170560"/>
    <xdr:sp macro="" textlink="">
      <xdr:nvSpPr>
        <xdr:cNvPr id="494" name="Text Box 461"/>
        <xdr:cNvSpPr txBox="1">
          <a:spLocks noChangeArrowheads="1"/>
        </xdr:cNvSpPr>
      </xdr:nvSpPr>
      <xdr:spPr bwMode="auto">
        <a:xfrm>
          <a:off x="2495550" y="50587275"/>
          <a:ext cx="95250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X</a:t>
          </a:r>
        </a:p>
      </xdr:txBody>
    </xdr:sp>
    <xdr:clientData/>
  </xdr:oneCellAnchor>
  <xdr:oneCellAnchor>
    <xdr:from>
      <xdr:col>0</xdr:col>
      <xdr:colOff>142876</xdr:colOff>
      <xdr:row>349</xdr:row>
      <xdr:rowOff>47625</xdr:rowOff>
    </xdr:from>
    <xdr:ext cx="114300" cy="170560"/>
    <xdr:sp macro="" textlink="">
      <xdr:nvSpPr>
        <xdr:cNvPr id="495" name="Text Box 462"/>
        <xdr:cNvSpPr txBox="1">
          <a:spLocks noChangeArrowheads="1"/>
        </xdr:cNvSpPr>
      </xdr:nvSpPr>
      <xdr:spPr bwMode="auto">
        <a:xfrm>
          <a:off x="142876" y="50387250"/>
          <a:ext cx="114300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X</a:t>
          </a:r>
        </a:p>
      </xdr:txBody>
    </xdr:sp>
    <xdr:clientData/>
  </xdr:oneCellAnchor>
  <xdr:twoCellAnchor>
    <xdr:from>
      <xdr:col>3</xdr:col>
      <xdr:colOff>57150</xdr:colOff>
      <xdr:row>343</xdr:row>
      <xdr:rowOff>0</xdr:rowOff>
    </xdr:from>
    <xdr:to>
      <xdr:col>3</xdr:col>
      <xdr:colOff>57150</xdr:colOff>
      <xdr:row>350</xdr:row>
      <xdr:rowOff>0</xdr:rowOff>
    </xdr:to>
    <xdr:sp macro="" textlink="">
      <xdr:nvSpPr>
        <xdr:cNvPr id="496" name="Line 463"/>
        <xdr:cNvSpPr>
          <a:spLocks noChangeShapeType="1"/>
        </xdr:cNvSpPr>
      </xdr:nvSpPr>
      <xdr:spPr bwMode="auto">
        <a:xfrm>
          <a:off x="1885950" y="47339250"/>
          <a:ext cx="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523875</xdr:colOff>
      <xdr:row>343</xdr:row>
      <xdr:rowOff>0</xdr:rowOff>
    </xdr:from>
    <xdr:to>
      <xdr:col>3</xdr:col>
      <xdr:colOff>200025</xdr:colOff>
      <xdr:row>343</xdr:row>
      <xdr:rowOff>0</xdr:rowOff>
    </xdr:to>
    <xdr:sp macro="" textlink="">
      <xdr:nvSpPr>
        <xdr:cNvPr id="497" name="Line 464"/>
        <xdr:cNvSpPr>
          <a:spLocks noChangeShapeType="1"/>
        </xdr:cNvSpPr>
      </xdr:nvSpPr>
      <xdr:spPr bwMode="auto">
        <a:xfrm>
          <a:off x="1743075" y="4733925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209550</xdr:colOff>
      <xdr:row>347</xdr:row>
      <xdr:rowOff>0</xdr:rowOff>
    </xdr:from>
    <xdr:to>
      <xdr:col>7</xdr:col>
      <xdr:colOff>266700</xdr:colOff>
      <xdr:row>347</xdr:row>
      <xdr:rowOff>0</xdr:rowOff>
    </xdr:to>
    <xdr:sp macro="" textlink="">
      <xdr:nvSpPr>
        <xdr:cNvPr id="499" name="Line 466"/>
        <xdr:cNvSpPr>
          <a:spLocks noChangeShapeType="1"/>
        </xdr:cNvSpPr>
      </xdr:nvSpPr>
      <xdr:spPr bwMode="auto">
        <a:xfrm>
          <a:off x="3257550" y="47986950"/>
          <a:ext cx="666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266700</xdr:colOff>
      <xdr:row>347</xdr:row>
      <xdr:rowOff>0</xdr:rowOff>
    </xdr:from>
    <xdr:to>
      <xdr:col>7</xdr:col>
      <xdr:colOff>266700</xdr:colOff>
      <xdr:row>351</xdr:row>
      <xdr:rowOff>0</xdr:rowOff>
    </xdr:to>
    <xdr:sp macro="" textlink="">
      <xdr:nvSpPr>
        <xdr:cNvPr id="500" name="Line 467"/>
        <xdr:cNvSpPr>
          <a:spLocks noChangeShapeType="1"/>
        </xdr:cNvSpPr>
      </xdr:nvSpPr>
      <xdr:spPr bwMode="auto">
        <a:xfrm flipH="1">
          <a:off x="3924300" y="47986950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428625</xdr:colOff>
      <xdr:row>342</xdr:row>
      <xdr:rowOff>0</xdr:rowOff>
    </xdr:from>
    <xdr:to>
      <xdr:col>7</xdr:col>
      <xdr:colOff>428625</xdr:colOff>
      <xdr:row>351</xdr:row>
      <xdr:rowOff>0</xdr:rowOff>
    </xdr:to>
    <xdr:sp macro="" textlink="">
      <xdr:nvSpPr>
        <xdr:cNvPr id="502" name="Line 469"/>
        <xdr:cNvSpPr>
          <a:spLocks noChangeShapeType="1"/>
        </xdr:cNvSpPr>
      </xdr:nvSpPr>
      <xdr:spPr bwMode="auto">
        <a:xfrm>
          <a:off x="4086225" y="47177325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342</xdr:row>
      <xdr:rowOff>0</xdr:rowOff>
    </xdr:from>
    <xdr:to>
      <xdr:col>8</xdr:col>
      <xdr:colOff>0</xdr:colOff>
      <xdr:row>351</xdr:row>
      <xdr:rowOff>0</xdr:rowOff>
    </xdr:to>
    <xdr:sp macro="" textlink="">
      <xdr:nvSpPr>
        <xdr:cNvPr id="504" name="Line 471"/>
        <xdr:cNvSpPr>
          <a:spLocks noChangeShapeType="1"/>
        </xdr:cNvSpPr>
      </xdr:nvSpPr>
      <xdr:spPr bwMode="auto">
        <a:xfrm flipH="1">
          <a:off x="4267200" y="47177325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438150</xdr:colOff>
      <xdr:row>350</xdr:row>
      <xdr:rowOff>47625</xdr:rowOff>
    </xdr:from>
    <xdr:to>
      <xdr:col>8</xdr:col>
      <xdr:colOff>9525</xdr:colOff>
      <xdr:row>350</xdr:row>
      <xdr:rowOff>47625</xdr:rowOff>
    </xdr:to>
    <xdr:sp macro="" textlink="">
      <xdr:nvSpPr>
        <xdr:cNvPr id="505" name="Line 472"/>
        <xdr:cNvSpPr>
          <a:spLocks noChangeShapeType="1"/>
        </xdr:cNvSpPr>
      </xdr:nvSpPr>
      <xdr:spPr bwMode="auto">
        <a:xfrm flipH="1">
          <a:off x="4095750" y="48520350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428625</xdr:colOff>
      <xdr:row>342</xdr:row>
      <xdr:rowOff>85725</xdr:rowOff>
    </xdr:from>
    <xdr:to>
      <xdr:col>8</xdr:col>
      <xdr:colOff>0</xdr:colOff>
      <xdr:row>342</xdr:row>
      <xdr:rowOff>85725</xdr:rowOff>
    </xdr:to>
    <xdr:sp macro="" textlink="">
      <xdr:nvSpPr>
        <xdr:cNvPr id="506" name="Line 473"/>
        <xdr:cNvSpPr>
          <a:spLocks noChangeShapeType="1"/>
        </xdr:cNvSpPr>
      </xdr:nvSpPr>
      <xdr:spPr bwMode="auto">
        <a:xfrm flipH="1">
          <a:off x="4086225" y="47263050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438150</xdr:colOff>
      <xdr:row>344</xdr:row>
      <xdr:rowOff>95250</xdr:rowOff>
    </xdr:from>
    <xdr:to>
      <xdr:col>7</xdr:col>
      <xdr:colOff>600075</xdr:colOff>
      <xdr:row>344</xdr:row>
      <xdr:rowOff>95250</xdr:rowOff>
    </xdr:to>
    <xdr:sp macro="" textlink="">
      <xdr:nvSpPr>
        <xdr:cNvPr id="507" name="Line 474"/>
        <xdr:cNvSpPr>
          <a:spLocks noChangeShapeType="1"/>
        </xdr:cNvSpPr>
      </xdr:nvSpPr>
      <xdr:spPr bwMode="auto">
        <a:xfrm flipH="1">
          <a:off x="4095750" y="4759642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438150</xdr:colOff>
      <xdr:row>347</xdr:row>
      <xdr:rowOff>152400</xdr:rowOff>
    </xdr:from>
    <xdr:to>
      <xdr:col>7</xdr:col>
      <xdr:colOff>600075</xdr:colOff>
      <xdr:row>347</xdr:row>
      <xdr:rowOff>152400</xdr:rowOff>
    </xdr:to>
    <xdr:sp macro="" textlink="">
      <xdr:nvSpPr>
        <xdr:cNvPr id="508" name="Line 475"/>
        <xdr:cNvSpPr>
          <a:spLocks noChangeShapeType="1"/>
        </xdr:cNvSpPr>
      </xdr:nvSpPr>
      <xdr:spPr bwMode="auto">
        <a:xfrm flipH="1">
          <a:off x="4095750" y="4813935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428625</xdr:colOff>
      <xdr:row>346</xdr:row>
      <xdr:rowOff>47625</xdr:rowOff>
    </xdr:from>
    <xdr:to>
      <xdr:col>8</xdr:col>
      <xdr:colOff>0</xdr:colOff>
      <xdr:row>346</xdr:row>
      <xdr:rowOff>47625</xdr:rowOff>
    </xdr:to>
    <xdr:sp macro="" textlink="">
      <xdr:nvSpPr>
        <xdr:cNvPr id="509" name="Line 476"/>
        <xdr:cNvSpPr>
          <a:spLocks noChangeShapeType="1"/>
        </xdr:cNvSpPr>
      </xdr:nvSpPr>
      <xdr:spPr bwMode="auto">
        <a:xfrm flipH="1">
          <a:off x="4086225" y="47872650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161925</xdr:colOff>
      <xdr:row>351</xdr:row>
      <xdr:rowOff>0</xdr:rowOff>
    </xdr:from>
    <xdr:to>
      <xdr:col>7</xdr:col>
      <xdr:colOff>295275</xdr:colOff>
      <xdr:row>351</xdr:row>
      <xdr:rowOff>0</xdr:rowOff>
    </xdr:to>
    <xdr:sp macro="" textlink="">
      <xdr:nvSpPr>
        <xdr:cNvPr id="510" name="Line 477"/>
        <xdr:cNvSpPr>
          <a:spLocks noChangeShapeType="1"/>
        </xdr:cNvSpPr>
      </xdr:nvSpPr>
      <xdr:spPr bwMode="auto">
        <a:xfrm>
          <a:off x="3819525" y="4863465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295275</xdr:colOff>
      <xdr:row>350</xdr:row>
      <xdr:rowOff>114300</xdr:rowOff>
    </xdr:from>
    <xdr:to>
      <xdr:col>7</xdr:col>
      <xdr:colOff>295275</xdr:colOff>
      <xdr:row>351</xdr:row>
      <xdr:rowOff>0</xdr:rowOff>
    </xdr:to>
    <xdr:sp macro="" textlink="">
      <xdr:nvSpPr>
        <xdr:cNvPr id="511" name="Line 478"/>
        <xdr:cNvSpPr>
          <a:spLocks noChangeShapeType="1"/>
        </xdr:cNvSpPr>
      </xdr:nvSpPr>
      <xdr:spPr bwMode="auto">
        <a:xfrm flipV="1">
          <a:off x="3952875" y="48587025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350</xdr:row>
      <xdr:rowOff>123825</xdr:rowOff>
    </xdr:from>
    <xdr:to>
      <xdr:col>7</xdr:col>
      <xdr:colOff>361950</xdr:colOff>
      <xdr:row>351</xdr:row>
      <xdr:rowOff>57150</xdr:rowOff>
    </xdr:to>
    <xdr:sp macro="" textlink="">
      <xdr:nvSpPr>
        <xdr:cNvPr id="512" name="Line 479"/>
        <xdr:cNvSpPr>
          <a:spLocks noChangeShapeType="1"/>
        </xdr:cNvSpPr>
      </xdr:nvSpPr>
      <xdr:spPr bwMode="auto">
        <a:xfrm>
          <a:off x="3962400" y="48596550"/>
          <a:ext cx="571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371475</xdr:colOff>
      <xdr:row>351</xdr:row>
      <xdr:rowOff>0</xdr:rowOff>
    </xdr:from>
    <xdr:to>
      <xdr:col>7</xdr:col>
      <xdr:colOff>371475</xdr:colOff>
      <xdr:row>351</xdr:row>
      <xdr:rowOff>57150</xdr:rowOff>
    </xdr:to>
    <xdr:sp macro="" textlink="">
      <xdr:nvSpPr>
        <xdr:cNvPr id="513" name="Line 480"/>
        <xdr:cNvSpPr>
          <a:spLocks noChangeShapeType="1"/>
        </xdr:cNvSpPr>
      </xdr:nvSpPr>
      <xdr:spPr bwMode="auto">
        <a:xfrm flipV="1">
          <a:off x="4029075" y="48634650"/>
          <a:ext cx="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371475</xdr:colOff>
      <xdr:row>351</xdr:row>
      <xdr:rowOff>0</xdr:rowOff>
    </xdr:from>
    <xdr:to>
      <xdr:col>8</xdr:col>
      <xdr:colOff>85725</xdr:colOff>
      <xdr:row>351</xdr:row>
      <xdr:rowOff>0</xdr:rowOff>
    </xdr:to>
    <xdr:sp macro="" textlink="">
      <xdr:nvSpPr>
        <xdr:cNvPr id="514" name="Line 481"/>
        <xdr:cNvSpPr>
          <a:spLocks noChangeShapeType="1"/>
        </xdr:cNvSpPr>
      </xdr:nvSpPr>
      <xdr:spPr bwMode="auto">
        <a:xfrm>
          <a:off x="4029075" y="4863465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341</xdr:row>
      <xdr:rowOff>123825</xdr:rowOff>
    </xdr:from>
    <xdr:to>
      <xdr:col>7</xdr:col>
      <xdr:colOff>361950</xdr:colOff>
      <xdr:row>342</xdr:row>
      <xdr:rowOff>57150</xdr:rowOff>
    </xdr:to>
    <xdr:sp macro="" textlink="">
      <xdr:nvSpPr>
        <xdr:cNvPr id="517" name="Line 484"/>
        <xdr:cNvSpPr>
          <a:spLocks noChangeShapeType="1"/>
        </xdr:cNvSpPr>
      </xdr:nvSpPr>
      <xdr:spPr bwMode="auto">
        <a:xfrm>
          <a:off x="3962400" y="47139225"/>
          <a:ext cx="571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371475</xdr:colOff>
      <xdr:row>342</xdr:row>
      <xdr:rowOff>0</xdr:rowOff>
    </xdr:from>
    <xdr:to>
      <xdr:col>7</xdr:col>
      <xdr:colOff>371475</xdr:colOff>
      <xdr:row>342</xdr:row>
      <xdr:rowOff>57150</xdr:rowOff>
    </xdr:to>
    <xdr:sp macro="" textlink="">
      <xdr:nvSpPr>
        <xdr:cNvPr id="518" name="Line 485"/>
        <xdr:cNvSpPr>
          <a:spLocks noChangeShapeType="1"/>
        </xdr:cNvSpPr>
      </xdr:nvSpPr>
      <xdr:spPr bwMode="auto">
        <a:xfrm flipV="1">
          <a:off x="4029075" y="47177325"/>
          <a:ext cx="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341</xdr:row>
      <xdr:rowOff>123825</xdr:rowOff>
    </xdr:from>
    <xdr:to>
      <xdr:col>7</xdr:col>
      <xdr:colOff>361950</xdr:colOff>
      <xdr:row>342</xdr:row>
      <xdr:rowOff>57150</xdr:rowOff>
    </xdr:to>
    <xdr:sp macro="" textlink="">
      <xdr:nvSpPr>
        <xdr:cNvPr id="522" name="Line 489"/>
        <xdr:cNvSpPr>
          <a:spLocks noChangeShapeType="1"/>
        </xdr:cNvSpPr>
      </xdr:nvSpPr>
      <xdr:spPr bwMode="auto">
        <a:xfrm>
          <a:off x="3962400" y="47139225"/>
          <a:ext cx="571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371475</xdr:colOff>
      <xdr:row>342</xdr:row>
      <xdr:rowOff>0</xdr:rowOff>
    </xdr:from>
    <xdr:to>
      <xdr:col>7</xdr:col>
      <xdr:colOff>371475</xdr:colOff>
      <xdr:row>342</xdr:row>
      <xdr:rowOff>57150</xdr:rowOff>
    </xdr:to>
    <xdr:sp macro="" textlink="">
      <xdr:nvSpPr>
        <xdr:cNvPr id="523" name="Line 490"/>
        <xdr:cNvSpPr>
          <a:spLocks noChangeShapeType="1"/>
        </xdr:cNvSpPr>
      </xdr:nvSpPr>
      <xdr:spPr bwMode="auto">
        <a:xfrm flipV="1">
          <a:off x="4029075" y="47177325"/>
          <a:ext cx="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561975</xdr:colOff>
      <xdr:row>347</xdr:row>
      <xdr:rowOff>0</xdr:rowOff>
    </xdr:from>
    <xdr:to>
      <xdr:col>6</xdr:col>
      <xdr:colOff>76200</xdr:colOff>
      <xdr:row>347</xdr:row>
      <xdr:rowOff>0</xdr:rowOff>
    </xdr:to>
    <xdr:sp macro="" textlink="">
      <xdr:nvSpPr>
        <xdr:cNvPr id="526" name="Line 493"/>
        <xdr:cNvSpPr>
          <a:spLocks noChangeShapeType="1"/>
        </xdr:cNvSpPr>
      </xdr:nvSpPr>
      <xdr:spPr bwMode="auto">
        <a:xfrm>
          <a:off x="3000375" y="4798695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219075</xdr:colOff>
      <xdr:row>349</xdr:row>
      <xdr:rowOff>9525</xdr:rowOff>
    </xdr:from>
    <xdr:to>
      <xdr:col>7</xdr:col>
      <xdr:colOff>266700</xdr:colOff>
      <xdr:row>349</xdr:row>
      <xdr:rowOff>9525</xdr:rowOff>
    </xdr:to>
    <xdr:sp macro="" textlink="">
      <xdr:nvSpPr>
        <xdr:cNvPr id="528" name="Line 495"/>
        <xdr:cNvSpPr>
          <a:spLocks noChangeShapeType="1"/>
        </xdr:cNvSpPr>
      </xdr:nvSpPr>
      <xdr:spPr bwMode="auto">
        <a:xfrm>
          <a:off x="3267075" y="48320325"/>
          <a:ext cx="657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6</xdr:col>
      <xdr:colOff>209550</xdr:colOff>
      <xdr:row>348</xdr:row>
      <xdr:rowOff>114300</xdr:rowOff>
    </xdr:from>
    <xdr:to>
      <xdr:col>6</xdr:col>
      <xdr:colOff>209550</xdr:colOff>
      <xdr:row>349</xdr:row>
      <xdr:rowOff>95250</xdr:rowOff>
    </xdr:to>
    <xdr:sp macro="" textlink="">
      <xdr:nvSpPr>
        <xdr:cNvPr id="529" name="Line 496"/>
        <xdr:cNvSpPr>
          <a:spLocks noChangeShapeType="1"/>
        </xdr:cNvSpPr>
      </xdr:nvSpPr>
      <xdr:spPr bwMode="auto">
        <a:xfrm flipH="1">
          <a:off x="3257550" y="482631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276225</xdr:colOff>
      <xdr:row>352</xdr:row>
      <xdr:rowOff>114300</xdr:rowOff>
    </xdr:from>
    <xdr:to>
      <xdr:col>7</xdr:col>
      <xdr:colOff>276225</xdr:colOff>
      <xdr:row>353</xdr:row>
      <xdr:rowOff>47625</xdr:rowOff>
    </xdr:to>
    <xdr:sp macro="" textlink="">
      <xdr:nvSpPr>
        <xdr:cNvPr id="530" name="Line 497"/>
        <xdr:cNvSpPr>
          <a:spLocks noChangeShapeType="1"/>
        </xdr:cNvSpPr>
      </xdr:nvSpPr>
      <xdr:spPr bwMode="auto">
        <a:xfrm>
          <a:off x="3933825" y="489108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438150</xdr:colOff>
      <xdr:row>352</xdr:row>
      <xdr:rowOff>95250</xdr:rowOff>
    </xdr:from>
    <xdr:to>
      <xdr:col>7</xdr:col>
      <xdr:colOff>438150</xdr:colOff>
      <xdr:row>353</xdr:row>
      <xdr:rowOff>38100</xdr:rowOff>
    </xdr:to>
    <xdr:sp macro="" textlink="">
      <xdr:nvSpPr>
        <xdr:cNvPr id="531" name="Line 498"/>
        <xdr:cNvSpPr>
          <a:spLocks noChangeShapeType="1"/>
        </xdr:cNvSpPr>
      </xdr:nvSpPr>
      <xdr:spPr bwMode="auto">
        <a:xfrm>
          <a:off x="4095750" y="488918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276225</xdr:colOff>
      <xdr:row>353</xdr:row>
      <xdr:rowOff>0</xdr:rowOff>
    </xdr:from>
    <xdr:to>
      <xdr:col>7</xdr:col>
      <xdr:colOff>438150</xdr:colOff>
      <xdr:row>353</xdr:row>
      <xdr:rowOff>0</xdr:rowOff>
    </xdr:to>
    <xdr:sp macro="" textlink="">
      <xdr:nvSpPr>
        <xdr:cNvPr id="532" name="Line 499"/>
        <xdr:cNvSpPr>
          <a:spLocks noChangeShapeType="1"/>
        </xdr:cNvSpPr>
      </xdr:nvSpPr>
      <xdr:spPr bwMode="auto">
        <a:xfrm>
          <a:off x="3933825" y="4895850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3</xdr:col>
      <xdr:colOff>457200</xdr:colOff>
      <xdr:row>345</xdr:row>
      <xdr:rowOff>152400</xdr:rowOff>
    </xdr:from>
    <xdr:ext cx="123825" cy="180975"/>
    <xdr:sp macro="" textlink="">
      <xdr:nvSpPr>
        <xdr:cNvPr id="533" name="Text Box 500"/>
        <xdr:cNvSpPr txBox="1">
          <a:spLocks noChangeArrowheads="1"/>
        </xdr:cNvSpPr>
      </xdr:nvSpPr>
      <xdr:spPr bwMode="auto">
        <a:xfrm>
          <a:off x="2286000" y="478155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476250</xdr:colOff>
      <xdr:row>351</xdr:row>
      <xdr:rowOff>152400</xdr:rowOff>
    </xdr:from>
    <xdr:ext cx="123825" cy="180975"/>
    <xdr:sp macro="" textlink="">
      <xdr:nvSpPr>
        <xdr:cNvPr id="535" name="Text Box 502"/>
        <xdr:cNvSpPr txBox="1">
          <a:spLocks noChangeArrowheads="1"/>
        </xdr:cNvSpPr>
      </xdr:nvSpPr>
      <xdr:spPr bwMode="auto">
        <a:xfrm>
          <a:off x="4133850" y="487870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0</xdr:colOff>
      <xdr:row>347</xdr:row>
      <xdr:rowOff>152400</xdr:rowOff>
    </xdr:from>
    <xdr:ext cx="123825" cy="180975"/>
    <xdr:sp macro="" textlink="">
      <xdr:nvSpPr>
        <xdr:cNvPr id="536" name="Text Box 503"/>
        <xdr:cNvSpPr txBox="1">
          <a:spLocks noChangeArrowheads="1"/>
        </xdr:cNvSpPr>
      </xdr:nvSpPr>
      <xdr:spPr bwMode="auto">
        <a:xfrm>
          <a:off x="3657600" y="481393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200025</xdr:colOff>
      <xdr:row>342</xdr:row>
      <xdr:rowOff>0</xdr:rowOff>
    </xdr:from>
    <xdr:to>
      <xdr:col>8</xdr:col>
      <xdr:colOff>200025</xdr:colOff>
      <xdr:row>351</xdr:row>
      <xdr:rowOff>0</xdr:rowOff>
    </xdr:to>
    <xdr:sp macro="" textlink="">
      <xdr:nvSpPr>
        <xdr:cNvPr id="538" name="Line 505"/>
        <xdr:cNvSpPr>
          <a:spLocks noChangeShapeType="1"/>
        </xdr:cNvSpPr>
      </xdr:nvSpPr>
      <xdr:spPr bwMode="auto">
        <a:xfrm>
          <a:off x="5076825" y="49368075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8</xdr:col>
      <xdr:colOff>161925</xdr:colOff>
      <xdr:row>351</xdr:row>
      <xdr:rowOff>0</xdr:rowOff>
    </xdr:from>
    <xdr:to>
      <xdr:col>8</xdr:col>
      <xdr:colOff>295275</xdr:colOff>
      <xdr:row>351</xdr:row>
      <xdr:rowOff>0</xdr:rowOff>
    </xdr:to>
    <xdr:sp macro="" textlink="">
      <xdr:nvSpPr>
        <xdr:cNvPr id="540" name="Line 507"/>
        <xdr:cNvSpPr>
          <a:spLocks noChangeShapeType="1"/>
        </xdr:cNvSpPr>
      </xdr:nvSpPr>
      <xdr:spPr bwMode="auto">
        <a:xfrm>
          <a:off x="5038725" y="508254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238125</xdr:colOff>
      <xdr:row>341</xdr:row>
      <xdr:rowOff>143671</xdr:rowOff>
    </xdr:from>
    <xdr:to>
      <xdr:col>7</xdr:col>
      <xdr:colOff>248443</xdr:colOff>
      <xdr:row>344</xdr:row>
      <xdr:rowOff>161924</xdr:rowOff>
    </xdr:to>
    <xdr:cxnSp macro="">
      <xdr:nvCxnSpPr>
        <xdr:cNvPr id="542" name="Straight Connector 541"/>
        <xdr:cNvCxnSpPr/>
      </xdr:nvCxnSpPr>
      <xdr:spPr bwMode="auto">
        <a:xfrm rot="5400000" flipH="1" flipV="1">
          <a:off x="3648870" y="51882676"/>
          <a:ext cx="504028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600076</xdr:colOff>
      <xdr:row>344</xdr:row>
      <xdr:rowOff>152402</xdr:rowOff>
    </xdr:from>
    <xdr:to>
      <xdr:col>6</xdr:col>
      <xdr:colOff>1</xdr:colOff>
      <xdr:row>346</xdr:row>
      <xdr:rowOff>152402</xdr:rowOff>
    </xdr:to>
    <xdr:cxnSp macro="">
      <xdr:nvCxnSpPr>
        <xdr:cNvPr id="550" name="Straight Connector 549"/>
        <xdr:cNvCxnSpPr/>
      </xdr:nvCxnSpPr>
      <xdr:spPr bwMode="auto">
        <a:xfrm rot="5400000" flipH="1" flipV="1">
          <a:off x="2881314" y="52287489"/>
          <a:ext cx="3238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190500</xdr:colOff>
      <xdr:row>345</xdr:row>
      <xdr:rowOff>0</xdr:rowOff>
    </xdr:from>
    <xdr:to>
      <xdr:col>7</xdr:col>
      <xdr:colOff>228600</xdr:colOff>
      <xdr:row>345</xdr:row>
      <xdr:rowOff>1588</xdr:rowOff>
    </xdr:to>
    <xdr:cxnSp macro="">
      <xdr:nvCxnSpPr>
        <xdr:cNvPr id="552" name="Straight Connector 551"/>
        <xdr:cNvCxnSpPr/>
      </xdr:nvCxnSpPr>
      <xdr:spPr bwMode="auto">
        <a:xfrm rot="10800000">
          <a:off x="3238500" y="52139850"/>
          <a:ext cx="6477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208756</xdr:colOff>
      <xdr:row>345</xdr:row>
      <xdr:rowOff>10319</xdr:rowOff>
    </xdr:from>
    <xdr:to>
      <xdr:col>6</xdr:col>
      <xdr:colOff>210344</xdr:colOff>
      <xdr:row>347</xdr:row>
      <xdr:rowOff>794</xdr:rowOff>
    </xdr:to>
    <xdr:cxnSp macro="">
      <xdr:nvCxnSpPr>
        <xdr:cNvPr id="554" name="Straight Connector 553"/>
        <xdr:cNvCxnSpPr>
          <a:stCxn id="499" idx="0"/>
        </xdr:cNvCxnSpPr>
      </xdr:nvCxnSpPr>
      <xdr:spPr bwMode="auto">
        <a:xfrm rot="5400000" flipH="1">
          <a:off x="3100387" y="52306538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371475</xdr:colOff>
      <xdr:row>342</xdr:row>
      <xdr:rowOff>9525</xdr:rowOff>
    </xdr:from>
    <xdr:to>
      <xdr:col>8</xdr:col>
      <xdr:colOff>514350</xdr:colOff>
      <xdr:row>342</xdr:row>
      <xdr:rowOff>19050</xdr:rowOff>
    </xdr:to>
    <xdr:cxnSp macro="">
      <xdr:nvCxnSpPr>
        <xdr:cNvPr id="561" name="Straight Connector 560"/>
        <xdr:cNvCxnSpPr/>
      </xdr:nvCxnSpPr>
      <xdr:spPr bwMode="auto">
        <a:xfrm>
          <a:off x="4029075" y="51663600"/>
          <a:ext cx="7524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428625</xdr:colOff>
      <xdr:row>341</xdr:row>
      <xdr:rowOff>152400</xdr:rowOff>
    </xdr:from>
    <xdr:to>
      <xdr:col>7</xdr:col>
      <xdr:colOff>333375</xdr:colOff>
      <xdr:row>341</xdr:row>
      <xdr:rowOff>153988</xdr:rowOff>
    </xdr:to>
    <xdr:cxnSp macro="">
      <xdr:nvCxnSpPr>
        <xdr:cNvPr id="562" name="Straight Connector 561"/>
        <xdr:cNvCxnSpPr/>
      </xdr:nvCxnSpPr>
      <xdr:spPr bwMode="auto">
        <a:xfrm>
          <a:off x="3476625" y="51644550"/>
          <a:ext cx="5143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485775</xdr:colOff>
      <xdr:row>345</xdr:row>
      <xdr:rowOff>0</xdr:rowOff>
    </xdr:from>
    <xdr:to>
      <xdr:col>6</xdr:col>
      <xdr:colOff>123825</xdr:colOff>
      <xdr:row>345</xdr:row>
      <xdr:rowOff>1588</xdr:rowOff>
    </xdr:to>
    <xdr:cxnSp macro="">
      <xdr:nvCxnSpPr>
        <xdr:cNvPr id="567" name="Straight Connector 566"/>
        <xdr:cNvCxnSpPr/>
      </xdr:nvCxnSpPr>
      <xdr:spPr bwMode="auto">
        <a:xfrm>
          <a:off x="2924175" y="52139850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323850</xdr:colOff>
      <xdr:row>343</xdr:row>
      <xdr:rowOff>95250</xdr:rowOff>
    </xdr:from>
    <xdr:to>
      <xdr:col>6</xdr:col>
      <xdr:colOff>381000</xdr:colOff>
      <xdr:row>343</xdr:row>
      <xdr:rowOff>96838</xdr:rowOff>
    </xdr:to>
    <xdr:cxnSp macro="">
      <xdr:nvCxnSpPr>
        <xdr:cNvPr id="569" name="Straight Arrow Connector 568"/>
        <xdr:cNvCxnSpPr/>
      </xdr:nvCxnSpPr>
      <xdr:spPr bwMode="auto">
        <a:xfrm>
          <a:off x="2762250" y="51911250"/>
          <a:ext cx="666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370682</xdr:colOff>
      <xdr:row>343</xdr:row>
      <xdr:rowOff>96044</xdr:rowOff>
    </xdr:from>
    <xdr:to>
      <xdr:col>6</xdr:col>
      <xdr:colOff>372270</xdr:colOff>
      <xdr:row>344</xdr:row>
      <xdr:rowOff>153194</xdr:rowOff>
    </xdr:to>
    <xdr:cxnSp macro="">
      <xdr:nvCxnSpPr>
        <xdr:cNvPr id="571" name="Straight Arrow Connector 570"/>
        <xdr:cNvCxnSpPr/>
      </xdr:nvCxnSpPr>
      <xdr:spPr bwMode="auto">
        <a:xfrm rot="5400000">
          <a:off x="3919538" y="49734788"/>
          <a:ext cx="219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47625</xdr:colOff>
      <xdr:row>401</xdr:row>
      <xdr:rowOff>152400</xdr:rowOff>
    </xdr:from>
    <xdr:to>
      <xdr:col>8</xdr:col>
      <xdr:colOff>352425</xdr:colOff>
      <xdr:row>401</xdr:row>
      <xdr:rowOff>153988</xdr:rowOff>
    </xdr:to>
    <xdr:cxnSp macro="">
      <xdr:nvCxnSpPr>
        <xdr:cNvPr id="527" name="Straight Connector 526"/>
        <xdr:cNvCxnSpPr/>
      </xdr:nvCxnSpPr>
      <xdr:spPr bwMode="auto">
        <a:xfrm>
          <a:off x="47625" y="61598175"/>
          <a:ext cx="5181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247651</xdr:colOff>
      <xdr:row>399</xdr:row>
      <xdr:rowOff>66675</xdr:rowOff>
    </xdr:from>
    <xdr:to>
      <xdr:col>0</xdr:col>
      <xdr:colOff>257176</xdr:colOff>
      <xdr:row>401</xdr:row>
      <xdr:rowOff>152400</xdr:rowOff>
    </xdr:to>
    <xdr:cxnSp macro="">
      <xdr:nvCxnSpPr>
        <xdr:cNvPr id="541" name="Straight Arrow Connector 540"/>
        <xdr:cNvCxnSpPr/>
      </xdr:nvCxnSpPr>
      <xdr:spPr bwMode="auto">
        <a:xfrm rot="5400000">
          <a:off x="47626" y="60902850"/>
          <a:ext cx="4095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95251</xdr:colOff>
      <xdr:row>399</xdr:row>
      <xdr:rowOff>66675</xdr:rowOff>
    </xdr:from>
    <xdr:to>
      <xdr:col>8</xdr:col>
      <xdr:colOff>104776</xdr:colOff>
      <xdr:row>401</xdr:row>
      <xdr:rowOff>152400</xdr:rowOff>
    </xdr:to>
    <xdr:cxnSp macro="">
      <xdr:nvCxnSpPr>
        <xdr:cNvPr id="543" name="Straight Arrow Connector 542"/>
        <xdr:cNvCxnSpPr/>
      </xdr:nvCxnSpPr>
      <xdr:spPr bwMode="auto">
        <a:xfrm rot="5400000">
          <a:off x="4772026" y="60902850"/>
          <a:ext cx="4095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209550</xdr:colOff>
      <xdr:row>399</xdr:row>
      <xdr:rowOff>57150</xdr:rowOff>
    </xdr:from>
    <xdr:to>
      <xdr:col>2</xdr:col>
      <xdr:colOff>219075</xdr:colOff>
      <xdr:row>401</xdr:row>
      <xdr:rowOff>142875</xdr:rowOff>
    </xdr:to>
    <xdr:cxnSp macro="">
      <xdr:nvCxnSpPr>
        <xdr:cNvPr id="545" name="Straight Arrow Connector 544"/>
        <xdr:cNvCxnSpPr/>
      </xdr:nvCxnSpPr>
      <xdr:spPr bwMode="auto">
        <a:xfrm rot="5400000">
          <a:off x="1228725" y="60893325"/>
          <a:ext cx="4095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104775</xdr:colOff>
      <xdr:row>399</xdr:row>
      <xdr:rowOff>85725</xdr:rowOff>
    </xdr:from>
    <xdr:to>
      <xdr:col>4</xdr:col>
      <xdr:colOff>114300</xdr:colOff>
      <xdr:row>402</xdr:row>
      <xdr:rowOff>9525</xdr:rowOff>
    </xdr:to>
    <xdr:cxnSp macro="">
      <xdr:nvCxnSpPr>
        <xdr:cNvPr id="546" name="Straight Arrow Connector 545"/>
        <xdr:cNvCxnSpPr/>
      </xdr:nvCxnSpPr>
      <xdr:spPr bwMode="auto">
        <a:xfrm rot="5400000">
          <a:off x="2343150" y="60921900"/>
          <a:ext cx="4095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9525</xdr:colOff>
      <xdr:row>399</xdr:row>
      <xdr:rowOff>85725</xdr:rowOff>
    </xdr:from>
    <xdr:to>
      <xdr:col>6</xdr:col>
      <xdr:colOff>19050</xdr:colOff>
      <xdr:row>402</xdr:row>
      <xdr:rowOff>9525</xdr:rowOff>
    </xdr:to>
    <xdr:cxnSp macro="">
      <xdr:nvCxnSpPr>
        <xdr:cNvPr id="547" name="Straight Arrow Connector 546"/>
        <xdr:cNvCxnSpPr/>
      </xdr:nvCxnSpPr>
      <xdr:spPr bwMode="auto">
        <a:xfrm rot="5400000">
          <a:off x="3467100" y="60921900"/>
          <a:ext cx="4095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64767</xdr:colOff>
      <xdr:row>401</xdr:row>
      <xdr:rowOff>19050</xdr:rowOff>
    </xdr:from>
    <xdr:to>
      <xdr:col>0</xdr:col>
      <xdr:colOff>381000</xdr:colOff>
      <xdr:row>403</xdr:row>
      <xdr:rowOff>123825</xdr:rowOff>
    </xdr:to>
    <xdr:sp macro="" textlink="">
      <xdr:nvSpPr>
        <xdr:cNvPr id="551" name="Arc 550"/>
        <xdr:cNvSpPr/>
      </xdr:nvSpPr>
      <xdr:spPr bwMode="auto">
        <a:xfrm flipH="1">
          <a:off x="64767" y="61464825"/>
          <a:ext cx="316233" cy="428625"/>
        </a:xfrm>
        <a:prstGeom prst="arc">
          <a:avLst>
            <a:gd name="adj1" fmla="val 16200000"/>
            <a:gd name="adj2" fmla="val 444663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19050</xdr:colOff>
      <xdr:row>400</xdr:row>
      <xdr:rowOff>85725</xdr:rowOff>
    </xdr:from>
    <xdr:to>
      <xdr:col>8</xdr:col>
      <xdr:colOff>333375</xdr:colOff>
      <xdr:row>402</xdr:row>
      <xdr:rowOff>85725</xdr:rowOff>
    </xdr:to>
    <xdr:sp macro="" textlink="">
      <xdr:nvSpPr>
        <xdr:cNvPr id="553" name="Arc 552"/>
        <xdr:cNvSpPr/>
      </xdr:nvSpPr>
      <xdr:spPr bwMode="auto">
        <a:xfrm>
          <a:off x="4895850" y="60883800"/>
          <a:ext cx="314325" cy="323850"/>
        </a:xfrm>
        <a:prstGeom prst="arc">
          <a:avLst>
            <a:gd name="adj1" fmla="val 16200000"/>
            <a:gd name="adj2" fmla="val 362767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38100</xdr:colOff>
      <xdr:row>405</xdr:row>
      <xdr:rowOff>152400</xdr:rowOff>
    </xdr:from>
    <xdr:to>
      <xdr:col>8</xdr:col>
      <xdr:colOff>342900</xdr:colOff>
      <xdr:row>405</xdr:row>
      <xdr:rowOff>153988</xdr:rowOff>
    </xdr:to>
    <xdr:cxnSp macro="">
      <xdr:nvCxnSpPr>
        <xdr:cNvPr id="557" name="Straight Connector 556"/>
        <xdr:cNvCxnSpPr/>
      </xdr:nvCxnSpPr>
      <xdr:spPr bwMode="auto">
        <a:xfrm>
          <a:off x="38100" y="62245875"/>
          <a:ext cx="5181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228601</xdr:colOff>
      <xdr:row>403</xdr:row>
      <xdr:rowOff>29369</xdr:rowOff>
    </xdr:from>
    <xdr:to>
      <xdr:col>0</xdr:col>
      <xdr:colOff>238920</xdr:colOff>
      <xdr:row>422</xdr:row>
      <xdr:rowOff>9525</xdr:rowOff>
    </xdr:to>
    <xdr:cxnSp macro="">
      <xdr:nvCxnSpPr>
        <xdr:cNvPr id="559" name="Straight Connector 558"/>
        <xdr:cNvCxnSpPr/>
      </xdr:nvCxnSpPr>
      <xdr:spPr bwMode="auto">
        <a:xfrm rot="5400000">
          <a:off x="-1132680" y="62674500"/>
          <a:ext cx="2732881" cy="1031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104776</xdr:colOff>
      <xdr:row>403</xdr:row>
      <xdr:rowOff>10318</xdr:rowOff>
    </xdr:from>
    <xdr:to>
      <xdr:col>8</xdr:col>
      <xdr:colOff>105570</xdr:colOff>
      <xdr:row>422</xdr:row>
      <xdr:rowOff>9524</xdr:rowOff>
    </xdr:to>
    <xdr:cxnSp macro="">
      <xdr:nvCxnSpPr>
        <xdr:cNvPr id="560" name="Straight Connector 559"/>
        <xdr:cNvCxnSpPr/>
      </xdr:nvCxnSpPr>
      <xdr:spPr bwMode="auto">
        <a:xfrm rot="5400000">
          <a:off x="3606007" y="62669737"/>
          <a:ext cx="2751931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95251</xdr:colOff>
      <xdr:row>404</xdr:row>
      <xdr:rowOff>29368</xdr:rowOff>
    </xdr:from>
    <xdr:to>
      <xdr:col>4</xdr:col>
      <xdr:colOff>96045</xdr:colOff>
      <xdr:row>421</xdr:row>
      <xdr:rowOff>161924</xdr:rowOff>
    </xdr:to>
    <xdr:cxnSp macro="">
      <xdr:nvCxnSpPr>
        <xdr:cNvPr id="563" name="Straight Connector 562"/>
        <xdr:cNvCxnSpPr/>
      </xdr:nvCxnSpPr>
      <xdr:spPr bwMode="auto">
        <a:xfrm rot="5400000">
          <a:off x="1253332" y="62755462"/>
          <a:ext cx="2561431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171450</xdr:colOff>
      <xdr:row>403</xdr:row>
      <xdr:rowOff>794</xdr:rowOff>
    </xdr:from>
    <xdr:to>
      <xdr:col>2</xdr:col>
      <xdr:colOff>172244</xdr:colOff>
      <xdr:row>422</xdr:row>
      <xdr:rowOff>9525</xdr:rowOff>
    </xdr:to>
    <xdr:cxnSp macro="">
      <xdr:nvCxnSpPr>
        <xdr:cNvPr id="564" name="Straight Connector 563"/>
        <xdr:cNvCxnSpPr/>
      </xdr:nvCxnSpPr>
      <xdr:spPr bwMode="auto">
        <a:xfrm rot="5400000">
          <a:off x="-151606" y="62826900"/>
          <a:ext cx="3085306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403</xdr:row>
      <xdr:rowOff>153194</xdr:rowOff>
    </xdr:from>
    <xdr:to>
      <xdr:col>6</xdr:col>
      <xdr:colOff>794</xdr:colOff>
      <xdr:row>421</xdr:row>
      <xdr:rowOff>152400</xdr:rowOff>
    </xdr:to>
    <xdr:cxnSp macro="">
      <xdr:nvCxnSpPr>
        <xdr:cNvPr id="565" name="Straight Connector 564"/>
        <xdr:cNvCxnSpPr/>
      </xdr:nvCxnSpPr>
      <xdr:spPr bwMode="auto">
        <a:xfrm rot="5400000">
          <a:off x="2362994" y="62731650"/>
          <a:ext cx="2590006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247650</xdr:colOff>
      <xdr:row>413</xdr:row>
      <xdr:rowOff>0</xdr:rowOff>
    </xdr:from>
    <xdr:to>
      <xdr:col>8</xdr:col>
      <xdr:colOff>95250</xdr:colOff>
      <xdr:row>413</xdr:row>
      <xdr:rowOff>9525</xdr:rowOff>
    </xdr:to>
    <xdr:cxnSp macro="">
      <xdr:nvCxnSpPr>
        <xdr:cNvPr id="572" name="Straight Connector 571"/>
        <xdr:cNvCxnSpPr/>
      </xdr:nvCxnSpPr>
      <xdr:spPr bwMode="auto">
        <a:xfrm flipV="1">
          <a:off x="247650" y="62903100"/>
          <a:ext cx="47244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228600</xdr:colOff>
      <xdr:row>411</xdr:row>
      <xdr:rowOff>38100</xdr:rowOff>
    </xdr:from>
    <xdr:to>
      <xdr:col>2</xdr:col>
      <xdr:colOff>171450</xdr:colOff>
      <xdr:row>415</xdr:row>
      <xdr:rowOff>9526</xdr:rowOff>
    </xdr:to>
    <xdr:cxnSp macro="">
      <xdr:nvCxnSpPr>
        <xdr:cNvPr id="574" name="Straight Connector 573"/>
        <xdr:cNvCxnSpPr/>
      </xdr:nvCxnSpPr>
      <xdr:spPr bwMode="auto">
        <a:xfrm flipV="1">
          <a:off x="228600" y="62617350"/>
          <a:ext cx="1162050" cy="6191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180975</xdr:colOff>
      <xdr:row>411</xdr:row>
      <xdr:rowOff>57150</xdr:rowOff>
    </xdr:from>
    <xdr:to>
      <xdr:col>4</xdr:col>
      <xdr:colOff>95250</xdr:colOff>
      <xdr:row>415</xdr:row>
      <xdr:rowOff>0</xdr:rowOff>
    </xdr:to>
    <xdr:cxnSp macro="">
      <xdr:nvCxnSpPr>
        <xdr:cNvPr id="579" name="Straight Connector 578"/>
        <xdr:cNvCxnSpPr/>
      </xdr:nvCxnSpPr>
      <xdr:spPr bwMode="auto">
        <a:xfrm flipV="1">
          <a:off x="1400175" y="62636400"/>
          <a:ext cx="1133475" cy="5905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104775</xdr:colOff>
      <xdr:row>411</xdr:row>
      <xdr:rowOff>47625</xdr:rowOff>
    </xdr:from>
    <xdr:to>
      <xdr:col>6</xdr:col>
      <xdr:colOff>9525</xdr:colOff>
      <xdr:row>415</xdr:row>
      <xdr:rowOff>9526</xdr:rowOff>
    </xdr:to>
    <xdr:cxnSp macro="">
      <xdr:nvCxnSpPr>
        <xdr:cNvPr id="580" name="Straight Connector 579"/>
        <xdr:cNvCxnSpPr/>
      </xdr:nvCxnSpPr>
      <xdr:spPr bwMode="auto">
        <a:xfrm flipV="1">
          <a:off x="2543175" y="62626875"/>
          <a:ext cx="1123950" cy="60960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19050</xdr:colOff>
      <xdr:row>411</xdr:row>
      <xdr:rowOff>0</xdr:rowOff>
    </xdr:from>
    <xdr:to>
      <xdr:col>8</xdr:col>
      <xdr:colOff>104775</xdr:colOff>
      <xdr:row>414</xdr:row>
      <xdr:rowOff>152401</xdr:rowOff>
    </xdr:to>
    <xdr:cxnSp macro="">
      <xdr:nvCxnSpPr>
        <xdr:cNvPr id="581" name="Straight Connector 580"/>
        <xdr:cNvCxnSpPr/>
      </xdr:nvCxnSpPr>
      <xdr:spPr bwMode="auto">
        <a:xfrm flipV="1">
          <a:off x="3676650" y="62579250"/>
          <a:ext cx="1304925" cy="63817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228600</xdr:colOff>
      <xdr:row>421</xdr:row>
      <xdr:rowOff>0</xdr:rowOff>
    </xdr:from>
    <xdr:to>
      <xdr:col>8</xdr:col>
      <xdr:colOff>76200</xdr:colOff>
      <xdr:row>421</xdr:row>
      <xdr:rowOff>9525</xdr:rowOff>
    </xdr:to>
    <xdr:cxnSp macro="">
      <xdr:nvCxnSpPr>
        <xdr:cNvPr id="585" name="Straight Connector 584"/>
        <xdr:cNvCxnSpPr/>
      </xdr:nvCxnSpPr>
      <xdr:spPr bwMode="auto">
        <a:xfrm flipV="1">
          <a:off x="228600" y="64198500"/>
          <a:ext cx="47244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180975</xdr:colOff>
      <xdr:row>419</xdr:row>
      <xdr:rowOff>9525</xdr:rowOff>
    </xdr:from>
    <xdr:to>
      <xdr:col>4</xdr:col>
      <xdr:colOff>85725</xdr:colOff>
      <xdr:row>422</xdr:row>
      <xdr:rowOff>146049</xdr:rowOff>
    </xdr:to>
    <xdr:sp macro="" textlink="">
      <xdr:nvSpPr>
        <xdr:cNvPr id="587" name="Freeform 586"/>
        <xdr:cNvSpPr/>
      </xdr:nvSpPr>
      <xdr:spPr bwMode="auto">
        <a:xfrm>
          <a:off x="1400175" y="63884175"/>
          <a:ext cx="1123950" cy="622299"/>
        </a:xfrm>
        <a:custGeom>
          <a:avLst/>
          <a:gdLst>
            <a:gd name="connsiteX0" fmla="*/ 0 w 1085850"/>
            <a:gd name="connsiteY0" fmla="*/ 19050 h 603250"/>
            <a:gd name="connsiteX1" fmla="*/ 390525 w 1085850"/>
            <a:gd name="connsiteY1" fmla="*/ 600075 h 603250"/>
            <a:gd name="connsiteX2" fmla="*/ 1085850 w 1085850"/>
            <a:gd name="connsiteY2" fmla="*/ 0 h 603250"/>
            <a:gd name="connsiteX3" fmla="*/ 1085850 w 1085850"/>
            <a:gd name="connsiteY3" fmla="*/ 0 h 603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085850" h="603250">
              <a:moveTo>
                <a:pt x="0" y="19050"/>
              </a:moveTo>
              <a:cubicBezTo>
                <a:pt x="104775" y="311150"/>
                <a:pt x="209550" y="603250"/>
                <a:pt x="390525" y="600075"/>
              </a:cubicBezTo>
              <a:cubicBezTo>
                <a:pt x="571500" y="596900"/>
                <a:pt x="1085850" y="0"/>
                <a:pt x="1085850" y="0"/>
              </a:cubicBezTo>
              <a:lnTo>
                <a:pt x="1085850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219076</xdr:colOff>
      <xdr:row>419</xdr:row>
      <xdr:rowOff>9525</xdr:rowOff>
    </xdr:from>
    <xdr:to>
      <xdr:col>2</xdr:col>
      <xdr:colOff>180975</xdr:colOff>
      <xdr:row>420</xdr:row>
      <xdr:rowOff>103187</xdr:rowOff>
    </xdr:to>
    <xdr:sp macro="" textlink="">
      <xdr:nvSpPr>
        <xdr:cNvPr id="588" name="Freeform 587"/>
        <xdr:cNvSpPr/>
      </xdr:nvSpPr>
      <xdr:spPr bwMode="auto">
        <a:xfrm>
          <a:off x="219076" y="63884175"/>
          <a:ext cx="1181099" cy="255587"/>
        </a:xfrm>
        <a:custGeom>
          <a:avLst/>
          <a:gdLst>
            <a:gd name="connsiteX0" fmla="*/ 0 w 1209675"/>
            <a:gd name="connsiteY0" fmla="*/ 0 h 255588"/>
            <a:gd name="connsiteX1" fmla="*/ 609600 w 1209675"/>
            <a:gd name="connsiteY1" fmla="*/ 247650 h 255588"/>
            <a:gd name="connsiteX2" fmla="*/ 1209675 w 1209675"/>
            <a:gd name="connsiteY2" fmla="*/ 47625 h 255588"/>
            <a:gd name="connsiteX3" fmla="*/ 1209675 w 1209675"/>
            <a:gd name="connsiteY3" fmla="*/ 47625 h 2555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209675" h="255588">
              <a:moveTo>
                <a:pt x="0" y="0"/>
              </a:moveTo>
              <a:cubicBezTo>
                <a:pt x="203993" y="119856"/>
                <a:pt x="407987" y="239712"/>
                <a:pt x="609600" y="247650"/>
              </a:cubicBezTo>
              <a:cubicBezTo>
                <a:pt x="811213" y="255588"/>
                <a:pt x="1209675" y="47625"/>
                <a:pt x="1209675" y="47625"/>
              </a:cubicBezTo>
              <a:lnTo>
                <a:pt x="1209675" y="47625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104775</xdr:colOff>
      <xdr:row>418</xdr:row>
      <xdr:rowOff>133350</xdr:rowOff>
    </xdr:from>
    <xdr:to>
      <xdr:col>6</xdr:col>
      <xdr:colOff>9525</xdr:colOff>
      <xdr:row>422</xdr:row>
      <xdr:rowOff>127000</xdr:rowOff>
    </xdr:to>
    <xdr:sp macro="" textlink="">
      <xdr:nvSpPr>
        <xdr:cNvPr id="589" name="Freeform 588"/>
        <xdr:cNvSpPr/>
      </xdr:nvSpPr>
      <xdr:spPr bwMode="auto">
        <a:xfrm>
          <a:off x="2543175" y="63846075"/>
          <a:ext cx="1123950" cy="641350"/>
        </a:xfrm>
        <a:custGeom>
          <a:avLst/>
          <a:gdLst>
            <a:gd name="connsiteX0" fmla="*/ 0 w 1085850"/>
            <a:gd name="connsiteY0" fmla="*/ 19050 h 603250"/>
            <a:gd name="connsiteX1" fmla="*/ 390525 w 1085850"/>
            <a:gd name="connsiteY1" fmla="*/ 600075 h 603250"/>
            <a:gd name="connsiteX2" fmla="*/ 1085850 w 1085850"/>
            <a:gd name="connsiteY2" fmla="*/ 0 h 603250"/>
            <a:gd name="connsiteX3" fmla="*/ 1085850 w 1085850"/>
            <a:gd name="connsiteY3" fmla="*/ 0 h 603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085850" h="603250">
              <a:moveTo>
                <a:pt x="0" y="19050"/>
              </a:moveTo>
              <a:cubicBezTo>
                <a:pt x="104775" y="311150"/>
                <a:pt x="209550" y="603250"/>
                <a:pt x="390525" y="600075"/>
              </a:cubicBezTo>
              <a:cubicBezTo>
                <a:pt x="571500" y="596900"/>
                <a:pt x="1085850" y="0"/>
                <a:pt x="1085850" y="0"/>
              </a:cubicBezTo>
              <a:lnTo>
                <a:pt x="1085850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0</xdr:colOff>
      <xdr:row>418</xdr:row>
      <xdr:rowOff>123825</xdr:rowOff>
    </xdr:from>
    <xdr:to>
      <xdr:col>8</xdr:col>
      <xdr:colOff>114300</xdr:colOff>
      <xdr:row>420</xdr:row>
      <xdr:rowOff>93663</xdr:rowOff>
    </xdr:to>
    <xdr:sp macro="" textlink="">
      <xdr:nvSpPr>
        <xdr:cNvPr id="590" name="Freeform 589"/>
        <xdr:cNvSpPr/>
      </xdr:nvSpPr>
      <xdr:spPr bwMode="auto">
        <a:xfrm>
          <a:off x="3657600" y="63836550"/>
          <a:ext cx="1333500" cy="293688"/>
        </a:xfrm>
        <a:custGeom>
          <a:avLst/>
          <a:gdLst>
            <a:gd name="connsiteX0" fmla="*/ 0 w 1209675"/>
            <a:gd name="connsiteY0" fmla="*/ 0 h 255588"/>
            <a:gd name="connsiteX1" fmla="*/ 609600 w 1209675"/>
            <a:gd name="connsiteY1" fmla="*/ 247650 h 255588"/>
            <a:gd name="connsiteX2" fmla="*/ 1209675 w 1209675"/>
            <a:gd name="connsiteY2" fmla="*/ 47625 h 255588"/>
            <a:gd name="connsiteX3" fmla="*/ 1209675 w 1209675"/>
            <a:gd name="connsiteY3" fmla="*/ 47625 h 2555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209675" h="255588">
              <a:moveTo>
                <a:pt x="0" y="0"/>
              </a:moveTo>
              <a:cubicBezTo>
                <a:pt x="203993" y="119856"/>
                <a:pt x="407987" y="239712"/>
                <a:pt x="609600" y="247650"/>
              </a:cubicBezTo>
              <a:cubicBezTo>
                <a:pt x="811213" y="255588"/>
                <a:pt x="1209675" y="47625"/>
                <a:pt x="1209675" y="47625"/>
              </a:cubicBezTo>
              <a:lnTo>
                <a:pt x="1209675" y="47625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57150</xdr:colOff>
      <xdr:row>405</xdr:row>
      <xdr:rowOff>85725</xdr:rowOff>
    </xdr:from>
    <xdr:to>
      <xdr:col>2</xdr:col>
      <xdr:colOff>247650</xdr:colOff>
      <xdr:row>406</xdr:row>
      <xdr:rowOff>95250</xdr:rowOff>
    </xdr:to>
    <xdr:cxnSp macro="">
      <xdr:nvCxnSpPr>
        <xdr:cNvPr id="594" name="Straight Connector 593"/>
        <xdr:cNvCxnSpPr/>
      </xdr:nvCxnSpPr>
      <xdr:spPr bwMode="auto">
        <a:xfrm rot="10800000" flipV="1">
          <a:off x="1276350" y="61693425"/>
          <a:ext cx="190500" cy="1714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600076</xdr:colOff>
      <xdr:row>405</xdr:row>
      <xdr:rowOff>85724</xdr:rowOff>
    </xdr:from>
    <xdr:to>
      <xdr:col>4</xdr:col>
      <xdr:colOff>171451</xdr:colOff>
      <xdr:row>406</xdr:row>
      <xdr:rowOff>85724</xdr:rowOff>
    </xdr:to>
    <xdr:cxnSp macro="">
      <xdr:nvCxnSpPr>
        <xdr:cNvPr id="596" name="Straight Connector 595"/>
        <xdr:cNvCxnSpPr/>
      </xdr:nvCxnSpPr>
      <xdr:spPr bwMode="auto">
        <a:xfrm rot="10800000" flipV="1">
          <a:off x="2428876" y="61693424"/>
          <a:ext cx="180975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19050</xdr:colOff>
      <xdr:row>405</xdr:row>
      <xdr:rowOff>66676</xdr:rowOff>
    </xdr:from>
    <xdr:to>
      <xdr:col>8</xdr:col>
      <xdr:colOff>180975</xdr:colOff>
      <xdr:row>406</xdr:row>
      <xdr:rowOff>95251</xdr:rowOff>
    </xdr:to>
    <xdr:cxnSp macro="">
      <xdr:nvCxnSpPr>
        <xdr:cNvPr id="598" name="Straight Connector 597"/>
        <xdr:cNvCxnSpPr/>
      </xdr:nvCxnSpPr>
      <xdr:spPr bwMode="auto">
        <a:xfrm rot="5400000">
          <a:off x="4881563" y="61688663"/>
          <a:ext cx="190500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332581</xdr:colOff>
      <xdr:row>404</xdr:row>
      <xdr:rowOff>134144</xdr:rowOff>
    </xdr:from>
    <xdr:to>
      <xdr:col>8</xdr:col>
      <xdr:colOff>334169</xdr:colOff>
      <xdr:row>406</xdr:row>
      <xdr:rowOff>57944</xdr:rowOff>
    </xdr:to>
    <xdr:cxnSp macro="">
      <xdr:nvCxnSpPr>
        <xdr:cNvPr id="603" name="Straight Connector 602"/>
        <xdr:cNvCxnSpPr/>
      </xdr:nvCxnSpPr>
      <xdr:spPr bwMode="auto">
        <a:xfrm rot="5400000">
          <a:off x="5086350" y="62188725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38100</xdr:colOff>
      <xdr:row>404</xdr:row>
      <xdr:rowOff>104775</xdr:rowOff>
    </xdr:from>
    <xdr:to>
      <xdr:col>0</xdr:col>
      <xdr:colOff>39688</xdr:colOff>
      <xdr:row>406</xdr:row>
      <xdr:rowOff>28575</xdr:rowOff>
    </xdr:to>
    <xdr:cxnSp macro="">
      <xdr:nvCxnSpPr>
        <xdr:cNvPr id="604" name="Straight Connector 603"/>
        <xdr:cNvCxnSpPr/>
      </xdr:nvCxnSpPr>
      <xdr:spPr bwMode="auto">
        <a:xfrm rot="5400000">
          <a:off x="-84931" y="62159356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218283</xdr:colOff>
      <xdr:row>411</xdr:row>
      <xdr:rowOff>19051</xdr:rowOff>
    </xdr:from>
    <xdr:to>
      <xdr:col>1</xdr:col>
      <xdr:colOff>228602</xdr:colOff>
      <xdr:row>412</xdr:row>
      <xdr:rowOff>105572</xdr:rowOff>
    </xdr:to>
    <xdr:cxnSp macro="">
      <xdr:nvCxnSpPr>
        <xdr:cNvPr id="549" name="Straight Connector 548"/>
        <xdr:cNvCxnSpPr/>
      </xdr:nvCxnSpPr>
      <xdr:spPr bwMode="auto">
        <a:xfrm rot="5400000" flipH="1" flipV="1">
          <a:off x="708820" y="62879289"/>
          <a:ext cx="248446" cy="1031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228600</xdr:colOff>
      <xdr:row>411</xdr:row>
      <xdr:rowOff>104775</xdr:rowOff>
    </xdr:from>
    <xdr:to>
      <xdr:col>1</xdr:col>
      <xdr:colOff>219075</xdr:colOff>
      <xdr:row>411</xdr:row>
      <xdr:rowOff>106363</xdr:rowOff>
    </xdr:to>
    <xdr:cxnSp macro="">
      <xdr:nvCxnSpPr>
        <xdr:cNvPr id="556" name="Straight Arrow Connector 555"/>
        <xdr:cNvCxnSpPr/>
      </xdr:nvCxnSpPr>
      <xdr:spPr bwMode="auto">
        <a:xfrm>
          <a:off x="228600" y="62845950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3</xdr:col>
      <xdr:colOff>161136</xdr:colOff>
      <xdr:row>409</xdr:row>
      <xdr:rowOff>133350</xdr:rowOff>
    </xdr:from>
    <xdr:to>
      <xdr:col>3</xdr:col>
      <xdr:colOff>171454</xdr:colOff>
      <xdr:row>412</xdr:row>
      <xdr:rowOff>105574</xdr:rowOff>
    </xdr:to>
    <xdr:cxnSp macro="">
      <xdr:nvCxnSpPr>
        <xdr:cNvPr id="568" name="Straight Connector 567"/>
        <xdr:cNvCxnSpPr/>
      </xdr:nvCxnSpPr>
      <xdr:spPr bwMode="auto">
        <a:xfrm rot="5400000" flipH="1" flipV="1">
          <a:off x="1766095" y="62774516"/>
          <a:ext cx="457999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94463</xdr:colOff>
      <xdr:row>409</xdr:row>
      <xdr:rowOff>133353</xdr:rowOff>
    </xdr:from>
    <xdr:to>
      <xdr:col>5</xdr:col>
      <xdr:colOff>104781</xdr:colOff>
      <xdr:row>412</xdr:row>
      <xdr:rowOff>105577</xdr:rowOff>
    </xdr:to>
    <xdr:cxnSp macro="">
      <xdr:nvCxnSpPr>
        <xdr:cNvPr id="573" name="Straight Connector 572"/>
        <xdr:cNvCxnSpPr/>
      </xdr:nvCxnSpPr>
      <xdr:spPr bwMode="auto">
        <a:xfrm rot="5400000" flipH="1" flipV="1">
          <a:off x="2918622" y="62774519"/>
          <a:ext cx="457999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171450</xdr:colOff>
      <xdr:row>410</xdr:row>
      <xdr:rowOff>76200</xdr:rowOff>
    </xdr:from>
    <xdr:to>
      <xdr:col>3</xdr:col>
      <xdr:colOff>161925</xdr:colOff>
      <xdr:row>410</xdr:row>
      <xdr:rowOff>77788</xdr:rowOff>
    </xdr:to>
    <xdr:cxnSp macro="">
      <xdr:nvCxnSpPr>
        <xdr:cNvPr id="575" name="Straight Arrow Connector 574"/>
        <xdr:cNvCxnSpPr/>
      </xdr:nvCxnSpPr>
      <xdr:spPr bwMode="auto">
        <a:xfrm>
          <a:off x="1390650" y="62655450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4</xdr:col>
      <xdr:colOff>114300</xdr:colOff>
      <xdr:row>410</xdr:row>
      <xdr:rowOff>66675</xdr:rowOff>
    </xdr:from>
    <xdr:to>
      <xdr:col>5</xdr:col>
      <xdr:colOff>104775</xdr:colOff>
      <xdr:row>410</xdr:row>
      <xdr:rowOff>68263</xdr:rowOff>
    </xdr:to>
    <xdr:cxnSp macro="">
      <xdr:nvCxnSpPr>
        <xdr:cNvPr id="576" name="Straight Arrow Connector 575"/>
        <xdr:cNvCxnSpPr/>
      </xdr:nvCxnSpPr>
      <xdr:spPr bwMode="auto">
        <a:xfrm>
          <a:off x="2552700" y="62645925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7</xdr:col>
      <xdr:colOff>38101</xdr:colOff>
      <xdr:row>409</xdr:row>
      <xdr:rowOff>114302</xdr:rowOff>
    </xdr:from>
    <xdr:to>
      <xdr:col>7</xdr:col>
      <xdr:colOff>48419</xdr:colOff>
      <xdr:row>412</xdr:row>
      <xdr:rowOff>86526</xdr:rowOff>
    </xdr:to>
    <xdr:cxnSp macro="">
      <xdr:nvCxnSpPr>
        <xdr:cNvPr id="548" name="Straight Connector 547"/>
        <xdr:cNvCxnSpPr/>
      </xdr:nvCxnSpPr>
      <xdr:spPr bwMode="auto">
        <a:xfrm rot="5400000" flipH="1" flipV="1">
          <a:off x="4081460" y="62755468"/>
          <a:ext cx="457999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38100</xdr:colOff>
      <xdr:row>410</xdr:row>
      <xdr:rowOff>38100</xdr:rowOff>
    </xdr:from>
    <xdr:to>
      <xdr:col>7</xdr:col>
      <xdr:colOff>28575</xdr:colOff>
      <xdr:row>410</xdr:row>
      <xdr:rowOff>39688</xdr:rowOff>
    </xdr:to>
    <xdr:cxnSp macro="">
      <xdr:nvCxnSpPr>
        <xdr:cNvPr id="555" name="Straight Arrow Connector 554"/>
        <xdr:cNvCxnSpPr/>
      </xdr:nvCxnSpPr>
      <xdr:spPr bwMode="auto">
        <a:xfrm>
          <a:off x="3695700" y="62617350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 editAs="oneCell">
    <xdr:from>
      <xdr:col>4</xdr:col>
      <xdr:colOff>600075</xdr:colOff>
      <xdr:row>481</xdr:row>
      <xdr:rowOff>0</xdr:rowOff>
    </xdr:from>
    <xdr:to>
      <xdr:col>5</xdr:col>
      <xdr:colOff>0</xdr:colOff>
      <xdr:row>481</xdr:row>
      <xdr:rowOff>161925</xdr:rowOff>
    </xdr:to>
    <xdr:sp macro="" textlink="">
      <xdr:nvSpPr>
        <xdr:cNvPr id="558" name="Text Box 154"/>
        <xdr:cNvSpPr txBox="1">
          <a:spLocks noChangeArrowheads="1"/>
        </xdr:cNvSpPr>
      </xdr:nvSpPr>
      <xdr:spPr bwMode="auto">
        <a:xfrm>
          <a:off x="3038475" y="349853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483</xdr:row>
      <xdr:rowOff>0</xdr:rowOff>
    </xdr:from>
    <xdr:to>
      <xdr:col>5</xdr:col>
      <xdr:colOff>0</xdr:colOff>
      <xdr:row>483</xdr:row>
      <xdr:rowOff>161925</xdr:rowOff>
    </xdr:to>
    <xdr:sp macro="" textlink="">
      <xdr:nvSpPr>
        <xdr:cNvPr id="566" name="Text Box 154"/>
        <xdr:cNvSpPr txBox="1">
          <a:spLocks noChangeArrowheads="1"/>
        </xdr:cNvSpPr>
      </xdr:nvSpPr>
      <xdr:spPr bwMode="auto">
        <a:xfrm>
          <a:off x="3038475" y="353758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484</xdr:row>
      <xdr:rowOff>0</xdr:rowOff>
    </xdr:from>
    <xdr:to>
      <xdr:col>5</xdr:col>
      <xdr:colOff>0</xdr:colOff>
      <xdr:row>484</xdr:row>
      <xdr:rowOff>161925</xdr:rowOff>
    </xdr:to>
    <xdr:sp macro="" textlink="">
      <xdr:nvSpPr>
        <xdr:cNvPr id="570" name="Text Box 154"/>
        <xdr:cNvSpPr txBox="1">
          <a:spLocks noChangeArrowheads="1"/>
        </xdr:cNvSpPr>
      </xdr:nvSpPr>
      <xdr:spPr bwMode="auto">
        <a:xfrm>
          <a:off x="3038475" y="355758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480</xdr:row>
      <xdr:rowOff>0</xdr:rowOff>
    </xdr:from>
    <xdr:to>
      <xdr:col>5</xdr:col>
      <xdr:colOff>0</xdr:colOff>
      <xdr:row>480</xdr:row>
      <xdr:rowOff>161925</xdr:rowOff>
    </xdr:to>
    <xdr:sp macro="" textlink="">
      <xdr:nvSpPr>
        <xdr:cNvPr id="577" name="Text Box 154"/>
        <xdr:cNvSpPr txBox="1">
          <a:spLocks noChangeArrowheads="1"/>
        </xdr:cNvSpPr>
      </xdr:nvSpPr>
      <xdr:spPr bwMode="auto">
        <a:xfrm>
          <a:off x="3038475" y="347853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112</xdr:row>
      <xdr:rowOff>0</xdr:rowOff>
    </xdr:from>
    <xdr:to>
      <xdr:col>5</xdr:col>
      <xdr:colOff>0</xdr:colOff>
      <xdr:row>112</xdr:row>
      <xdr:rowOff>161925</xdr:rowOff>
    </xdr:to>
    <xdr:sp macro="" textlink="">
      <xdr:nvSpPr>
        <xdr:cNvPr id="544" name="Text Box 154"/>
        <xdr:cNvSpPr txBox="1">
          <a:spLocks noChangeArrowheads="1"/>
        </xdr:cNvSpPr>
      </xdr:nvSpPr>
      <xdr:spPr bwMode="auto">
        <a:xfrm>
          <a:off x="3038475" y="803243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114</xdr:row>
      <xdr:rowOff>0</xdr:rowOff>
    </xdr:from>
    <xdr:to>
      <xdr:col>5</xdr:col>
      <xdr:colOff>0</xdr:colOff>
      <xdr:row>114</xdr:row>
      <xdr:rowOff>161925</xdr:rowOff>
    </xdr:to>
    <xdr:sp macro="" textlink="">
      <xdr:nvSpPr>
        <xdr:cNvPr id="578" name="Text Box 154"/>
        <xdr:cNvSpPr txBox="1">
          <a:spLocks noChangeArrowheads="1"/>
        </xdr:cNvSpPr>
      </xdr:nvSpPr>
      <xdr:spPr bwMode="auto">
        <a:xfrm>
          <a:off x="3038475" y="807148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115</xdr:row>
      <xdr:rowOff>0</xdr:rowOff>
    </xdr:from>
    <xdr:to>
      <xdr:col>5</xdr:col>
      <xdr:colOff>0</xdr:colOff>
      <xdr:row>115</xdr:row>
      <xdr:rowOff>161925</xdr:rowOff>
    </xdr:to>
    <xdr:sp macro="" textlink="">
      <xdr:nvSpPr>
        <xdr:cNvPr id="582" name="Text Box 154"/>
        <xdr:cNvSpPr txBox="1">
          <a:spLocks noChangeArrowheads="1"/>
        </xdr:cNvSpPr>
      </xdr:nvSpPr>
      <xdr:spPr bwMode="auto">
        <a:xfrm>
          <a:off x="3038475" y="809148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111</xdr:row>
      <xdr:rowOff>0</xdr:rowOff>
    </xdr:from>
    <xdr:to>
      <xdr:col>5</xdr:col>
      <xdr:colOff>0</xdr:colOff>
      <xdr:row>111</xdr:row>
      <xdr:rowOff>161925</xdr:rowOff>
    </xdr:to>
    <xdr:sp macro="" textlink="">
      <xdr:nvSpPr>
        <xdr:cNvPr id="583" name="Text Box 154"/>
        <xdr:cNvSpPr txBox="1">
          <a:spLocks noChangeArrowheads="1"/>
        </xdr:cNvSpPr>
      </xdr:nvSpPr>
      <xdr:spPr bwMode="auto">
        <a:xfrm>
          <a:off x="3038475" y="801243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9526</xdr:colOff>
      <xdr:row>261</xdr:row>
      <xdr:rowOff>142875</xdr:rowOff>
    </xdr:from>
    <xdr:to>
      <xdr:col>2</xdr:col>
      <xdr:colOff>171453</xdr:colOff>
      <xdr:row>261</xdr:row>
      <xdr:rowOff>144463</xdr:rowOff>
    </xdr:to>
    <xdr:cxnSp macro="">
      <xdr:nvCxnSpPr>
        <xdr:cNvPr id="586" name="Straight Connector 585"/>
        <xdr:cNvCxnSpPr/>
      </xdr:nvCxnSpPr>
      <xdr:spPr bwMode="auto">
        <a:xfrm rot="10800000">
          <a:off x="619126" y="35975925"/>
          <a:ext cx="77152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</xdr:colOff>
      <xdr:row>261</xdr:row>
      <xdr:rowOff>153194</xdr:rowOff>
    </xdr:from>
    <xdr:to>
      <xdr:col>1</xdr:col>
      <xdr:colOff>10319</xdr:colOff>
      <xdr:row>271</xdr:row>
      <xdr:rowOff>0</xdr:rowOff>
    </xdr:to>
    <xdr:cxnSp macro="">
      <xdr:nvCxnSpPr>
        <xdr:cNvPr id="592" name="Straight Connector 591"/>
        <xdr:cNvCxnSpPr/>
      </xdr:nvCxnSpPr>
      <xdr:spPr bwMode="auto">
        <a:xfrm rot="5400000">
          <a:off x="-113506" y="36718875"/>
          <a:ext cx="1466056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371475</xdr:colOff>
      <xdr:row>271</xdr:row>
      <xdr:rowOff>0</xdr:rowOff>
    </xdr:from>
    <xdr:to>
      <xdr:col>1</xdr:col>
      <xdr:colOff>323850</xdr:colOff>
      <xdr:row>271</xdr:row>
      <xdr:rowOff>1588</xdr:rowOff>
    </xdr:to>
    <xdr:cxnSp macro="">
      <xdr:nvCxnSpPr>
        <xdr:cNvPr id="597" name="Straight Connector 596"/>
        <xdr:cNvCxnSpPr/>
      </xdr:nvCxnSpPr>
      <xdr:spPr bwMode="auto">
        <a:xfrm>
          <a:off x="371475" y="37452300"/>
          <a:ext cx="561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561975</xdr:colOff>
      <xdr:row>271</xdr:row>
      <xdr:rowOff>0</xdr:rowOff>
    </xdr:from>
    <xdr:to>
      <xdr:col>2</xdr:col>
      <xdr:colOff>342900</xdr:colOff>
      <xdr:row>271</xdr:row>
      <xdr:rowOff>1588</xdr:rowOff>
    </xdr:to>
    <xdr:cxnSp macro="">
      <xdr:nvCxnSpPr>
        <xdr:cNvPr id="600" name="Straight Connector 599"/>
        <xdr:cNvCxnSpPr/>
      </xdr:nvCxnSpPr>
      <xdr:spPr bwMode="auto">
        <a:xfrm>
          <a:off x="1171575" y="37452300"/>
          <a:ext cx="3905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323850</xdr:colOff>
      <xdr:row>271</xdr:row>
      <xdr:rowOff>1</xdr:rowOff>
    </xdr:from>
    <xdr:to>
      <xdr:col>1</xdr:col>
      <xdr:colOff>390525</xdr:colOff>
      <xdr:row>271</xdr:row>
      <xdr:rowOff>133351</xdr:rowOff>
    </xdr:to>
    <xdr:cxnSp macro="">
      <xdr:nvCxnSpPr>
        <xdr:cNvPr id="602" name="Straight Connector 601"/>
        <xdr:cNvCxnSpPr/>
      </xdr:nvCxnSpPr>
      <xdr:spPr bwMode="auto">
        <a:xfrm rot="16200000" flipH="1">
          <a:off x="900113" y="37485638"/>
          <a:ext cx="133350" cy="6667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390525</xdr:colOff>
      <xdr:row>270</xdr:row>
      <xdr:rowOff>38100</xdr:rowOff>
    </xdr:from>
    <xdr:to>
      <xdr:col>1</xdr:col>
      <xdr:colOff>409575</xdr:colOff>
      <xdr:row>271</xdr:row>
      <xdr:rowOff>123825</xdr:rowOff>
    </xdr:to>
    <xdr:cxnSp macro="">
      <xdr:nvCxnSpPr>
        <xdr:cNvPr id="606" name="Straight Connector 605"/>
        <xdr:cNvCxnSpPr/>
      </xdr:nvCxnSpPr>
      <xdr:spPr bwMode="auto">
        <a:xfrm rot="5400000" flipH="1" flipV="1">
          <a:off x="885825" y="37442775"/>
          <a:ext cx="24765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409575</xdr:colOff>
      <xdr:row>270</xdr:row>
      <xdr:rowOff>47625</xdr:rowOff>
    </xdr:from>
    <xdr:to>
      <xdr:col>1</xdr:col>
      <xdr:colOff>561975</xdr:colOff>
      <xdr:row>271</xdr:row>
      <xdr:rowOff>0</xdr:rowOff>
    </xdr:to>
    <xdr:cxnSp macro="">
      <xdr:nvCxnSpPr>
        <xdr:cNvPr id="608" name="Straight Connector 607"/>
        <xdr:cNvCxnSpPr/>
      </xdr:nvCxnSpPr>
      <xdr:spPr bwMode="auto">
        <a:xfrm>
          <a:off x="1019175" y="37338000"/>
          <a:ext cx="152400" cy="11430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314325</xdr:colOff>
      <xdr:row>269</xdr:row>
      <xdr:rowOff>0</xdr:rowOff>
    </xdr:from>
    <xdr:to>
      <xdr:col>1</xdr:col>
      <xdr:colOff>600075</xdr:colOff>
      <xdr:row>269</xdr:row>
      <xdr:rowOff>1588</xdr:rowOff>
    </xdr:to>
    <xdr:cxnSp macro="">
      <xdr:nvCxnSpPr>
        <xdr:cNvPr id="610" name="Straight Connector 609"/>
        <xdr:cNvCxnSpPr/>
      </xdr:nvCxnSpPr>
      <xdr:spPr bwMode="auto">
        <a:xfrm rot="10800000">
          <a:off x="314325" y="37128450"/>
          <a:ext cx="8953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304800</xdr:colOff>
      <xdr:row>261</xdr:row>
      <xdr:rowOff>1</xdr:rowOff>
    </xdr:from>
    <xdr:to>
      <xdr:col>0</xdr:col>
      <xdr:colOff>314325</xdr:colOff>
      <xdr:row>263</xdr:row>
      <xdr:rowOff>152401</xdr:rowOff>
    </xdr:to>
    <xdr:cxnSp macro="">
      <xdr:nvCxnSpPr>
        <xdr:cNvPr id="612" name="Straight Connector 611"/>
        <xdr:cNvCxnSpPr/>
      </xdr:nvCxnSpPr>
      <xdr:spPr bwMode="auto">
        <a:xfrm rot="5400000">
          <a:off x="71438" y="36590288"/>
          <a:ext cx="4762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304800</xdr:colOff>
      <xdr:row>264</xdr:row>
      <xdr:rowOff>4</xdr:rowOff>
    </xdr:from>
    <xdr:to>
      <xdr:col>0</xdr:col>
      <xdr:colOff>600078</xdr:colOff>
      <xdr:row>264</xdr:row>
      <xdr:rowOff>9525</xdr:rowOff>
    </xdr:to>
    <xdr:cxnSp macro="">
      <xdr:nvCxnSpPr>
        <xdr:cNvPr id="614" name="Straight Arrow Connector 613"/>
        <xdr:cNvCxnSpPr/>
      </xdr:nvCxnSpPr>
      <xdr:spPr bwMode="auto">
        <a:xfrm flipV="1">
          <a:off x="304800" y="36842704"/>
          <a:ext cx="295278" cy="95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170656</xdr:colOff>
      <xdr:row>270</xdr:row>
      <xdr:rowOff>10318</xdr:rowOff>
    </xdr:from>
    <xdr:to>
      <xdr:col>2</xdr:col>
      <xdr:colOff>172244</xdr:colOff>
      <xdr:row>271</xdr:row>
      <xdr:rowOff>10318</xdr:rowOff>
    </xdr:to>
    <xdr:cxnSp macro="">
      <xdr:nvCxnSpPr>
        <xdr:cNvPr id="618" name="Straight Connector 617"/>
        <xdr:cNvCxnSpPr>
          <a:stCxn id="259" idx="1"/>
        </xdr:cNvCxnSpPr>
      </xdr:nvCxnSpPr>
      <xdr:spPr bwMode="auto">
        <a:xfrm rot="16200000" flipH="1">
          <a:off x="1309687" y="37380862"/>
          <a:ext cx="1619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600075</xdr:colOff>
      <xdr:row>350</xdr:row>
      <xdr:rowOff>86521</xdr:rowOff>
    </xdr:from>
    <xdr:to>
      <xdr:col>2</xdr:col>
      <xdr:colOff>793</xdr:colOff>
      <xdr:row>353</xdr:row>
      <xdr:rowOff>142874</xdr:rowOff>
    </xdr:to>
    <xdr:cxnSp macro="">
      <xdr:nvCxnSpPr>
        <xdr:cNvPr id="621" name="Straight Connector 620"/>
        <xdr:cNvCxnSpPr/>
      </xdr:nvCxnSpPr>
      <xdr:spPr bwMode="auto">
        <a:xfrm rot="5400000" flipH="1" flipV="1">
          <a:off x="943770" y="51015901"/>
          <a:ext cx="542128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19050</xdr:colOff>
      <xdr:row>341</xdr:row>
      <xdr:rowOff>95250</xdr:rowOff>
    </xdr:from>
    <xdr:to>
      <xdr:col>2</xdr:col>
      <xdr:colOff>76200</xdr:colOff>
      <xdr:row>341</xdr:row>
      <xdr:rowOff>96838</xdr:rowOff>
    </xdr:to>
    <xdr:cxnSp macro="">
      <xdr:nvCxnSpPr>
        <xdr:cNvPr id="622" name="Straight Arrow Connector 621"/>
        <xdr:cNvCxnSpPr/>
      </xdr:nvCxnSpPr>
      <xdr:spPr bwMode="auto">
        <a:xfrm>
          <a:off x="628650" y="49301400"/>
          <a:ext cx="666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75407</xdr:colOff>
      <xdr:row>341</xdr:row>
      <xdr:rowOff>105571</xdr:rowOff>
    </xdr:from>
    <xdr:to>
      <xdr:col>2</xdr:col>
      <xdr:colOff>76995</xdr:colOff>
      <xdr:row>343</xdr:row>
      <xdr:rowOff>796</xdr:rowOff>
    </xdr:to>
    <xdr:cxnSp macro="">
      <xdr:nvCxnSpPr>
        <xdr:cNvPr id="623" name="Straight Arrow Connector 622"/>
        <xdr:cNvCxnSpPr/>
      </xdr:nvCxnSpPr>
      <xdr:spPr bwMode="auto">
        <a:xfrm rot="5400000">
          <a:off x="1185863" y="49420465"/>
          <a:ext cx="219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208757</xdr:colOff>
      <xdr:row>351</xdr:row>
      <xdr:rowOff>10319</xdr:rowOff>
    </xdr:from>
    <xdr:to>
      <xdr:col>3</xdr:col>
      <xdr:colOff>210345</xdr:colOff>
      <xdr:row>352</xdr:row>
      <xdr:rowOff>67469</xdr:rowOff>
    </xdr:to>
    <xdr:cxnSp macro="">
      <xdr:nvCxnSpPr>
        <xdr:cNvPr id="591" name="Straight Connector 590"/>
        <xdr:cNvCxnSpPr/>
      </xdr:nvCxnSpPr>
      <xdr:spPr bwMode="auto">
        <a:xfrm rot="16200000" flipH="1">
          <a:off x="1928813" y="50944463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561975</xdr:colOff>
      <xdr:row>341</xdr:row>
      <xdr:rowOff>95250</xdr:rowOff>
    </xdr:from>
    <xdr:to>
      <xdr:col>7</xdr:col>
      <xdr:colOff>238125</xdr:colOff>
      <xdr:row>343</xdr:row>
      <xdr:rowOff>152400</xdr:rowOff>
    </xdr:to>
    <xdr:sp macro="" textlink="">
      <xdr:nvSpPr>
        <xdr:cNvPr id="593" name="Line 277"/>
        <xdr:cNvSpPr>
          <a:spLocks noChangeShapeType="1"/>
        </xdr:cNvSpPr>
      </xdr:nvSpPr>
      <xdr:spPr bwMode="auto">
        <a:xfrm>
          <a:off x="3609975" y="49301400"/>
          <a:ext cx="89535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285750</xdr:colOff>
      <xdr:row>345</xdr:row>
      <xdr:rowOff>104775</xdr:rowOff>
    </xdr:from>
    <xdr:to>
      <xdr:col>0</xdr:col>
      <xdr:colOff>581025</xdr:colOff>
      <xdr:row>345</xdr:row>
      <xdr:rowOff>106363</xdr:rowOff>
    </xdr:to>
    <xdr:cxnSp macro="">
      <xdr:nvCxnSpPr>
        <xdr:cNvPr id="599" name="Straight Arrow Connector 598"/>
        <xdr:cNvCxnSpPr/>
      </xdr:nvCxnSpPr>
      <xdr:spPr bwMode="auto">
        <a:xfrm>
          <a:off x="285750" y="49796700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409576</xdr:colOff>
      <xdr:row>351</xdr:row>
      <xdr:rowOff>19050</xdr:rowOff>
    </xdr:from>
    <xdr:to>
      <xdr:col>2</xdr:col>
      <xdr:colOff>600076</xdr:colOff>
      <xdr:row>353</xdr:row>
      <xdr:rowOff>66675</xdr:rowOff>
    </xdr:to>
    <xdr:cxnSp macro="">
      <xdr:nvCxnSpPr>
        <xdr:cNvPr id="605" name="Straight Arrow Connector 604"/>
        <xdr:cNvCxnSpPr/>
      </xdr:nvCxnSpPr>
      <xdr:spPr bwMode="auto">
        <a:xfrm rot="16200000" flipV="1">
          <a:off x="1538288" y="50934938"/>
          <a:ext cx="371475" cy="190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9525</xdr:colOff>
      <xdr:row>343</xdr:row>
      <xdr:rowOff>0</xdr:rowOff>
    </xdr:from>
    <xdr:to>
      <xdr:col>1</xdr:col>
      <xdr:colOff>142875</xdr:colOff>
      <xdr:row>343</xdr:row>
      <xdr:rowOff>1588</xdr:rowOff>
    </xdr:to>
    <xdr:cxnSp macro="">
      <xdr:nvCxnSpPr>
        <xdr:cNvPr id="595" name="Straight Connector 594"/>
        <xdr:cNvCxnSpPr>
          <a:endCxn id="472" idx="0"/>
        </xdr:cNvCxnSpPr>
      </xdr:nvCxnSpPr>
      <xdr:spPr bwMode="auto">
        <a:xfrm rot="10800000">
          <a:off x="619125" y="49368075"/>
          <a:ext cx="1333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247650</xdr:colOff>
      <xdr:row>497</xdr:row>
      <xdr:rowOff>152400</xdr:rowOff>
    </xdr:from>
    <xdr:to>
      <xdr:col>8</xdr:col>
      <xdr:colOff>104775</xdr:colOff>
      <xdr:row>498</xdr:row>
      <xdr:rowOff>1</xdr:rowOff>
    </xdr:to>
    <xdr:cxnSp macro="">
      <xdr:nvCxnSpPr>
        <xdr:cNvPr id="584" name="Straight Connector 583"/>
        <xdr:cNvCxnSpPr/>
      </xdr:nvCxnSpPr>
      <xdr:spPr bwMode="auto">
        <a:xfrm flipV="1">
          <a:off x="247650" y="80391000"/>
          <a:ext cx="4733925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247650</xdr:colOff>
      <xdr:row>497</xdr:row>
      <xdr:rowOff>152400</xdr:rowOff>
    </xdr:from>
    <xdr:to>
      <xdr:col>0</xdr:col>
      <xdr:colOff>247652</xdr:colOff>
      <xdr:row>499</xdr:row>
      <xdr:rowOff>152400</xdr:rowOff>
    </xdr:to>
    <xdr:cxnSp macro="">
      <xdr:nvCxnSpPr>
        <xdr:cNvPr id="601" name="Straight Arrow Connector 600"/>
        <xdr:cNvCxnSpPr/>
      </xdr:nvCxnSpPr>
      <xdr:spPr bwMode="auto">
        <a:xfrm rot="5400000" flipH="1" flipV="1">
          <a:off x="85726" y="80552924"/>
          <a:ext cx="3238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95251</xdr:colOff>
      <xdr:row>497</xdr:row>
      <xdr:rowOff>152400</xdr:rowOff>
    </xdr:from>
    <xdr:to>
      <xdr:col>8</xdr:col>
      <xdr:colOff>95253</xdr:colOff>
      <xdr:row>500</xdr:row>
      <xdr:rowOff>0</xdr:rowOff>
    </xdr:to>
    <xdr:cxnSp macro="">
      <xdr:nvCxnSpPr>
        <xdr:cNvPr id="607" name="Straight Arrow Connector 606"/>
        <xdr:cNvCxnSpPr/>
      </xdr:nvCxnSpPr>
      <xdr:spPr bwMode="auto">
        <a:xfrm rot="5400000" flipH="1" flipV="1">
          <a:off x="4805364" y="80557687"/>
          <a:ext cx="33337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209550</xdr:colOff>
      <xdr:row>497</xdr:row>
      <xdr:rowOff>142876</xdr:rowOff>
    </xdr:from>
    <xdr:to>
      <xdr:col>2</xdr:col>
      <xdr:colOff>209551</xdr:colOff>
      <xdr:row>500</xdr:row>
      <xdr:rowOff>9526</xdr:rowOff>
    </xdr:to>
    <xdr:cxnSp macro="">
      <xdr:nvCxnSpPr>
        <xdr:cNvPr id="609" name="Straight Arrow Connector 608"/>
        <xdr:cNvCxnSpPr/>
      </xdr:nvCxnSpPr>
      <xdr:spPr bwMode="auto">
        <a:xfrm rot="5400000" flipH="1" flipV="1">
          <a:off x="1252538" y="80557688"/>
          <a:ext cx="3524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104775</xdr:colOff>
      <xdr:row>498</xdr:row>
      <xdr:rowOff>9526</xdr:rowOff>
    </xdr:from>
    <xdr:to>
      <xdr:col>4</xdr:col>
      <xdr:colOff>104776</xdr:colOff>
      <xdr:row>500</xdr:row>
      <xdr:rowOff>1</xdr:rowOff>
    </xdr:to>
    <xdr:cxnSp macro="">
      <xdr:nvCxnSpPr>
        <xdr:cNvPr id="611" name="Straight Arrow Connector 610"/>
        <xdr:cNvCxnSpPr/>
      </xdr:nvCxnSpPr>
      <xdr:spPr bwMode="auto">
        <a:xfrm rot="5400000" flipH="1" flipV="1">
          <a:off x="2386013" y="80567213"/>
          <a:ext cx="3143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0</xdr:colOff>
      <xdr:row>498</xdr:row>
      <xdr:rowOff>9525</xdr:rowOff>
    </xdr:from>
    <xdr:to>
      <xdr:col>6</xdr:col>
      <xdr:colOff>9526</xdr:colOff>
      <xdr:row>500</xdr:row>
      <xdr:rowOff>9525</xdr:rowOff>
    </xdr:to>
    <xdr:cxnSp macro="">
      <xdr:nvCxnSpPr>
        <xdr:cNvPr id="613" name="Straight Arrow Connector 612"/>
        <xdr:cNvCxnSpPr/>
      </xdr:nvCxnSpPr>
      <xdr:spPr bwMode="auto">
        <a:xfrm rot="5400000" flipH="1" flipV="1">
          <a:off x="3500438" y="80567212"/>
          <a:ext cx="323850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64767</xdr:colOff>
      <xdr:row>497</xdr:row>
      <xdr:rowOff>19050</xdr:rowOff>
    </xdr:from>
    <xdr:to>
      <xdr:col>0</xdr:col>
      <xdr:colOff>381000</xdr:colOff>
      <xdr:row>499</xdr:row>
      <xdr:rowOff>123825</xdr:rowOff>
    </xdr:to>
    <xdr:sp macro="" textlink="">
      <xdr:nvSpPr>
        <xdr:cNvPr id="615" name="Arc 614"/>
        <xdr:cNvSpPr/>
      </xdr:nvSpPr>
      <xdr:spPr bwMode="auto">
        <a:xfrm flipH="1">
          <a:off x="64767" y="64436625"/>
          <a:ext cx="316233" cy="428625"/>
        </a:xfrm>
        <a:prstGeom prst="arc">
          <a:avLst>
            <a:gd name="adj1" fmla="val 16200000"/>
            <a:gd name="adj2" fmla="val 444663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19050</xdr:colOff>
      <xdr:row>496</xdr:row>
      <xdr:rowOff>85725</xdr:rowOff>
    </xdr:from>
    <xdr:to>
      <xdr:col>8</xdr:col>
      <xdr:colOff>333375</xdr:colOff>
      <xdr:row>498</xdr:row>
      <xdr:rowOff>85725</xdr:rowOff>
    </xdr:to>
    <xdr:sp macro="" textlink="">
      <xdr:nvSpPr>
        <xdr:cNvPr id="616" name="Arc 615"/>
        <xdr:cNvSpPr/>
      </xdr:nvSpPr>
      <xdr:spPr bwMode="auto">
        <a:xfrm>
          <a:off x="4895850" y="64341375"/>
          <a:ext cx="314325" cy="323850"/>
        </a:xfrm>
        <a:prstGeom prst="arc">
          <a:avLst>
            <a:gd name="adj1" fmla="val 16200000"/>
            <a:gd name="adj2" fmla="val 362767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38100</xdr:colOff>
      <xdr:row>521</xdr:row>
      <xdr:rowOff>152400</xdr:rowOff>
    </xdr:from>
    <xdr:to>
      <xdr:col>8</xdr:col>
      <xdr:colOff>342900</xdr:colOff>
      <xdr:row>521</xdr:row>
      <xdr:rowOff>153988</xdr:rowOff>
    </xdr:to>
    <xdr:cxnSp macro="">
      <xdr:nvCxnSpPr>
        <xdr:cNvPr id="617" name="Straight Connector 616"/>
        <xdr:cNvCxnSpPr/>
      </xdr:nvCxnSpPr>
      <xdr:spPr bwMode="auto">
        <a:xfrm>
          <a:off x="38100" y="65217675"/>
          <a:ext cx="5181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104776</xdr:colOff>
      <xdr:row>520</xdr:row>
      <xdr:rowOff>142879</xdr:rowOff>
    </xdr:from>
    <xdr:to>
      <xdr:col>8</xdr:col>
      <xdr:colOff>123825</xdr:colOff>
      <xdr:row>538</xdr:row>
      <xdr:rowOff>9525</xdr:rowOff>
    </xdr:to>
    <xdr:cxnSp macro="">
      <xdr:nvCxnSpPr>
        <xdr:cNvPr id="619" name="Straight Connector 618"/>
        <xdr:cNvCxnSpPr/>
      </xdr:nvCxnSpPr>
      <xdr:spPr bwMode="auto">
        <a:xfrm rot="5400000">
          <a:off x="3600453" y="85486877"/>
          <a:ext cx="2781296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95251</xdr:colOff>
      <xdr:row>520</xdr:row>
      <xdr:rowOff>29368</xdr:rowOff>
    </xdr:from>
    <xdr:to>
      <xdr:col>4</xdr:col>
      <xdr:colOff>96045</xdr:colOff>
      <xdr:row>537</xdr:row>
      <xdr:rowOff>161924</xdr:rowOff>
    </xdr:to>
    <xdr:cxnSp macro="">
      <xdr:nvCxnSpPr>
        <xdr:cNvPr id="620" name="Straight Connector 619"/>
        <xdr:cNvCxnSpPr/>
      </xdr:nvCxnSpPr>
      <xdr:spPr bwMode="auto">
        <a:xfrm rot="5400000">
          <a:off x="1091407" y="66374962"/>
          <a:ext cx="2885281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520</xdr:row>
      <xdr:rowOff>142876</xdr:rowOff>
    </xdr:from>
    <xdr:to>
      <xdr:col>6</xdr:col>
      <xdr:colOff>9525</xdr:colOff>
      <xdr:row>537</xdr:row>
      <xdr:rowOff>152401</xdr:rowOff>
    </xdr:to>
    <xdr:cxnSp macro="">
      <xdr:nvCxnSpPr>
        <xdr:cNvPr id="624" name="Straight Connector 623"/>
        <xdr:cNvCxnSpPr/>
      </xdr:nvCxnSpPr>
      <xdr:spPr bwMode="auto">
        <a:xfrm rot="5400000">
          <a:off x="2281238" y="85482113"/>
          <a:ext cx="27622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247650</xdr:colOff>
      <xdr:row>529</xdr:row>
      <xdr:rowOff>0</xdr:rowOff>
    </xdr:from>
    <xdr:to>
      <xdr:col>8</xdr:col>
      <xdr:colOff>95250</xdr:colOff>
      <xdr:row>529</xdr:row>
      <xdr:rowOff>9525</xdr:rowOff>
    </xdr:to>
    <xdr:cxnSp macro="">
      <xdr:nvCxnSpPr>
        <xdr:cNvPr id="625" name="Straight Connector 624"/>
        <xdr:cNvCxnSpPr/>
      </xdr:nvCxnSpPr>
      <xdr:spPr bwMode="auto">
        <a:xfrm flipV="1">
          <a:off x="247650" y="66360675"/>
          <a:ext cx="47244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228600</xdr:colOff>
      <xdr:row>527</xdr:row>
      <xdr:rowOff>38100</xdr:rowOff>
    </xdr:from>
    <xdr:to>
      <xdr:col>2</xdr:col>
      <xdr:colOff>171450</xdr:colOff>
      <xdr:row>531</xdr:row>
      <xdr:rowOff>9526</xdr:rowOff>
    </xdr:to>
    <xdr:cxnSp macro="">
      <xdr:nvCxnSpPr>
        <xdr:cNvPr id="626" name="Straight Connector 625"/>
        <xdr:cNvCxnSpPr/>
      </xdr:nvCxnSpPr>
      <xdr:spPr bwMode="auto">
        <a:xfrm flipV="1">
          <a:off x="228600" y="66074925"/>
          <a:ext cx="1162050" cy="6191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180975</xdr:colOff>
      <xdr:row>527</xdr:row>
      <xdr:rowOff>57150</xdr:rowOff>
    </xdr:from>
    <xdr:to>
      <xdr:col>4</xdr:col>
      <xdr:colOff>95250</xdr:colOff>
      <xdr:row>531</xdr:row>
      <xdr:rowOff>0</xdr:rowOff>
    </xdr:to>
    <xdr:cxnSp macro="">
      <xdr:nvCxnSpPr>
        <xdr:cNvPr id="627" name="Straight Connector 626"/>
        <xdr:cNvCxnSpPr/>
      </xdr:nvCxnSpPr>
      <xdr:spPr bwMode="auto">
        <a:xfrm flipV="1">
          <a:off x="1400175" y="66093975"/>
          <a:ext cx="1133475" cy="5905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104775</xdr:colOff>
      <xdr:row>527</xdr:row>
      <xdr:rowOff>47625</xdr:rowOff>
    </xdr:from>
    <xdr:to>
      <xdr:col>6</xdr:col>
      <xdr:colOff>9525</xdr:colOff>
      <xdr:row>531</xdr:row>
      <xdr:rowOff>9526</xdr:rowOff>
    </xdr:to>
    <xdr:cxnSp macro="">
      <xdr:nvCxnSpPr>
        <xdr:cNvPr id="628" name="Straight Connector 627"/>
        <xdr:cNvCxnSpPr/>
      </xdr:nvCxnSpPr>
      <xdr:spPr bwMode="auto">
        <a:xfrm flipV="1">
          <a:off x="2543175" y="66084450"/>
          <a:ext cx="1123950" cy="60960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19050</xdr:colOff>
      <xdr:row>527</xdr:row>
      <xdr:rowOff>0</xdr:rowOff>
    </xdr:from>
    <xdr:to>
      <xdr:col>8</xdr:col>
      <xdr:colOff>104775</xdr:colOff>
      <xdr:row>530</xdr:row>
      <xdr:rowOff>152401</xdr:rowOff>
    </xdr:to>
    <xdr:cxnSp macro="">
      <xdr:nvCxnSpPr>
        <xdr:cNvPr id="629" name="Straight Connector 628"/>
        <xdr:cNvCxnSpPr/>
      </xdr:nvCxnSpPr>
      <xdr:spPr bwMode="auto">
        <a:xfrm flipV="1">
          <a:off x="3676650" y="66036825"/>
          <a:ext cx="1304925" cy="63817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228600</xdr:colOff>
      <xdr:row>537</xdr:row>
      <xdr:rowOff>0</xdr:rowOff>
    </xdr:from>
    <xdr:to>
      <xdr:col>8</xdr:col>
      <xdr:colOff>76200</xdr:colOff>
      <xdr:row>537</xdr:row>
      <xdr:rowOff>9525</xdr:rowOff>
    </xdr:to>
    <xdr:cxnSp macro="">
      <xdr:nvCxnSpPr>
        <xdr:cNvPr id="630" name="Straight Connector 629"/>
        <xdr:cNvCxnSpPr/>
      </xdr:nvCxnSpPr>
      <xdr:spPr bwMode="auto">
        <a:xfrm flipV="1">
          <a:off x="228600" y="67656075"/>
          <a:ext cx="47244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180975</xdr:colOff>
      <xdr:row>535</xdr:row>
      <xdr:rowOff>9525</xdr:rowOff>
    </xdr:from>
    <xdr:to>
      <xdr:col>4</xdr:col>
      <xdr:colOff>85725</xdr:colOff>
      <xdr:row>538</xdr:row>
      <xdr:rowOff>146049</xdr:rowOff>
    </xdr:to>
    <xdr:sp macro="" textlink="">
      <xdr:nvSpPr>
        <xdr:cNvPr id="631" name="Freeform 630"/>
        <xdr:cNvSpPr/>
      </xdr:nvSpPr>
      <xdr:spPr bwMode="auto">
        <a:xfrm>
          <a:off x="1400175" y="67341750"/>
          <a:ext cx="1123950" cy="622299"/>
        </a:xfrm>
        <a:custGeom>
          <a:avLst/>
          <a:gdLst>
            <a:gd name="connsiteX0" fmla="*/ 0 w 1085850"/>
            <a:gd name="connsiteY0" fmla="*/ 19050 h 603250"/>
            <a:gd name="connsiteX1" fmla="*/ 390525 w 1085850"/>
            <a:gd name="connsiteY1" fmla="*/ 600075 h 603250"/>
            <a:gd name="connsiteX2" fmla="*/ 1085850 w 1085850"/>
            <a:gd name="connsiteY2" fmla="*/ 0 h 603250"/>
            <a:gd name="connsiteX3" fmla="*/ 1085850 w 1085850"/>
            <a:gd name="connsiteY3" fmla="*/ 0 h 603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085850" h="603250">
              <a:moveTo>
                <a:pt x="0" y="19050"/>
              </a:moveTo>
              <a:cubicBezTo>
                <a:pt x="104775" y="311150"/>
                <a:pt x="209550" y="603250"/>
                <a:pt x="390525" y="600075"/>
              </a:cubicBezTo>
              <a:cubicBezTo>
                <a:pt x="571500" y="596900"/>
                <a:pt x="1085850" y="0"/>
                <a:pt x="1085850" y="0"/>
              </a:cubicBezTo>
              <a:lnTo>
                <a:pt x="1085850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219076</xdr:colOff>
      <xdr:row>535</xdr:row>
      <xdr:rowOff>9525</xdr:rowOff>
    </xdr:from>
    <xdr:to>
      <xdr:col>2</xdr:col>
      <xdr:colOff>180975</xdr:colOff>
      <xdr:row>536</xdr:row>
      <xdr:rowOff>103187</xdr:rowOff>
    </xdr:to>
    <xdr:sp macro="" textlink="">
      <xdr:nvSpPr>
        <xdr:cNvPr id="632" name="Freeform 631"/>
        <xdr:cNvSpPr/>
      </xdr:nvSpPr>
      <xdr:spPr bwMode="auto">
        <a:xfrm>
          <a:off x="219076" y="67341750"/>
          <a:ext cx="1181099" cy="255587"/>
        </a:xfrm>
        <a:custGeom>
          <a:avLst/>
          <a:gdLst>
            <a:gd name="connsiteX0" fmla="*/ 0 w 1209675"/>
            <a:gd name="connsiteY0" fmla="*/ 0 h 255588"/>
            <a:gd name="connsiteX1" fmla="*/ 609600 w 1209675"/>
            <a:gd name="connsiteY1" fmla="*/ 247650 h 255588"/>
            <a:gd name="connsiteX2" fmla="*/ 1209675 w 1209675"/>
            <a:gd name="connsiteY2" fmla="*/ 47625 h 255588"/>
            <a:gd name="connsiteX3" fmla="*/ 1209675 w 1209675"/>
            <a:gd name="connsiteY3" fmla="*/ 47625 h 2555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209675" h="255588">
              <a:moveTo>
                <a:pt x="0" y="0"/>
              </a:moveTo>
              <a:cubicBezTo>
                <a:pt x="203993" y="119856"/>
                <a:pt x="407987" y="239712"/>
                <a:pt x="609600" y="247650"/>
              </a:cubicBezTo>
              <a:cubicBezTo>
                <a:pt x="811213" y="255588"/>
                <a:pt x="1209675" y="47625"/>
                <a:pt x="1209675" y="47625"/>
              </a:cubicBezTo>
              <a:lnTo>
                <a:pt x="1209675" y="47625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104775</xdr:colOff>
      <xdr:row>534</xdr:row>
      <xdr:rowOff>133350</xdr:rowOff>
    </xdr:from>
    <xdr:to>
      <xdr:col>6</xdr:col>
      <xdr:colOff>9525</xdr:colOff>
      <xdr:row>538</xdr:row>
      <xdr:rowOff>127000</xdr:rowOff>
    </xdr:to>
    <xdr:sp macro="" textlink="">
      <xdr:nvSpPr>
        <xdr:cNvPr id="633" name="Freeform 632"/>
        <xdr:cNvSpPr/>
      </xdr:nvSpPr>
      <xdr:spPr bwMode="auto">
        <a:xfrm>
          <a:off x="2543175" y="67303650"/>
          <a:ext cx="1123950" cy="641350"/>
        </a:xfrm>
        <a:custGeom>
          <a:avLst/>
          <a:gdLst>
            <a:gd name="connsiteX0" fmla="*/ 0 w 1085850"/>
            <a:gd name="connsiteY0" fmla="*/ 19050 h 603250"/>
            <a:gd name="connsiteX1" fmla="*/ 390525 w 1085850"/>
            <a:gd name="connsiteY1" fmla="*/ 600075 h 603250"/>
            <a:gd name="connsiteX2" fmla="*/ 1085850 w 1085850"/>
            <a:gd name="connsiteY2" fmla="*/ 0 h 603250"/>
            <a:gd name="connsiteX3" fmla="*/ 1085850 w 1085850"/>
            <a:gd name="connsiteY3" fmla="*/ 0 h 603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085850" h="603250">
              <a:moveTo>
                <a:pt x="0" y="19050"/>
              </a:moveTo>
              <a:cubicBezTo>
                <a:pt x="104775" y="311150"/>
                <a:pt x="209550" y="603250"/>
                <a:pt x="390525" y="600075"/>
              </a:cubicBezTo>
              <a:cubicBezTo>
                <a:pt x="571500" y="596900"/>
                <a:pt x="1085850" y="0"/>
                <a:pt x="1085850" y="0"/>
              </a:cubicBezTo>
              <a:lnTo>
                <a:pt x="1085850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0</xdr:colOff>
      <xdr:row>534</xdr:row>
      <xdr:rowOff>123825</xdr:rowOff>
    </xdr:from>
    <xdr:to>
      <xdr:col>8</xdr:col>
      <xdr:colOff>114300</xdr:colOff>
      <xdr:row>536</xdr:row>
      <xdr:rowOff>93663</xdr:rowOff>
    </xdr:to>
    <xdr:sp macro="" textlink="">
      <xdr:nvSpPr>
        <xdr:cNvPr id="634" name="Freeform 633"/>
        <xdr:cNvSpPr/>
      </xdr:nvSpPr>
      <xdr:spPr bwMode="auto">
        <a:xfrm>
          <a:off x="3657600" y="67294125"/>
          <a:ext cx="1333500" cy="293688"/>
        </a:xfrm>
        <a:custGeom>
          <a:avLst/>
          <a:gdLst>
            <a:gd name="connsiteX0" fmla="*/ 0 w 1209675"/>
            <a:gd name="connsiteY0" fmla="*/ 0 h 255588"/>
            <a:gd name="connsiteX1" fmla="*/ 609600 w 1209675"/>
            <a:gd name="connsiteY1" fmla="*/ 247650 h 255588"/>
            <a:gd name="connsiteX2" fmla="*/ 1209675 w 1209675"/>
            <a:gd name="connsiteY2" fmla="*/ 47625 h 255588"/>
            <a:gd name="connsiteX3" fmla="*/ 1209675 w 1209675"/>
            <a:gd name="connsiteY3" fmla="*/ 47625 h 2555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209675" h="255588">
              <a:moveTo>
                <a:pt x="0" y="0"/>
              </a:moveTo>
              <a:cubicBezTo>
                <a:pt x="203993" y="119856"/>
                <a:pt x="407987" y="239712"/>
                <a:pt x="609600" y="247650"/>
              </a:cubicBezTo>
              <a:cubicBezTo>
                <a:pt x="811213" y="255588"/>
                <a:pt x="1209675" y="47625"/>
                <a:pt x="1209675" y="47625"/>
              </a:cubicBezTo>
              <a:lnTo>
                <a:pt x="1209675" y="47625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57150</xdr:colOff>
      <xdr:row>521</xdr:row>
      <xdr:rowOff>85725</xdr:rowOff>
    </xdr:from>
    <xdr:to>
      <xdr:col>2</xdr:col>
      <xdr:colOff>247650</xdr:colOff>
      <xdr:row>522</xdr:row>
      <xdr:rowOff>95250</xdr:rowOff>
    </xdr:to>
    <xdr:cxnSp macro="">
      <xdr:nvCxnSpPr>
        <xdr:cNvPr id="635" name="Straight Connector 634"/>
        <xdr:cNvCxnSpPr/>
      </xdr:nvCxnSpPr>
      <xdr:spPr bwMode="auto">
        <a:xfrm rot="10800000" flipV="1">
          <a:off x="1276350" y="65151000"/>
          <a:ext cx="190500" cy="1714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600076</xdr:colOff>
      <xdr:row>521</xdr:row>
      <xdr:rowOff>85724</xdr:rowOff>
    </xdr:from>
    <xdr:to>
      <xdr:col>4</xdr:col>
      <xdr:colOff>171451</xdr:colOff>
      <xdr:row>522</xdr:row>
      <xdr:rowOff>85724</xdr:rowOff>
    </xdr:to>
    <xdr:cxnSp macro="">
      <xdr:nvCxnSpPr>
        <xdr:cNvPr id="636" name="Straight Connector 635"/>
        <xdr:cNvCxnSpPr/>
      </xdr:nvCxnSpPr>
      <xdr:spPr bwMode="auto">
        <a:xfrm rot="10800000" flipV="1">
          <a:off x="2428876" y="65150999"/>
          <a:ext cx="180975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19050</xdr:colOff>
      <xdr:row>521</xdr:row>
      <xdr:rowOff>66676</xdr:rowOff>
    </xdr:from>
    <xdr:to>
      <xdr:col>8</xdr:col>
      <xdr:colOff>180975</xdr:colOff>
      <xdr:row>522</xdr:row>
      <xdr:rowOff>95251</xdr:rowOff>
    </xdr:to>
    <xdr:cxnSp macro="">
      <xdr:nvCxnSpPr>
        <xdr:cNvPr id="637" name="Straight Connector 636"/>
        <xdr:cNvCxnSpPr/>
      </xdr:nvCxnSpPr>
      <xdr:spPr bwMode="auto">
        <a:xfrm rot="5400000">
          <a:off x="4881563" y="65146238"/>
          <a:ext cx="190500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332581</xdr:colOff>
      <xdr:row>520</xdr:row>
      <xdr:rowOff>134144</xdr:rowOff>
    </xdr:from>
    <xdr:to>
      <xdr:col>8</xdr:col>
      <xdr:colOff>334169</xdr:colOff>
      <xdr:row>522</xdr:row>
      <xdr:rowOff>57944</xdr:rowOff>
    </xdr:to>
    <xdr:cxnSp macro="">
      <xdr:nvCxnSpPr>
        <xdr:cNvPr id="638" name="Straight Connector 637"/>
        <xdr:cNvCxnSpPr/>
      </xdr:nvCxnSpPr>
      <xdr:spPr bwMode="auto">
        <a:xfrm rot="5400000">
          <a:off x="5086350" y="65160525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218283</xdr:colOff>
      <xdr:row>527</xdr:row>
      <xdr:rowOff>19051</xdr:rowOff>
    </xdr:from>
    <xdr:to>
      <xdr:col>1</xdr:col>
      <xdr:colOff>228602</xdr:colOff>
      <xdr:row>528</xdr:row>
      <xdr:rowOff>105572</xdr:rowOff>
    </xdr:to>
    <xdr:cxnSp macro="">
      <xdr:nvCxnSpPr>
        <xdr:cNvPr id="639" name="Straight Connector 638"/>
        <xdr:cNvCxnSpPr/>
      </xdr:nvCxnSpPr>
      <xdr:spPr bwMode="auto">
        <a:xfrm rot="5400000" flipH="1" flipV="1">
          <a:off x="708820" y="66174939"/>
          <a:ext cx="248446" cy="1031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228600</xdr:colOff>
      <xdr:row>527</xdr:row>
      <xdr:rowOff>104775</xdr:rowOff>
    </xdr:from>
    <xdr:to>
      <xdr:col>1</xdr:col>
      <xdr:colOff>219075</xdr:colOff>
      <xdr:row>527</xdr:row>
      <xdr:rowOff>106363</xdr:rowOff>
    </xdr:to>
    <xdr:cxnSp macro="">
      <xdr:nvCxnSpPr>
        <xdr:cNvPr id="640" name="Straight Arrow Connector 639"/>
        <xdr:cNvCxnSpPr/>
      </xdr:nvCxnSpPr>
      <xdr:spPr bwMode="auto">
        <a:xfrm>
          <a:off x="228600" y="66141600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3</xdr:col>
      <xdr:colOff>161136</xdr:colOff>
      <xdr:row>525</xdr:row>
      <xdr:rowOff>133350</xdr:rowOff>
    </xdr:from>
    <xdr:to>
      <xdr:col>3</xdr:col>
      <xdr:colOff>171454</xdr:colOff>
      <xdr:row>528</xdr:row>
      <xdr:rowOff>105574</xdr:rowOff>
    </xdr:to>
    <xdr:cxnSp macro="">
      <xdr:nvCxnSpPr>
        <xdr:cNvPr id="641" name="Straight Connector 640"/>
        <xdr:cNvCxnSpPr/>
      </xdr:nvCxnSpPr>
      <xdr:spPr bwMode="auto">
        <a:xfrm rot="5400000" flipH="1" flipV="1">
          <a:off x="1766095" y="66070166"/>
          <a:ext cx="457999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94463</xdr:colOff>
      <xdr:row>525</xdr:row>
      <xdr:rowOff>133353</xdr:rowOff>
    </xdr:from>
    <xdr:to>
      <xdr:col>5</xdr:col>
      <xdr:colOff>104781</xdr:colOff>
      <xdr:row>528</xdr:row>
      <xdr:rowOff>105577</xdr:rowOff>
    </xdr:to>
    <xdr:cxnSp macro="">
      <xdr:nvCxnSpPr>
        <xdr:cNvPr id="642" name="Straight Connector 641"/>
        <xdr:cNvCxnSpPr/>
      </xdr:nvCxnSpPr>
      <xdr:spPr bwMode="auto">
        <a:xfrm rot="5400000" flipH="1" flipV="1">
          <a:off x="2918622" y="66070169"/>
          <a:ext cx="457999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171450</xdr:colOff>
      <xdr:row>526</xdr:row>
      <xdr:rowOff>76200</xdr:rowOff>
    </xdr:from>
    <xdr:to>
      <xdr:col>3</xdr:col>
      <xdr:colOff>161925</xdr:colOff>
      <xdr:row>526</xdr:row>
      <xdr:rowOff>77788</xdr:rowOff>
    </xdr:to>
    <xdr:cxnSp macro="">
      <xdr:nvCxnSpPr>
        <xdr:cNvPr id="643" name="Straight Arrow Connector 642"/>
        <xdr:cNvCxnSpPr/>
      </xdr:nvCxnSpPr>
      <xdr:spPr bwMode="auto">
        <a:xfrm>
          <a:off x="1390650" y="65951100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4</xdr:col>
      <xdr:colOff>114300</xdr:colOff>
      <xdr:row>526</xdr:row>
      <xdr:rowOff>66675</xdr:rowOff>
    </xdr:from>
    <xdr:to>
      <xdr:col>5</xdr:col>
      <xdr:colOff>104775</xdr:colOff>
      <xdr:row>526</xdr:row>
      <xdr:rowOff>68263</xdr:rowOff>
    </xdr:to>
    <xdr:cxnSp macro="">
      <xdr:nvCxnSpPr>
        <xdr:cNvPr id="644" name="Straight Arrow Connector 643"/>
        <xdr:cNvCxnSpPr/>
      </xdr:nvCxnSpPr>
      <xdr:spPr bwMode="auto">
        <a:xfrm>
          <a:off x="2552700" y="65941575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7</xdr:col>
      <xdr:colOff>38101</xdr:colOff>
      <xdr:row>525</xdr:row>
      <xdr:rowOff>114302</xdr:rowOff>
    </xdr:from>
    <xdr:to>
      <xdr:col>7</xdr:col>
      <xdr:colOff>48419</xdr:colOff>
      <xdr:row>528</xdr:row>
      <xdr:rowOff>86526</xdr:rowOff>
    </xdr:to>
    <xdr:cxnSp macro="">
      <xdr:nvCxnSpPr>
        <xdr:cNvPr id="645" name="Straight Connector 644"/>
        <xdr:cNvCxnSpPr/>
      </xdr:nvCxnSpPr>
      <xdr:spPr bwMode="auto">
        <a:xfrm rot="5400000" flipH="1" flipV="1">
          <a:off x="4081460" y="66051118"/>
          <a:ext cx="457999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38100</xdr:colOff>
      <xdr:row>526</xdr:row>
      <xdr:rowOff>38100</xdr:rowOff>
    </xdr:from>
    <xdr:to>
      <xdr:col>7</xdr:col>
      <xdr:colOff>28575</xdr:colOff>
      <xdr:row>526</xdr:row>
      <xdr:rowOff>39688</xdr:rowOff>
    </xdr:to>
    <xdr:cxnSp macro="">
      <xdr:nvCxnSpPr>
        <xdr:cNvPr id="646" name="Straight Arrow Connector 645"/>
        <xdr:cNvCxnSpPr/>
      </xdr:nvCxnSpPr>
      <xdr:spPr bwMode="auto">
        <a:xfrm>
          <a:off x="3695700" y="65913000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2</xdr:col>
      <xdr:colOff>381000</xdr:colOff>
      <xdr:row>129</xdr:row>
      <xdr:rowOff>0</xdr:rowOff>
    </xdr:from>
    <xdr:to>
      <xdr:col>4</xdr:col>
      <xdr:colOff>190500</xdr:colOff>
      <xdr:row>129</xdr:row>
      <xdr:rowOff>0</xdr:rowOff>
    </xdr:to>
    <xdr:sp macro="" textlink="">
      <xdr:nvSpPr>
        <xdr:cNvPr id="647" name="Line 164"/>
        <xdr:cNvSpPr>
          <a:spLocks noChangeShapeType="1"/>
        </xdr:cNvSpPr>
      </xdr:nvSpPr>
      <xdr:spPr bwMode="auto">
        <a:xfrm>
          <a:off x="1600200" y="14725650"/>
          <a:ext cx="1028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295275</xdr:colOff>
      <xdr:row>127</xdr:row>
      <xdr:rowOff>152400</xdr:rowOff>
    </xdr:from>
    <xdr:to>
      <xdr:col>4</xdr:col>
      <xdr:colOff>514350</xdr:colOff>
      <xdr:row>127</xdr:row>
      <xdr:rowOff>152400</xdr:rowOff>
    </xdr:to>
    <xdr:sp macro="" textlink="">
      <xdr:nvSpPr>
        <xdr:cNvPr id="649" name="Line 203"/>
        <xdr:cNvSpPr>
          <a:spLocks noChangeShapeType="1"/>
        </xdr:cNvSpPr>
      </xdr:nvSpPr>
      <xdr:spPr bwMode="auto">
        <a:xfrm flipH="1">
          <a:off x="2733675" y="1455420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sm"/>
          <a:tailEnd type="none" w="med" len="sm"/>
        </a:ln>
      </xdr:spPr>
    </xdr:sp>
    <xdr:clientData/>
  </xdr:twoCellAnchor>
  <xdr:twoCellAnchor>
    <xdr:from>
      <xdr:col>4</xdr:col>
      <xdr:colOff>400050</xdr:colOff>
      <xdr:row>125</xdr:row>
      <xdr:rowOff>152400</xdr:rowOff>
    </xdr:from>
    <xdr:to>
      <xdr:col>4</xdr:col>
      <xdr:colOff>523875</xdr:colOff>
      <xdr:row>125</xdr:row>
      <xdr:rowOff>152400</xdr:rowOff>
    </xdr:to>
    <xdr:sp macro="" textlink="">
      <xdr:nvSpPr>
        <xdr:cNvPr id="650" name="Line 204"/>
        <xdr:cNvSpPr>
          <a:spLocks noChangeShapeType="1"/>
        </xdr:cNvSpPr>
      </xdr:nvSpPr>
      <xdr:spPr bwMode="auto">
        <a:xfrm flipH="1">
          <a:off x="2838450" y="1423035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sm"/>
          <a:tailEnd type="none" w="med" len="sm"/>
        </a:ln>
      </xdr:spPr>
    </xdr:sp>
    <xdr:clientData/>
  </xdr:twoCellAnchor>
  <xdr:twoCellAnchor>
    <xdr:from>
      <xdr:col>4</xdr:col>
      <xdr:colOff>114300</xdr:colOff>
      <xdr:row>133</xdr:row>
      <xdr:rowOff>0</xdr:rowOff>
    </xdr:from>
    <xdr:to>
      <xdr:col>4</xdr:col>
      <xdr:colOff>514350</xdr:colOff>
      <xdr:row>133</xdr:row>
      <xdr:rowOff>9525</xdr:rowOff>
    </xdr:to>
    <xdr:cxnSp macro="">
      <xdr:nvCxnSpPr>
        <xdr:cNvPr id="652" name="Straight Arrow Connector 651"/>
        <xdr:cNvCxnSpPr/>
      </xdr:nvCxnSpPr>
      <xdr:spPr bwMode="auto">
        <a:xfrm flipV="1">
          <a:off x="2552700" y="15373350"/>
          <a:ext cx="400050" cy="95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cxnSp>
    <xdr:clientData/>
  </xdr:twoCellAnchor>
  <xdr:twoCellAnchor>
    <xdr:from>
      <xdr:col>4</xdr:col>
      <xdr:colOff>180975</xdr:colOff>
      <xdr:row>130</xdr:row>
      <xdr:rowOff>152400</xdr:rowOff>
    </xdr:from>
    <xdr:to>
      <xdr:col>4</xdr:col>
      <xdr:colOff>495300</xdr:colOff>
      <xdr:row>131</xdr:row>
      <xdr:rowOff>0</xdr:rowOff>
    </xdr:to>
    <xdr:cxnSp macro="">
      <xdr:nvCxnSpPr>
        <xdr:cNvPr id="654" name="Straight Arrow Connector 653"/>
        <xdr:cNvCxnSpPr/>
      </xdr:nvCxnSpPr>
      <xdr:spPr bwMode="auto">
        <a:xfrm>
          <a:off x="2619375" y="15039975"/>
          <a:ext cx="314325" cy="95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cxnSp>
    <xdr:clientData/>
  </xdr:twoCellAnchor>
  <xdr:twoCellAnchor>
    <xdr:from>
      <xdr:col>4</xdr:col>
      <xdr:colOff>19050</xdr:colOff>
      <xdr:row>135</xdr:row>
      <xdr:rowOff>9525</xdr:rowOff>
    </xdr:from>
    <xdr:to>
      <xdr:col>4</xdr:col>
      <xdr:colOff>523875</xdr:colOff>
      <xdr:row>135</xdr:row>
      <xdr:rowOff>9525</xdr:rowOff>
    </xdr:to>
    <xdr:sp macro="" textlink="">
      <xdr:nvSpPr>
        <xdr:cNvPr id="659" name="Line 173"/>
        <xdr:cNvSpPr>
          <a:spLocks noChangeShapeType="1"/>
        </xdr:cNvSpPr>
      </xdr:nvSpPr>
      <xdr:spPr bwMode="auto">
        <a:xfrm>
          <a:off x="2457450" y="15706725"/>
          <a:ext cx="504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sp>
    <xdr:clientData/>
  </xdr:twoCellAnchor>
  <xdr:twoCellAnchor>
    <xdr:from>
      <xdr:col>2</xdr:col>
      <xdr:colOff>180975</xdr:colOff>
      <xdr:row>269</xdr:row>
      <xdr:rowOff>38100</xdr:rowOff>
    </xdr:from>
    <xdr:to>
      <xdr:col>3</xdr:col>
      <xdr:colOff>476250</xdr:colOff>
      <xdr:row>269</xdr:row>
      <xdr:rowOff>152400</xdr:rowOff>
    </xdr:to>
    <xdr:sp macro="" textlink="">
      <xdr:nvSpPr>
        <xdr:cNvPr id="660" name="Rectangle 659"/>
        <xdr:cNvSpPr/>
      </xdr:nvSpPr>
      <xdr:spPr bwMode="auto">
        <a:xfrm>
          <a:off x="1400175" y="37690425"/>
          <a:ext cx="904875" cy="114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triangl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180975</xdr:colOff>
      <xdr:row>262</xdr:row>
      <xdr:rowOff>0</xdr:rowOff>
    </xdr:from>
    <xdr:to>
      <xdr:col>2</xdr:col>
      <xdr:colOff>333375</xdr:colOff>
      <xdr:row>269</xdr:row>
      <xdr:rowOff>38100</xdr:rowOff>
    </xdr:to>
    <xdr:sp macro="" textlink="">
      <xdr:nvSpPr>
        <xdr:cNvPr id="662" name="Rectangle 661"/>
        <xdr:cNvSpPr/>
      </xdr:nvSpPr>
      <xdr:spPr bwMode="auto">
        <a:xfrm>
          <a:off x="1400175" y="36518850"/>
          <a:ext cx="152400" cy="11715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1</xdr:colOff>
      <xdr:row>262</xdr:row>
      <xdr:rowOff>104775</xdr:rowOff>
    </xdr:from>
    <xdr:to>
      <xdr:col>2</xdr:col>
      <xdr:colOff>161928</xdr:colOff>
      <xdr:row>262</xdr:row>
      <xdr:rowOff>106363</xdr:rowOff>
    </xdr:to>
    <xdr:cxnSp macro="">
      <xdr:nvCxnSpPr>
        <xdr:cNvPr id="663" name="Straight Connector 662"/>
        <xdr:cNvCxnSpPr/>
      </xdr:nvCxnSpPr>
      <xdr:spPr bwMode="auto">
        <a:xfrm rot="10800000">
          <a:off x="609601" y="36623625"/>
          <a:ext cx="77152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264</xdr:row>
      <xdr:rowOff>152400</xdr:rowOff>
    </xdr:from>
    <xdr:to>
      <xdr:col>7</xdr:col>
      <xdr:colOff>342900</xdr:colOff>
      <xdr:row>264</xdr:row>
      <xdr:rowOff>152400</xdr:rowOff>
    </xdr:to>
    <xdr:sp macro="" textlink="">
      <xdr:nvSpPr>
        <xdr:cNvPr id="651" name="Line 267"/>
        <xdr:cNvSpPr>
          <a:spLocks noChangeShapeType="1"/>
        </xdr:cNvSpPr>
      </xdr:nvSpPr>
      <xdr:spPr bwMode="auto">
        <a:xfrm>
          <a:off x="3657600" y="37642800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264</xdr:row>
      <xdr:rowOff>142875</xdr:rowOff>
    </xdr:from>
    <xdr:to>
      <xdr:col>6</xdr:col>
      <xdr:colOff>0</xdr:colOff>
      <xdr:row>266</xdr:row>
      <xdr:rowOff>47625</xdr:rowOff>
    </xdr:to>
    <xdr:sp macro="" textlink="">
      <xdr:nvSpPr>
        <xdr:cNvPr id="653" name="Line 274"/>
        <xdr:cNvSpPr>
          <a:spLocks noChangeShapeType="1"/>
        </xdr:cNvSpPr>
      </xdr:nvSpPr>
      <xdr:spPr bwMode="auto">
        <a:xfrm>
          <a:off x="3657600" y="37633275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266</xdr:row>
      <xdr:rowOff>47625</xdr:rowOff>
    </xdr:from>
    <xdr:to>
      <xdr:col>7</xdr:col>
      <xdr:colOff>352425</xdr:colOff>
      <xdr:row>266</xdr:row>
      <xdr:rowOff>47625</xdr:rowOff>
    </xdr:to>
    <xdr:sp macro="" textlink="">
      <xdr:nvSpPr>
        <xdr:cNvPr id="655" name="Line 267"/>
        <xdr:cNvSpPr>
          <a:spLocks noChangeShapeType="1"/>
        </xdr:cNvSpPr>
      </xdr:nvSpPr>
      <xdr:spPr bwMode="auto">
        <a:xfrm>
          <a:off x="3667125" y="37861875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342900</xdr:colOff>
      <xdr:row>261</xdr:row>
      <xdr:rowOff>48611</xdr:rowOff>
    </xdr:from>
    <xdr:to>
      <xdr:col>7</xdr:col>
      <xdr:colOff>342900</xdr:colOff>
      <xdr:row>265</xdr:row>
      <xdr:rowOff>985</xdr:rowOff>
    </xdr:to>
    <xdr:sp macro="" textlink="">
      <xdr:nvSpPr>
        <xdr:cNvPr id="656" name="Line 268"/>
        <xdr:cNvSpPr>
          <a:spLocks noChangeShapeType="1"/>
        </xdr:cNvSpPr>
      </xdr:nvSpPr>
      <xdr:spPr bwMode="auto">
        <a:xfrm flipH="1">
          <a:off x="4619297" y="37511421"/>
          <a:ext cx="0" cy="60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262</xdr:row>
      <xdr:rowOff>57150</xdr:rowOff>
    </xdr:from>
    <xdr:to>
      <xdr:col>8</xdr:col>
      <xdr:colOff>0</xdr:colOff>
      <xdr:row>267</xdr:row>
      <xdr:rowOff>57150</xdr:rowOff>
    </xdr:to>
    <xdr:sp macro="" textlink="">
      <xdr:nvSpPr>
        <xdr:cNvPr id="657" name="Line 266"/>
        <xdr:cNvSpPr>
          <a:spLocks noChangeShapeType="1"/>
        </xdr:cNvSpPr>
      </xdr:nvSpPr>
      <xdr:spPr bwMode="auto">
        <a:xfrm>
          <a:off x="4876800" y="37223700"/>
          <a:ext cx="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353931</xdr:colOff>
      <xdr:row>266</xdr:row>
      <xdr:rowOff>46777</xdr:rowOff>
    </xdr:from>
    <xdr:to>
      <xdr:col>7</xdr:col>
      <xdr:colOff>355519</xdr:colOff>
      <xdr:row>267</xdr:row>
      <xdr:rowOff>73053</xdr:rowOff>
    </xdr:to>
    <xdr:cxnSp macro="">
      <xdr:nvCxnSpPr>
        <xdr:cNvPr id="664" name="Straight Connector 663"/>
        <xdr:cNvCxnSpPr/>
      </xdr:nvCxnSpPr>
      <xdr:spPr bwMode="auto">
        <a:xfrm rot="5400000">
          <a:off x="4535872" y="38425164"/>
          <a:ext cx="190500" cy="15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7</xdr:col>
      <xdr:colOff>290946</xdr:colOff>
      <xdr:row>264</xdr:row>
      <xdr:rowOff>113435</xdr:rowOff>
    </xdr:from>
    <xdr:to>
      <xdr:col>7</xdr:col>
      <xdr:colOff>462396</xdr:colOff>
      <xdr:row>264</xdr:row>
      <xdr:rowOff>113435</xdr:rowOff>
    </xdr:to>
    <xdr:sp macro="" textlink="">
      <xdr:nvSpPr>
        <xdr:cNvPr id="658" name="Line 269"/>
        <xdr:cNvSpPr>
          <a:spLocks noChangeShapeType="1"/>
        </xdr:cNvSpPr>
      </xdr:nvSpPr>
      <xdr:spPr bwMode="auto">
        <a:xfrm>
          <a:off x="4558146" y="3711806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462396</xdr:colOff>
      <xdr:row>264</xdr:row>
      <xdr:rowOff>58017</xdr:rowOff>
    </xdr:from>
    <xdr:to>
      <xdr:col>7</xdr:col>
      <xdr:colOff>548121</xdr:colOff>
      <xdr:row>264</xdr:row>
      <xdr:rowOff>161060</xdr:rowOff>
    </xdr:to>
    <xdr:sp macro="" textlink="">
      <xdr:nvSpPr>
        <xdr:cNvPr id="665" name="Line 271"/>
        <xdr:cNvSpPr>
          <a:spLocks noChangeShapeType="1"/>
        </xdr:cNvSpPr>
      </xdr:nvSpPr>
      <xdr:spPr bwMode="auto">
        <a:xfrm>
          <a:off x="4729596" y="37062642"/>
          <a:ext cx="85725" cy="10304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548121</xdr:colOff>
      <xdr:row>264</xdr:row>
      <xdr:rowOff>103910</xdr:rowOff>
    </xdr:from>
    <xdr:to>
      <xdr:col>8</xdr:col>
      <xdr:colOff>186171</xdr:colOff>
      <xdr:row>264</xdr:row>
      <xdr:rowOff>103910</xdr:rowOff>
    </xdr:to>
    <xdr:sp macro="" textlink="">
      <xdr:nvSpPr>
        <xdr:cNvPr id="666" name="Line 273"/>
        <xdr:cNvSpPr>
          <a:spLocks noChangeShapeType="1"/>
        </xdr:cNvSpPr>
      </xdr:nvSpPr>
      <xdr:spPr bwMode="auto">
        <a:xfrm>
          <a:off x="4815321" y="37108535"/>
          <a:ext cx="247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464820</xdr:colOff>
      <xdr:row>264</xdr:row>
      <xdr:rowOff>58535</xdr:rowOff>
    </xdr:from>
    <xdr:to>
      <xdr:col>7</xdr:col>
      <xdr:colOff>464820</xdr:colOff>
      <xdr:row>264</xdr:row>
      <xdr:rowOff>123478</xdr:rowOff>
    </xdr:to>
    <xdr:sp macro="" textlink="">
      <xdr:nvSpPr>
        <xdr:cNvPr id="668" name="Line 270"/>
        <xdr:cNvSpPr>
          <a:spLocks noChangeShapeType="1"/>
        </xdr:cNvSpPr>
      </xdr:nvSpPr>
      <xdr:spPr bwMode="auto">
        <a:xfrm flipV="1">
          <a:off x="4732020" y="37484165"/>
          <a:ext cx="0" cy="6494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550026</xdr:colOff>
      <xdr:row>264</xdr:row>
      <xdr:rowOff>102004</xdr:rowOff>
    </xdr:from>
    <xdr:to>
      <xdr:col>7</xdr:col>
      <xdr:colOff>550026</xdr:colOff>
      <xdr:row>265</xdr:row>
      <xdr:rowOff>4849</xdr:rowOff>
    </xdr:to>
    <xdr:sp macro="" textlink="">
      <xdr:nvSpPr>
        <xdr:cNvPr id="669" name="Line 272"/>
        <xdr:cNvSpPr>
          <a:spLocks noChangeShapeType="1"/>
        </xdr:cNvSpPr>
      </xdr:nvSpPr>
      <xdr:spPr bwMode="auto">
        <a:xfrm flipV="1">
          <a:off x="4817226" y="37527634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61</xdr:row>
      <xdr:rowOff>0</xdr:rowOff>
    </xdr:from>
    <xdr:to>
      <xdr:col>3</xdr:col>
      <xdr:colOff>0</xdr:colOff>
      <xdr:row>61</xdr:row>
      <xdr:rowOff>95250</xdr:rowOff>
    </xdr:to>
    <xdr:sp macro="" textlink="">
      <xdr:nvSpPr>
        <xdr:cNvPr id="661" name="Rectangle 660"/>
        <xdr:cNvSpPr/>
      </xdr:nvSpPr>
      <xdr:spPr bwMode="auto">
        <a:xfrm>
          <a:off x="1209675" y="10315575"/>
          <a:ext cx="619125" cy="95250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61</xdr:row>
      <xdr:rowOff>9525</xdr:rowOff>
    </xdr:from>
    <xdr:to>
      <xdr:col>3</xdr:col>
      <xdr:colOff>0</xdr:colOff>
      <xdr:row>67</xdr:row>
      <xdr:rowOff>0</xdr:rowOff>
    </xdr:to>
    <xdr:sp macro="" textlink="">
      <xdr:nvSpPr>
        <xdr:cNvPr id="2" name="Line 4"/>
        <xdr:cNvSpPr>
          <a:spLocks noChangeShapeType="1"/>
        </xdr:cNvSpPr>
      </xdr:nvSpPr>
      <xdr:spPr bwMode="auto">
        <a:xfrm>
          <a:off x="1828800" y="10325100"/>
          <a:ext cx="0" cy="962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66</xdr:row>
      <xdr:rowOff>152400</xdr:rowOff>
    </xdr:from>
    <xdr:to>
      <xdr:col>6</xdr:col>
      <xdr:colOff>9525</xdr:colOff>
      <xdr:row>66</xdr:row>
      <xdr:rowOff>152400</xdr:rowOff>
    </xdr:to>
    <xdr:sp macro="" textlink="">
      <xdr:nvSpPr>
        <xdr:cNvPr id="3" name="Line 5"/>
        <xdr:cNvSpPr>
          <a:spLocks noChangeShapeType="1"/>
        </xdr:cNvSpPr>
      </xdr:nvSpPr>
      <xdr:spPr bwMode="auto">
        <a:xfrm>
          <a:off x="1828800" y="11277600"/>
          <a:ext cx="18383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61</xdr:row>
      <xdr:rowOff>9525</xdr:rowOff>
    </xdr:from>
    <xdr:to>
      <xdr:col>6</xdr:col>
      <xdr:colOff>0</xdr:colOff>
      <xdr:row>66</xdr:row>
      <xdr:rowOff>152400</xdr:rowOff>
    </xdr:to>
    <xdr:sp macro="" textlink="">
      <xdr:nvSpPr>
        <xdr:cNvPr id="4" name="Line 7"/>
        <xdr:cNvSpPr>
          <a:spLocks noChangeShapeType="1"/>
        </xdr:cNvSpPr>
      </xdr:nvSpPr>
      <xdr:spPr bwMode="auto">
        <a:xfrm flipV="1">
          <a:off x="3657600" y="10325100"/>
          <a:ext cx="0" cy="952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114300</xdr:colOff>
      <xdr:row>61</xdr:row>
      <xdr:rowOff>0</xdr:rowOff>
    </xdr:from>
    <xdr:to>
      <xdr:col>3</xdr:col>
      <xdr:colOff>114300</xdr:colOff>
      <xdr:row>66</xdr:row>
      <xdr:rowOff>0</xdr:rowOff>
    </xdr:to>
    <xdr:sp macro="" textlink="">
      <xdr:nvSpPr>
        <xdr:cNvPr id="5" name="Line 9"/>
        <xdr:cNvSpPr>
          <a:spLocks noChangeShapeType="1"/>
        </xdr:cNvSpPr>
      </xdr:nvSpPr>
      <xdr:spPr bwMode="auto">
        <a:xfrm>
          <a:off x="1943100" y="103155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61</xdr:row>
      <xdr:rowOff>0</xdr:rowOff>
    </xdr:from>
    <xdr:to>
      <xdr:col>5</xdr:col>
      <xdr:colOff>495300</xdr:colOff>
      <xdr:row>66</xdr:row>
      <xdr:rowOff>0</xdr:rowOff>
    </xdr:to>
    <xdr:sp macro="" textlink="">
      <xdr:nvSpPr>
        <xdr:cNvPr id="6" name="Line 11"/>
        <xdr:cNvSpPr>
          <a:spLocks noChangeShapeType="1"/>
        </xdr:cNvSpPr>
      </xdr:nvSpPr>
      <xdr:spPr bwMode="auto">
        <a:xfrm>
          <a:off x="3543300" y="10315575"/>
          <a:ext cx="0" cy="8096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66</xdr:row>
      <xdr:rowOff>0</xdr:rowOff>
    </xdr:from>
    <xdr:to>
      <xdr:col>5</xdr:col>
      <xdr:colOff>495300</xdr:colOff>
      <xdr:row>66</xdr:row>
      <xdr:rowOff>0</xdr:rowOff>
    </xdr:to>
    <xdr:sp macro="" textlink="">
      <xdr:nvSpPr>
        <xdr:cNvPr id="7" name="Line 12"/>
        <xdr:cNvSpPr>
          <a:spLocks noChangeShapeType="1"/>
        </xdr:cNvSpPr>
      </xdr:nvSpPr>
      <xdr:spPr bwMode="auto">
        <a:xfrm flipH="1">
          <a:off x="1933575" y="11125200"/>
          <a:ext cx="1609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60</xdr:row>
      <xdr:rowOff>152400</xdr:rowOff>
    </xdr:from>
    <xdr:to>
      <xdr:col>7</xdr:col>
      <xdr:colOff>0</xdr:colOff>
      <xdr:row>60</xdr:row>
      <xdr:rowOff>152400</xdr:rowOff>
    </xdr:to>
    <xdr:sp macro="" textlink="">
      <xdr:nvSpPr>
        <xdr:cNvPr id="8" name="Line 13"/>
        <xdr:cNvSpPr>
          <a:spLocks noChangeShapeType="1"/>
        </xdr:cNvSpPr>
      </xdr:nvSpPr>
      <xdr:spPr bwMode="auto">
        <a:xfrm>
          <a:off x="1219200" y="10306050"/>
          <a:ext cx="3048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60</xdr:row>
      <xdr:rowOff>152400</xdr:rowOff>
    </xdr:from>
    <xdr:to>
      <xdr:col>2</xdr:col>
      <xdr:colOff>0</xdr:colOff>
      <xdr:row>70</xdr:row>
      <xdr:rowOff>0</xdr:rowOff>
    </xdr:to>
    <xdr:sp macro="" textlink="">
      <xdr:nvSpPr>
        <xdr:cNvPr id="9" name="Line 14"/>
        <xdr:cNvSpPr>
          <a:spLocks noChangeShapeType="1"/>
        </xdr:cNvSpPr>
      </xdr:nvSpPr>
      <xdr:spPr bwMode="auto">
        <a:xfrm>
          <a:off x="1219200" y="10306050"/>
          <a:ext cx="0" cy="1466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60</xdr:row>
      <xdr:rowOff>152400</xdr:rowOff>
    </xdr:from>
    <xdr:to>
      <xdr:col>6</xdr:col>
      <xdr:colOff>600075</xdr:colOff>
      <xdr:row>70</xdr:row>
      <xdr:rowOff>9525</xdr:rowOff>
    </xdr:to>
    <xdr:sp macro="" textlink="">
      <xdr:nvSpPr>
        <xdr:cNvPr id="10" name="Line 15"/>
        <xdr:cNvSpPr>
          <a:spLocks noChangeShapeType="1"/>
        </xdr:cNvSpPr>
      </xdr:nvSpPr>
      <xdr:spPr bwMode="auto">
        <a:xfrm>
          <a:off x="4257675" y="10306050"/>
          <a:ext cx="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59</xdr:row>
      <xdr:rowOff>0</xdr:rowOff>
    </xdr:from>
    <xdr:to>
      <xdr:col>4</xdr:col>
      <xdr:colOff>600075</xdr:colOff>
      <xdr:row>59</xdr:row>
      <xdr:rowOff>0</xdr:rowOff>
    </xdr:to>
    <xdr:sp macro="" textlink="">
      <xdr:nvSpPr>
        <xdr:cNvPr id="11" name="Line 17"/>
        <xdr:cNvSpPr>
          <a:spLocks noChangeShapeType="1"/>
        </xdr:cNvSpPr>
      </xdr:nvSpPr>
      <xdr:spPr bwMode="auto">
        <a:xfrm>
          <a:off x="2447925" y="9991725"/>
          <a:ext cx="590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114300</xdr:colOff>
      <xdr:row>59</xdr:row>
      <xdr:rowOff>9525</xdr:rowOff>
    </xdr:from>
    <xdr:to>
      <xdr:col>3</xdr:col>
      <xdr:colOff>600075</xdr:colOff>
      <xdr:row>61</xdr:row>
      <xdr:rowOff>0</xdr:rowOff>
    </xdr:to>
    <xdr:sp macro="" textlink="">
      <xdr:nvSpPr>
        <xdr:cNvPr id="12" name="Line 18"/>
        <xdr:cNvSpPr>
          <a:spLocks noChangeShapeType="1"/>
        </xdr:cNvSpPr>
      </xdr:nvSpPr>
      <xdr:spPr bwMode="auto">
        <a:xfrm flipH="1">
          <a:off x="1943100" y="10001250"/>
          <a:ext cx="48577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59</xdr:row>
      <xdr:rowOff>9525</xdr:rowOff>
    </xdr:from>
    <xdr:to>
      <xdr:col>5</xdr:col>
      <xdr:colOff>485775</xdr:colOff>
      <xdr:row>60</xdr:row>
      <xdr:rowOff>152400</xdr:rowOff>
    </xdr:to>
    <xdr:sp macro="" textlink="">
      <xdr:nvSpPr>
        <xdr:cNvPr id="13" name="Line 19"/>
        <xdr:cNvSpPr>
          <a:spLocks noChangeShapeType="1"/>
        </xdr:cNvSpPr>
      </xdr:nvSpPr>
      <xdr:spPr bwMode="auto">
        <a:xfrm>
          <a:off x="3048000" y="10001250"/>
          <a:ext cx="485775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70</xdr:row>
      <xdr:rowOff>0</xdr:rowOff>
    </xdr:from>
    <xdr:to>
      <xdr:col>2</xdr:col>
      <xdr:colOff>0</xdr:colOff>
      <xdr:row>71</xdr:row>
      <xdr:rowOff>152400</xdr:rowOff>
    </xdr:to>
    <xdr:sp macro="" textlink="">
      <xdr:nvSpPr>
        <xdr:cNvPr id="14" name="Line 21"/>
        <xdr:cNvSpPr>
          <a:spLocks noChangeShapeType="1"/>
        </xdr:cNvSpPr>
      </xdr:nvSpPr>
      <xdr:spPr bwMode="auto">
        <a:xfrm flipV="1">
          <a:off x="1219200" y="11772900"/>
          <a:ext cx="0" cy="314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70</xdr:row>
      <xdr:rowOff>19050</xdr:rowOff>
    </xdr:from>
    <xdr:to>
      <xdr:col>6</xdr:col>
      <xdr:colOff>600075</xdr:colOff>
      <xdr:row>72</xdr:row>
      <xdr:rowOff>9525</xdr:rowOff>
    </xdr:to>
    <xdr:sp macro="" textlink="">
      <xdr:nvSpPr>
        <xdr:cNvPr id="15" name="Line 23"/>
        <xdr:cNvSpPr>
          <a:spLocks noChangeShapeType="1"/>
        </xdr:cNvSpPr>
      </xdr:nvSpPr>
      <xdr:spPr bwMode="auto">
        <a:xfrm>
          <a:off x="4257675" y="11791950"/>
          <a:ext cx="0" cy="314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64</xdr:row>
      <xdr:rowOff>0</xdr:rowOff>
    </xdr:from>
    <xdr:to>
      <xdr:col>6</xdr:col>
      <xdr:colOff>590550</xdr:colOff>
      <xdr:row>64</xdr:row>
      <xdr:rowOff>123825</xdr:rowOff>
    </xdr:to>
    <xdr:sp macro="" textlink="">
      <xdr:nvSpPr>
        <xdr:cNvPr id="16" name="Line 51"/>
        <xdr:cNvSpPr>
          <a:spLocks noChangeShapeType="1"/>
        </xdr:cNvSpPr>
      </xdr:nvSpPr>
      <xdr:spPr bwMode="auto">
        <a:xfrm flipV="1">
          <a:off x="1219200" y="10801350"/>
          <a:ext cx="3028950" cy="123825"/>
        </a:xfrm>
        <a:prstGeom prst="line">
          <a:avLst/>
        </a:prstGeom>
        <a:noFill/>
        <a:ln w="6350">
          <a:solidFill>
            <a:srgbClr val="FF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0</xdr:colOff>
      <xdr:row>67</xdr:row>
      <xdr:rowOff>0</xdr:rowOff>
    </xdr:from>
    <xdr:to>
      <xdr:col>4</xdr:col>
      <xdr:colOff>0</xdr:colOff>
      <xdr:row>70</xdr:row>
      <xdr:rowOff>0</xdr:rowOff>
    </xdr:to>
    <xdr:sp macro="" textlink="">
      <xdr:nvSpPr>
        <xdr:cNvPr id="17" name="Line 52"/>
        <xdr:cNvSpPr>
          <a:spLocks noChangeShapeType="1"/>
        </xdr:cNvSpPr>
      </xdr:nvSpPr>
      <xdr:spPr bwMode="auto">
        <a:xfrm>
          <a:off x="2438400" y="11287125"/>
          <a:ext cx="0" cy="48577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19050</xdr:colOff>
      <xdr:row>69</xdr:row>
      <xdr:rowOff>152400</xdr:rowOff>
    </xdr:from>
    <xdr:to>
      <xdr:col>4</xdr:col>
      <xdr:colOff>19050</xdr:colOff>
      <xdr:row>71</xdr:row>
      <xdr:rowOff>47625</xdr:rowOff>
    </xdr:to>
    <xdr:sp macro="" textlink="">
      <xdr:nvSpPr>
        <xdr:cNvPr id="18" name="Line 54"/>
        <xdr:cNvSpPr>
          <a:spLocks noChangeShapeType="1"/>
        </xdr:cNvSpPr>
      </xdr:nvSpPr>
      <xdr:spPr bwMode="auto">
        <a:xfrm>
          <a:off x="2457450" y="11763375"/>
          <a:ext cx="0" cy="21907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 editAs="oneCell">
    <xdr:from>
      <xdr:col>4</xdr:col>
      <xdr:colOff>66675</xdr:colOff>
      <xdr:row>70</xdr:row>
      <xdr:rowOff>0</xdr:rowOff>
    </xdr:from>
    <xdr:to>
      <xdr:col>4</xdr:col>
      <xdr:colOff>142875</xdr:colOff>
      <xdr:row>71</xdr:row>
      <xdr:rowOff>38100</xdr:rowOff>
    </xdr:to>
    <xdr:sp macro="" textlink="">
      <xdr:nvSpPr>
        <xdr:cNvPr id="19" name="Text Box 55"/>
        <xdr:cNvSpPr txBox="1">
          <a:spLocks noChangeArrowheads="1"/>
        </xdr:cNvSpPr>
      </xdr:nvSpPr>
      <xdr:spPr bwMode="auto">
        <a:xfrm>
          <a:off x="2505075" y="117729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66</xdr:row>
      <xdr:rowOff>0</xdr:rowOff>
    </xdr:from>
    <xdr:to>
      <xdr:col>4</xdr:col>
      <xdr:colOff>0</xdr:colOff>
      <xdr:row>66</xdr:row>
      <xdr:rowOff>152400</xdr:rowOff>
    </xdr:to>
    <xdr:sp macro="" textlink="">
      <xdr:nvSpPr>
        <xdr:cNvPr id="20" name="Line 56"/>
        <xdr:cNvSpPr>
          <a:spLocks noChangeShapeType="1"/>
        </xdr:cNvSpPr>
      </xdr:nvSpPr>
      <xdr:spPr bwMode="auto">
        <a:xfrm>
          <a:off x="2438400" y="11125200"/>
          <a:ext cx="0" cy="152400"/>
        </a:xfrm>
        <a:prstGeom prst="line">
          <a:avLst/>
        </a:prstGeom>
        <a:noFill/>
        <a:ln w="6350">
          <a:solidFill>
            <a:sysClr val="windowText" lastClr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0</xdr:colOff>
      <xdr:row>61</xdr:row>
      <xdr:rowOff>0</xdr:rowOff>
    </xdr:from>
    <xdr:to>
      <xdr:col>4</xdr:col>
      <xdr:colOff>0</xdr:colOff>
      <xdr:row>66</xdr:row>
      <xdr:rowOff>0</xdr:rowOff>
    </xdr:to>
    <xdr:sp macro="" textlink="">
      <xdr:nvSpPr>
        <xdr:cNvPr id="21" name="Line 62"/>
        <xdr:cNvSpPr>
          <a:spLocks noChangeShapeType="1"/>
        </xdr:cNvSpPr>
      </xdr:nvSpPr>
      <xdr:spPr bwMode="auto">
        <a:xfrm>
          <a:off x="2438400" y="10315575"/>
          <a:ext cx="0" cy="8096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228600</xdr:colOff>
      <xdr:row>60</xdr:row>
      <xdr:rowOff>152400</xdr:rowOff>
    </xdr:from>
    <xdr:to>
      <xdr:col>3</xdr:col>
      <xdr:colOff>314325</xdr:colOff>
      <xdr:row>61</xdr:row>
      <xdr:rowOff>47625</xdr:rowOff>
    </xdr:to>
    <xdr:sp macro="" textlink="">
      <xdr:nvSpPr>
        <xdr:cNvPr id="22" name="Line 63"/>
        <xdr:cNvSpPr>
          <a:spLocks noChangeShapeType="1"/>
        </xdr:cNvSpPr>
      </xdr:nvSpPr>
      <xdr:spPr bwMode="auto">
        <a:xfrm flipH="1">
          <a:off x="2057400" y="10306050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323850</xdr:colOff>
      <xdr:row>60</xdr:row>
      <xdr:rowOff>152400</xdr:rowOff>
    </xdr:from>
    <xdr:to>
      <xdr:col>3</xdr:col>
      <xdr:colOff>390525</xdr:colOff>
      <xdr:row>61</xdr:row>
      <xdr:rowOff>66675</xdr:rowOff>
    </xdr:to>
    <xdr:sp macro="" textlink="">
      <xdr:nvSpPr>
        <xdr:cNvPr id="23" name="Line 64"/>
        <xdr:cNvSpPr>
          <a:spLocks noChangeShapeType="1"/>
        </xdr:cNvSpPr>
      </xdr:nvSpPr>
      <xdr:spPr bwMode="auto">
        <a:xfrm>
          <a:off x="2152650" y="10306050"/>
          <a:ext cx="666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60</xdr:row>
      <xdr:rowOff>152400</xdr:rowOff>
    </xdr:from>
    <xdr:to>
      <xdr:col>3</xdr:col>
      <xdr:colOff>371475</xdr:colOff>
      <xdr:row>61</xdr:row>
      <xdr:rowOff>38100</xdr:rowOff>
    </xdr:to>
    <xdr:sp macro="" textlink="">
      <xdr:nvSpPr>
        <xdr:cNvPr id="24" name="Line 65"/>
        <xdr:cNvSpPr>
          <a:spLocks noChangeShapeType="1"/>
        </xdr:cNvSpPr>
      </xdr:nvSpPr>
      <xdr:spPr bwMode="auto">
        <a:xfrm flipH="1">
          <a:off x="2114550" y="1030605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60</xdr:row>
      <xdr:rowOff>152400</xdr:rowOff>
    </xdr:from>
    <xdr:to>
      <xdr:col>3</xdr:col>
      <xdr:colOff>438150</xdr:colOff>
      <xdr:row>61</xdr:row>
      <xdr:rowOff>57150</xdr:rowOff>
    </xdr:to>
    <xdr:sp macro="" textlink="">
      <xdr:nvSpPr>
        <xdr:cNvPr id="25" name="Line 66"/>
        <xdr:cNvSpPr>
          <a:spLocks noChangeShapeType="1"/>
        </xdr:cNvSpPr>
      </xdr:nvSpPr>
      <xdr:spPr bwMode="auto">
        <a:xfrm>
          <a:off x="2200275" y="10306050"/>
          <a:ext cx="666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60</xdr:row>
      <xdr:rowOff>152400</xdr:rowOff>
    </xdr:from>
    <xdr:to>
      <xdr:col>4</xdr:col>
      <xdr:colOff>447675</xdr:colOff>
      <xdr:row>61</xdr:row>
      <xdr:rowOff>47625</xdr:rowOff>
    </xdr:to>
    <xdr:sp macro="" textlink="">
      <xdr:nvSpPr>
        <xdr:cNvPr id="26" name="Line 67"/>
        <xdr:cNvSpPr>
          <a:spLocks noChangeShapeType="1"/>
        </xdr:cNvSpPr>
      </xdr:nvSpPr>
      <xdr:spPr bwMode="auto">
        <a:xfrm flipH="1">
          <a:off x="2790825" y="1030605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60</xdr:row>
      <xdr:rowOff>152400</xdr:rowOff>
    </xdr:from>
    <xdr:to>
      <xdr:col>4</xdr:col>
      <xdr:colOff>466725</xdr:colOff>
      <xdr:row>61</xdr:row>
      <xdr:rowOff>47625</xdr:rowOff>
    </xdr:to>
    <xdr:sp macro="" textlink="">
      <xdr:nvSpPr>
        <xdr:cNvPr id="27" name="Line 68"/>
        <xdr:cNvSpPr>
          <a:spLocks noChangeShapeType="1"/>
        </xdr:cNvSpPr>
      </xdr:nvSpPr>
      <xdr:spPr bwMode="auto">
        <a:xfrm>
          <a:off x="2876550" y="1030605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60</xdr:row>
      <xdr:rowOff>152400</xdr:rowOff>
    </xdr:from>
    <xdr:to>
      <xdr:col>4</xdr:col>
      <xdr:colOff>514350</xdr:colOff>
      <xdr:row>61</xdr:row>
      <xdr:rowOff>38100</xdr:rowOff>
    </xdr:to>
    <xdr:sp macro="" textlink="">
      <xdr:nvSpPr>
        <xdr:cNvPr id="28" name="Line 69"/>
        <xdr:cNvSpPr>
          <a:spLocks noChangeShapeType="1"/>
        </xdr:cNvSpPr>
      </xdr:nvSpPr>
      <xdr:spPr bwMode="auto">
        <a:xfrm flipV="1">
          <a:off x="2857500" y="1030605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60</xdr:row>
      <xdr:rowOff>152400</xdr:rowOff>
    </xdr:from>
    <xdr:to>
      <xdr:col>4</xdr:col>
      <xdr:colOff>542925</xdr:colOff>
      <xdr:row>61</xdr:row>
      <xdr:rowOff>57150</xdr:rowOff>
    </xdr:to>
    <xdr:sp macro="" textlink="">
      <xdr:nvSpPr>
        <xdr:cNvPr id="29" name="Line 70"/>
        <xdr:cNvSpPr>
          <a:spLocks noChangeShapeType="1"/>
        </xdr:cNvSpPr>
      </xdr:nvSpPr>
      <xdr:spPr bwMode="auto">
        <a:xfrm>
          <a:off x="2933700" y="1030605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56</xdr:row>
      <xdr:rowOff>0</xdr:rowOff>
    </xdr:from>
    <xdr:to>
      <xdr:col>7</xdr:col>
      <xdr:colOff>0</xdr:colOff>
      <xdr:row>56</xdr:row>
      <xdr:rowOff>0</xdr:rowOff>
    </xdr:to>
    <xdr:sp macro="" textlink="">
      <xdr:nvSpPr>
        <xdr:cNvPr id="30" name="Line 71"/>
        <xdr:cNvSpPr>
          <a:spLocks noChangeShapeType="1"/>
        </xdr:cNvSpPr>
      </xdr:nvSpPr>
      <xdr:spPr bwMode="auto">
        <a:xfrm>
          <a:off x="3657600" y="9505950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55</xdr:row>
      <xdr:rowOff>85725</xdr:rowOff>
    </xdr:from>
    <xdr:to>
      <xdr:col>6</xdr:col>
      <xdr:colOff>0</xdr:colOff>
      <xdr:row>56</xdr:row>
      <xdr:rowOff>85725</xdr:rowOff>
    </xdr:to>
    <xdr:sp macro="" textlink="">
      <xdr:nvSpPr>
        <xdr:cNvPr id="31" name="Line 72"/>
        <xdr:cNvSpPr>
          <a:spLocks noChangeShapeType="1"/>
        </xdr:cNvSpPr>
      </xdr:nvSpPr>
      <xdr:spPr bwMode="auto">
        <a:xfrm>
          <a:off x="3657600" y="94297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55</xdr:row>
      <xdr:rowOff>95250</xdr:rowOff>
    </xdr:from>
    <xdr:to>
      <xdr:col>7</xdr:col>
      <xdr:colOff>0</xdr:colOff>
      <xdr:row>56</xdr:row>
      <xdr:rowOff>66675</xdr:rowOff>
    </xdr:to>
    <xdr:sp macro="" textlink="">
      <xdr:nvSpPr>
        <xdr:cNvPr id="32" name="Line 73"/>
        <xdr:cNvSpPr>
          <a:spLocks noChangeShapeType="1"/>
        </xdr:cNvSpPr>
      </xdr:nvSpPr>
      <xdr:spPr bwMode="auto">
        <a:xfrm>
          <a:off x="4267200" y="943927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55</xdr:row>
      <xdr:rowOff>95250</xdr:rowOff>
    </xdr:from>
    <xdr:to>
      <xdr:col>5</xdr:col>
      <xdr:colOff>485775</xdr:colOff>
      <xdr:row>56</xdr:row>
      <xdr:rowOff>57150</xdr:rowOff>
    </xdr:to>
    <xdr:sp macro="" textlink="">
      <xdr:nvSpPr>
        <xdr:cNvPr id="33" name="Line 74"/>
        <xdr:cNvSpPr>
          <a:spLocks noChangeShapeType="1"/>
        </xdr:cNvSpPr>
      </xdr:nvSpPr>
      <xdr:spPr bwMode="auto">
        <a:xfrm>
          <a:off x="3533775" y="94392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104775</xdr:colOff>
      <xdr:row>55</xdr:row>
      <xdr:rowOff>95250</xdr:rowOff>
    </xdr:from>
    <xdr:to>
      <xdr:col>3</xdr:col>
      <xdr:colOff>104775</xdr:colOff>
      <xdr:row>56</xdr:row>
      <xdr:rowOff>76200</xdr:rowOff>
    </xdr:to>
    <xdr:sp macro="" textlink="">
      <xdr:nvSpPr>
        <xdr:cNvPr id="34" name="Line 75"/>
        <xdr:cNvSpPr>
          <a:spLocks noChangeShapeType="1"/>
        </xdr:cNvSpPr>
      </xdr:nvSpPr>
      <xdr:spPr bwMode="auto">
        <a:xfrm>
          <a:off x="1933575" y="94392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55</xdr:row>
      <xdr:rowOff>95250</xdr:rowOff>
    </xdr:from>
    <xdr:to>
      <xdr:col>3</xdr:col>
      <xdr:colOff>0</xdr:colOff>
      <xdr:row>56</xdr:row>
      <xdr:rowOff>95250</xdr:rowOff>
    </xdr:to>
    <xdr:sp macro="" textlink="">
      <xdr:nvSpPr>
        <xdr:cNvPr id="35" name="Line 76"/>
        <xdr:cNvSpPr>
          <a:spLocks noChangeShapeType="1"/>
        </xdr:cNvSpPr>
      </xdr:nvSpPr>
      <xdr:spPr bwMode="auto">
        <a:xfrm>
          <a:off x="1828800" y="94392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55</xdr:row>
      <xdr:rowOff>95250</xdr:rowOff>
    </xdr:from>
    <xdr:to>
      <xdr:col>2</xdr:col>
      <xdr:colOff>0</xdr:colOff>
      <xdr:row>56</xdr:row>
      <xdr:rowOff>47625</xdr:rowOff>
    </xdr:to>
    <xdr:sp macro="" textlink="">
      <xdr:nvSpPr>
        <xdr:cNvPr id="36" name="Line 77"/>
        <xdr:cNvSpPr>
          <a:spLocks noChangeShapeType="1"/>
        </xdr:cNvSpPr>
      </xdr:nvSpPr>
      <xdr:spPr bwMode="auto">
        <a:xfrm>
          <a:off x="1219200" y="94392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55</xdr:row>
      <xdr:rowOff>152400</xdr:rowOff>
    </xdr:from>
    <xdr:to>
      <xdr:col>3</xdr:col>
      <xdr:colOff>0</xdr:colOff>
      <xdr:row>55</xdr:row>
      <xdr:rowOff>152400</xdr:rowOff>
    </xdr:to>
    <xdr:sp macro="" textlink="">
      <xdr:nvSpPr>
        <xdr:cNvPr id="37" name="Line 78"/>
        <xdr:cNvSpPr>
          <a:spLocks noChangeShapeType="1"/>
        </xdr:cNvSpPr>
      </xdr:nvSpPr>
      <xdr:spPr bwMode="auto">
        <a:xfrm>
          <a:off x="1219200" y="9496425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104775</xdr:colOff>
      <xdr:row>55</xdr:row>
      <xdr:rowOff>152400</xdr:rowOff>
    </xdr:from>
    <xdr:to>
      <xdr:col>5</xdr:col>
      <xdr:colOff>485775</xdr:colOff>
      <xdr:row>55</xdr:row>
      <xdr:rowOff>152400</xdr:rowOff>
    </xdr:to>
    <xdr:sp macro="" textlink="">
      <xdr:nvSpPr>
        <xdr:cNvPr id="38" name="Line 80"/>
        <xdr:cNvSpPr>
          <a:spLocks noChangeShapeType="1"/>
        </xdr:cNvSpPr>
      </xdr:nvSpPr>
      <xdr:spPr bwMode="auto">
        <a:xfrm>
          <a:off x="1933575" y="9496425"/>
          <a:ext cx="16002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0</xdr:colOff>
      <xdr:row>57</xdr:row>
      <xdr:rowOff>123825</xdr:rowOff>
    </xdr:from>
    <xdr:to>
      <xdr:col>4</xdr:col>
      <xdr:colOff>0</xdr:colOff>
      <xdr:row>58</xdr:row>
      <xdr:rowOff>85725</xdr:rowOff>
    </xdr:to>
    <xdr:sp macro="" textlink="">
      <xdr:nvSpPr>
        <xdr:cNvPr id="39" name="Line 81"/>
        <xdr:cNvSpPr>
          <a:spLocks noChangeShapeType="1"/>
        </xdr:cNvSpPr>
      </xdr:nvSpPr>
      <xdr:spPr bwMode="auto">
        <a:xfrm>
          <a:off x="2438400" y="97917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57</xdr:row>
      <xdr:rowOff>133350</xdr:rowOff>
    </xdr:from>
    <xdr:to>
      <xdr:col>5</xdr:col>
      <xdr:colOff>0</xdr:colOff>
      <xdr:row>58</xdr:row>
      <xdr:rowOff>76200</xdr:rowOff>
    </xdr:to>
    <xdr:sp macro="" textlink="">
      <xdr:nvSpPr>
        <xdr:cNvPr id="40" name="Line 82"/>
        <xdr:cNvSpPr>
          <a:spLocks noChangeShapeType="1"/>
        </xdr:cNvSpPr>
      </xdr:nvSpPr>
      <xdr:spPr bwMode="auto">
        <a:xfrm>
          <a:off x="3048000" y="98012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95250</xdr:colOff>
      <xdr:row>57</xdr:row>
      <xdr:rowOff>133350</xdr:rowOff>
    </xdr:from>
    <xdr:to>
      <xdr:col>3</xdr:col>
      <xdr:colOff>95250</xdr:colOff>
      <xdr:row>58</xdr:row>
      <xdr:rowOff>57150</xdr:rowOff>
    </xdr:to>
    <xdr:sp macro="" textlink="">
      <xdr:nvSpPr>
        <xdr:cNvPr id="41" name="Line 83"/>
        <xdr:cNvSpPr>
          <a:spLocks noChangeShapeType="1"/>
        </xdr:cNvSpPr>
      </xdr:nvSpPr>
      <xdr:spPr bwMode="auto">
        <a:xfrm>
          <a:off x="1924050" y="98012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57</xdr:row>
      <xdr:rowOff>133350</xdr:rowOff>
    </xdr:from>
    <xdr:to>
      <xdr:col>5</xdr:col>
      <xdr:colOff>485775</xdr:colOff>
      <xdr:row>58</xdr:row>
      <xdr:rowOff>57150</xdr:rowOff>
    </xdr:to>
    <xdr:sp macro="" textlink="">
      <xdr:nvSpPr>
        <xdr:cNvPr id="42" name="Line 84"/>
        <xdr:cNvSpPr>
          <a:spLocks noChangeShapeType="1"/>
        </xdr:cNvSpPr>
      </xdr:nvSpPr>
      <xdr:spPr bwMode="auto">
        <a:xfrm>
          <a:off x="3533775" y="98012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85725</xdr:colOff>
      <xdr:row>58</xdr:row>
      <xdr:rowOff>28575</xdr:rowOff>
    </xdr:from>
    <xdr:to>
      <xdr:col>3</xdr:col>
      <xdr:colOff>600075</xdr:colOff>
      <xdr:row>58</xdr:row>
      <xdr:rowOff>28575</xdr:rowOff>
    </xdr:to>
    <xdr:sp macro="" textlink="">
      <xdr:nvSpPr>
        <xdr:cNvPr id="43" name="Line 85"/>
        <xdr:cNvSpPr>
          <a:spLocks noChangeShapeType="1"/>
        </xdr:cNvSpPr>
      </xdr:nvSpPr>
      <xdr:spPr bwMode="auto">
        <a:xfrm>
          <a:off x="1914525" y="9858375"/>
          <a:ext cx="51435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0</xdr:colOff>
      <xdr:row>58</xdr:row>
      <xdr:rowOff>38100</xdr:rowOff>
    </xdr:from>
    <xdr:to>
      <xdr:col>5</xdr:col>
      <xdr:colOff>0</xdr:colOff>
      <xdr:row>58</xdr:row>
      <xdr:rowOff>38100</xdr:rowOff>
    </xdr:to>
    <xdr:sp macro="" textlink="">
      <xdr:nvSpPr>
        <xdr:cNvPr id="44" name="Line 86"/>
        <xdr:cNvSpPr>
          <a:spLocks noChangeShapeType="1"/>
        </xdr:cNvSpPr>
      </xdr:nvSpPr>
      <xdr:spPr bwMode="auto">
        <a:xfrm>
          <a:off x="2438400" y="9867900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0</xdr:colOff>
      <xdr:row>58</xdr:row>
      <xdr:rowOff>38100</xdr:rowOff>
    </xdr:from>
    <xdr:to>
      <xdr:col>5</xdr:col>
      <xdr:colOff>485775</xdr:colOff>
      <xdr:row>58</xdr:row>
      <xdr:rowOff>38100</xdr:rowOff>
    </xdr:to>
    <xdr:sp macro="" textlink="">
      <xdr:nvSpPr>
        <xdr:cNvPr id="45" name="Line 88"/>
        <xdr:cNvSpPr>
          <a:spLocks noChangeShapeType="1"/>
        </xdr:cNvSpPr>
      </xdr:nvSpPr>
      <xdr:spPr bwMode="auto">
        <a:xfrm>
          <a:off x="3048000" y="9867900"/>
          <a:ext cx="485775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59</xdr:row>
      <xdr:rowOff>0</xdr:rowOff>
    </xdr:from>
    <xdr:to>
      <xdr:col>6</xdr:col>
      <xdr:colOff>0</xdr:colOff>
      <xdr:row>60</xdr:row>
      <xdr:rowOff>152400</xdr:rowOff>
    </xdr:to>
    <xdr:sp macro="" textlink="">
      <xdr:nvSpPr>
        <xdr:cNvPr id="46" name="Line 89"/>
        <xdr:cNvSpPr>
          <a:spLocks noChangeShapeType="1"/>
        </xdr:cNvSpPr>
      </xdr:nvSpPr>
      <xdr:spPr bwMode="auto">
        <a:xfrm>
          <a:off x="3657600" y="9991725"/>
          <a:ext cx="0" cy="31432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581025</xdr:colOff>
      <xdr:row>59</xdr:row>
      <xdr:rowOff>0</xdr:rowOff>
    </xdr:from>
    <xdr:to>
      <xdr:col>6</xdr:col>
      <xdr:colOff>38100</xdr:colOff>
      <xdr:row>59</xdr:row>
      <xdr:rowOff>0</xdr:rowOff>
    </xdr:to>
    <xdr:sp macro="" textlink="">
      <xdr:nvSpPr>
        <xdr:cNvPr id="47" name="Line 90"/>
        <xdr:cNvSpPr>
          <a:spLocks noChangeShapeType="1"/>
        </xdr:cNvSpPr>
      </xdr:nvSpPr>
      <xdr:spPr bwMode="auto">
        <a:xfrm>
          <a:off x="3629025" y="999172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58</xdr:row>
      <xdr:rowOff>152400</xdr:rowOff>
    </xdr:from>
    <xdr:to>
      <xdr:col>4</xdr:col>
      <xdr:colOff>447675</xdr:colOff>
      <xdr:row>59</xdr:row>
      <xdr:rowOff>47625</xdr:rowOff>
    </xdr:to>
    <xdr:sp macro="" textlink="">
      <xdr:nvSpPr>
        <xdr:cNvPr id="48" name="Line 196"/>
        <xdr:cNvSpPr>
          <a:spLocks noChangeShapeType="1"/>
        </xdr:cNvSpPr>
      </xdr:nvSpPr>
      <xdr:spPr bwMode="auto">
        <a:xfrm flipH="1">
          <a:off x="2790825" y="99822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58</xdr:row>
      <xdr:rowOff>152400</xdr:rowOff>
    </xdr:from>
    <xdr:to>
      <xdr:col>4</xdr:col>
      <xdr:colOff>466725</xdr:colOff>
      <xdr:row>59</xdr:row>
      <xdr:rowOff>47625</xdr:rowOff>
    </xdr:to>
    <xdr:sp macro="" textlink="">
      <xdr:nvSpPr>
        <xdr:cNvPr id="49" name="Line 197"/>
        <xdr:cNvSpPr>
          <a:spLocks noChangeShapeType="1"/>
        </xdr:cNvSpPr>
      </xdr:nvSpPr>
      <xdr:spPr bwMode="auto">
        <a:xfrm>
          <a:off x="2876550" y="99822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58</xdr:row>
      <xdr:rowOff>152400</xdr:rowOff>
    </xdr:from>
    <xdr:to>
      <xdr:col>4</xdr:col>
      <xdr:colOff>514350</xdr:colOff>
      <xdr:row>59</xdr:row>
      <xdr:rowOff>38100</xdr:rowOff>
    </xdr:to>
    <xdr:sp macro="" textlink="">
      <xdr:nvSpPr>
        <xdr:cNvPr id="50" name="Line 198"/>
        <xdr:cNvSpPr>
          <a:spLocks noChangeShapeType="1"/>
        </xdr:cNvSpPr>
      </xdr:nvSpPr>
      <xdr:spPr bwMode="auto">
        <a:xfrm flipV="1">
          <a:off x="2857500" y="99822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58</xdr:row>
      <xdr:rowOff>152400</xdr:rowOff>
    </xdr:from>
    <xdr:to>
      <xdr:col>4</xdr:col>
      <xdr:colOff>542925</xdr:colOff>
      <xdr:row>59</xdr:row>
      <xdr:rowOff>57150</xdr:rowOff>
    </xdr:to>
    <xdr:sp macro="" textlink="">
      <xdr:nvSpPr>
        <xdr:cNvPr id="51" name="Line 199"/>
        <xdr:cNvSpPr>
          <a:spLocks noChangeShapeType="1"/>
        </xdr:cNvSpPr>
      </xdr:nvSpPr>
      <xdr:spPr bwMode="auto">
        <a:xfrm>
          <a:off x="2933700" y="99822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352425</xdr:colOff>
      <xdr:row>58</xdr:row>
      <xdr:rowOff>152400</xdr:rowOff>
    </xdr:from>
    <xdr:to>
      <xdr:col>4</xdr:col>
      <xdr:colOff>447675</xdr:colOff>
      <xdr:row>59</xdr:row>
      <xdr:rowOff>47625</xdr:rowOff>
    </xdr:to>
    <xdr:sp macro="" textlink="">
      <xdr:nvSpPr>
        <xdr:cNvPr id="52" name="Line 200"/>
        <xdr:cNvSpPr>
          <a:spLocks noChangeShapeType="1"/>
        </xdr:cNvSpPr>
      </xdr:nvSpPr>
      <xdr:spPr bwMode="auto">
        <a:xfrm flipH="1">
          <a:off x="2790825" y="9982200"/>
          <a:ext cx="9525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438150</xdr:colOff>
      <xdr:row>58</xdr:row>
      <xdr:rowOff>152400</xdr:rowOff>
    </xdr:from>
    <xdr:to>
      <xdr:col>4</xdr:col>
      <xdr:colOff>466725</xdr:colOff>
      <xdr:row>59</xdr:row>
      <xdr:rowOff>47625</xdr:rowOff>
    </xdr:to>
    <xdr:sp macro="" textlink="">
      <xdr:nvSpPr>
        <xdr:cNvPr id="53" name="Line 201"/>
        <xdr:cNvSpPr>
          <a:spLocks noChangeShapeType="1"/>
        </xdr:cNvSpPr>
      </xdr:nvSpPr>
      <xdr:spPr bwMode="auto">
        <a:xfrm>
          <a:off x="2876550" y="9982200"/>
          <a:ext cx="2857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419100</xdr:colOff>
      <xdr:row>58</xdr:row>
      <xdr:rowOff>152400</xdr:rowOff>
    </xdr:from>
    <xdr:to>
      <xdr:col>4</xdr:col>
      <xdr:colOff>514350</xdr:colOff>
      <xdr:row>59</xdr:row>
      <xdr:rowOff>38100</xdr:rowOff>
    </xdr:to>
    <xdr:sp macro="" textlink="">
      <xdr:nvSpPr>
        <xdr:cNvPr id="54" name="Line 202"/>
        <xdr:cNvSpPr>
          <a:spLocks noChangeShapeType="1"/>
        </xdr:cNvSpPr>
      </xdr:nvSpPr>
      <xdr:spPr bwMode="auto">
        <a:xfrm flipV="1">
          <a:off x="2857500" y="9982200"/>
          <a:ext cx="9525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58</xdr:row>
      <xdr:rowOff>152400</xdr:rowOff>
    </xdr:from>
    <xdr:to>
      <xdr:col>4</xdr:col>
      <xdr:colOff>542925</xdr:colOff>
      <xdr:row>59</xdr:row>
      <xdr:rowOff>57150</xdr:rowOff>
    </xdr:to>
    <xdr:sp macro="" textlink="">
      <xdr:nvSpPr>
        <xdr:cNvPr id="55" name="Line 203"/>
        <xdr:cNvSpPr>
          <a:spLocks noChangeShapeType="1"/>
        </xdr:cNvSpPr>
      </xdr:nvSpPr>
      <xdr:spPr bwMode="auto">
        <a:xfrm>
          <a:off x="2933700" y="9982200"/>
          <a:ext cx="476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</xdr:colOff>
      <xdr:row>69</xdr:row>
      <xdr:rowOff>123825</xdr:rowOff>
    </xdr:from>
    <xdr:to>
      <xdr:col>6</xdr:col>
      <xdr:colOff>66675</xdr:colOff>
      <xdr:row>70</xdr:row>
      <xdr:rowOff>66675</xdr:rowOff>
    </xdr:to>
    <xdr:sp macro="" textlink="">
      <xdr:nvSpPr>
        <xdr:cNvPr id="56" name="Line 212"/>
        <xdr:cNvSpPr>
          <a:spLocks noChangeShapeType="1"/>
        </xdr:cNvSpPr>
      </xdr:nvSpPr>
      <xdr:spPr bwMode="auto">
        <a:xfrm>
          <a:off x="3724275" y="117348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685800</xdr:colOff>
      <xdr:row>73</xdr:row>
      <xdr:rowOff>57150</xdr:rowOff>
    </xdr:from>
    <xdr:to>
      <xdr:col>3</xdr:col>
      <xdr:colOff>171450</xdr:colOff>
      <xdr:row>73</xdr:row>
      <xdr:rowOff>57150</xdr:rowOff>
    </xdr:to>
    <xdr:sp macro="" textlink="">
      <xdr:nvSpPr>
        <xdr:cNvPr id="57" name="Line 225"/>
        <xdr:cNvSpPr>
          <a:spLocks noChangeShapeType="1"/>
        </xdr:cNvSpPr>
      </xdr:nvSpPr>
      <xdr:spPr bwMode="auto">
        <a:xfrm flipV="1">
          <a:off x="1828800" y="1231582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0</xdr:colOff>
      <xdr:row>54</xdr:row>
      <xdr:rowOff>19050</xdr:rowOff>
    </xdr:from>
    <xdr:to>
      <xdr:col>3</xdr:col>
      <xdr:colOff>0</xdr:colOff>
      <xdr:row>54</xdr:row>
      <xdr:rowOff>123825</xdr:rowOff>
    </xdr:to>
    <xdr:sp macro="" textlink="">
      <xdr:nvSpPr>
        <xdr:cNvPr id="58" name="Line 259"/>
        <xdr:cNvSpPr>
          <a:spLocks noChangeShapeType="1"/>
        </xdr:cNvSpPr>
      </xdr:nvSpPr>
      <xdr:spPr bwMode="auto">
        <a:xfrm>
          <a:off x="1828800" y="92011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95250</xdr:colOff>
      <xdr:row>54</xdr:row>
      <xdr:rowOff>9525</xdr:rowOff>
    </xdr:from>
    <xdr:to>
      <xdr:col>3</xdr:col>
      <xdr:colOff>95250</xdr:colOff>
      <xdr:row>54</xdr:row>
      <xdr:rowOff>152400</xdr:rowOff>
    </xdr:to>
    <xdr:sp macro="" textlink="">
      <xdr:nvSpPr>
        <xdr:cNvPr id="59" name="Line 260"/>
        <xdr:cNvSpPr>
          <a:spLocks noChangeShapeType="1"/>
        </xdr:cNvSpPr>
      </xdr:nvSpPr>
      <xdr:spPr bwMode="auto">
        <a:xfrm>
          <a:off x="1924050" y="91916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54</xdr:row>
      <xdr:rowOff>9525</xdr:rowOff>
    </xdr:from>
    <xdr:to>
      <xdr:col>6</xdr:col>
      <xdr:colOff>0</xdr:colOff>
      <xdr:row>54</xdr:row>
      <xdr:rowOff>123825</xdr:rowOff>
    </xdr:to>
    <xdr:sp macro="" textlink="">
      <xdr:nvSpPr>
        <xdr:cNvPr id="60" name="Line 261"/>
        <xdr:cNvSpPr>
          <a:spLocks noChangeShapeType="1"/>
        </xdr:cNvSpPr>
      </xdr:nvSpPr>
      <xdr:spPr bwMode="auto">
        <a:xfrm>
          <a:off x="3657600" y="91916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495300</xdr:colOff>
      <xdr:row>54</xdr:row>
      <xdr:rowOff>0</xdr:rowOff>
    </xdr:from>
    <xdr:to>
      <xdr:col>5</xdr:col>
      <xdr:colOff>495300</xdr:colOff>
      <xdr:row>54</xdr:row>
      <xdr:rowOff>104775</xdr:rowOff>
    </xdr:to>
    <xdr:sp macro="" textlink="">
      <xdr:nvSpPr>
        <xdr:cNvPr id="61" name="Line 264"/>
        <xdr:cNvSpPr>
          <a:spLocks noChangeShapeType="1"/>
        </xdr:cNvSpPr>
      </xdr:nvSpPr>
      <xdr:spPr bwMode="auto">
        <a:xfrm>
          <a:off x="3543300" y="91821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438150</xdr:colOff>
      <xdr:row>54</xdr:row>
      <xdr:rowOff>66675</xdr:rowOff>
    </xdr:from>
    <xdr:to>
      <xdr:col>2</xdr:col>
      <xdr:colOff>600075</xdr:colOff>
      <xdr:row>54</xdr:row>
      <xdr:rowOff>66675</xdr:rowOff>
    </xdr:to>
    <xdr:sp macro="" textlink="">
      <xdr:nvSpPr>
        <xdr:cNvPr id="62" name="Line 265"/>
        <xdr:cNvSpPr>
          <a:spLocks noChangeShapeType="1"/>
        </xdr:cNvSpPr>
      </xdr:nvSpPr>
      <xdr:spPr bwMode="auto">
        <a:xfrm>
          <a:off x="1657350" y="92487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95250</xdr:colOff>
      <xdr:row>54</xdr:row>
      <xdr:rowOff>66675</xdr:rowOff>
    </xdr:from>
    <xdr:to>
      <xdr:col>3</xdr:col>
      <xdr:colOff>209550</xdr:colOff>
      <xdr:row>54</xdr:row>
      <xdr:rowOff>76200</xdr:rowOff>
    </xdr:to>
    <xdr:sp macro="" textlink="">
      <xdr:nvSpPr>
        <xdr:cNvPr id="63" name="Line 266"/>
        <xdr:cNvSpPr>
          <a:spLocks noChangeShapeType="1"/>
        </xdr:cNvSpPr>
      </xdr:nvSpPr>
      <xdr:spPr bwMode="auto">
        <a:xfrm flipH="1" flipV="1">
          <a:off x="1924050" y="9248775"/>
          <a:ext cx="1143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390525</xdr:colOff>
      <xdr:row>54</xdr:row>
      <xdr:rowOff>47625</xdr:rowOff>
    </xdr:from>
    <xdr:to>
      <xdr:col>5</xdr:col>
      <xdr:colOff>495300</xdr:colOff>
      <xdr:row>54</xdr:row>
      <xdr:rowOff>57150</xdr:rowOff>
    </xdr:to>
    <xdr:sp macro="" textlink="">
      <xdr:nvSpPr>
        <xdr:cNvPr id="64" name="Line 267"/>
        <xdr:cNvSpPr>
          <a:spLocks noChangeShapeType="1"/>
        </xdr:cNvSpPr>
      </xdr:nvSpPr>
      <xdr:spPr bwMode="auto">
        <a:xfrm>
          <a:off x="3438525" y="9229725"/>
          <a:ext cx="1047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9525</xdr:colOff>
      <xdr:row>54</xdr:row>
      <xdr:rowOff>57150</xdr:rowOff>
    </xdr:from>
    <xdr:to>
      <xdr:col>6</xdr:col>
      <xdr:colOff>161925</xdr:colOff>
      <xdr:row>54</xdr:row>
      <xdr:rowOff>57150</xdr:rowOff>
    </xdr:to>
    <xdr:sp macro="" textlink="">
      <xdr:nvSpPr>
        <xdr:cNvPr id="65" name="Line 268"/>
        <xdr:cNvSpPr>
          <a:spLocks noChangeShapeType="1"/>
        </xdr:cNvSpPr>
      </xdr:nvSpPr>
      <xdr:spPr bwMode="auto">
        <a:xfrm flipH="1">
          <a:off x="3667125" y="92392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9525</xdr:colOff>
      <xdr:row>75</xdr:row>
      <xdr:rowOff>0</xdr:rowOff>
    </xdr:from>
    <xdr:to>
      <xdr:col>7</xdr:col>
      <xdr:colOff>0</xdr:colOff>
      <xdr:row>75</xdr:row>
      <xdr:rowOff>0</xdr:rowOff>
    </xdr:to>
    <xdr:sp macro="" textlink="">
      <xdr:nvSpPr>
        <xdr:cNvPr id="66" name="Line 271"/>
        <xdr:cNvSpPr>
          <a:spLocks noChangeShapeType="1"/>
        </xdr:cNvSpPr>
      </xdr:nvSpPr>
      <xdr:spPr bwMode="auto">
        <a:xfrm>
          <a:off x="1228725" y="12582525"/>
          <a:ext cx="3038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171450</xdr:colOff>
      <xdr:row>72</xdr:row>
      <xdr:rowOff>152400</xdr:rowOff>
    </xdr:from>
    <xdr:to>
      <xdr:col>3</xdr:col>
      <xdr:colOff>171450</xdr:colOff>
      <xdr:row>73</xdr:row>
      <xdr:rowOff>85725</xdr:rowOff>
    </xdr:to>
    <xdr:sp macro="" textlink="">
      <xdr:nvSpPr>
        <xdr:cNvPr id="67" name="Line 278"/>
        <xdr:cNvSpPr>
          <a:spLocks noChangeShapeType="1"/>
        </xdr:cNvSpPr>
      </xdr:nvSpPr>
      <xdr:spPr bwMode="auto">
        <a:xfrm>
          <a:off x="2000250" y="122491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381000</xdr:colOff>
      <xdr:row>73</xdr:row>
      <xdr:rowOff>47625</xdr:rowOff>
    </xdr:from>
    <xdr:to>
      <xdr:col>5</xdr:col>
      <xdr:colOff>381000</xdr:colOff>
      <xdr:row>73</xdr:row>
      <xdr:rowOff>133350</xdr:rowOff>
    </xdr:to>
    <xdr:sp macro="" textlink="">
      <xdr:nvSpPr>
        <xdr:cNvPr id="68" name="Line 279"/>
        <xdr:cNvSpPr>
          <a:spLocks noChangeShapeType="1"/>
        </xdr:cNvSpPr>
      </xdr:nvSpPr>
      <xdr:spPr bwMode="auto">
        <a:xfrm>
          <a:off x="3429000" y="123063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390525</xdr:colOff>
      <xdr:row>73</xdr:row>
      <xdr:rowOff>76200</xdr:rowOff>
    </xdr:from>
    <xdr:to>
      <xdr:col>6</xdr:col>
      <xdr:colOff>0</xdr:colOff>
      <xdr:row>73</xdr:row>
      <xdr:rowOff>76200</xdr:rowOff>
    </xdr:to>
    <xdr:sp macro="" textlink="">
      <xdr:nvSpPr>
        <xdr:cNvPr id="69" name="Line 282"/>
        <xdr:cNvSpPr>
          <a:spLocks noChangeShapeType="1"/>
        </xdr:cNvSpPr>
      </xdr:nvSpPr>
      <xdr:spPr bwMode="auto">
        <a:xfrm>
          <a:off x="3438525" y="1233487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238124</xdr:colOff>
      <xdr:row>62</xdr:row>
      <xdr:rowOff>57150</xdr:rowOff>
    </xdr:from>
    <xdr:to>
      <xdr:col>4</xdr:col>
      <xdr:colOff>333375</xdr:colOff>
      <xdr:row>64</xdr:row>
      <xdr:rowOff>57150</xdr:rowOff>
    </xdr:to>
    <xdr:sp macro="" textlink="">
      <xdr:nvSpPr>
        <xdr:cNvPr id="70" name="Line 341"/>
        <xdr:cNvSpPr>
          <a:spLocks noChangeShapeType="1"/>
        </xdr:cNvSpPr>
      </xdr:nvSpPr>
      <xdr:spPr bwMode="auto">
        <a:xfrm flipH="1">
          <a:off x="2676524" y="10534650"/>
          <a:ext cx="95251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333375</xdr:colOff>
      <xdr:row>62</xdr:row>
      <xdr:rowOff>66675</xdr:rowOff>
    </xdr:from>
    <xdr:to>
      <xdr:col>5</xdr:col>
      <xdr:colOff>9525</xdr:colOff>
      <xdr:row>62</xdr:row>
      <xdr:rowOff>66675</xdr:rowOff>
    </xdr:to>
    <xdr:sp macro="" textlink="">
      <xdr:nvSpPr>
        <xdr:cNvPr id="71" name="Line 342"/>
        <xdr:cNvSpPr>
          <a:spLocks noChangeShapeType="1"/>
        </xdr:cNvSpPr>
      </xdr:nvSpPr>
      <xdr:spPr bwMode="auto">
        <a:xfrm>
          <a:off x="2771775" y="10544175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85725</xdr:colOff>
      <xdr:row>69</xdr:row>
      <xdr:rowOff>0</xdr:rowOff>
    </xdr:from>
    <xdr:ext cx="175304" cy="170560"/>
    <xdr:sp macro="" textlink="">
      <xdr:nvSpPr>
        <xdr:cNvPr id="72" name="Text Box 161"/>
        <xdr:cNvSpPr txBox="1">
          <a:spLocks noChangeArrowheads="1"/>
        </xdr:cNvSpPr>
      </xdr:nvSpPr>
      <xdr:spPr bwMode="auto">
        <a:xfrm>
          <a:off x="2524125" y="11610975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6</xdr:col>
      <xdr:colOff>0</xdr:colOff>
      <xdr:row>70</xdr:row>
      <xdr:rowOff>66675</xdr:rowOff>
    </xdr:from>
    <xdr:to>
      <xdr:col>6</xdr:col>
      <xdr:colOff>590550</xdr:colOff>
      <xdr:row>70</xdr:row>
      <xdr:rowOff>68263</xdr:rowOff>
    </xdr:to>
    <xdr:cxnSp macro="">
      <xdr:nvCxnSpPr>
        <xdr:cNvPr id="73" name="Straight Connector 72"/>
        <xdr:cNvCxnSpPr/>
      </xdr:nvCxnSpPr>
      <xdr:spPr bwMode="auto">
        <a:xfrm>
          <a:off x="3657600" y="11839575"/>
          <a:ext cx="590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599281</xdr:colOff>
      <xdr:row>69</xdr:row>
      <xdr:rowOff>153194</xdr:rowOff>
    </xdr:from>
    <xdr:to>
      <xdr:col>5</xdr:col>
      <xdr:colOff>600869</xdr:colOff>
      <xdr:row>70</xdr:row>
      <xdr:rowOff>67469</xdr:rowOff>
    </xdr:to>
    <xdr:cxnSp macro="">
      <xdr:nvCxnSpPr>
        <xdr:cNvPr id="74" name="Straight Connector 73"/>
        <xdr:cNvCxnSpPr/>
      </xdr:nvCxnSpPr>
      <xdr:spPr bwMode="auto">
        <a:xfrm rot="5400000">
          <a:off x="3609975" y="11801475"/>
          <a:ext cx="762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609599</xdr:colOff>
      <xdr:row>71</xdr:row>
      <xdr:rowOff>152400</xdr:rowOff>
    </xdr:from>
    <xdr:to>
      <xdr:col>3</xdr:col>
      <xdr:colOff>9524</xdr:colOff>
      <xdr:row>72</xdr:row>
      <xdr:rowOff>0</xdr:rowOff>
    </xdr:to>
    <xdr:cxnSp macro="">
      <xdr:nvCxnSpPr>
        <xdr:cNvPr id="75" name="Straight Connector 74"/>
        <xdr:cNvCxnSpPr>
          <a:stCxn id="14" idx="0"/>
        </xdr:cNvCxnSpPr>
      </xdr:nvCxnSpPr>
      <xdr:spPr bwMode="auto">
        <a:xfrm rot="16200000" flipH="1">
          <a:off x="1523999" y="11782425"/>
          <a:ext cx="9525" cy="6191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72</xdr:row>
      <xdr:rowOff>0</xdr:rowOff>
    </xdr:from>
    <xdr:to>
      <xdr:col>6</xdr:col>
      <xdr:colOff>600075</xdr:colOff>
      <xdr:row>72</xdr:row>
      <xdr:rowOff>9525</xdr:rowOff>
    </xdr:to>
    <xdr:cxnSp macro="">
      <xdr:nvCxnSpPr>
        <xdr:cNvPr id="76" name="Straight Connector 75"/>
        <xdr:cNvCxnSpPr/>
      </xdr:nvCxnSpPr>
      <xdr:spPr bwMode="auto">
        <a:xfrm>
          <a:off x="3657600" y="12096750"/>
          <a:ext cx="6000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171450</xdr:colOff>
      <xdr:row>71</xdr:row>
      <xdr:rowOff>9525</xdr:rowOff>
    </xdr:from>
    <xdr:to>
      <xdr:col>5</xdr:col>
      <xdr:colOff>495300</xdr:colOff>
      <xdr:row>71</xdr:row>
      <xdr:rowOff>19051</xdr:rowOff>
    </xdr:to>
    <xdr:cxnSp macro="">
      <xdr:nvCxnSpPr>
        <xdr:cNvPr id="77" name="Straight Connector 76"/>
        <xdr:cNvCxnSpPr/>
      </xdr:nvCxnSpPr>
      <xdr:spPr bwMode="auto">
        <a:xfrm flipV="1">
          <a:off x="2000250" y="11944350"/>
          <a:ext cx="154305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</xdr:colOff>
      <xdr:row>71</xdr:row>
      <xdr:rowOff>9524</xdr:rowOff>
    </xdr:from>
    <xdr:to>
      <xdr:col>3</xdr:col>
      <xdr:colOff>180975</xdr:colOff>
      <xdr:row>72</xdr:row>
      <xdr:rowOff>9524</xdr:rowOff>
    </xdr:to>
    <xdr:cxnSp macro="">
      <xdr:nvCxnSpPr>
        <xdr:cNvPr id="78" name="Straight Connector 77"/>
        <xdr:cNvCxnSpPr/>
      </xdr:nvCxnSpPr>
      <xdr:spPr bwMode="auto">
        <a:xfrm rot="10800000" flipV="1">
          <a:off x="1838325" y="11944349"/>
          <a:ext cx="171450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495301</xdr:colOff>
      <xdr:row>71</xdr:row>
      <xdr:rowOff>19049</xdr:rowOff>
    </xdr:from>
    <xdr:to>
      <xdr:col>6</xdr:col>
      <xdr:colOff>19051</xdr:colOff>
      <xdr:row>71</xdr:row>
      <xdr:rowOff>161924</xdr:rowOff>
    </xdr:to>
    <xdr:cxnSp macro="">
      <xdr:nvCxnSpPr>
        <xdr:cNvPr id="79" name="Straight Connector 78"/>
        <xdr:cNvCxnSpPr/>
      </xdr:nvCxnSpPr>
      <xdr:spPr bwMode="auto">
        <a:xfrm rot="16200000" flipH="1">
          <a:off x="3538538" y="11958637"/>
          <a:ext cx="142875" cy="1333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</xdr:colOff>
      <xdr:row>72</xdr:row>
      <xdr:rowOff>66678</xdr:rowOff>
    </xdr:from>
    <xdr:to>
      <xdr:col>3</xdr:col>
      <xdr:colOff>9526</xdr:colOff>
      <xdr:row>73</xdr:row>
      <xdr:rowOff>133352</xdr:rowOff>
    </xdr:to>
    <xdr:cxnSp macro="">
      <xdr:nvCxnSpPr>
        <xdr:cNvPr id="80" name="Straight Connector 79"/>
        <xdr:cNvCxnSpPr/>
      </xdr:nvCxnSpPr>
      <xdr:spPr bwMode="auto">
        <a:xfrm rot="16200000" flipH="1">
          <a:off x="1719264" y="12272966"/>
          <a:ext cx="228599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72</xdr:row>
      <xdr:rowOff>85724</xdr:rowOff>
    </xdr:from>
    <xdr:to>
      <xdr:col>6</xdr:col>
      <xdr:colOff>1</xdr:colOff>
      <xdr:row>74</xdr:row>
      <xdr:rowOff>19050</xdr:rowOff>
    </xdr:to>
    <xdr:cxnSp macro="">
      <xdr:nvCxnSpPr>
        <xdr:cNvPr id="81" name="Straight Connector 80"/>
        <xdr:cNvCxnSpPr/>
      </xdr:nvCxnSpPr>
      <xdr:spPr bwMode="auto">
        <a:xfrm rot="5400000">
          <a:off x="3524250" y="12306299"/>
          <a:ext cx="257176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66675</xdr:colOff>
      <xdr:row>69</xdr:row>
      <xdr:rowOff>133350</xdr:rowOff>
    </xdr:from>
    <xdr:to>
      <xdr:col>6</xdr:col>
      <xdr:colOff>247650</xdr:colOff>
      <xdr:row>69</xdr:row>
      <xdr:rowOff>134938</xdr:rowOff>
    </xdr:to>
    <xdr:cxnSp macro="">
      <xdr:nvCxnSpPr>
        <xdr:cNvPr id="82" name="Straight Connector 81"/>
        <xdr:cNvCxnSpPr/>
      </xdr:nvCxnSpPr>
      <xdr:spPr bwMode="auto">
        <a:xfrm>
          <a:off x="3724275" y="11744325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1</xdr:col>
      <xdr:colOff>381000</xdr:colOff>
      <xdr:row>60</xdr:row>
      <xdr:rowOff>0</xdr:rowOff>
    </xdr:from>
    <xdr:ext cx="175304" cy="170560"/>
    <xdr:sp macro="" textlink="">
      <xdr:nvSpPr>
        <xdr:cNvPr id="83" name="Text Box 161"/>
        <xdr:cNvSpPr txBox="1">
          <a:spLocks noChangeArrowheads="1"/>
        </xdr:cNvSpPr>
      </xdr:nvSpPr>
      <xdr:spPr bwMode="auto">
        <a:xfrm>
          <a:off x="990600" y="10153650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oneCellAnchor>
    <xdr:from>
      <xdr:col>4</xdr:col>
      <xdr:colOff>133350</xdr:colOff>
      <xdr:row>64</xdr:row>
      <xdr:rowOff>133350</xdr:rowOff>
    </xdr:from>
    <xdr:ext cx="175304" cy="170560"/>
    <xdr:sp macro="" textlink="">
      <xdr:nvSpPr>
        <xdr:cNvPr id="84" name="Text Box 161"/>
        <xdr:cNvSpPr txBox="1">
          <a:spLocks noChangeArrowheads="1"/>
        </xdr:cNvSpPr>
      </xdr:nvSpPr>
      <xdr:spPr bwMode="auto">
        <a:xfrm>
          <a:off x="2571750" y="10934700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1</xdr:col>
      <xdr:colOff>133350</xdr:colOff>
      <xdr:row>59</xdr:row>
      <xdr:rowOff>9525</xdr:rowOff>
    </xdr:from>
    <xdr:to>
      <xdr:col>2</xdr:col>
      <xdr:colOff>647700</xdr:colOff>
      <xdr:row>59</xdr:row>
      <xdr:rowOff>11113</xdr:rowOff>
    </xdr:to>
    <xdr:cxnSp macro="">
      <xdr:nvCxnSpPr>
        <xdr:cNvPr id="85" name="Straight Connector 84"/>
        <xdr:cNvCxnSpPr/>
      </xdr:nvCxnSpPr>
      <xdr:spPr bwMode="auto">
        <a:xfrm rot="10800000">
          <a:off x="742950" y="10001250"/>
          <a:ext cx="1085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1</xdr:col>
      <xdr:colOff>419100</xdr:colOff>
      <xdr:row>58</xdr:row>
      <xdr:rowOff>0</xdr:rowOff>
    </xdr:from>
    <xdr:ext cx="175304" cy="170560"/>
    <xdr:sp macro="" textlink="">
      <xdr:nvSpPr>
        <xdr:cNvPr id="86" name="Text Box 161"/>
        <xdr:cNvSpPr txBox="1">
          <a:spLocks noChangeArrowheads="1"/>
        </xdr:cNvSpPr>
      </xdr:nvSpPr>
      <xdr:spPr bwMode="auto">
        <a:xfrm>
          <a:off x="1028700" y="9829800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oneCellAnchor>
    <xdr:from>
      <xdr:col>2</xdr:col>
      <xdr:colOff>333375</xdr:colOff>
      <xdr:row>57</xdr:row>
      <xdr:rowOff>142875</xdr:rowOff>
    </xdr:from>
    <xdr:ext cx="125291" cy="170560"/>
    <xdr:sp macro="" textlink="">
      <xdr:nvSpPr>
        <xdr:cNvPr id="87" name="Text Box 161"/>
        <xdr:cNvSpPr txBox="1">
          <a:spLocks noChangeArrowheads="1"/>
        </xdr:cNvSpPr>
      </xdr:nvSpPr>
      <xdr:spPr bwMode="auto">
        <a:xfrm>
          <a:off x="1552575" y="9810750"/>
          <a:ext cx="125291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1</xdr:col>
      <xdr:colOff>600869</xdr:colOff>
      <xdr:row>69</xdr:row>
      <xdr:rowOff>151606</xdr:rowOff>
    </xdr:from>
    <xdr:to>
      <xdr:col>5</xdr:col>
      <xdr:colOff>600869</xdr:colOff>
      <xdr:row>69</xdr:row>
      <xdr:rowOff>153194</xdr:rowOff>
    </xdr:to>
    <xdr:cxnSp macro="">
      <xdr:nvCxnSpPr>
        <xdr:cNvPr id="88" name="Straight Connector 87"/>
        <xdr:cNvCxnSpPr/>
      </xdr:nvCxnSpPr>
      <xdr:spPr bwMode="auto">
        <a:xfrm rot="5400000" flipH="1" flipV="1">
          <a:off x="2428875" y="10544175"/>
          <a:ext cx="1588" cy="243840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361950</xdr:colOff>
      <xdr:row>61</xdr:row>
      <xdr:rowOff>9525</xdr:rowOff>
    </xdr:from>
    <xdr:to>
      <xdr:col>1</xdr:col>
      <xdr:colOff>304800</xdr:colOff>
      <xdr:row>61</xdr:row>
      <xdr:rowOff>11113</xdr:rowOff>
    </xdr:to>
    <xdr:cxnSp macro="">
      <xdr:nvCxnSpPr>
        <xdr:cNvPr id="89" name="Straight Connector 88"/>
        <xdr:cNvCxnSpPr/>
      </xdr:nvCxnSpPr>
      <xdr:spPr bwMode="auto">
        <a:xfrm rot="10800000">
          <a:off x="361950" y="10325100"/>
          <a:ext cx="5524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295275</xdr:colOff>
      <xdr:row>70</xdr:row>
      <xdr:rowOff>0</xdr:rowOff>
    </xdr:from>
    <xdr:to>
      <xdr:col>1</xdr:col>
      <xdr:colOff>381000</xdr:colOff>
      <xdr:row>70</xdr:row>
      <xdr:rowOff>9525</xdr:rowOff>
    </xdr:to>
    <xdr:cxnSp macro="">
      <xdr:nvCxnSpPr>
        <xdr:cNvPr id="90" name="Straight Connector 89"/>
        <xdr:cNvCxnSpPr/>
      </xdr:nvCxnSpPr>
      <xdr:spPr bwMode="auto">
        <a:xfrm flipV="1">
          <a:off x="295275" y="11772900"/>
          <a:ext cx="6953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352425</xdr:colOff>
      <xdr:row>71</xdr:row>
      <xdr:rowOff>152400</xdr:rowOff>
    </xdr:from>
    <xdr:to>
      <xdr:col>1</xdr:col>
      <xdr:colOff>390525</xdr:colOff>
      <xdr:row>72</xdr:row>
      <xdr:rowOff>9525</xdr:rowOff>
    </xdr:to>
    <xdr:cxnSp macro="">
      <xdr:nvCxnSpPr>
        <xdr:cNvPr id="91" name="Straight Connector 90"/>
        <xdr:cNvCxnSpPr/>
      </xdr:nvCxnSpPr>
      <xdr:spPr bwMode="auto">
        <a:xfrm flipV="1">
          <a:off x="352425" y="12087225"/>
          <a:ext cx="6477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8732</xdr:colOff>
      <xdr:row>70</xdr:row>
      <xdr:rowOff>10319</xdr:rowOff>
    </xdr:from>
    <xdr:to>
      <xdr:col>1</xdr:col>
      <xdr:colOff>10320</xdr:colOff>
      <xdr:row>72</xdr:row>
      <xdr:rowOff>794</xdr:rowOff>
    </xdr:to>
    <xdr:cxnSp macro="">
      <xdr:nvCxnSpPr>
        <xdr:cNvPr id="92" name="Straight Arrow Connector 91"/>
        <xdr:cNvCxnSpPr/>
      </xdr:nvCxnSpPr>
      <xdr:spPr bwMode="auto">
        <a:xfrm rot="5400000">
          <a:off x="461963" y="11939588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608808</xdr:colOff>
      <xdr:row>70</xdr:row>
      <xdr:rowOff>95253</xdr:rowOff>
    </xdr:from>
    <xdr:to>
      <xdr:col>8</xdr:col>
      <xdr:colOff>1</xdr:colOff>
      <xdr:row>72</xdr:row>
      <xdr:rowOff>794</xdr:rowOff>
    </xdr:to>
    <xdr:cxnSp macro="">
      <xdr:nvCxnSpPr>
        <xdr:cNvPr id="93" name="Straight Arrow Connector 92"/>
        <xdr:cNvCxnSpPr/>
      </xdr:nvCxnSpPr>
      <xdr:spPr bwMode="auto">
        <a:xfrm rot="5400000">
          <a:off x="4761709" y="11982452"/>
          <a:ext cx="229391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600077</xdr:colOff>
      <xdr:row>60</xdr:row>
      <xdr:rowOff>142875</xdr:rowOff>
    </xdr:from>
    <xdr:to>
      <xdr:col>8</xdr:col>
      <xdr:colOff>3</xdr:colOff>
      <xdr:row>70</xdr:row>
      <xdr:rowOff>57153</xdr:rowOff>
    </xdr:to>
    <xdr:cxnSp macro="">
      <xdr:nvCxnSpPr>
        <xdr:cNvPr id="94" name="Straight Arrow Connector 93"/>
        <xdr:cNvCxnSpPr/>
      </xdr:nvCxnSpPr>
      <xdr:spPr bwMode="auto">
        <a:xfrm rot="16200000" flipH="1">
          <a:off x="4105276" y="11058526"/>
          <a:ext cx="1533528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409575</xdr:colOff>
      <xdr:row>70</xdr:row>
      <xdr:rowOff>76200</xdr:rowOff>
    </xdr:from>
    <xdr:to>
      <xdr:col>8</xdr:col>
      <xdr:colOff>238125</xdr:colOff>
      <xdr:row>70</xdr:row>
      <xdr:rowOff>76201</xdr:rowOff>
    </xdr:to>
    <xdr:cxnSp macro="">
      <xdr:nvCxnSpPr>
        <xdr:cNvPr id="95" name="Straight Connector 94"/>
        <xdr:cNvCxnSpPr/>
      </xdr:nvCxnSpPr>
      <xdr:spPr bwMode="auto">
        <a:xfrm flipV="1">
          <a:off x="4676775" y="11849100"/>
          <a:ext cx="43815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600075</xdr:colOff>
      <xdr:row>71</xdr:row>
      <xdr:rowOff>142875</xdr:rowOff>
    </xdr:from>
    <xdr:to>
      <xdr:col>2</xdr:col>
      <xdr:colOff>76200</xdr:colOff>
      <xdr:row>71</xdr:row>
      <xdr:rowOff>152400</xdr:rowOff>
    </xdr:to>
    <xdr:cxnSp macro="">
      <xdr:nvCxnSpPr>
        <xdr:cNvPr id="96" name="Straight Connector 95"/>
        <xdr:cNvCxnSpPr/>
      </xdr:nvCxnSpPr>
      <xdr:spPr bwMode="auto">
        <a:xfrm flipV="1">
          <a:off x="600075" y="12077700"/>
          <a:ext cx="6953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304800</xdr:colOff>
      <xdr:row>60</xdr:row>
      <xdr:rowOff>152400</xdr:rowOff>
    </xdr:from>
    <xdr:to>
      <xdr:col>8</xdr:col>
      <xdr:colOff>219075</xdr:colOff>
      <xdr:row>61</xdr:row>
      <xdr:rowOff>1</xdr:rowOff>
    </xdr:to>
    <xdr:cxnSp macro="">
      <xdr:nvCxnSpPr>
        <xdr:cNvPr id="97" name="Straight Connector 96"/>
        <xdr:cNvCxnSpPr/>
      </xdr:nvCxnSpPr>
      <xdr:spPr bwMode="auto">
        <a:xfrm flipV="1">
          <a:off x="4572000" y="10306050"/>
          <a:ext cx="523875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209550</xdr:colOff>
      <xdr:row>72</xdr:row>
      <xdr:rowOff>9525</xdr:rowOff>
    </xdr:from>
    <xdr:to>
      <xdr:col>8</xdr:col>
      <xdr:colOff>247650</xdr:colOff>
      <xdr:row>72</xdr:row>
      <xdr:rowOff>9526</xdr:rowOff>
    </xdr:to>
    <xdr:cxnSp macro="">
      <xdr:nvCxnSpPr>
        <xdr:cNvPr id="98" name="Straight Connector 97"/>
        <xdr:cNvCxnSpPr/>
      </xdr:nvCxnSpPr>
      <xdr:spPr bwMode="auto">
        <a:xfrm flipV="1">
          <a:off x="4476750" y="12106275"/>
          <a:ext cx="64770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18257</xdr:colOff>
      <xdr:row>73</xdr:row>
      <xdr:rowOff>124619</xdr:rowOff>
    </xdr:from>
    <xdr:to>
      <xdr:col>2</xdr:col>
      <xdr:colOff>19845</xdr:colOff>
      <xdr:row>75</xdr:row>
      <xdr:rowOff>115094</xdr:rowOff>
    </xdr:to>
    <xdr:cxnSp macro="">
      <xdr:nvCxnSpPr>
        <xdr:cNvPr id="99" name="Straight Arrow Connector 98"/>
        <xdr:cNvCxnSpPr/>
      </xdr:nvCxnSpPr>
      <xdr:spPr bwMode="auto">
        <a:xfrm rot="5400000">
          <a:off x="1081088" y="12539663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8732</xdr:colOff>
      <xdr:row>73</xdr:row>
      <xdr:rowOff>96045</xdr:rowOff>
    </xdr:from>
    <xdr:to>
      <xdr:col>7</xdr:col>
      <xdr:colOff>10320</xdr:colOff>
      <xdr:row>75</xdr:row>
      <xdr:rowOff>86520</xdr:rowOff>
    </xdr:to>
    <xdr:cxnSp macro="">
      <xdr:nvCxnSpPr>
        <xdr:cNvPr id="100" name="Straight Arrow Connector 99"/>
        <xdr:cNvCxnSpPr/>
      </xdr:nvCxnSpPr>
      <xdr:spPr bwMode="auto">
        <a:xfrm rot="5400000">
          <a:off x="4119563" y="12511089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 editAs="oneCell">
    <xdr:from>
      <xdr:col>4</xdr:col>
      <xdr:colOff>0</xdr:colOff>
      <xdr:row>140</xdr:row>
      <xdr:rowOff>9525</xdr:rowOff>
    </xdr:from>
    <xdr:to>
      <xdr:col>4</xdr:col>
      <xdr:colOff>76200</xdr:colOff>
      <xdr:row>141</xdr:row>
      <xdr:rowOff>47625</xdr:rowOff>
    </xdr:to>
    <xdr:sp macro="" textlink="">
      <xdr:nvSpPr>
        <xdr:cNvPr id="101" name="Text Box 8"/>
        <xdr:cNvSpPr txBox="1">
          <a:spLocks noChangeArrowheads="1"/>
        </xdr:cNvSpPr>
      </xdr:nvSpPr>
      <xdr:spPr bwMode="auto">
        <a:xfrm>
          <a:off x="2438400" y="155067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600075</xdr:colOff>
      <xdr:row>125</xdr:row>
      <xdr:rowOff>0</xdr:rowOff>
    </xdr:from>
    <xdr:to>
      <xdr:col>0</xdr:col>
      <xdr:colOff>600075</xdr:colOff>
      <xdr:row>138</xdr:row>
      <xdr:rowOff>0</xdr:rowOff>
    </xdr:to>
    <xdr:sp macro="" textlink="">
      <xdr:nvSpPr>
        <xdr:cNvPr id="103" name="Line 111"/>
        <xdr:cNvSpPr>
          <a:spLocks noChangeShapeType="1"/>
        </xdr:cNvSpPr>
      </xdr:nvSpPr>
      <xdr:spPr bwMode="auto">
        <a:xfrm>
          <a:off x="600075" y="13716000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590550</xdr:colOff>
      <xdr:row>138</xdr:row>
      <xdr:rowOff>0</xdr:rowOff>
    </xdr:from>
    <xdr:to>
      <xdr:col>2</xdr:col>
      <xdr:colOff>9525</xdr:colOff>
      <xdr:row>138</xdr:row>
      <xdr:rowOff>0</xdr:rowOff>
    </xdr:to>
    <xdr:sp macro="" textlink="">
      <xdr:nvSpPr>
        <xdr:cNvPr id="104" name="Line 112"/>
        <xdr:cNvSpPr>
          <a:spLocks noChangeShapeType="1"/>
        </xdr:cNvSpPr>
      </xdr:nvSpPr>
      <xdr:spPr bwMode="auto">
        <a:xfrm flipV="1">
          <a:off x="590550" y="15173325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600075</xdr:colOff>
      <xdr:row>125</xdr:row>
      <xdr:rowOff>0</xdr:rowOff>
    </xdr:from>
    <xdr:to>
      <xdr:col>2</xdr:col>
      <xdr:colOff>0</xdr:colOff>
      <xdr:row>125</xdr:row>
      <xdr:rowOff>0</xdr:rowOff>
    </xdr:to>
    <xdr:sp macro="" textlink="">
      <xdr:nvSpPr>
        <xdr:cNvPr id="105" name="Line 113"/>
        <xdr:cNvSpPr>
          <a:spLocks noChangeShapeType="1"/>
        </xdr:cNvSpPr>
      </xdr:nvSpPr>
      <xdr:spPr bwMode="auto">
        <a:xfrm>
          <a:off x="600075" y="1371600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125</xdr:row>
      <xdr:rowOff>0</xdr:rowOff>
    </xdr:from>
    <xdr:to>
      <xdr:col>1</xdr:col>
      <xdr:colOff>600075</xdr:colOff>
      <xdr:row>138</xdr:row>
      <xdr:rowOff>9525</xdr:rowOff>
    </xdr:to>
    <xdr:sp macro="" textlink="">
      <xdr:nvSpPr>
        <xdr:cNvPr id="106" name="Line 114"/>
        <xdr:cNvSpPr>
          <a:spLocks noChangeShapeType="1"/>
        </xdr:cNvSpPr>
      </xdr:nvSpPr>
      <xdr:spPr bwMode="auto">
        <a:xfrm>
          <a:off x="1209675" y="13716000"/>
          <a:ext cx="0" cy="1466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125</xdr:row>
      <xdr:rowOff>0</xdr:rowOff>
    </xdr:from>
    <xdr:to>
      <xdr:col>0</xdr:col>
      <xdr:colOff>600075</xdr:colOff>
      <xdr:row>125</xdr:row>
      <xdr:rowOff>66675</xdr:rowOff>
    </xdr:to>
    <xdr:sp macro="" textlink="">
      <xdr:nvSpPr>
        <xdr:cNvPr id="107" name="Line 115"/>
        <xdr:cNvSpPr>
          <a:spLocks noChangeShapeType="1"/>
        </xdr:cNvSpPr>
      </xdr:nvSpPr>
      <xdr:spPr bwMode="auto">
        <a:xfrm flipH="1">
          <a:off x="561975" y="137160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125</xdr:row>
      <xdr:rowOff>85725</xdr:rowOff>
    </xdr:from>
    <xdr:to>
      <xdr:col>0</xdr:col>
      <xdr:colOff>600075</xdr:colOff>
      <xdr:row>125</xdr:row>
      <xdr:rowOff>152400</xdr:rowOff>
    </xdr:to>
    <xdr:sp macro="" textlink="">
      <xdr:nvSpPr>
        <xdr:cNvPr id="108" name="Line 116"/>
        <xdr:cNvSpPr>
          <a:spLocks noChangeShapeType="1"/>
        </xdr:cNvSpPr>
      </xdr:nvSpPr>
      <xdr:spPr bwMode="auto">
        <a:xfrm flipH="1">
          <a:off x="571500" y="138017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128</xdr:row>
      <xdr:rowOff>0</xdr:rowOff>
    </xdr:from>
    <xdr:to>
      <xdr:col>0</xdr:col>
      <xdr:colOff>600075</xdr:colOff>
      <xdr:row>128</xdr:row>
      <xdr:rowOff>66675</xdr:rowOff>
    </xdr:to>
    <xdr:sp macro="" textlink="">
      <xdr:nvSpPr>
        <xdr:cNvPr id="109" name="Line 117"/>
        <xdr:cNvSpPr>
          <a:spLocks noChangeShapeType="1"/>
        </xdr:cNvSpPr>
      </xdr:nvSpPr>
      <xdr:spPr bwMode="auto">
        <a:xfrm flipH="1">
          <a:off x="561975" y="138779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128</xdr:row>
      <xdr:rowOff>85725</xdr:rowOff>
    </xdr:from>
    <xdr:to>
      <xdr:col>0</xdr:col>
      <xdr:colOff>600075</xdr:colOff>
      <xdr:row>128</xdr:row>
      <xdr:rowOff>152400</xdr:rowOff>
    </xdr:to>
    <xdr:sp macro="" textlink="">
      <xdr:nvSpPr>
        <xdr:cNvPr id="110" name="Line 118"/>
        <xdr:cNvSpPr>
          <a:spLocks noChangeShapeType="1"/>
        </xdr:cNvSpPr>
      </xdr:nvSpPr>
      <xdr:spPr bwMode="auto">
        <a:xfrm flipH="1">
          <a:off x="571500" y="139636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129</xdr:row>
      <xdr:rowOff>0</xdr:rowOff>
    </xdr:from>
    <xdr:to>
      <xdr:col>0</xdr:col>
      <xdr:colOff>600075</xdr:colOff>
      <xdr:row>129</xdr:row>
      <xdr:rowOff>66675</xdr:rowOff>
    </xdr:to>
    <xdr:sp macro="" textlink="">
      <xdr:nvSpPr>
        <xdr:cNvPr id="111" name="Line 119"/>
        <xdr:cNvSpPr>
          <a:spLocks noChangeShapeType="1"/>
        </xdr:cNvSpPr>
      </xdr:nvSpPr>
      <xdr:spPr bwMode="auto">
        <a:xfrm flipH="1">
          <a:off x="561975" y="140398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129</xdr:row>
      <xdr:rowOff>85725</xdr:rowOff>
    </xdr:from>
    <xdr:to>
      <xdr:col>0</xdr:col>
      <xdr:colOff>600075</xdr:colOff>
      <xdr:row>129</xdr:row>
      <xdr:rowOff>152400</xdr:rowOff>
    </xdr:to>
    <xdr:sp macro="" textlink="">
      <xdr:nvSpPr>
        <xdr:cNvPr id="112" name="Line 120"/>
        <xdr:cNvSpPr>
          <a:spLocks noChangeShapeType="1"/>
        </xdr:cNvSpPr>
      </xdr:nvSpPr>
      <xdr:spPr bwMode="auto">
        <a:xfrm flipH="1">
          <a:off x="571500" y="141255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130</xdr:row>
      <xdr:rowOff>0</xdr:rowOff>
    </xdr:from>
    <xdr:to>
      <xdr:col>0</xdr:col>
      <xdr:colOff>600075</xdr:colOff>
      <xdr:row>130</xdr:row>
      <xdr:rowOff>66675</xdr:rowOff>
    </xdr:to>
    <xdr:sp macro="" textlink="">
      <xdr:nvSpPr>
        <xdr:cNvPr id="113" name="Line 121"/>
        <xdr:cNvSpPr>
          <a:spLocks noChangeShapeType="1"/>
        </xdr:cNvSpPr>
      </xdr:nvSpPr>
      <xdr:spPr bwMode="auto">
        <a:xfrm flipH="1">
          <a:off x="561975" y="142017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130</xdr:row>
      <xdr:rowOff>85725</xdr:rowOff>
    </xdr:from>
    <xdr:to>
      <xdr:col>0</xdr:col>
      <xdr:colOff>600075</xdr:colOff>
      <xdr:row>130</xdr:row>
      <xdr:rowOff>152400</xdr:rowOff>
    </xdr:to>
    <xdr:sp macro="" textlink="">
      <xdr:nvSpPr>
        <xdr:cNvPr id="114" name="Line 122"/>
        <xdr:cNvSpPr>
          <a:spLocks noChangeShapeType="1"/>
        </xdr:cNvSpPr>
      </xdr:nvSpPr>
      <xdr:spPr bwMode="auto">
        <a:xfrm flipH="1">
          <a:off x="571500" y="142875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132</xdr:row>
      <xdr:rowOff>0</xdr:rowOff>
    </xdr:from>
    <xdr:to>
      <xdr:col>0</xdr:col>
      <xdr:colOff>600075</xdr:colOff>
      <xdr:row>132</xdr:row>
      <xdr:rowOff>66675</xdr:rowOff>
    </xdr:to>
    <xdr:sp macro="" textlink="">
      <xdr:nvSpPr>
        <xdr:cNvPr id="117" name="Line 125"/>
        <xdr:cNvSpPr>
          <a:spLocks noChangeShapeType="1"/>
        </xdr:cNvSpPr>
      </xdr:nvSpPr>
      <xdr:spPr bwMode="auto">
        <a:xfrm flipH="1">
          <a:off x="561975" y="145256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132</xdr:row>
      <xdr:rowOff>85725</xdr:rowOff>
    </xdr:from>
    <xdr:to>
      <xdr:col>0</xdr:col>
      <xdr:colOff>600075</xdr:colOff>
      <xdr:row>132</xdr:row>
      <xdr:rowOff>152400</xdr:rowOff>
    </xdr:to>
    <xdr:sp macro="" textlink="">
      <xdr:nvSpPr>
        <xdr:cNvPr id="118" name="Line 126"/>
        <xdr:cNvSpPr>
          <a:spLocks noChangeShapeType="1"/>
        </xdr:cNvSpPr>
      </xdr:nvSpPr>
      <xdr:spPr bwMode="auto">
        <a:xfrm flipH="1">
          <a:off x="571500" y="146113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133</xdr:row>
      <xdr:rowOff>0</xdr:rowOff>
    </xdr:from>
    <xdr:to>
      <xdr:col>0</xdr:col>
      <xdr:colOff>600075</xdr:colOff>
      <xdr:row>133</xdr:row>
      <xdr:rowOff>66675</xdr:rowOff>
    </xdr:to>
    <xdr:sp macro="" textlink="">
      <xdr:nvSpPr>
        <xdr:cNvPr id="119" name="Line 127"/>
        <xdr:cNvSpPr>
          <a:spLocks noChangeShapeType="1"/>
        </xdr:cNvSpPr>
      </xdr:nvSpPr>
      <xdr:spPr bwMode="auto">
        <a:xfrm flipH="1">
          <a:off x="561975" y="146875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133</xdr:row>
      <xdr:rowOff>85725</xdr:rowOff>
    </xdr:from>
    <xdr:to>
      <xdr:col>0</xdr:col>
      <xdr:colOff>600075</xdr:colOff>
      <xdr:row>133</xdr:row>
      <xdr:rowOff>152400</xdr:rowOff>
    </xdr:to>
    <xdr:sp macro="" textlink="">
      <xdr:nvSpPr>
        <xdr:cNvPr id="120" name="Line 128"/>
        <xdr:cNvSpPr>
          <a:spLocks noChangeShapeType="1"/>
        </xdr:cNvSpPr>
      </xdr:nvSpPr>
      <xdr:spPr bwMode="auto">
        <a:xfrm flipH="1">
          <a:off x="571500" y="147732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136</xdr:row>
      <xdr:rowOff>0</xdr:rowOff>
    </xdr:from>
    <xdr:to>
      <xdr:col>0</xdr:col>
      <xdr:colOff>600075</xdr:colOff>
      <xdr:row>136</xdr:row>
      <xdr:rowOff>66675</xdr:rowOff>
    </xdr:to>
    <xdr:sp macro="" textlink="">
      <xdr:nvSpPr>
        <xdr:cNvPr id="121" name="Line 129"/>
        <xdr:cNvSpPr>
          <a:spLocks noChangeShapeType="1"/>
        </xdr:cNvSpPr>
      </xdr:nvSpPr>
      <xdr:spPr bwMode="auto">
        <a:xfrm flipH="1">
          <a:off x="561975" y="148494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136</xdr:row>
      <xdr:rowOff>85725</xdr:rowOff>
    </xdr:from>
    <xdr:to>
      <xdr:col>0</xdr:col>
      <xdr:colOff>600075</xdr:colOff>
      <xdr:row>136</xdr:row>
      <xdr:rowOff>152400</xdr:rowOff>
    </xdr:to>
    <xdr:sp macro="" textlink="">
      <xdr:nvSpPr>
        <xdr:cNvPr id="122" name="Line 130"/>
        <xdr:cNvSpPr>
          <a:spLocks noChangeShapeType="1"/>
        </xdr:cNvSpPr>
      </xdr:nvSpPr>
      <xdr:spPr bwMode="auto">
        <a:xfrm flipH="1">
          <a:off x="571500" y="149352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137</xdr:row>
      <xdr:rowOff>0</xdr:rowOff>
    </xdr:from>
    <xdr:to>
      <xdr:col>0</xdr:col>
      <xdr:colOff>600075</xdr:colOff>
      <xdr:row>137</xdr:row>
      <xdr:rowOff>66675</xdr:rowOff>
    </xdr:to>
    <xdr:sp macro="" textlink="">
      <xdr:nvSpPr>
        <xdr:cNvPr id="123" name="Line 131"/>
        <xdr:cNvSpPr>
          <a:spLocks noChangeShapeType="1"/>
        </xdr:cNvSpPr>
      </xdr:nvSpPr>
      <xdr:spPr bwMode="auto">
        <a:xfrm flipH="1">
          <a:off x="561975" y="150114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137</xdr:row>
      <xdr:rowOff>85725</xdr:rowOff>
    </xdr:from>
    <xdr:to>
      <xdr:col>0</xdr:col>
      <xdr:colOff>600075</xdr:colOff>
      <xdr:row>137</xdr:row>
      <xdr:rowOff>152400</xdr:rowOff>
    </xdr:to>
    <xdr:sp macro="" textlink="">
      <xdr:nvSpPr>
        <xdr:cNvPr id="124" name="Line 132"/>
        <xdr:cNvSpPr>
          <a:spLocks noChangeShapeType="1"/>
        </xdr:cNvSpPr>
      </xdr:nvSpPr>
      <xdr:spPr bwMode="auto">
        <a:xfrm flipH="1">
          <a:off x="571500" y="150971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561975</xdr:colOff>
      <xdr:row>137</xdr:row>
      <xdr:rowOff>0</xdr:rowOff>
    </xdr:from>
    <xdr:to>
      <xdr:col>0</xdr:col>
      <xdr:colOff>600075</xdr:colOff>
      <xdr:row>137</xdr:row>
      <xdr:rowOff>66675</xdr:rowOff>
    </xdr:to>
    <xdr:sp macro="" textlink="">
      <xdr:nvSpPr>
        <xdr:cNvPr id="125" name="Line 133"/>
        <xdr:cNvSpPr>
          <a:spLocks noChangeShapeType="1"/>
        </xdr:cNvSpPr>
      </xdr:nvSpPr>
      <xdr:spPr bwMode="auto">
        <a:xfrm flipH="1">
          <a:off x="561975" y="150114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137</xdr:row>
      <xdr:rowOff>85725</xdr:rowOff>
    </xdr:from>
    <xdr:to>
      <xdr:col>0</xdr:col>
      <xdr:colOff>600075</xdr:colOff>
      <xdr:row>137</xdr:row>
      <xdr:rowOff>152400</xdr:rowOff>
    </xdr:to>
    <xdr:sp macro="" textlink="">
      <xdr:nvSpPr>
        <xdr:cNvPr id="126" name="Line 134"/>
        <xdr:cNvSpPr>
          <a:spLocks noChangeShapeType="1"/>
        </xdr:cNvSpPr>
      </xdr:nvSpPr>
      <xdr:spPr bwMode="auto">
        <a:xfrm flipH="1">
          <a:off x="571500" y="150971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600075</xdr:colOff>
      <xdr:row>138</xdr:row>
      <xdr:rowOff>0</xdr:rowOff>
    </xdr:from>
    <xdr:to>
      <xdr:col>1</xdr:col>
      <xdr:colOff>47625</xdr:colOff>
      <xdr:row>138</xdr:row>
      <xdr:rowOff>38100</xdr:rowOff>
    </xdr:to>
    <xdr:sp macro="" textlink="">
      <xdr:nvSpPr>
        <xdr:cNvPr id="127" name="Line 135"/>
        <xdr:cNvSpPr>
          <a:spLocks noChangeShapeType="1"/>
        </xdr:cNvSpPr>
      </xdr:nvSpPr>
      <xdr:spPr bwMode="auto">
        <a:xfrm flipH="1">
          <a:off x="600075" y="15173325"/>
          <a:ext cx="5715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542925</xdr:colOff>
      <xdr:row>138</xdr:row>
      <xdr:rowOff>0</xdr:rowOff>
    </xdr:from>
    <xdr:to>
      <xdr:col>1</xdr:col>
      <xdr:colOff>581025</xdr:colOff>
      <xdr:row>138</xdr:row>
      <xdr:rowOff>47625</xdr:rowOff>
    </xdr:to>
    <xdr:sp macro="" textlink="">
      <xdr:nvSpPr>
        <xdr:cNvPr id="128" name="Line 136"/>
        <xdr:cNvSpPr>
          <a:spLocks noChangeShapeType="1"/>
        </xdr:cNvSpPr>
      </xdr:nvSpPr>
      <xdr:spPr bwMode="auto">
        <a:xfrm flipH="1">
          <a:off x="1152525" y="15173325"/>
          <a:ext cx="381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38100</xdr:colOff>
      <xdr:row>138</xdr:row>
      <xdr:rowOff>9525</xdr:rowOff>
    </xdr:from>
    <xdr:to>
      <xdr:col>1</xdr:col>
      <xdr:colOff>104775</xdr:colOff>
      <xdr:row>138</xdr:row>
      <xdr:rowOff>38100</xdr:rowOff>
    </xdr:to>
    <xdr:sp macro="" textlink="">
      <xdr:nvSpPr>
        <xdr:cNvPr id="129" name="Line 137"/>
        <xdr:cNvSpPr>
          <a:spLocks noChangeShapeType="1"/>
        </xdr:cNvSpPr>
      </xdr:nvSpPr>
      <xdr:spPr bwMode="auto">
        <a:xfrm flipH="1">
          <a:off x="647700" y="15182850"/>
          <a:ext cx="6667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123825</xdr:colOff>
      <xdr:row>138</xdr:row>
      <xdr:rowOff>0</xdr:rowOff>
    </xdr:from>
    <xdr:to>
      <xdr:col>1</xdr:col>
      <xdr:colOff>200025</xdr:colOff>
      <xdr:row>138</xdr:row>
      <xdr:rowOff>38100</xdr:rowOff>
    </xdr:to>
    <xdr:sp macro="" textlink="">
      <xdr:nvSpPr>
        <xdr:cNvPr id="130" name="Line 138"/>
        <xdr:cNvSpPr>
          <a:spLocks noChangeShapeType="1"/>
        </xdr:cNvSpPr>
      </xdr:nvSpPr>
      <xdr:spPr bwMode="auto">
        <a:xfrm flipH="1">
          <a:off x="733425" y="15173325"/>
          <a:ext cx="7620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137</xdr:row>
      <xdr:rowOff>152400</xdr:rowOff>
    </xdr:from>
    <xdr:to>
      <xdr:col>1</xdr:col>
      <xdr:colOff>304800</xdr:colOff>
      <xdr:row>138</xdr:row>
      <xdr:rowOff>38100</xdr:rowOff>
    </xdr:to>
    <xdr:sp macro="" textlink="">
      <xdr:nvSpPr>
        <xdr:cNvPr id="131" name="Line 139"/>
        <xdr:cNvSpPr>
          <a:spLocks noChangeShapeType="1"/>
        </xdr:cNvSpPr>
      </xdr:nvSpPr>
      <xdr:spPr bwMode="auto">
        <a:xfrm flipH="1">
          <a:off x="828675" y="151638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138</xdr:row>
      <xdr:rowOff>0</xdr:rowOff>
    </xdr:from>
    <xdr:to>
      <xdr:col>1</xdr:col>
      <xdr:colOff>361950</xdr:colOff>
      <xdr:row>138</xdr:row>
      <xdr:rowOff>38100</xdr:rowOff>
    </xdr:to>
    <xdr:sp macro="" textlink="">
      <xdr:nvSpPr>
        <xdr:cNvPr id="132" name="Line 140"/>
        <xdr:cNvSpPr>
          <a:spLocks noChangeShapeType="1"/>
        </xdr:cNvSpPr>
      </xdr:nvSpPr>
      <xdr:spPr bwMode="auto">
        <a:xfrm flipH="1">
          <a:off x="904875" y="15173325"/>
          <a:ext cx="66675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361950</xdr:colOff>
      <xdr:row>138</xdr:row>
      <xdr:rowOff>0</xdr:rowOff>
    </xdr:from>
    <xdr:to>
      <xdr:col>1</xdr:col>
      <xdr:colOff>438150</xdr:colOff>
      <xdr:row>138</xdr:row>
      <xdr:rowOff>47625</xdr:rowOff>
    </xdr:to>
    <xdr:sp macro="" textlink="">
      <xdr:nvSpPr>
        <xdr:cNvPr id="133" name="Line 141"/>
        <xdr:cNvSpPr>
          <a:spLocks noChangeShapeType="1"/>
        </xdr:cNvSpPr>
      </xdr:nvSpPr>
      <xdr:spPr bwMode="auto">
        <a:xfrm flipH="1">
          <a:off x="971550" y="15173325"/>
          <a:ext cx="762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438150</xdr:colOff>
      <xdr:row>138</xdr:row>
      <xdr:rowOff>0</xdr:rowOff>
    </xdr:from>
    <xdr:to>
      <xdr:col>1</xdr:col>
      <xdr:colOff>514350</xdr:colOff>
      <xdr:row>138</xdr:row>
      <xdr:rowOff>57150</xdr:rowOff>
    </xdr:to>
    <xdr:sp macro="" textlink="">
      <xdr:nvSpPr>
        <xdr:cNvPr id="134" name="Line 142"/>
        <xdr:cNvSpPr>
          <a:spLocks noChangeShapeType="1"/>
        </xdr:cNvSpPr>
      </xdr:nvSpPr>
      <xdr:spPr bwMode="auto">
        <a:xfrm flipH="1">
          <a:off x="1047750" y="15173325"/>
          <a:ext cx="7620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190500</xdr:colOff>
      <xdr:row>125</xdr:row>
      <xdr:rowOff>0</xdr:rowOff>
    </xdr:from>
    <xdr:to>
      <xdr:col>0</xdr:col>
      <xdr:colOff>514350</xdr:colOff>
      <xdr:row>125</xdr:row>
      <xdr:rowOff>0</xdr:rowOff>
    </xdr:to>
    <xdr:sp macro="" textlink="">
      <xdr:nvSpPr>
        <xdr:cNvPr id="135" name="Line 143"/>
        <xdr:cNvSpPr>
          <a:spLocks noChangeShapeType="1"/>
        </xdr:cNvSpPr>
      </xdr:nvSpPr>
      <xdr:spPr bwMode="auto">
        <a:xfrm>
          <a:off x="190500" y="137160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228600</xdr:colOff>
      <xdr:row>138</xdr:row>
      <xdr:rowOff>0</xdr:rowOff>
    </xdr:from>
    <xdr:to>
      <xdr:col>0</xdr:col>
      <xdr:colOff>504825</xdr:colOff>
      <xdr:row>138</xdr:row>
      <xdr:rowOff>0</xdr:rowOff>
    </xdr:to>
    <xdr:sp macro="" textlink="">
      <xdr:nvSpPr>
        <xdr:cNvPr id="136" name="Line 144"/>
        <xdr:cNvSpPr>
          <a:spLocks noChangeShapeType="1"/>
        </xdr:cNvSpPr>
      </xdr:nvSpPr>
      <xdr:spPr bwMode="auto">
        <a:xfrm>
          <a:off x="228600" y="151733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447675</xdr:colOff>
      <xdr:row>125</xdr:row>
      <xdr:rowOff>0</xdr:rowOff>
    </xdr:from>
    <xdr:to>
      <xdr:col>0</xdr:col>
      <xdr:colOff>447675</xdr:colOff>
      <xdr:row>138</xdr:row>
      <xdr:rowOff>19050</xdr:rowOff>
    </xdr:to>
    <xdr:sp macro="" textlink="">
      <xdr:nvSpPr>
        <xdr:cNvPr id="137" name="Line 145"/>
        <xdr:cNvSpPr>
          <a:spLocks noChangeShapeType="1"/>
        </xdr:cNvSpPr>
      </xdr:nvSpPr>
      <xdr:spPr bwMode="auto">
        <a:xfrm>
          <a:off x="447675" y="13716000"/>
          <a:ext cx="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0</xdr:colOff>
      <xdr:row>139</xdr:row>
      <xdr:rowOff>104775</xdr:rowOff>
    </xdr:from>
    <xdr:to>
      <xdr:col>1</xdr:col>
      <xdr:colOff>0</xdr:colOff>
      <xdr:row>140</xdr:row>
      <xdr:rowOff>47625</xdr:rowOff>
    </xdr:to>
    <xdr:sp macro="" textlink="">
      <xdr:nvSpPr>
        <xdr:cNvPr id="138" name="Line 146"/>
        <xdr:cNvSpPr>
          <a:spLocks noChangeShapeType="1"/>
        </xdr:cNvSpPr>
      </xdr:nvSpPr>
      <xdr:spPr bwMode="auto">
        <a:xfrm>
          <a:off x="609600" y="154400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139</xdr:row>
      <xdr:rowOff>104775</xdr:rowOff>
    </xdr:from>
    <xdr:to>
      <xdr:col>2</xdr:col>
      <xdr:colOff>0</xdr:colOff>
      <xdr:row>140</xdr:row>
      <xdr:rowOff>47625</xdr:rowOff>
    </xdr:to>
    <xdr:sp macro="" textlink="">
      <xdr:nvSpPr>
        <xdr:cNvPr id="139" name="Line 147"/>
        <xdr:cNvSpPr>
          <a:spLocks noChangeShapeType="1"/>
        </xdr:cNvSpPr>
      </xdr:nvSpPr>
      <xdr:spPr bwMode="auto">
        <a:xfrm>
          <a:off x="1219200" y="154400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139</xdr:row>
      <xdr:rowOff>133350</xdr:rowOff>
    </xdr:from>
    <xdr:to>
      <xdr:col>2</xdr:col>
      <xdr:colOff>0</xdr:colOff>
      <xdr:row>139</xdr:row>
      <xdr:rowOff>133350</xdr:rowOff>
    </xdr:to>
    <xdr:sp macro="" textlink="">
      <xdr:nvSpPr>
        <xdr:cNvPr id="140" name="Line 148"/>
        <xdr:cNvSpPr>
          <a:spLocks noChangeShapeType="1"/>
        </xdr:cNvSpPr>
      </xdr:nvSpPr>
      <xdr:spPr bwMode="auto">
        <a:xfrm>
          <a:off x="609600" y="1546860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514350</xdr:colOff>
      <xdr:row>125</xdr:row>
      <xdr:rowOff>0</xdr:rowOff>
    </xdr:from>
    <xdr:to>
      <xdr:col>4</xdr:col>
      <xdr:colOff>600075</xdr:colOff>
      <xdr:row>132</xdr:row>
      <xdr:rowOff>0</xdr:rowOff>
    </xdr:to>
    <xdr:sp macro="" textlink="">
      <xdr:nvSpPr>
        <xdr:cNvPr id="141" name="Line 149"/>
        <xdr:cNvSpPr>
          <a:spLocks noChangeShapeType="1"/>
        </xdr:cNvSpPr>
      </xdr:nvSpPr>
      <xdr:spPr bwMode="auto">
        <a:xfrm flipH="1">
          <a:off x="2952750" y="13716000"/>
          <a:ext cx="85725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504825</xdr:colOff>
      <xdr:row>131</xdr:row>
      <xdr:rowOff>152400</xdr:rowOff>
    </xdr:from>
    <xdr:to>
      <xdr:col>4</xdr:col>
      <xdr:colOff>504825</xdr:colOff>
      <xdr:row>139</xdr:row>
      <xdr:rowOff>57150</xdr:rowOff>
    </xdr:to>
    <xdr:sp macro="" textlink="">
      <xdr:nvSpPr>
        <xdr:cNvPr id="142" name="Line 150"/>
        <xdr:cNvSpPr>
          <a:spLocks noChangeShapeType="1"/>
        </xdr:cNvSpPr>
      </xdr:nvSpPr>
      <xdr:spPr bwMode="auto">
        <a:xfrm>
          <a:off x="2943225" y="14516100"/>
          <a:ext cx="0" cy="876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238125</xdr:colOff>
      <xdr:row>125</xdr:row>
      <xdr:rowOff>0</xdr:rowOff>
    </xdr:from>
    <xdr:to>
      <xdr:col>5</xdr:col>
      <xdr:colOff>238125</xdr:colOff>
      <xdr:row>137</xdr:row>
      <xdr:rowOff>152400</xdr:rowOff>
    </xdr:to>
    <xdr:sp macro="" textlink="">
      <xdr:nvSpPr>
        <xdr:cNvPr id="143" name="Line 151"/>
        <xdr:cNvSpPr>
          <a:spLocks noChangeShapeType="1"/>
        </xdr:cNvSpPr>
      </xdr:nvSpPr>
      <xdr:spPr bwMode="auto">
        <a:xfrm>
          <a:off x="3286125" y="13716000"/>
          <a:ext cx="0" cy="1447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514350</xdr:colOff>
      <xdr:row>139</xdr:row>
      <xdr:rowOff>57150</xdr:rowOff>
    </xdr:from>
    <xdr:to>
      <xdr:col>6</xdr:col>
      <xdr:colOff>19050</xdr:colOff>
      <xdr:row>139</xdr:row>
      <xdr:rowOff>57150</xdr:rowOff>
    </xdr:to>
    <xdr:sp macro="" textlink="">
      <xdr:nvSpPr>
        <xdr:cNvPr id="144" name="Line 152"/>
        <xdr:cNvSpPr>
          <a:spLocks noChangeShapeType="1"/>
        </xdr:cNvSpPr>
      </xdr:nvSpPr>
      <xdr:spPr bwMode="auto">
        <a:xfrm>
          <a:off x="2952750" y="15392400"/>
          <a:ext cx="723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238125</xdr:colOff>
      <xdr:row>137</xdr:row>
      <xdr:rowOff>152400</xdr:rowOff>
    </xdr:from>
    <xdr:to>
      <xdr:col>5</xdr:col>
      <xdr:colOff>600075</xdr:colOff>
      <xdr:row>137</xdr:row>
      <xdr:rowOff>152400</xdr:rowOff>
    </xdr:to>
    <xdr:sp macro="" textlink="">
      <xdr:nvSpPr>
        <xdr:cNvPr id="145" name="Line 153"/>
        <xdr:cNvSpPr>
          <a:spLocks noChangeShapeType="1"/>
        </xdr:cNvSpPr>
      </xdr:nvSpPr>
      <xdr:spPr bwMode="auto">
        <a:xfrm flipV="1">
          <a:off x="3286125" y="15163800"/>
          <a:ext cx="36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137</xdr:row>
      <xdr:rowOff>152400</xdr:rowOff>
    </xdr:from>
    <xdr:to>
      <xdr:col>6</xdr:col>
      <xdr:colOff>285750</xdr:colOff>
      <xdr:row>137</xdr:row>
      <xdr:rowOff>152400</xdr:rowOff>
    </xdr:to>
    <xdr:sp macro="" textlink="">
      <xdr:nvSpPr>
        <xdr:cNvPr id="146" name="Line 155"/>
        <xdr:cNvSpPr>
          <a:spLocks noChangeShapeType="1"/>
        </xdr:cNvSpPr>
      </xdr:nvSpPr>
      <xdr:spPr bwMode="auto">
        <a:xfrm>
          <a:off x="3667125" y="1516380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139</xdr:row>
      <xdr:rowOff>57150</xdr:rowOff>
    </xdr:from>
    <xdr:to>
      <xdr:col>6</xdr:col>
      <xdr:colOff>295275</xdr:colOff>
      <xdr:row>139</xdr:row>
      <xdr:rowOff>57150</xdr:rowOff>
    </xdr:to>
    <xdr:sp macro="" textlink="">
      <xdr:nvSpPr>
        <xdr:cNvPr id="147" name="Line 156"/>
        <xdr:cNvSpPr>
          <a:spLocks noChangeShapeType="1"/>
        </xdr:cNvSpPr>
      </xdr:nvSpPr>
      <xdr:spPr bwMode="auto">
        <a:xfrm>
          <a:off x="3667125" y="1539240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276225</xdr:colOff>
      <xdr:row>137</xdr:row>
      <xdr:rowOff>28575</xdr:rowOff>
    </xdr:from>
    <xdr:to>
      <xdr:col>6</xdr:col>
      <xdr:colOff>276225</xdr:colOff>
      <xdr:row>138</xdr:row>
      <xdr:rowOff>57150</xdr:rowOff>
    </xdr:to>
    <xdr:sp macro="" textlink="">
      <xdr:nvSpPr>
        <xdr:cNvPr id="148" name="Line 157"/>
        <xdr:cNvSpPr>
          <a:spLocks noChangeShapeType="1"/>
        </xdr:cNvSpPr>
      </xdr:nvSpPr>
      <xdr:spPr bwMode="auto">
        <a:xfrm>
          <a:off x="3933825" y="150399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219075</xdr:colOff>
      <xdr:row>138</xdr:row>
      <xdr:rowOff>57150</xdr:rowOff>
    </xdr:from>
    <xdr:to>
      <xdr:col>6</xdr:col>
      <xdr:colOff>276225</xdr:colOff>
      <xdr:row>138</xdr:row>
      <xdr:rowOff>57150</xdr:rowOff>
    </xdr:to>
    <xdr:sp macro="" textlink="">
      <xdr:nvSpPr>
        <xdr:cNvPr id="149" name="Line 158"/>
        <xdr:cNvSpPr>
          <a:spLocks noChangeShapeType="1"/>
        </xdr:cNvSpPr>
      </xdr:nvSpPr>
      <xdr:spPr bwMode="auto">
        <a:xfrm>
          <a:off x="3876675" y="15230475"/>
          <a:ext cx="57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219075</xdr:colOff>
      <xdr:row>138</xdr:row>
      <xdr:rowOff>66675</xdr:rowOff>
    </xdr:from>
    <xdr:to>
      <xdr:col>6</xdr:col>
      <xdr:colOff>352425</xdr:colOff>
      <xdr:row>139</xdr:row>
      <xdr:rowOff>0</xdr:rowOff>
    </xdr:to>
    <xdr:sp macro="" textlink="">
      <xdr:nvSpPr>
        <xdr:cNvPr id="150" name="Line 159"/>
        <xdr:cNvSpPr>
          <a:spLocks noChangeShapeType="1"/>
        </xdr:cNvSpPr>
      </xdr:nvSpPr>
      <xdr:spPr bwMode="auto">
        <a:xfrm>
          <a:off x="3876675" y="15240000"/>
          <a:ext cx="1333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276225</xdr:colOff>
      <xdr:row>138</xdr:row>
      <xdr:rowOff>152400</xdr:rowOff>
    </xdr:from>
    <xdr:to>
      <xdr:col>6</xdr:col>
      <xdr:colOff>342900</xdr:colOff>
      <xdr:row>138</xdr:row>
      <xdr:rowOff>152400</xdr:rowOff>
    </xdr:to>
    <xdr:sp macro="" textlink="">
      <xdr:nvSpPr>
        <xdr:cNvPr id="151" name="Line 160"/>
        <xdr:cNvSpPr>
          <a:spLocks noChangeShapeType="1"/>
        </xdr:cNvSpPr>
      </xdr:nvSpPr>
      <xdr:spPr bwMode="auto">
        <a:xfrm flipH="1">
          <a:off x="3933825" y="1532572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276225</xdr:colOff>
      <xdr:row>138</xdr:row>
      <xdr:rowOff>152400</xdr:rowOff>
    </xdr:from>
    <xdr:to>
      <xdr:col>6</xdr:col>
      <xdr:colOff>276225</xdr:colOff>
      <xdr:row>139</xdr:row>
      <xdr:rowOff>104775</xdr:rowOff>
    </xdr:to>
    <xdr:sp macro="" textlink="">
      <xdr:nvSpPr>
        <xdr:cNvPr id="152" name="Line 161"/>
        <xdr:cNvSpPr>
          <a:spLocks noChangeShapeType="1"/>
        </xdr:cNvSpPr>
      </xdr:nvSpPr>
      <xdr:spPr bwMode="auto">
        <a:xfrm>
          <a:off x="3933825" y="153257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590550</xdr:colOff>
      <xdr:row>125</xdr:row>
      <xdr:rowOff>0</xdr:rowOff>
    </xdr:from>
    <xdr:to>
      <xdr:col>5</xdr:col>
      <xdr:colOff>238125</xdr:colOff>
      <xdr:row>125</xdr:row>
      <xdr:rowOff>0</xdr:rowOff>
    </xdr:to>
    <xdr:sp macro="" textlink="">
      <xdr:nvSpPr>
        <xdr:cNvPr id="153" name="Line 162"/>
        <xdr:cNvSpPr>
          <a:spLocks noChangeShapeType="1"/>
        </xdr:cNvSpPr>
      </xdr:nvSpPr>
      <xdr:spPr bwMode="auto">
        <a:xfrm>
          <a:off x="3028950" y="1371600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276225</xdr:colOff>
      <xdr:row>133</xdr:row>
      <xdr:rowOff>0</xdr:rowOff>
    </xdr:from>
    <xdr:to>
      <xdr:col>7</xdr:col>
      <xdr:colOff>28575</xdr:colOff>
      <xdr:row>133</xdr:row>
      <xdr:rowOff>0</xdr:rowOff>
    </xdr:to>
    <xdr:sp macro="" textlink="">
      <xdr:nvSpPr>
        <xdr:cNvPr id="154" name="Line 163"/>
        <xdr:cNvSpPr>
          <a:spLocks noChangeShapeType="1"/>
        </xdr:cNvSpPr>
      </xdr:nvSpPr>
      <xdr:spPr bwMode="auto">
        <a:xfrm>
          <a:off x="3324225" y="14687550"/>
          <a:ext cx="971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131</xdr:row>
      <xdr:rowOff>0</xdr:rowOff>
    </xdr:from>
    <xdr:to>
      <xdr:col>4</xdr:col>
      <xdr:colOff>209550</xdr:colOff>
      <xdr:row>131</xdr:row>
      <xdr:rowOff>0</xdr:rowOff>
    </xdr:to>
    <xdr:sp macro="" textlink="">
      <xdr:nvSpPr>
        <xdr:cNvPr id="155" name="Line 164"/>
        <xdr:cNvSpPr>
          <a:spLocks noChangeShapeType="1"/>
        </xdr:cNvSpPr>
      </xdr:nvSpPr>
      <xdr:spPr bwMode="auto">
        <a:xfrm>
          <a:off x="1619250" y="14363700"/>
          <a:ext cx="1028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314325</xdr:colOff>
      <xdr:row>132</xdr:row>
      <xdr:rowOff>76200</xdr:rowOff>
    </xdr:from>
    <xdr:to>
      <xdr:col>5</xdr:col>
      <xdr:colOff>390525</xdr:colOff>
      <xdr:row>132</xdr:row>
      <xdr:rowOff>152400</xdr:rowOff>
    </xdr:to>
    <xdr:sp macro="" textlink="">
      <xdr:nvSpPr>
        <xdr:cNvPr id="156" name="AutoShape 166"/>
        <xdr:cNvSpPr>
          <a:spLocks noChangeArrowheads="1"/>
        </xdr:cNvSpPr>
      </xdr:nvSpPr>
      <xdr:spPr bwMode="auto">
        <a:xfrm>
          <a:off x="3362325" y="14601825"/>
          <a:ext cx="76200" cy="762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504825</xdr:colOff>
      <xdr:row>141</xdr:row>
      <xdr:rowOff>95250</xdr:rowOff>
    </xdr:from>
    <xdr:to>
      <xdr:col>4</xdr:col>
      <xdr:colOff>504825</xdr:colOff>
      <xdr:row>142</xdr:row>
      <xdr:rowOff>38100</xdr:rowOff>
    </xdr:to>
    <xdr:sp macro="" textlink="">
      <xdr:nvSpPr>
        <xdr:cNvPr id="157" name="Line 167"/>
        <xdr:cNvSpPr>
          <a:spLocks noChangeShapeType="1"/>
        </xdr:cNvSpPr>
      </xdr:nvSpPr>
      <xdr:spPr bwMode="auto">
        <a:xfrm>
          <a:off x="2943225" y="157543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247650</xdr:colOff>
      <xdr:row>133</xdr:row>
      <xdr:rowOff>0</xdr:rowOff>
    </xdr:from>
    <xdr:to>
      <xdr:col>5</xdr:col>
      <xdr:colOff>542925</xdr:colOff>
      <xdr:row>137</xdr:row>
      <xdr:rowOff>152400</xdr:rowOff>
    </xdr:to>
    <xdr:sp macro="" textlink="">
      <xdr:nvSpPr>
        <xdr:cNvPr id="158" name="Line 168"/>
        <xdr:cNvSpPr>
          <a:spLocks noChangeShapeType="1"/>
        </xdr:cNvSpPr>
      </xdr:nvSpPr>
      <xdr:spPr bwMode="auto">
        <a:xfrm>
          <a:off x="3295650" y="14687550"/>
          <a:ext cx="295275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495300</xdr:colOff>
      <xdr:row>141</xdr:row>
      <xdr:rowOff>152400</xdr:rowOff>
    </xdr:from>
    <xdr:to>
      <xdr:col>5</xdr:col>
      <xdr:colOff>257175</xdr:colOff>
      <xdr:row>141</xdr:row>
      <xdr:rowOff>152400</xdr:rowOff>
    </xdr:to>
    <xdr:sp macro="" textlink="">
      <xdr:nvSpPr>
        <xdr:cNvPr id="159" name="Line 169"/>
        <xdr:cNvSpPr>
          <a:spLocks noChangeShapeType="1"/>
        </xdr:cNvSpPr>
      </xdr:nvSpPr>
      <xdr:spPr bwMode="auto">
        <a:xfrm>
          <a:off x="2933700" y="15811500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504825</xdr:colOff>
      <xdr:row>125</xdr:row>
      <xdr:rowOff>0</xdr:rowOff>
    </xdr:from>
    <xdr:to>
      <xdr:col>4</xdr:col>
      <xdr:colOff>504825</xdr:colOff>
      <xdr:row>131</xdr:row>
      <xdr:rowOff>152400</xdr:rowOff>
    </xdr:to>
    <xdr:sp macro="" textlink="">
      <xdr:nvSpPr>
        <xdr:cNvPr id="160" name="Line 170"/>
        <xdr:cNvSpPr>
          <a:spLocks noChangeShapeType="1"/>
        </xdr:cNvSpPr>
      </xdr:nvSpPr>
      <xdr:spPr bwMode="auto">
        <a:xfrm flipV="1">
          <a:off x="2943225" y="13716000"/>
          <a:ext cx="0" cy="800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125</xdr:row>
      <xdr:rowOff>9525</xdr:rowOff>
    </xdr:from>
    <xdr:to>
      <xdr:col>4</xdr:col>
      <xdr:colOff>495300</xdr:colOff>
      <xdr:row>130</xdr:row>
      <xdr:rowOff>152400</xdr:rowOff>
    </xdr:to>
    <xdr:sp macro="" textlink="">
      <xdr:nvSpPr>
        <xdr:cNvPr id="161" name="Line 171"/>
        <xdr:cNvSpPr>
          <a:spLocks noChangeShapeType="1"/>
        </xdr:cNvSpPr>
      </xdr:nvSpPr>
      <xdr:spPr bwMode="auto">
        <a:xfrm flipH="1">
          <a:off x="2800350" y="13725525"/>
          <a:ext cx="133350" cy="62865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4</xdr:col>
      <xdr:colOff>0</xdr:colOff>
      <xdr:row>130</xdr:row>
      <xdr:rowOff>133350</xdr:rowOff>
    </xdr:from>
    <xdr:to>
      <xdr:col>4</xdr:col>
      <xdr:colOff>371475</xdr:colOff>
      <xdr:row>138</xdr:row>
      <xdr:rowOff>9525</xdr:rowOff>
    </xdr:to>
    <xdr:sp macro="" textlink="">
      <xdr:nvSpPr>
        <xdr:cNvPr id="162" name="Line 172"/>
        <xdr:cNvSpPr>
          <a:spLocks noChangeShapeType="1"/>
        </xdr:cNvSpPr>
      </xdr:nvSpPr>
      <xdr:spPr bwMode="auto">
        <a:xfrm flipH="1">
          <a:off x="2438400" y="14335125"/>
          <a:ext cx="371475" cy="8477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4</xdr:col>
      <xdr:colOff>9525</xdr:colOff>
      <xdr:row>138</xdr:row>
      <xdr:rowOff>9525</xdr:rowOff>
    </xdr:from>
    <xdr:to>
      <xdr:col>4</xdr:col>
      <xdr:colOff>514350</xdr:colOff>
      <xdr:row>138</xdr:row>
      <xdr:rowOff>9525</xdr:rowOff>
    </xdr:to>
    <xdr:sp macro="" textlink="">
      <xdr:nvSpPr>
        <xdr:cNvPr id="163" name="Line 173"/>
        <xdr:cNvSpPr>
          <a:spLocks noChangeShapeType="1"/>
        </xdr:cNvSpPr>
      </xdr:nvSpPr>
      <xdr:spPr bwMode="auto">
        <a:xfrm>
          <a:off x="2447925" y="15182850"/>
          <a:ext cx="504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sp>
    <xdr:clientData/>
  </xdr:twoCellAnchor>
  <xdr:twoCellAnchor>
    <xdr:from>
      <xdr:col>4</xdr:col>
      <xdr:colOff>361950</xdr:colOff>
      <xdr:row>130</xdr:row>
      <xdr:rowOff>152400</xdr:rowOff>
    </xdr:from>
    <xdr:to>
      <xdr:col>4</xdr:col>
      <xdr:colOff>495300</xdr:colOff>
      <xdr:row>130</xdr:row>
      <xdr:rowOff>152400</xdr:rowOff>
    </xdr:to>
    <xdr:sp macro="" textlink="">
      <xdr:nvSpPr>
        <xdr:cNvPr id="164" name="Line 174"/>
        <xdr:cNvSpPr>
          <a:spLocks noChangeShapeType="1"/>
        </xdr:cNvSpPr>
      </xdr:nvSpPr>
      <xdr:spPr bwMode="auto">
        <a:xfrm>
          <a:off x="2800350" y="143541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130</xdr:row>
      <xdr:rowOff>152400</xdr:rowOff>
    </xdr:from>
    <xdr:to>
      <xdr:col>4</xdr:col>
      <xdr:colOff>361950</xdr:colOff>
      <xdr:row>138</xdr:row>
      <xdr:rowOff>9525</xdr:rowOff>
    </xdr:to>
    <xdr:sp macro="" textlink="">
      <xdr:nvSpPr>
        <xdr:cNvPr id="165" name="Line 175"/>
        <xdr:cNvSpPr>
          <a:spLocks noChangeShapeType="1"/>
        </xdr:cNvSpPr>
      </xdr:nvSpPr>
      <xdr:spPr bwMode="auto">
        <a:xfrm>
          <a:off x="2800350" y="14354175"/>
          <a:ext cx="0" cy="8286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3</xdr:col>
      <xdr:colOff>600075</xdr:colOff>
      <xdr:row>124</xdr:row>
      <xdr:rowOff>152400</xdr:rowOff>
    </xdr:from>
    <xdr:to>
      <xdr:col>4</xdr:col>
      <xdr:colOff>485775</xdr:colOff>
      <xdr:row>138</xdr:row>
      <xdr:rowOff>9525</xdr:rowOff>
    </xdr:to>
    <xdr:sp macro="" textlink="">
      <xdr:nvSpPr>
        <xdr:cNvPr id="166" name="Line 176"/>
        <xdr:cNvSpPr>
          <a:spLocks noChangeShapeType="1"/>
        </xdr:cNvSpPr>
      </xdr:nvSpPr>
      <xdr:spPr bwMode="auto">
        <a:xfrm flipH="1">
          <a:off x="2428875" y="13706475"/>
          <a:ext cx="49530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0</xdr:col>
      <xdr:colOff>428625</xdr:colOff>
      <xdr:row>131</xdr:row>
      <xdr:rowOff>0</xdr:rowOff>
    </xdr:from>
    <xdr:ext cx="123825" cy="342900"/>
    <xdr:sp macro="" textlink="">
      <xdr:nvSpPr>
        <xdr:cNvPr id="167" name="Text Box 194"/>
        <xdr:cNvSpPr txBox="1">
          <a:spLocks noChangeArrowheads="1"/>
        </xdr:cNvSpPr>
      </xdr:nvSpPr>
      <xdr:spPr bwMode="auto">
        <a:xfrm>
          <a:off x="428625" y="14363700"/>
          <a:ext cx="123825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0</xdr:col>
      <xdr:colOff>9525</xdr:colOff>
      <xdr:row>131</xdr:row>
      <xdr:rowOff>0</xdr:rowOff>
    </xdr:from>
    <xdr:ext cx="161925" cy="180975"/>
    <xdr:sp macro="" textlink="">
      <xdr:nvSpPr>
        <xdr:cNvPr id="168" name="Text Box 197"/>
        <xdr:cNvSpPr txBox="1">
          <a:spLocks noChangeArrowheads="1"/>
        </xdr:cNvSpPr>
      </xdr:nvSpPr>
      <xdr:spPr bwMode="auto">
        <a:xfrm>
          <a:off x="9525" y="21917025"/>
          <a:ext cx="1619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1</xdr:col>
      <xdr:colOff>428625</xdr:colOff>
      <xdr:row>140</xdr:row>
      <xdr:rowOff>0</xdr:rowOff>
    </xdr:from>
    <xdr:ext cx="123825" cy="180975"/>
    <xdr:sp macro="" textlink="">
      <xdr:nvSpPr>
        <xdr:cNvPr id="169" name="Text Box 198"/>
        <xdr:cNvSpPr txBox="1">
          <a:spLocks noChangeArrowheads="1"/>
        </xdr:cNvSpPr>
      </xdr:nvSpPr>
      <xdr:spPr bwMode="auto">
        <a:xfrm>
          <a:off x="1038225" y="154971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1</xdr:col>
      <xdr:colOff>0</xdr:colOff>
      <xdr:row>139</xdr:row>
      <xdr:rowOff>142875</xdr:rowOff>
    </xdr:from>
    <xdr:ext cx="200025" cy="180975"/>
    <xdr:sp macro="" textlink="">
      <xdr:nvSpPr>
        <xdr:cNvPr id="170" name="Text Box 199"/>
        <xdr:cNvSpPr txBox="1">
          <a:spLocks noChangeArrowheads="1"/>
        </xdr:cNvSpPr>
      </xdr:nvSpPr>
      <xdr:spPr bwMode="auto">
        <a:xfrm>
          <a:off x="609600" y="15478125"/>
          <a:ext cx="2000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a =</a:t>
          </a:r>
        </a:p>
      </xdr:txBody>
    </xdr:sp>
    <xdr:clientData/>
  </xdr:oneCellAnchor>
  <xdr:twoCellAnchor>
    <xdr:from>
      <xdr:col>4</xdr:col>
      <xdr:colOff>0</xdr:colOff>
      <xdr:row>138</xdr:row>
      <xdr:rowOff>123825</xdr:rowOff>
    </xdr:from>
    <xdr:to>
      <xdr:col>4</xdr:col>
      <xdr:colOff>0</xdr:colOff>
      <xdr:row>139</xdr:row>
      <xdr:rowOff>47625</xdr:rowOff>
    </xdr:to>
    <xdr:sp macro="" textlink="">
      <xdr:nvSpPr>
        <xdr:cNvPr id="171" name="Line 200"/>
        <xdr:cNvSpPr>
          <a:spLocks noChangeShapeType="1"/>
        </xdr:cNvSpPr>
      </xdr:nvSpPr>
      <xdr:spPr bwMode="auto">
        <a:xfrm>
          <a:off x="2438400" y="152971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139</xdr:row>
      <xdr:rowOff>0</xdr:rowOff>
    </xdr:from>
    <xdr:to>
      <xdr:col>4</xdr:col>
      <xdr:colOff>504825</xdr:colOff>
      <xdr:row>139</xdr:row>
      <xdr:rowOff>0</xdr:rowOff>
    </xdr:to>
    <xdr:sp macro="" textlink="">
      <xdr:nvSpPr>
        <xdr:cNvPr id="172" name="Line 201"/>
        <xdr:cNvSpPr>
          <a:spLocks noChangeShapeType="1"/>
        </xdr:cNvSpPr>
      </xdr:nvSpPr>
      <xdr:spPr bwMode="auto">
        <a:xfrm>
          <a:off x="2438400" y="15335250"/>
          <a:ext cx="504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5</xdr:col>
      <xdr:colOff>266700</xdr:colOff>
      <xdr:row>140</xdr:row>
      <xdr:rowOff>123825</xdr:rowOff>
    </xdr:from>
    <xdr:to>
      <xdr:col>5</xdr:col>
      <xdr:colOff>266700</xdr:colOff>
      <xdr:row>142</xdr:row>
      <xdr:rowOff>47625</xdr:rowOff>
    </xdr:to>
    <xdr:sp macro="" textlink="">
      <xdr:nvSpPr>
        <xdr:cNvPr id="173" name="Line 202"/>
        <xdr:cNvSpPr>
          <a:spLocks noChangeShapeType="1"/>
        </xdr:cNvSpPr>
      </xdr:nvSpPr>
      <xdr:spPr bwMode="auto">
        <a:xfrm flipH="1">
          <a:off x="3314700" y="15621000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238125</xdr:colOff>
      <xdr:row>137</xdr:row>
      <xdr:rowOff>28575</xdr:rowOff>
    </xdr:from>
    <xdr:to>
      <xdr:col>5</xdr:col>
      <xdr:colOff>457200</xdr:colOff>
      <xdr:row>137</xdr:row>
      <xdr:rowOff>28575</xdr:rowOff>
    </xdr:to>
    <xdr:sp macro="" textlink="">
      <xdr:nvSpPr>
        <xdr:cNvPr id="174" name="Line 203"/>
        <xdr:cNvSpPr>
          <a:spLocks noChangeShapeType="1"/>
        </xdr:cNvSpPr>
      </xdr:nvSpPr>
      <xdr:spPr bwMode="auto">
        <a:xfrm flipH="1">
          <a:off x="3286125" y="1503997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247650</xdr:colOff>
      <xdr:row>136</xdr:row>
      <xdr:rowOff>57150</xdr:rowOff>
    </xdr:from>
    <xdr:to>
      <xdr:col>5</xdr:col>
      <xdr:colOff>371475</xdr:colOff>
      <xdr:row>136</xdr:row>
      <xdr:rowOff>57150</xdr:rowOff>
    </xdr:to>
    <xdr:sp macro="" textlink="">
      <xdr:nvSpPr>
        <xdr:cNvPr id="175" name="Line 204"/>
        <xdr:cNvSpPr>
          <a:spLocks noChangeShapeType="1"/>
        </xdr:cNvSpPr>
      </xdr:nvSpPr>
      <xdr:spPr bwMode="auto">
        <a:xfrm flipH="1">
          <a:off x="3295650" y="14906625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171450</xdr:colOff>
      <xdr:row>125</xdr:row>
      <xdr:rowOff>0</xdr:rowOff>
    </xdr:from>
    <xdr:to>
      <xdr:col>4</xdr:col>
      <xdr:colOff>504825</xdr:colOff>
      <xdr:row>125</xdr:row>
      <xdr:rowOff>0</xdr:rowOff>
    </xdr:to>
    <xdr:sp macro="" textlink="">
      <xdr:nvSpPr>
        <xdr:cNvPr id="176" name="Line 205"/>
        <xdr:cNvSpPr>
          <a:spLocks noChangeShapeType="1"/>
        </xdr:cNvSpPr>
      </xdr:nvSpPr>
      <xdr:spPr bwMode="auto">
        <a:xfrm flipH="1">
          <a:off x="2000250" y="13716000"/>
          <a:ext cx="942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19050</xdr:colOff>
      <xdr:row>125</xdr:row>
      <xdr:rowOff>0</xdr:rowOff>
    </xdr:from>
    <xdr:to>
      <xdr:col>4</xdr:col>
      <xdr:colOff>123825</xdr:colOff>
      <xdr:row>125</xdr:row>
      <xdr:rowOff>76200</xdr:rowOff>
    </xdr:to>
    <xdr:sp macro="" textlink="">
      <xdr:nvSpPr>
        <xdr:cNvPr id="177" name="Line 206"/>
        <xdr:cNvSpPr>
          <a:spLocks noChangeShapeType="1"/>
        </xdr:cNvSpPr>
      </xdr:nvSpPr>
      <xdr:spPr bwMode="auto">
        <a:xfrm flipH="1">
          <a:off x="2457450" y="13716000"/>
          <a:ext cx="10477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125</xdr:row>
      <xdr:rowOff>0</xdr:rowOff>
    </xdr:from>
    <xdr:to>
      <xdr:col>4</xdr:col>
      <xdr:colOff>219075</xdr:colOff>
      <xdr:row>125</xdr:row>
      <xdr:rowOff>85725</xdr:rowOff>
    </xdr:to>
    <xdr:sp macro="" textlink="">
      <xdr:nvSpPr>
        <xdr:cNvPr id="178" name="Line 207"/>
        <xdr:cNvSpPr>
          <a:spLocks noChangeShapeType="1"/>
        </xdr:cNvSpPr>
      </xdr:nvSpPr>
      <xdr:spPr bwMode="auto">
        <a:xfrm>
          <a:off x="2571750" y="13716000"/>
          <a:ext cx="85725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133350</xdr:colOff>
      <xdr:row>125</xdr:row>
      <xdr:rowOff>0</xdr:rowOff>
    </xdr:from>
    <xdr:to>
      <xdr:col>4</xdr:col>
      <xdr:colOff>209550</xdr:colOff>
      <xdr:row>125</xdr:row>
      <xdr:rowOff>76200</xdr:rowOff>
    </xdr:to>
    <xdr:sp macro="" textlink="">
      <xdr:nvSpPr>
        <xdr:cNvPr id="179" name="Line 208"/>
        <xdr:cNvSpPr>
          <a:spLocks noChangeShapeType="1"/>
        </xdr:cNvSpPr>
      </xdr:nvSpPr>
      <xdr:spPr bwMode="auto">
        <a:xfrm flipH="1">
          <a:off x="2571750" y="13716000"/>
          <a:ext cx="7620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209550</xdr:colOff>
      <xdr:row>125</xdr:row>
      <xdr:rowOff>0</xdr:rowOff>
    </xdr:from>
    <xdr:to>
      <xdr:col>4</xdr:col>
      <xdr:colOff>295275</xdr:colOff>
      <xdr:row>125</xdr:row>
      <xdr:rowOff>76200</xdr:rowOff>
    </xdr:to>
    <xdr:sp macro="" textlink="">
      <xdr:nvSpPr>
        <xdr:cNvPr id="180" name="Line 209"/>
        <xdr:cNvSpPr>
          <a:spLocks noChangeShapeType="1"/>
        </xdr:cNvSpPr>
      </xdr:nvSpPr>
      <xdr:spPr bwMode="auto">
        <a:xfrm>
          <a:off x="2647950" y="13716000"/>
          <a:ext cx="8572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428625</xdr:colOff>
      <xdr:row>125</xdr:row>
      <xdr:rowOff>9525</xdr:rowOff>
    </xdr:from>
    <xdr:to>
      <xdr:col>8</xdr:col>
      <xdr:colOff>152400</xdr:colOff>
      <xdr:row>125</xdr:row>
      <xdr:rowOff>9525</xdr:rowOff>
    </xdr:to>
    <xdr:sp macro="" textlink="">
      <xdr:nvSpPr>
        <xdr:cNvPr id="181" name="Line 210"/>
        <xdr:cNvSpPr>
          <a:spLocks noChangeShapeType="1"/>
        </xdr:cNvSpPr>
      </xdr:nvSpPr>
      <xdr:spPr bwMode="auto">
        <a:xfrm>
          <a:off x="4695825" y="2095500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476250</xdr:colOff>
      <xdr:row>138</xdr:row>
      <xdr:rowOff>0</xdr:rowOff>
    </xdr:from>
    <xdr:to>
      <xdr:col>8</xdr:col>
      <xdr:colOff>114300</xdr:colOff>
      <xdr:row>138</xdr:row>
      <xdr:rowOff>0</xdr:rowOff>
    </xdr:to>
    <xdr:sp macro="" textlink="">
      <xdr:nvSpPr>
        <xdr:cNvPr id="182" name="Line 211"/>
        <xdr:cNvSpPr>
          <a:spLocks noChangeShapeType="1"/>
        </xdr:cNvSpPr>
      </xdr:nvSpPr>
      <xdr:spPr bwMode="auto">
        <a:xfrm>
          <a:off x="4743450" y="15173325"/>
          <a:ext cx="247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76200</xdr:colOff>
      <xdr:row>132</xdr:row>
      <xdr:rowOff>38100</xdr:rowOff>
    </xdr:to>
    <xdr:sp macro="" textlink="">
      <xdr:nvSpPr>
        <xdr:cNvPr id="184" name="Text Box 213"/>
        <xdr:cNvSpPr txBox="1">
          <a:spLocks noChangeArrowheads="1"/>
        </xdr:cNvSpPr>
      </xdr:nvSpPr>
      <xdr:spPr bwMode="auto">
        <a:xfrm>
          <a:off x="4876800" y="143637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76200</xdr:colOff>
      <xdr:row>132</xdr:row>
      <xdr:rowOff>38100</xdr:rowOff>
    </xdr:to>
    <xdr:sp macro="" textlink="">
      <xdr:nvSpPr>
        <xdr:cNvPr id="185" name="Text Box 214"/>
        <xdr:cNvSpPr txBox="1">
          <a:spLocks noChangeArrowheads="1"/>
        </xdr:cNvSpPr>
      </xdr:nvSpPr>
      <xdr:spPr bwMode="auto">
        <a:xfrm>
          <a:off x="4876800" y="143637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9</xdr:col>
      <xdr:colOff>304800</xdr:colOff>
      <xdr:row>130</xdr:row>
      <xdr:rowOff>142875</xdr:rowOff>
    </xdr:from>
    <xdr:ext cx="123825" cy="180975"/>
    <xdr:sp macro="" textlink="">
      <xdr:nvSpPr>
        <xdr:cNvPr id="186" name="Text Box 215"/>
        <xdr:cNvSpPr txBox="1">
          <a:spLocks noChangeArrowheads="1"/>
        </xdr:cNvSpPr>
      </xdr:nvSpPr>
      <xdr:spPr bwMode="auto">
        <a:xfrm>
          <a:off x="5181600" y="218979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590550</xdr:colOff>
      <xdr:row>133</xdr:row>
      <xdr:rowOff>0</xdr:rowOff>
    </xdr:from>
    <xdr:to>
      <xdr:col>5</xdr:col>
      <xdr:colOff>590550</xdr:colOff>
      <xdr:row>137</xdr:row>
      <xdr:rowOff>152400</xdr:rowOff>
    </xdr:to>
    <xdr:sp macro="" textlink="">
      <xdr:nvSpPr>
        <xdr:cNvPr id="187" name="Line 216"/>
        <xdr:cNvSpPr>
          <a:spLocks noChangeShapeType="1"/>
        </xdr:cNvSpPr>
      </xdr:nvSpPr>
      <xdr:spPr bwMode="auto">
        <a:xfrm>
          <a:off x="3638550" y="14687550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495300</xdr:colOff>
      <xdr:row>130</xdr:row>
      <xdr:rowOff>152400</xdr:rowOff>
    </xdr:from>
    <xdr:to>
      <xdr:col>2</xdr:col>
      <xdr:colOff>495300</xdr:colOff>
      <xdr:row>138</xdr:row>
      <xdr:rowOff>0</xdr:rowOff>
    </xdr:to>
    <xdr:sp macro="" textlink="">
      <xdr:nvSpPr>
        <xdr:cNvPr id="188" name="Line 217"/>
        <xdr:cNvSpPr>
          <a:spLocks noChangeShapeType="1"/>
        </xdr:cNvSpPr>
      </xdr:nvSpPr>
      <xdr:spPr bwMode="auto">
        <a:xfrm>
          <a:off x="1714500" y="14354175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4</xdr:col>
      <xdr:colOff>0</xdr:colOff>
      <xdr:row>124</xdr:row>
      <xdr:rowOff>142875</xdr:rowOff>
    </xdr:from>
    <xdr:to>
      <xdr:col>4</xdr:col>
      <xdr:colOff>0</xdr:colOff>
      <xdr:row>131</xdr:row>
      <xdr:rowOff>0</xdr:rowOff>
    </xdr:to>
    <xdr:sp macro="" textlink="">
      <xdr:nvSpPr>
        <xdr:cNvPr id="189" name="Line 218"/>
        <xdr:cNvSpPr>
          <a:spLocks noChangeShapeType="1"/>
        </xdr:cNvSpPr>
      </xdr:nvSpPr>
      <xdr:spPr bwMode="auto">
        <a:xfrm flipV="1">
          <a:off x="2438400" y="13696950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6</xdr:col>
      <xdr:colOff>590550</xdr:colOff>
      <xdr:row>133</xdr:row>
      <xdr:rowOff>152400</xdr:rowOff>
    </xdr:from>
    <xdr:ext cx="123825" cy="180975"/>
    <xdr:sp macro="" textlink="">
      <xdr:nvSpPr>
        <xdr:cNvPr id="190" name="Text Box 219"/>
        <xdr:cNvSpPr txBox="1">
          <a:spLocks noChangeArrowheads="1"/>
        </xdr:cNvSpPr>
      </xdr:nvSpPr>
      <xdr:spPr bwMode="auto">
        <a:xfrm>
          <a:off x="4248150" y="148399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257175</xdr:colOff>
      <xdr:row>132</xdr:row>
      <xdr:rowOff>142875</xdr:rowOff>
    </xdr:from>
    <xdr:ext cx="123825" cy="180975"/>
    <xdr:sp macro="" textlink="">
      <xdr:nvSpPr>
        <xdr:cNvPr id="191" name="Text Box 220"/>
        <xdr:cNvSpPr txBox="1">
          <a:spLocks noChangeArrowheads="1"/>
        </xdr:cNvSpPr>
      </xdr:nvSpPr>
      <xdr:spPr bwMode="auto">
        <a:xfrm>
          <a:off x="2085975" y="146685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600075</xdr:colOff>
      <xdr:row>127</xdr:row>
      <xdr:rowOff>0</xdr:rowOff>
    </xdr:from>
    <xdr:ext cx="123825" cy="180975"/>
    <xdr:sp macro="" textlink="">
      <xdr:nvSpPr>
        <xdr:cNvPr id="192" name="Text Box 221"/>
        <xdr:cNvSpPr txBox="1">
          <a:spLocks noChangeArrowheads="1"/>
        </xdr:cNvSpPr>
      </xdr:nvSpPr>
      <xdr:spPr bwMode="auto">
        <a:xfrm>
          <a:off x="2428875" y="140398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533400</xdr:colOff>
      <xdr:row>140</xdr:row>
      <xdr:rowOff>76200</xdr:rowOff>
    </xdr:from>
    <xdr:to>
      <xdr:col>5</xdr:col>
      <xdr:colOff>533400</xdr:colOff>
      <xdr:row>141</xdr:row>
      <xdr:rowOff>66675</xdr:rowOff>
    </xdr:to>
    <xdr:sp macro="" textlink="">
      <xdr:nvSpPr>
        <xdr:cNvPr id="193" name="Line 222"/>
        <xdr:cNvSpPr>
          <a:spLocks noChangeShapeType="1"/>
        </xdr:cNvSpPr>
      </xdr:nvSpPr>
      <xdr:spPr bwMode="auto">
        <a:xfrm flipH="1">
          <a:off x="3581400" y="155733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266700</xdr:colOff>
      <xdr:row>140</xdr:row>
      <xdr:rowOff>152400</xdr:rowOff>
    </xdr:from>
    <xdr:to>
      <xdr:col>5</xdr:col>
      <xdr:colOff>523875</xdr:colOff>
      <xdr:row>140</xdr:row>
      <xdr:rowOff>152400</xdr:rowOff>
    </xdr:to>
    <xdr:sp macro="" textlink="">
      <xdr:nvSpPr>
        <xdr:cNvPr id="194" name="Line 223"/>
        <xdr:cNvSpPr>
          <a:spLocks noChangeShapeType="1"/>
        </xdr:cNvSpPr>
      </xdr:nvSpPr>
      <xdr:spPr bwMode="auto">
        <a:xfrm>
          <a:off x="3314700" y="15649575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5</xdr:col>
      <xdr:colOff>295275</xdr:colOff>
      <xdr:row>139</xdr:row>
      <xdr:rowOff>142875</xdr:rowOff>
    </xdr:from>
    <xdr:ext cx="171450" cy="180975"/>
    <xdr:sp macro="" textlink="">
      <xdr:nvSpPr>
        <xdr:cNvPr id="195" name="Text Box 224"/>
        <xdr:cNvSpPr txBox="1">
          <a:spLocks noChangeArrowheads="1"/>
        </xdr:cNvSpPr>
      </xdr:nvSpPr>
      <xdr:spPr bwMode="auto">
        <a:xfrm>
          <a:off x="3343275" y="15478125"/>
          <a:ext cx="17145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P2</a:t>
          </a:r>
        </a:p>
      </xdr:txBody>
    </xdr:sp>
    <xdr:clientData/>
  </xdr:oneCellAnchor>
  <xdr:twoCellAnchor>
    <xdr:from>
      <xdr:col>5</xdr:col>
      <xdr:colOff>0</xdr:colOff>
      <xdr:row>123</xdr:row>
      <xdr:rowOff>95250</xdr:rowOff>
    </xdr:from>
    <xdr:to>
      <xdr:col>5</xdr:col>
      <xdr:colOff>0</xdr:colOff>
      <xdr:row>124</xdr:row>
      <xdr:rowOff>47625</xdr:rowOff>
    </xdr:to>
    <xdr:sp macro="" textlink="">
      <xdr:nvSpPr>
        <xdr:cNvPr id="196" name="Line 225"/>
        <xdr:cNvSpPr>
          <a:spLocks noChangeShapeType="1"/>
        </xdr:cNvSpPr>
      </xdr:nvSpPr>
      <xdr:spPr bwMode="auto">
        <a:xfrm>
          <a:off x="3048000" y="1348740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228600</xdr:colOff>
      <xdr:row>123</xdr:row>
      <xdr:rowOff>104775</xdr:rowOff>
    </xdr:from>
    <xdr:to>
      <xdr:col>5</xdr:col>
      <xdr:colOff>228600</xdr:colOff>
      <xdr:row>124</xdr:row>
      <xdr:rowOff>57150</xdr:rowOff>
    </xdr:to>
    <xdr:sp macro="" textlink="">
      <xdr:nvSpPr>
        <xdr:cNvPr id="197" name="Line 226"/>
        <xdr:cNvSpPr>
          <a:spLocks noChangeShapeType="1"/>
        </xdr:cNvSpPr>
      </xdr:nvSpPr>
      <xdr:spPr bwMode="auto">
        <a:xfrm>
          <a:off x="3276600" y="134969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124</xdr:row>
      <xdr:rowOff>9525</xdr:rowOff>
    </xdr:from>
    <xdr:to>
      <xdr:col>5</xdr:col>
      <xdr:colOff>228600</xdr:colOff>
      <xdr:row>124</xdr:row>
      <xdr:rowOff>9525</xdr:rowOff>
    </xdr:to>
    <xdr:sp macro="" textlink="">
      <xdr:nvSpPr>
        <xdr:cNvPr id="198" name="Line 227"/>
        <xdr:cNvSpPr>
          <a:spLocks noChangeShapeType="1"/>
        </xdr:cNvSpPr>
      </xdr:nvSpPr>
      <xdr:spPr bwMode="auto">
        <a:xfrm>
          <a:off x="3048000" y="1356360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6</xdr:col>
      <xdr:colOff>57150</xdr:colOff>
      <xdr:row>134</xdr:row>
      <xdr:rowOff>0</xdr:rowOff>
    </xdr:from>
    <xdr:ext cx="285750" cy="180975"/>
    <xdr:sp macro="" textlink="">
      <xdr:nvSpPr>
        <xdr:cNvPr id="199" name="Text Box 228"/>
        <xdr:cNvSpPr txBox="1">
          <a:spLocks noChangeArrowheads="1"/>
        </xdr:cNvSpPr>
      </xdr:nvSpPr>
      <xdr:spPr bwMode="auto">
        <a:xfrm>
          <a:off x="3714750" y="14849475"/>
          <a:ext cx="28575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18288" bIns="0" anchor="t" upright="1">
          <a:spAutoFit/>
        </a:bodyPr>
        <a:lstStyle/>
        <a:p>
          <a:pPr algn="ctr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 =</a:t>
          </a:r>
        </a:p>
      </xdr:txBody>
    </xdr:sp>
    <xdr:clientData/>
  </xdr:oneCellAnchor>
  <xdr:twoCellAnchor>
    <xdr:from>
      <xdr:col>5</xdr:col>
      <xdr:colOff>133350</xdr:colOff>
      <xdr:row>128</xdr:row>
      <xdr:rowOff>57150</xdr:rowOff>
    </xdr:from>
    <xdr:to>
      <xdr:col>5</xdr:col>
      <xdr:colOff>504825</xdr:colOff>
      <xdr:row>130</xdr:row>
      <xdr:rowOff>104775</xdr:rowOff>
    </xdr:to>
    <xdr:sp macro="" textlink="">
      <xdr:nvSpPr>
        <xdr:cNvPr id="200" name="Line 291"/>
        <xdr:cNvSpPr>
          <a:spLocks noChangeShapeType="1"/>
        </xdr:cNvSpPr>
      </xdr:nvSpPr>
      <xdr:spPr bwMode="auto">
        <a:xfrm flipV="1">
          <a:off x="3181350" y="13935075"/>
          <a:ext cx="371475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/>
        </a:ln>
      </xdr:spPr>
    </xdr:sp>
    <xdr:clientData/>
  </xdr:twoCellAnchor>
  <xdr:twoCellAnchor>
    <xdr:from>
      <xdr:col>5</xdr:col>
      <xdr:colOff>514350</xdr:colOff>
      <xdr:row>128</xdr:row>
      <xdr:rowOff>57150</xdr:rowOff>
    </xdr:from>
    <xdr:to>
      <xdr:col>6</xdr:col>
      <xdr:colOff>0</xdr:colOff>
      <xdr:row>128</xdr:row>
      <xdr:rowOff>57150</xdr:rowOff>
    </xdr:to>
    <xdr:sp macro="" textlink="">
      <xdr:nvSpPr>
        <xdr:cNvPr id="201" name="Line 292"/>
        <xdr:cNvSpPr>
          <a:spLocks noChangeShapeType="1"/>
        </xdr:cNvSpPr>
      </xdr:nvSpPr>
      <xdr:spPr bwMode="auto">
        <a:xfrm>
          <a:off x="3562350" y="13935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590550</xdr:colOff>
      <xdr:row>141</xdr:row>
      <xdr:rowOff>142875</xdr:rowOff>
    </xdr:from>
    <xdr:ext cx="228600" cy="180975"/>
    <xdr:sp macro="" textlink="">
      <xdr:nvSpPr>
        <xdr:cNvPr id="202" name="Text Box 434"/>
        <xdr:cNvSpPr txBox="1">
          <a:spLocks noChangeArrowheads="1"/>
        </xdr:cNvSpPr>
      </xdr:nvSpPr>
      <xdr:spPr bwMode="auto">
        <a:xfrm>
          <a:off x="3028950" y="15801975"/>
          <a:ext cx="228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twoCellAnchor>
    <xdr:from>
      <xdr:col>2</xdr:col>
      <xdr:colOff>276225</xdr:colOff>
      <xdr:row>138</xdr:row>
      <xdr:rowOff>0</xdr:rowOff>
    </xdr:from>
    <xdr:to>
      <xdr:col>3</xdr:col>
      <xdr:colOff>571500</xdr:colOff>
      <xdr:row>138</xdr:row>
      <xdr:rowOff>0</xdr:rowOff>
    </xdr:to>
    <xdr:sp macro="" textlink="">
      <xdr:nvSpPr>
        <xdr:cNvPr id="203" name="Line 520"/>
        <xdr:cNvSpPr>
          <a:spLocks noChangeShapeType="1"/>
        </xdr:cNvSpPr>
      </xdr:nvSpPr>
      <xdr:spPr bwMode="auto">
        <a:xfrm>
          <a:off x="1495425" y="15173325"/>
          <a:ext cx="90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504825</xdr:colOff>
      <xdr:row>132</xdr:row>
      <xdr:rowOff>0</xdr:rowOff>
    </xdr:from>
    <xdr:to>
      <xdr:col>5</xdr:col>
      <xdr:colOff>238125</xdr:colOff>
      <xdr:row>132</xdr:row>
      <xdr:rowOff>0</xdr:rowOff>
    </xdr:to>
    <xdr:sp macro="" textlink="">
      <xdr:nvSpPr>
        <xdr:cNvPr id="204" name="Line 521"/>
        <xdr:cNvSpPr>
          <a:spLocks noChangeShapeType="1"/>
        </xdr:cNvSpPr>
      </xdr:nvSpPr>
      <xdr:spPr bwMode="auto">
        <a:xfrm>
          <a:off x="2943225" y="14525625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5</xdr:col>
      <xdr:colOff>257175</xdr:colOff>
      <xdr:row>123</xdr:row>
      <xdr:rowOff>9525</xdr:rowOff>
    </xdr:from>
    <xdr:ext cx="228600" cy="180975"/>
    <xdr:sp macro="" textlink="">
      <xdr:nvSpPr>
        <xdr:cNvPr id="205" name="Text Box 522"/>
        <xdr:cNvSpPr txBox="1">
          <a:spLocks noChangeArrowheads="1"/>
        </xdr:cNvSpPr>
      </xdr:nvSpPr>
      <xdr:spPr bwMode="auto">
        <a:xfrm>
          <a:off x="3305175" y="13401675"/>
          <a:ext cx="228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5</xdr:col>
      <xdr:colOff>266700</xdr:colOff>
      <xdr:row>131</xdr:row>
      <xdr:rowOff>0</xdr:rowOff>
    </xdr:from>
    <xdr:ext cx="228600" cy="180975"/>
    <xdr:sp macro="" textlink="">
      <xdr:nvSpPr>
        <xdr:cNvPr id="206" name="Text Box 523"/>
        <xdr:cNvSpPr txBox="1">
          <a:spLocks noChangeArrowheads="1"/>
        </xdr:cNvSpPr>
      </xdr:nvSpPr>
      <xdr:spPr bwMode="auto">
        <a:xfrm>
          <a:off x="3314700" y="14363700"/>
          <a:ext cx="228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twoCellAnchor>
    <xdr:from>
      <xdr:col>7</xdr:col>
      <xdr:colOff>152400</xdr:colOff>
      <xdr:row>132</xdr:row>
      <xdr:rowOff>0</xdr:rowOff>
    </xdr:from>
    <xdr:to>
      <xdr:col>7</xdr:col>
      <xdr:colOff>152400</xdr:colOff>
      <xdr:row>138</xdr:row>
      <xdr:rowOff>9525</xdr:rowOff>
    </xdr:to>
    <xdr:sp macro="" textlink="">
      <xdr:nvSpPr>
        <xdr:cNvPr id="207" name="Line 524"/>
        <xdr:cNvSpPr>
          <a:spLocks noChangeShapeType="1"/>
        </xdr:cNvSpPr>
      </xdr:nvSpPr>
      <xdr:spPr bwMode="auto">
        <a:xfrm>
          <a:off x="4419600" y="1452562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7</xdr:col>
      <xdr:colOff>47625</xdr:colOff>
      <xdr:row>132</xdr:row>
      <xdr:rowOff>0</xdr:rowOff>
    </xdr:from>
    <xdr:to>
      <xdr:col>7</xdr:col>
      <xdr:colOff>209550</xdr:colOff>
      <xdr:row>132</xdr:row>
      <xdr:rowOff>0</xdr:rowOff>
    </xdr:to>
    <xdr:sp macro="" textlink="">
      <xdr:nvSpPr>
        <xdr:cNvPr id="208" name="Line 525"/>
        <xdr:cNvSpPr>
          <a:spLocks noChangeShapeType="1"/>
        </xdr:cNvSpPr>
      </xdr:nvSpPr>
      <xdr:spPr bwMode="auto">
        <a:xfrm>
          <a:off x="4314825" y="1452562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66675</xdr:colOff>
      <xdr:row>138</xdr:row>
      <xdr:rowOff>0</xdr:rowOff>
    </xdr:from>
    <xdr:to>
      <xdr:col>7</xdr:col>
      <xdr:colOff>219075</xdr:colOff>
      <xdr:row>138</xdr:row>
      <xdr:rowOff>0</xdr:rowOff>
    </xdr:to>
    <xdr:sp macro="" textlink="">
      <xdr:nvSpPr>
        <xdr:cNvPr id="209" name="Line 526"/>
        <xdr:cNvSpPr>
          <a:spLocks noChangeShapeType="1"/>
        </xdr:cNvSpPr>
      </xdr:nvSpPr>
      <xdr:spPr bwMode="auto">
        <a:xfrm>
          <a:off x="4333875" y="1517332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7</xdr:col>
      <xdr:colOff>428625</xdr:colOff>
      <xdr:row>132</xdr:row>
      <xdr:rowOff>152400</xdr:rowOff>
    </xdr:from>
    <xdr:ext cx="123825" cy="180975"/>
    <xdr:sp macro="" textlink="">
      <xdr:nvSpPr>
        <xdr:cNvPr id="210" name="Text Box 527"/>
        <xdr:cNvSpPr txBox="1">
          <a:spLocks noChangeArrowheads="1"/>
        </xdr:cNvSpPr>
      </xdr:nvSpPr>
      <xdr:spPr bwMode="auto">
        <a:xfrm>
          <a:off x="4695825" y="146780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7</xdr:col>
      <xdr:colOff>28575</xdr:colOff>
      <xdr:row>124</xdr:row>
      <xdr:rowOff>152400</xdr:rowOff>
    </xdr:from>
    <xdr:to>
      <xdr:col>7</xdr:col>
      <xdr:colOff>228600</xdr:colOff>
      <xdr:row>124</xdr:row>
      <xdr:rowOff>152400</xdr:rowOff>
    </xdr:to>
    <xdr:sp macro="" textlink="">
      <xdr:nvSpPr>
        <xdr:cNvPr id="211" name="Line 528"/>
        <xdr:cNvSpPr>
          <a:spLocks noChangeShapeType="1"/>
        </xdr:cNvSpPr>
      </xdr:nvSpPr>
      <xdr:spPr bwMode="auto">
        <a:xfrm>
          <a:off x="4295775" y="13706475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142875</xdr:colOff>
      <xdr:row>124</xdr:row>
      <xdr:rowOff>152400</xdr:rowOff>
    </xdr:from>
    <xdr:to>
      <xdr:col>7</xdr:col>
      <xdr:colOff>142875</xdr:colOff>
      <xdr:row>132</xdr:row>
      <xdr:rowOff>0</xdr:rowOff>
    </xdr:to>
    <xdr:sp macro="" textlink="">
      <xdr:nvSpPr>
        <xdr:cNvPr id="212" name="Line 529"/>
        <xdr:cNvSpPr>
          <a:spLocks noChangeShapeType="1"/>
        </xdr:cNvSpPr>
      </xdr:nvSpPr>
      <xdr:spPr bwMode="auto">
        <a:xfrm>
          <a:off x="4410075" y="13706475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7</xdr:col>
      <xdr:colOff>428625</xdr:colOff>
      <xdr:row>127</xdr:row>
      <xdr:rowOff>19050</xdr:rowOff>
    </xdr:from>
    <xdr:ext cx="123825" cy="180975"/>
    <xdr:sp macro="" textlink="">
      <xdr:nvSpPr>
        <xdr:cNvPr id="213" name="Text Box 530"/>
        <xdr:cNvSpPr txBox="1">
          <a:spLocks noChangeArrowheads="1"/>
        </xdr:cNvSpPr>
      </xdr:nvSpPr>
      <xdr:spPr bwMode="auto">
        <a:xfrm>
          <a:off x="4695825" y="142208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438150</xdr:colOff>
      <xdr:row>130</xdr:row>
      <xdr:rowOff>9525</xdr:rowOff>
    </xdr:from>
    <xdr:ext cx="123825" cy="180975"/>
    <xdr:sp macro="" textlink="">
      <xdr:nvSpPr>
        <xdr:cNvPr id="214" name="Text Box 531"/>
        <xdr:cNvSpPr txBox="1">
          <a:spLocks noChangeArrowheads="1"/>
        </xdr:cNvSpPr>
      </xdr:nvSpPr>
      <xdr:spPr bwMode="auto">
        <a:xfrm>
          <a:off x="2266950" y="14211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</xdr:col>
      <xdr:colOff>266700</xdr:colOff>
      <xdr:row>131</xdr:row>
      <xdr:rowOff>152400</xdr:rowOff>
    </xdr:from>
    <xdr:ext cx="160941" cy="170560"/>
    <xdr:sp macro="" textlink="">
      <xdr:nvSpPr>
        <xdr:cNvPr id="215" name="Text Box 532"/>
        <xdr:cNvSpPr txBox="1">
          <a:spLocks noChangeArrowheads="1"/>
        </xdr:cNvSpPr>
      </xdr:nvSpPr>
      <xdr:spPr bwMode="auto">
        <a:xfrm>
          <a:off x="3924300" y="14516100"/>
          <a:ext cx="16094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 </a:t>
          </a:r>
          <a:endParaRPr lang="en-GB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4</xdr:col>
      <xdr:colOff>571500</xdr:colOff>
      <xdr:row>131</xdr:row>
      <xdr:rowOff>133350</xdr:rowOff>
    </xdr:from>
    <xdr:ext cx="228600" cy="180975"/>
    <xdr:sp macro="" textlink="">
      <xdr:nvSpPr>
        <xdr:cNvPr id="216" name="Text Box 535"/>
        <xdr:cNvSpPr txBox="1">
          <a:spLocks noChangeArrowheads="1"/>
        </xdr:cNvSpPr>
      </xdr:nvSpPr>
      <xdr:spPr bwMode="auto">
        <a:xfrm>
          <a:off x="3009900" y="14497050"/>
          <a:ext cx="2286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3</xdr:col>
      <xdr:colOff>438150</xdr:colOff>
      <xdr:row>130</xdr:row>
      <xdr:rowOff>9525</xdr:rowOff>
    </xdr:from>
    <xdr:ext cx="123825" cy="180975"/>
    <xdr:sp macro="" textlink="">
      <xdr:nvSpPr>
        <xdr:cNvPr id="217" name="Text Box 536"/>
        <xdr:cNvSpPr txBox="1">
          <a:spLocks noChangeArrowheads="1"/>
        </xdr:cNvSpPr>
      </xdr:nvSpPr>
      <xdr:spPr bwMode="auto">
        <a:xfrm>
          <a:off x="2266950" y="14211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438150</xdr:colOff>
      <xdr:row>130</xdr:row>
      <xdr:rowOff>9525</xdr:rowOff>
    </xdr:from>
    <xdr:ext cx="123825" cy="180975"/>
    <xdr:sp macro="" textlink="">
      <xdr:nvSpPr>
        <xdr:cNvPr id="218" name="Text Box 537"/>
        <xdr:cNvSpPr txBox="1">
          <a:spLocks noChangeArrowheads="1"/>
        </xdr:cNvSpPr>
      </xdr:nvSpPr>
      <xdr:spPr bwMode="auto">
        <a:xfrm>
          <a:off x="2266950" y="14211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</xdr:col>
      <xdr:colOff>533400</xdr:colOff>
      <xdr:row>130</xdr:row>
      <xdr:rowOff>0</xdr:rowOff>
    </xdr:from>
    <xdr:ext cx="210955" cy="170560"/>
    <xdr:sp macro="" textlink="">
      <xdr:nvSpPr>
        <xdr:cNvPr id="219" name="Text Box 544"/>
        <xdr:cNvSpPr txBox="1">
          <a:spLocks noChangeArrowheads="1"/>
        </xdr:cNvSpPr>
      </xdr:nvSpPr>
      <xdr:spPr bwMode="auto">
        <a:xfrm>
          <a:off x="1752600" y="14201775"/>
          <a:ext cx="21095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oneCellAnchor>
  <xdr:twoCellAnchor>
    <xdr:from>
      <xdr:col>2</xdr:col>
      <xdr:colOff>438150</xdr:colOff>
      <xdr:row>130</xdr:row>
      <xdr:rowOff>47625</xdr:rowOff>
    </xdr:from>
    <xdr:to>
      <xdr:col>2</xdr:col>
      <xdr:colOff>542925</xdr:colOff>
      <xdr:row>130</xdr:row>
      <xdr:rowOff>152400</xdr:rowOff>
    </xdr:to>
    <xdr:sp macro="" textlink="">
      <xdr:nvSpPr>
        <xdr:cNvPr id="220" name="AutoShape 545"/>
        <xdr:cNvSpPr>
          <a:spLocks noChangeArrowheads="1"/>
        </xdr:cNvSpPr>
      </xdr:nvSpPr>
      <xdr:spPr bwMode="auto">
        <a:xfrm>
          <a:off x="1657350" y="14249400"/>
          <a:ext cx="104775" cy="104775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142875</xdr:colOff>
      <xdr:row>128</xdr:row>
      <xdr:rowOff>66675</xdr:rowOff>
    </xdr:from>
    <xdr:to>
      <xdr:col>2</xdr:col>
      <xdr:colOff>409575</xdr:colOff>
      <xdr:row>131</xdr:row>
      <xdr:rowOff>0</xdr:rowOff>
    </xdr:to>
    <xdr:sp macro="" textlink="">
      <xdr:nvSpPr>
        <xdr:cNvPr id="221" name="Line 546"/>
        <xdr:cNvSpPr>
          <a:spLocks noChangeShapeType="1"/>
        </xdr:cNvSpPr>
      </xdr:nvSpPr>
      <xdr:spPr bwMode="auto">
        <a:xfrm>
          <a:off x="1362075" y="13944600"/>
          <a:ext cx="2667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142875</xdr:colOff>
      <xdr:row>128</xdr:row>
      <xdr:rowOff>66675</xdr:rowOff>
    </xdr:from>
    <xdr:to>
      <xdr:col>2</xdr:col>
      <xdr:colOff>266700</xdr:colOff>
      <xdr:row>128</xdr:row>
      <xdr:rowOff>66675</xdr:rowOff>
    </xdr:to>
    <xdr:sp macro="" textlink="">
      <xdr:nvSpPr>
        <xdr:cNvPr id="222" name="Line 547"/>
        <xdr:cNvSpPr>
          <a:spLocks noChangeShapeType="1"/>
        </xdr:cNvSpPr>
      </xdr:nvSpPr>
      <xdr:spPr bwMode="auto">
        <a:xfrm>
          <a:off x="1362075" y="1394460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</xdr:col>
      <xdr:colOff>438150</xdr:colOff>
      <xdr:row>137</xdr:row>
      <xdr:rowOff>9525</xdr:rowOff>
    </xdr:from>
    <xdr:ext cx="123825" cy="180975"/>
    <xdr:sp macro="" textlink="">
      <xdr:nvSpPr>
        <xdr:cNvPr id="223" name="Text Box 549"/>
        <xdr:cNvSpPr txBox="1">
          <a:spLocks noChangeArrowheads="1"/>
        </xdr:cNvSpPr>
      </xdr:nvSpPr>
      <xdr:spPr bwMode="auto">
        <a:xfrm>
          <a:off x="2266950" y="150209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</xdr:col>
      <xdr:colOff>590550</xdr:colOff>
      <xdr:row>137</xdr:row>
      <xdr:rowOff>9525</xdr:rowOff>
    </xdr:from>
    <xdr:ext cx="171450" cy="161925"/>
    <xdr:sp macro="" textlink="">
      <xdr:nvSpPr>
        <xdr:cNvPr id="224" name="Text Box 550"/>
        <xdr:cNvSpPr txBox="1">
          <a:spLocks noChangeArrowheads="1"/>
        </xdr:cNvSpPr>
      </xdr:nvSpPr>
      <xdr:spPr bwMode="auto">
        <a:xfrm>
          <a:off x="1809750" y="15020925"/>
          <a:ext cx="1714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800" b="1" i="0" strike="noStrike">
              <a:solidFill>
                <a:srgbClr val="000000"/>
              </a:solidFill>
              <a:latin typeface="Arial"/>
              <a:cs typeface="Arial"/>
            </a:rPr>
            <a:t>EL.</a:t>
          </a:r>
        </a:p>
      </xdr:txBody>
    </xdr:sp>
    <xdr:clientData/>
  </xdr:oneCellAnchor>
  <xdr:twoCellAnchor editAs="oneCell">
    <xdr:from>
      <xdr:col>8</xdr:col>
      <xdr:colOff>571500</xdr:colOff>
      <xdr:row>124</xdr:row>
      <xdr:rowOff>133350</xdr:rowOff>
    </xdr:from>
    <xdr:to>
      <xdr:col>9</xdr:col>
      <xdr:colOff>38100</xdr:colOff>
      <xdr:row>126</xdr:row>
      <xdr:rowOff>9525</xdr:rowOff>
    </xdr:to>
    <xdr:sp macro="" textlink="">
      <xdr:nvSpPr>
        <xdr:cNvPr id="225" name="Text Box 552"/>
        <xdr:cNvSpPr txBox="1">
          <a:spLocks noChangeArrowheads="1"/>
        </xdr:cNvSpPr>
      </xdr:nvSpPr>
      <xdr:spPr bwMode="auto">
        <a:xfrm>
          <a:off x="5448300" y="136874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600075</xdr:colOff>
      <xdr:row>124</xdr:row>
      <xdr:rowOff>142875</xdr:rowOff>
    </xdr:from>
    <xdr:to>
      <xdr:col>9</xdr:col>
      <xdr:colOff>66675</xdr:colOff>
      <xdr:row>126</xdr:row>
      <xdr:rowOff>19050</xdr:rowOff>
    </xdr:to>
    <xdr:sp macro="" textlink="">
      <xdr:nvSpPr>
        <xdr:cNvPr id="226" name="Text Box 554"/>
        <xdr:cNvSpPr txBox="1">
          <a:spLocks noChangeArrowheads="1"/>
        </xdr:cNvSpPr>
      </xdr:nvSpPr>
      <xdr:spPr bwMode="auto">
        <a:xfrm>
          <a:off x="5476875" y="136969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5</xdr:col>
      <xdr:colOff>419100</xdr:colOff>
      <xdr:row>132</xdr:row>
      <xdr:rowOff>9525</xdr:rowOff>
    </xdr:from>
    <xdr:ext cx="180975" cy="171450"/>
    <xdr:sp macro="" textlink="">
      <xdr:nvSpPr>
        <xdr:cNvPr id="227" name="Text Box 555"/>
        <xdr:cNvSpPr txBox="1">
          <a:spLocks noChangeArrowheads="1"/>
        </xdr:cNvSpPr>
      </xdr:nvSpPr>
      <xdr:spPr bwMode="auto">
        <a:xfrm>
          <a:off x="3467100" y="14535150"/>
          <a:ext cx="18097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900" b="1" i="0" strike="noStrike">
              <a:solidFill>
                <a:srgbClr val="000000"/>
              </a:solidFill>
              <a:latin typeface="Arial"/>
              <a:cs typeface="Arial"/>
            </a:rPr>
            <a:t>EL.</a:t>
          </a:r>
        </a:p>
      </xdr:txBody>
    </xdr:sp>
    <xdr:clientData/>
  </xdr:oneCellAnchor>
  <xdr:oneCellAnchor>
    <xdr:from>
      <xdr:col>3</xdr:col>
      <xdr:colOff>38100</xdr:colOff>
      <xdr:row>127</xdr:row>
      <xdr:rowOff>0</xdr:rowOff>
    </xdr:from>
    <xdr:ext cx="266700" cy="180975"/>
    <xdr:sp macro="" textlink="">
      <xdr:nvSpPr>
        <xdr:cNvPr id="228" name="Text Box 556"/>
        <xdr:cNvSpPr txBox="1">
          <a:spLocks noChangeArrowheads="1"/>
        </xdr:cNvSpPr>
      </xdr:nvSpPr>
      <xdr:spPr bwMode="auto">
        <a:xfrm>
          <a:off x="1866900" y="14039850"/>
          <a:ext cx="2667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 =</a:t>
          </a:r>
        </a:p>
      </xdr:txBody>
    </xdr:sp>
    <xdr:clientData/>
  </xdr:oneCellAnchor>
  <xdr:twoCellAnchor editAs="oneCell">
    <xdr:from>
      <xdr:col>6</xdr:col>
      <xdr:colOff>266700</xdr:colOff>
      <xdr:row>129</xdr:row>
      <xdr:rowOff>0</xdr:rowOff>
    </xdr:from>
    <xdr:to>
      <xdr:col>6</xdr:col>
      <xdr:colOff>342900</xdr:colOff>
      <xdr:row>130</xdr:row>
      <xdr:rowOff>38100</xdr:rowOff>
    </xdr:to>
    <xdr:sp macro="" textlink="">
      <xdr:nvSpPr>
        <xdr:cNvPr id="229" name="Text Box 557"/>
        <xdr:cNvSpPr txBox="1">
          <a:spLocks noChangeArrowheads="1"/>
        </xdr:cNvSpPr>
      </xdr:nvSpPr>
      <xdr:spPr bwMode="auto">
        <a:xfrm>
          <a:off x="3924300" y="140398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571500</xdr:colOff>
      <xdr:row>129</xdr:row>
      <xdr:rowOff>133350</xdr:rowOff>
    </xdr:from>
    <xdr:to>
      <xdr:col>6</xdr:col>
      <xdr:colOff>38100</xdr:colOff>
      <xdr:row>131</xdr:row>
      <xdr:rowOff>9525</xdr:rowOff>
    </xdr:to>
    <xdr:sp macro="" textlink="">
      <xdr:nvSpPr>
        <xdr:cNvPr id="230" name="Text Box 558"/>
        <xdr:cNvSpPr txBox="1">
          <a:spLocks noChangeArrowheads="1"/>
        </xdr:cNvSpPr>
      </xdr:nvSpPr>
      <xdr:spPr bwMode="auto">
        <a:xfrm>
          <a:off x="3619500" y="141732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266700</xdr:colOff>
      <xdr:row>129</xdr:row>
      <xdr:rowOff>0</xdr:rowOff>
    </xdr:from>
    <xdr:to>
      <xdr:col>6</xdr:col>
      <xdr:colOff>342900</xdr:colOff>
      <xdr:row>130</xdr:row>
      <xdr:rowOff>38100</xdr:rowOff>
    </xdr:to>
    <xdr:sp macro="" textlink="">
      <xdr:nvSpPr>
        <xdr:cNvPr id="231" name="Text Box 559"/>
        <xdr:cNvSpPr txBox="1">
          <a:spLocks noChangeArrowheads="1"/>
        </xdr:cNvSpPr>
      </xdr:nvSpPr>
      <xdr:spPr bwMode="auto">
        <a:xfrm>
          <a:off x="3924300" y="140398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600075</xdr:colOff>
      <xdr:row>129</xdr:row>
      <xdr:rowOff>142875</xdr:rowOff>
    </xdr:from>
    <xdr:to>
      <xdr:col>6</xdr:col>
      <xdr:colOff>66675</xdr:colOff>
      <xdr:row>131</xdr:row>
      <xdr:rowOff>19050</xdr:rowOff>
    </xdr:to>
    <xdr:sp macro="" textlink="">
      <xdr:nvSpPr>
        <xdr:cNvPr id="232" name="Text Box 560"/>
        <xdr:cNvSpPr txBox="1">
          <a:spLocks noChangeArrowheads="1"/>
        </xdr:cNvSpPr>
      </xdr:nvSpPr>
      <xdr:spPr bwMode="auto">
        <a:xfrm>
          <a:off x="3648075" y="141827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266700</xdr:colOff>
      <xdr:row>129</xdr:row>
      <xdr:rowOff>0</xdr:rowOff>
    </xdr:from>
    <xdr:to>
      <xdr:col>6</xdr:col>
      <xdr:colOff>342900</xdr:colOff>
      <xdr:row>130</xdr:row>
      <xdr:rowOff>38100</xdr:rowOff>
    </xdr:to>
    <xdr:sp macro="" textlink="">
      <xdr:nvSpPr>
        <xdr:cNvPr id="233" name="Text Box 561"/>
        <xdr:cNvSpPr txBox="1">
          <a:spLocks noChangeArrowheads="1"/>
        </xdr:cNvSpPr>
      </xdr:nvSpPr>
      <xdr:spPr bwMode="auto">
        <a:xfrm>
          <a:off x="3924300" y="140398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571500</xdr:colOff>
      <xdr:row>129</xdr:row>
      <xdr:rowOff>133350</xdr:rowOff>
    </xdr:from>
    <xdr:to>
      <xdr:col>6</xdr:col>
      <xdr:colOff>38100</xdr:colOff>
      <xdr:row>131</xdr:row>
      <xdr:rowOff>9525</xdr:rowOff>
    </xdr:to>
    <xdr:sp macro="" textlink="">
      <xdr:nvSpPr>
        <xdr:cNvPr id="234" name="Text Box 562"/>
        <xdr:cNvSpPr txBox="1">
          <a:spLocks noChangeArrowheads="1"/>
        </xdr:cNvSpPr>
      </xdr:nvSpPr>
      <xdr:spPr bwMode="auto">
        <a:xfrm>
          <a:off x="3619500" y="141732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266700</xdr:colOff>
      <xdr:row>129</xdr:row>
      <xdr:rowOff>0</xdr:rowOff>
    </xdr:from>
    <xdr:to>
      <xdr:col>6</xdr:col>
      <xdr:colOff>342900</xdr:colOff>
      <xdr:row>130</xdr:row>
      <xdr:rowOff>38100</xdr:rowOff>
    </xdr:to>
    <xdr:sp macro="" textlink="">
      <xdr:nvSpPr>
        <xdr:cNvPr id="235" name="Text Box 563"/>
        <xdr:cNvSpPr txBox="1">
          <a:spLocks noChangeArrowheads="1"/>
        </xdr:cNvSpPr>
      </xdr:nvSpPr>
      <xdr:spPr bwMode="auto">
        <a:xfrm>
          <a:off x="3924300" y="1403985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600075</xdr:colOff>
      <xdr:row>129</xdr:row>
      <xdr:rowOff>142875</xdr:rowOff>
    </xdr:from>
    <xdr:to>
      <xdr:col>6</xdr:col>
      <xdr:colOff>66675</xdr:colOff>
      <xdr:row>131</xdr:row>
      <xdr:rowOff>19050</xdr:rowOff>
    </xdr:to>
    <xdr:sp macro="" textlink="">
      <xdr:nvSpPr>
        <xdr:cNvPr id="236" name="Text Box 564"/>
        <xdr:cNvSpPr txBox="1">
          <a:spLocks noChangeArrowheads="1"/>
        </xdr:cNvSpPr>
      </xdr:nvSpPr>
      <xdr:spPr bwMode="auto">
        <a:xfrm>
          <a:off x="3648075" y="1418272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571500</xdr:colOff>
      <xdr:row>130</xdr:row>
      <xdr:rowOff>123825</xdr:rowOff>
    </xdr:from>
    <xdr:to>
      <xdr:col>6</xdr:col>
      <xdr:colOff>104775</xdr:colOff>
      <xdr:row>132</xdr:row>
      <xdr:rowOff>19050</xdr:rowOff>
    </xdr:to>
    <xdr:sp macro="" textlink="">
      <xdr:nvSpPr>
        <xdr:cNvPr id="237" name="Line 565"/>
        <xdr:cNvSpPr>
          <a:spLocks noChangeShapeType="1"/>
        </xdr:cNvSpPr>
      </xdr:nvSpPr>
      <xdr:spPr bwMode="auto">
        <a:xfrm>
          <a:off x="3619500" y="14325600"/>
          <a:ext cx="142875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581025</xdr:colOff>
      <xdr:row>130</xdr:row>
      <xdr:rowOff>123825</xdr:rowOff>
    </xdr:from>
    <xdr:to>
      <xdr:col>5</xdr:col>
      <xdr:colOff>600075</xdr:colOff>
      <xdr:row>130</xdr:row>
      <xdr:rowOff>123825</xdr:rowOff>
    </xdr:to>
    <xdr:sp macro="" textlink="">
      <xdr:nvSpPr>
        <xdr:cNvPr id="238" name="Line 566"/>
        <xdr:cNvSpPr>
          <a:spLocks noChangeShapeType="1"/>
        </xdr:cNvSpPr>
      </xdr:nvSpPr>
      <xdr:spPr bwMode="auto">
        <a:xfrm>
          <a:off x="3629025" y="1432560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600075</xdr:colOff>
      <xdr:row>244</xdr:row>
      <xdr:rowOff>0</xdr:rowOff>
    </xdr:from>
    <xdr:to>
      <xdr:col>5</xdr:col>
      <xdr:colOff>0</xdr:colOff>
      <xdr:row>244</xdr:row>
      <xdr:rowOff>161925</xdr:rowOff>
    </xdr:to>
    <xdr:sp macro="" textlink="">
      <xdr:nvSpPr>
        <xdr:cNvPr id="239" name="Text Box 154"/>
        <xdr:cNvSpPr txBox="1">
          <a:spLocks noChangeArrowheads="1"/>
        </xdr:cNvSpPr>
      </xdr:nvSpPr>
      <xdr:spPr bwMode="auto">
        <a:xfrm>
          <a:off x="3038475" y="327755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246</xdr:row>
      <xdr:rowOff>0</xdr:rowOff>
    </xdr:from>
    <xdr:to>
      <xdr:col>5</xdr:col>
      <xdr:colOff>0</xdr:colOff>
      <xdr:row>246</xdr:row>
      <xdr:rowOff>161925</xdr:rowOff>
    </xdr:to>
    <xdr:sp macro="" textlink="">
      <xdr:nvSpPr>
        <xdr:cNvPr id="240" name="Text Box 154"/>
        <xdr:cNvSpPr txBox="1">
          <a:spLocks noChangeArrowheads="1"/>
        </xdr:cNvSpPr>
      </xdr:nvSpPr>
      <xdr:spPr bwMode="auto">
        <a:xfrm>
          <a:off x="3038475" y="331660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247</xdr:row>
      <xdr:rowOff>0</xdr:rowOff>
    </xdr:from>
    <xdr:to>
      <xdr:col>5</xdr:col>
      <xdr:colOff>0</xdr:colOff>
      <xdr:row>247</xdr:row>
      <xdr:rowOff>161925</xdr:rowOff>
    </xdr:to>
    <xdr:sp macro="" textlink="">
      <xdr:nvSpPr>
        <xdr:cNvPr id="241" name="Text Box 154"/>
        <xdr:cNvSpPr txBox="1">
          <a:spLocks noChangeArrowheads="1"/>
        </xdr:cNvSpPr>
      </xdr:nvSpPr>
      <xdr:spPr bwMode="auto">
        <a:xfrm>
          <a:off x="3038475" y="333660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243</xdr:row>
      <xdr:rowOff>0</xdr:rowOff>
    </xdr:from>
    <xdr:to>
      <xdr:col>5</xdr:col>
      <xdr:colOff>0</xdr:colOff>
      <xdr:row>243</xdr:row>
      <xdr:rowOff>161925</xdr:rowOff>
    </xdr:to>
    <xdr:sp macro="" textlink="">
      <xdr:nvSpPr>
        <xdr:cNvPr id="242" name="Text Box 154"/>
        <xdr:cNvSpPr txBox="1">
          <a:spLocks noChangeArrowheads="1"/>
        </xdr:cNvSpPr>
      </xdr:nvSpPr>
      <xdr:spPr bwMode="auto">
        <a:xfrm>
          <a:off x="3038475" y="325755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263</xdr:row>
      <xdr:rowOff>0</xdr:rowOff>
    </xdr:from>
    <xdr:to>
      <xdr:col>2</xdr:col>
      <xdr:colOff>171450</xdr:colOff>
      <xdr:row>271</xdr:row>
      <xdr:rowOff>9525</xdr:rowOff>
    </xdr:to>
    <xdr:sp macro="" textlink="">
      <xdr:nvSpPr>
        <xdr:cNvPr id="243" name="Line 240"/>
        <xdr:cNvSpPr>
          <a:spLocks noChangeShapeType="1"/>
        </xdr:cNvSpPr>
      </xdr:nvSpPr>
      <xdr:spPr bwMode="auto">
        <a:xfrm>
          <a:off x="1390650" y="35833050"/>
          <a:ext cx="0" cy="1304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171450</xdr:colOff>
      <xdr:row>271</xdr:row>
      <xdr:rowOff>0</xdr:rowOff>
    </xdr:from>
    <xdr:to>
      <xdr:col>3</xdr:col>
      <xdr:colOff>514350</xdr:colOff>
      <xdr:row>271</xdr:row>
      <xdr:rowOff>0</xdr:rowOff>
    </xdr:to>
    <xdr:sp macro="" textlink="">
      <xdr:nvSpPr>
        <xdr:cNvPr id="244" name="Line 241"/>
        <xdr:cNvSpPr>
          <a:spLocks noChangeShapeType="1"/>
        </xdr:cNvSpPr>
      </xdr:nvSpPr>
      <xdr:spPr bwMode="auto">
        <a:xfrm>
          <a:off x="1390650" y="37128450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342900</xdr:colOff>
      <xdr:row>270</xdr:row>
      <xdr:rowOff>0</xdr:rowOff>
    </xdr:from>
    <xdr:to>
      <xdr:col>3</xdr:col>
      <xdr:colOff>514350</xdr:colOff>
      <xdr:row>270</xdr:row>
      <xdr:rowOff>0</xdr:rowOff>
    </xdr:to>
    <xdr:sp macro="" textlink="">
      <xdr:nvSpPr>
        <xdr:cNvPr id="245" name="Line 242"/>
        <xdr:cNvSpPr>
          <a:spLocks noChangeShapeType="1"/>
        </xdr:cNvSpPr>
      </xdr:nvSpPr>
      <xdr:spPr bwMode="auto">
        <a:xfrm flipH="1">
          <a:off x="1562100" y="36966525"/>
          <a:ext cx="781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342900</xdr:colOff>
      <xdr:row>263</xdr:row>
      <xdr:rowOff>0</xdr:rowOff>
    </xdr:from>
    <xdr:to>
      <xdr:col>2</xdr:col>
      <xdr:colOff>342900</xdr:colOff>
      <xdr:row>269</xdr:row>
      <xdr:rowOff>152400</xdr:rowOff>
    </xdr:to>
    <xdr:sp macro="" textlink="">
      <xdr:nvSpPr>
        <xdr:cNvPr id="246" name="Line 243"/>
        <xdr:cNvSpPr>
          <a:spLocks noChangeShapeType="1"/>
        </xdr:cNvSpPr>
      </xdr:nvSpPr>
      <xdr:spPr bwMode="auto">
        <a:xfrm flipV="1">
          <a:off x="1562100" y="35833050"/>
          <a:ext cx="0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262</xdr:row>
      <xdr:rowOff>152400</xdr:rowOff>
    </xdr:from>
    <xdr:to>
      <xdr:col>2</xdr:col>
      <xdr:colOff>342900</xdr:colOff>
      <xdr:row>262</xdr:row>
      <xdr:rowOff>152400</xdr:rowOff>
    </xdr:to>
    <xdr:sp macro="" textlink="">
      <xdr:nvSpPr>
        <xdr:cNvPr id="247" name="Line 244"/>
        <xdr:cNvSpPr>
          <a:spLocks noChangeShapeType="1"/>
        </xdr:cNvSpPr>
      </xdr:nvSpPr>
      <xdr:spPr bwMode="auto">
        <a:xfrm>
          <a:off x="1381125" y="3582352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504825</xdr:colOff>
      <xdr:row>269</xdr:row>
      <xdr:rowOff>38100</xdr:rowOff>
    </xdr:from>
    <xdr:to>
      <xdr:col>3</xdr:col>
      <xdr:colOff>504825</xdr:colOff>
      <xdr:row>270</xdr:row>
      <xdr:rowOff>38100</xdr:rowOff>
    </xdr:to>
    <xdr:sp macro="" textlink="">
      <xdr:nvSpPr>
        <xdr:cNvPr id="248" name="Line 245"/>
        <xdr:cNvSpPr>
          <a:spLocks noChangeShapeType="1"/>
        </xdr:cNvSpPr>
      </xdr:nvSpPr>
      <xdr:spPr bwMode="auto">
        <a:xfrm>
          <a:off x="2333625" y="368427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270</xdr:row>
      <xdr:rowOff>38100</xdr:rowOff>
    </xdr:from>
    <xdr:to>
      <xdr:col>3</xdr:col>
      <xdr:colOff>514350</xdr:colOff>
      <xdr:row>270</xdr:row>
      <xdr:rowOff>38100</xdr:rowOff>
    </xdr:to>
    <xdr:sp macro="" textlink="">
      <xdr:nvSpPr>
        <xdr:cNvPr id="249" name="Line 246"/>
        <xdr:cNvSpPr>
          <a:spLocks noChangeShapeType="1"/>
        </xdr:cNvSpPr>
      </xdr:nvSpPr>
      <xdr:spPr bwMode="auto">
        <a:xfrm flipH="1">
          <a:off x="2295525" y="37004625"/>
          <a:ext cx="47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270</xdr:row>
      <xdr:rowOff>38100</xdr:rowOff>
    </xdr:from>
    <xdr:to>
      <xdr:col>3</xdr:col>
      <xdr:colOff>552450</xdr:colOff>
      <xdr:row>270</xdr:row>
      <xdr:rowOff>95250</xdr:rowOff>
    </xdr:to>
    <xdr:sp macro="" textlink="">
      <xdr:nvSpPr>
        <xdr:cNvPr id="250" name="Line 247"/>
        <xdr:cNvSpPr>
          <a:spLocks noChangeShapeType="1"/>
        </xdr:cNvSpPr>
      </xdr:nvSpPr>
      <xdr:spPr bwMode="auto">
        <a:xfrm>
          <a:off x="2295525" y="37004625"/>
          <a:ext cx="857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514350</xdr:colOff>
      <xdr:row>270</xdr:row>
      <xdr:rowOff>104775</xdr:rowOff>
    </xdr:from>
    <xdr:to>
      <xdr:col>3</xdr:col>
      <xdr:colOff>552450</xdr:colOff>
      <xdr:row>270</xdr:row>
      <xdr:rowOff>104775</xdr:rowOff>
    </xdr:to>
    <xdr:sp macro="" textlink="">
      <xdr:nvSpPr>
        <xdr:cNvPr id="251" name="Line 248"/>
        <xdr:cNvSpPr>
          <a:spLocks noChangeShapeType="1"/>
        </xdr:cNvSpPr>
      </xdr:nvSpPr>
      <xdr:spPr bwMode="auto">
        <a:xfrm flipH="1">
          <a:off x="2343150" y="37071300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504825</xdr:colOff>
      <xdr:row>270</xdr:row>
      <xdr:rowOff>104775</xdr:rowOff>
    </xdr:from>
    <xdr:to>
      <xdr:col>3</xdr:col>
      <xdr:colOff>504825</xdr:colOff>
      <xdr:row>271</xdr:row>
      <xdr:rowOff>142875</xdr:rowOff>
    </xdr:to>
    <xdr:sp macro="" textlink="">
      <xdr:nvSpPr>
        <xdr:cNvPr id="252" name="Line 249"/>
        <xdr:cNvSpPr>
          <a:spLocks noChangeShapeType="1"/>
        </xdr:cNvSpPr>
      </xdr:nvSpPr>
      <xdr:spPr bwMode="auto">
        <a:xfrm>
          <a:off x="2333625" y="3707130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342900</xdr:colOff>
      <xdr:row>260</xdr:row>
      <xdr:rowOff>0</xdr:rowOff>
    </xdr:from>
    <xdr:to>
      <xdr:col>2</xdr:col>
      <xdr:colOff>342900</xdr:colOff>
      <xdr:row>262</xdr:row>
      <xdr:rowOff>152400</xdr:rowOff>
    </xdr:to>
    <xdr:sp macro="" textlink="">
      <xdr:nvSpPr>
        <xdr:cNvPr id="253" name="Line 250"/>
        <xdr:cNvSpPr>
          <a:spLocks noChangeShapeType="1"/>
        </xdr:cNvSpPr>
      </xdr:nvSpPr>
      <xdr:spPr bwMode="auto">
        <a:xfrm flipV="1">
          <a:off x="1562100" y="35347275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2</xdr:col>
      <xdr:colOff>523875</xdr:colOff>
      <xdr:row>263</xdr:row>
      <xdr:rowOff>0</xdr:rowOff>
    </xdr:from>
    <xdr:to>
      <xdr:col>3</xdr:col>
      <xdr:colOff>342900</xdr:colOff>
      <xdr:row>270</xdr:row>
      <xdr:rowOff>0</xdr:rowOff>
    </xdr:to>
    <xdr:sp macro="" textlink="">
      <xdr:nvSpPr>
        <xdr:cNvPr id="254" name="Line 251"/>
        <xdr:cNvSpPr>
          <a:spLocks noChangeShapeType="1"/>
        </xdr:cNvSpPr>
      </xdr:nvSpPr>
      <xdr:spPr bwMode="auto">
        <a:xfrm>
          <a:off x="1743075" y="35833050"/>
          <a:ext cx="428625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342900</xdr:colOff>
      <xdr:row>260</xdr:row>
      <xdr:rowOff>0</xdr:rowOff>
    </xdr:from>
    <xdr:to>
      <xdr:col>2</xdr:col>
      <xdr:colOff>523875</xdr:colOff>
      <xdr:row>263</xdr:row>
      <xdr:rowOff>0</xdr:rowOff>
    </xdr:to>
    <xdr:sp macro="" textlink="">
      <xdr:nvSpPr>
        <xdr:cNvPr id="255" name="Line 252"/>
        <xdr:cNvSpPr>
          <a:spLocks noChangeShapeType="1"/>
        </xdr:cNvSpPr>
      </xdr:nvSpPr>
      <xdr:spPr bwMode="auto">
        <a:xfrm>
          <a:off x="1562100" y="35347275"/>
          <a:ext cx="180975" cy="48577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</xdr:col>
      <xdr:colOff>333375</xdr:colOff>
      <xdr:row>263</xdr:row>
      <xdr:rowOff>0</xdr:rowOff>
    </xdr:from>
    <xdr:to>
      <xdr:col>2</xdr:col>
      <xdr:colOff>523875</xdr:colOff>
      <xdr:row>263</xdr:row>
      <xdr:rowOff>0</xdr:rowOff>
    </xdr:to>
    <xdr:sp macro="" textlink="">
      <xdr:nvSpPr>
        <xdr:cNvPr id="256" name="Line 253"/>
        <xdr:cNvSpPr>
          <a:spLocks noChangeShapeType="1"/>
        </xdr:cNvSpPr>
      </xdr:nvSpPr>
      <xdr:spPr bwMode="auto">
        <a:xfrm flipH="1">
          <a:off x="1552575" y="358330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352425</xdr:colOff>
      <xdr:row>265</xdr:row>
      <xdr:rowOff>0</xdr:rowOff>
    </xdr:from>
    <xdr:to>
      <xdr:col>3</xdr:col>
      <xdr:colOff>28575</xdr:colOff>
      <xdr:row>265</xdr:row>
      <xdr:rowOff>0</xdr:rowOff>
    </xdr:to>
    <xdr:sp macro="" textlink="">
      <xdr:nvSpPr>
        <xdr:cNvPr id="257" name="Line 254"/>
        <xdr:cNvSpPr>
          <a:spLocks noChangeShapeType="1"/>
        </xdr:cNvSpPr>
      </xdr:nvSpPr>
      <xdr:spPr bwMode="auto">
        <a:xfrm flipH="1">
          <a:off x="1571625" y="3615690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333375</xdr:colOff>
      <xdr:row>267</xdr:row>
      <xdr:rowOff>152400</xdr:rowOff>
    </xdr:from>
    <xdr:to>
      <xdr:col>3</xdr:col>
      <xdr:colOff>190500</xdr:colOff>
      <xdr:row>267</xdr:row>
      <xdr:rowOff>152400</xdr:rowOff>
    </xdr:to>
    <xdr:sp macro="" textlink="">
      <xdr:nvSpPr>
        <xdr:cNvPr id="258" name="Line 255"/>
        <xdr:cNvSpPr>
          <a:spLocks noChangeShapeType="1"/>
        </xdr:cNvSpPr>
      </xdr:nvSpPr>
      <xdr:spPr bwMode="auto">
        <a:xfrm flipH="1">
          <a:off x="1552575" y="3663315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342900</xdr:colOff>
      <xdr:row>270</xdr:row>
      <xdr:rowOff>0</xdr:rowOff>
    </xdr:from>
    <xdr:to>
      <xdr:col>3</xdr:col>
      <xdr:colOff>304800</xdr:colOff>
      <xdr:row>270</xdr:row>
      <xdr:rowOff>0</xdr:rowOff>
    </xdr:to>
    <xdr:sp macro="" textlink="">
      <xdr:nvSpPr>
        <xdr:cNvPr id="259" name="Line 256"/>
        <xdr:cNvSpPr>
          <a:spLocks noChangeShapeType="1"/>
        </xdr:cNvSpPr>
      </xdr:nvSpPr>
      <xdr:spPr bwMode="auto">
        <a:xfrm flipH="1">
          <a:off x="1562100" y="36966525"/>
          <a:ext cx="571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</xdr:col>
      <xdr:colOff>581025</xdr:colOff>
      <xdr:row>263</xdr:row>
      <xdr:rowOff>0</xdr:rowOff>
    </xdr:from>
    <xdr:to>
      <xdr:col>3</xdr:col>
      <xdr:colOff>581025</xdr:colOff>
      <xdr:row>270</xdr:row>
      <xdr:rowOff>0</xdr:rowOff>
    </xdr:to>
    <xdr:sp macro="" textlink="">
      <xdr:nvSpPr>
        <xdr:cNvPr id="260" name="Line 257"/>
        <xdr:cNvSpPr>
          <a:spLocks noChangeShapeType="1"/>
        </xdr:cNvSpPr>
      </xdr:nvSpPr>
      <xdr:spPr bwMode="auto">
        <a:xfrm>
          <a:off x="2409825" y="35833050"/>
          <a:ext cx="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466725</xdr:colOff>
      <xdr:row>263</xdr:row>
      <xdr:rowOff>0</xdr:rowOff>
    </xdr:from>
    <xdr:to>
      <xdr:col>4</xdr:col>
      <xdr:colOff>19050</xdr:colOff>
      <xdr:row>263</xdr:row>
      <xdr:rowOff>0</xdr:rowOff>
    </xdr:to>
    <xdr:sp macro="" textlink="">
      <xdr:nvSpPr>
        <xdr:cNvPr id="261" name="Line 258"/>
        <xdr:cNvSpPr>
          <a:spLocks noChangeShapeType="1"/>
        </xdr:cNvSpPr>
      </xdr:nvSpPr>
      <xdr:spPr bwMode="auto">
        <a:xfrm>
          <a:off x="2295525" y="3583305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533400</xdr:colOff>
      <xdr:row>270</xdr:row>
      <xdr:rowOff>0</xdr:rowOff>
    </xdr:from>
    <xdr:to>
      <xdr:col>4</xdr:col>
      <xdr:colOff>28575</xdr:colOff>
      <xdr:row>270</xdr:row>
      <xdr:rowOff>0</xdr:rowOff>
    </xdr:to>
    <xdr:sp macro="" textlink="">
      <xdr:nvSpPr>
        <xdr:cNvPr id="262" name="Line 259"/>
        <xdr:cNvSpPr>
          <a:spLocks noChangeShapeType="1"/>
        </xdr:cNvSpPr>
      </xdr:nvSpPr>
      <xdr:spPr bwMode="auto">
        <a:xfrm>
          <a:off x="2362200" y="369665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581025</xdr:colOff>
      <xdr:row>260</xdr:row>
      <xdr:rowOff>0</xdr:rowOff>
    </xdr:from>
    <xdr:to>
      <xdr:col>3</xdr:col>
      <xdr:colOff>581025</xdr:colOff>
      <xdr:row>263</xdr:row>
      <xdr:rowOff>0</xdr:rowOff>
    </xdr:to>
    <xdr:sp macro="" textlink="">
      <xdr:nvSpPr>
        <xdr:cNvPr id="263" name="Line 260"/>
        <xdr:cNvSpPr>
          <a:spLocks noChangeShapeType="1"/>
        </xdr:cNvSpPr>
      </xdr:nvSpPr>
      <xdr:spPr bwMode="auto">
        <a:xfrm>
          <a:off x="2409825" y="3534727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476250</xdr:colOff>
      <xdr:row>260</xdr:row>
      <xdr:rowOff>0</xdr:rowOff>
    </xdr:from>
    <xdr:to>
      <xdr:col>4</xdr:col>
      <xdr:colOff>9525</xdr:colOff>
      <xdr:row>260</xdr:row>
      <xdr:rowOff>0</xdr:rowOff>
    </xdr:to>
    <xdr:sp macro="" textlink="">
      <xdr:nvSpPr>
        <xdr:cNvPr id="264" name="Line 261"/>
        <xdr:cNvSpPr>
          <a:spLocks noChangeShapeType="1"/>
        </xdr:cNvSpPr>
      </xdr:nvSpPr>
      <xdr:spPr bwMode="auto">
        <a:xfrm>
          <a:off x="2305050" y="353472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2</xdr:col>
      <xdr:colOff>342900</xdr:colOff>
      <xdr:row>262</xdr:row>
      <xdr:rowOff>19050</xdr:rowOff>
    </xdr:from>
    <xdr:to>
      <xdr:col>2</xdr:col>
      <xdr:colOff>542925</xdr:colOff>
      <xdr:row>263</xdr:row>
      <xdr:rowOff>28575</xdr:rowOff>
    </xdr:to>
    <xdr:sp macro="" textlink="">
      <xdr:nvSpPr>
        <xdr:cNvPr id="265" name="Text Box 262"/>
        <xdr:cNvSpPr txBox="1">
          <a:spLocks noChangeArrowheads="1"/>
        </xdr:cNvSpPr>
      </xdr:nvSpPr>
      <xdr:spPr bwMode="auto">
        <a:xfrm>
          <a:off x="1562100" y="35690175"/>
          <a:ext cx="20002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800" b="1" i="0" strike="noStrike">
              <a:solidFill>
                <a:srgbClr val="000000"/>
              </a:solidFill>
              <a:latin typeface="Arial"/>
              <a:cs typeface="Arial"/>
            </a:rPr>
            <a:t>P1</a:t>
          </a:r>
        </a:p>
      </xdr:txBody>
    </xdr:sp>
    <xdr:clientData/>
  </xdr:twoCellAnchor>
  <xdr:twoCellAnchor editAs="oneCell">
    <xdr:from>
      <xdr:col>4</xdr:col>
      <xdr:colOff>266700</xdr:colOff>
      <xdr:row>261</xdr:row>
      <xdr:rowOff>0</xdr:rowOff>
    </xdr:from>
    <xdr:to>
      <xdr:col>4</xdr:col>
      <xdr:colOff>447675</xdr:colOff>
      <xdr:row>262</xdr:row>
      <xdr:rowOff>19050</xdr:rowOff>
    </xdr:to>
    <xdr:sp macro="" textlink="">
      <xdr:nvSpPr>
        <xdr:cNvPr id="266" name="Text Box 263"/>
        <xdr:cNvSpPr txBox="1">
          <a:spLocks noChangeArrowheads="1"/>
        </xdr:cNvSpPr>
      </xdr:nvSpPr>
      <xdr:spPr bwMode="auto">
        <a:xfrm>
          <a:off x="2705100" y="35509200"/>
          <a:ext cx="1809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oneCellAnchor>
    <xdr:from>
      <xdr:col>4</xdr:col>
      <xdr:colOff>266700</xdr:colOff>
      <xdr:row>266</xdr:row>
      <xdr:rowOff>0</xdr:rowOff>
    </xdr:from>
    <xdr:ext cx="123825" cy="180975"/>
    <xdr:sp macro="" textlink="">
      <xdr:nvSpPr>
        <xdr:cNvPr id="267" name="Text Box 264"/>
        <xdr:cNvSpPr txBox="1">
          <a:spLocks noChangeArrowheads="1"/>
        </xdr:cNvSpPr>
      </xdr:nvSpPr>
      <xdr:spPr bwMode="auto">
        <a:xfrm>
          <a:off x="2705100" y="363188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6</xdr:col>
      <xdr:colOff>0</xdr:colOff>
      <xdr:row>263</xdr:row>
      <xdr:rowOff>0</xdr:rowOff>
    </xdr:from>
    <xdr:to>
      <xdr:col>7</xdr:col>
      <xdr:colOff>600075</xdr:colOff>
      <xdr:row>263</xdr:row>
      <xdr:rowOff>0</xdr:rowOff>
    </xdr:to>
    <xdr:sp macro="" textlink="">
      <xdr:nvSpPr>
        <xdr:cNvPr id="268" name="Line 265"/>
        <xdr:cNvSpPr>
          <a:spLocks noChangeShapeType="1"/>
        </xdr:cNvSpPr>
      </xdr:nvSpPr>
      <xdr:spPr bwMode="auto">
        <a:xfrm>
          <a:off x="3657600" y="3583305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263</xdr:row>
      <xdr:rowOff>0</xdr:rowOff>
    </xdr:from>
    <xdr:to>
      <xdr:col>8</xdr:col>
      <xdr:colOff>0</xdr:colOff>
      <xdr:row>268</xdr:row>
      <xdr:rowOff>0</xdr:rowOff>
    </xdr:to>
    <xdr:sp macro="" textlink="">
      <xdr:nvSpPr>
        <xdr:cNvPr id="269" name="Line 266"/>
        <xdr:cNvSpPr>
          <a:spLocks noChangeShapeType="1"/>
        </xdr:cNvSpPr>
      </xdr:nvSpPr>
      <xdr:spPr bwMode="auto">
        <a:xfrm>
          <a:off x="4876800" y="35833050"/>
          <a:ext cx="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264</xdr:row>
      <xdr:rowOff>57150</xdr:rowOff>
    </xdr:from>
    <xdr:to>
      <xdr:col>7</xdr:col>
      <xdr:colOff>342900</xdr:colOff>
      <xdr:row>264</xdr:row>
      <xdr:rowOff>57150</xdr:rowOff>
    </xdr:to>
    <xdr:sp macro="" textlink="">
      <xdr:nvSpPr>
        <xdr:cNvPr id="270" name="Line 267"/>
        <xdr:cNvSpPr>
          <a:spLocks noChangeShapeType="1"/>
        </xdr:cNvSpPr>
      </xdr:nvSpPr>
      <xdr:spPr bwMode="auto">
        <a:xfrm>
          <a:off x="3657600" y="36052125"/>
          <a:ext cx="952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342900</xdr:colOff>
      <xdr:row>264</xdr:row>
      <xdr:rowOff>57150</xdr:rowOff>
    </xdr:from>
    <xdr:to>
      <xdr:col>7</xdr:col>
      <xdr:colOff>342900</xdr:colOff>
      <xdr:row>268</xdr:row>
      <xdr:rowOff>9525</xdr:rowOff>
    </xdr:to>
    <xdr:sp macro="" textlink="">
      <xdr:nvSpPr>
        <xdr:cNvPr id="271" name="Line 268"/>
        <xdr:cNvSpPr>
          <a:spLocks noChangeShapeType="1"/>
        </xdr:cNvSpPr>
      </xdr:nvSpPr>
      <xdr:spPr bwMode="auto">
        <a:xfrm flipH="1">
          <a:off x="4610100" y="36052125"/>
          <a:ext cx="0" cy="600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247650</xdr:colOff>
      <xdr:row>268</xdr:row>
      <xdr:rowOff>9525</xdr:rowOff>
    </xdr:from>
    <xdr:to>
      <xdr:col>7</xdr:col>
      <xdr:colOff>419100</xdr:colOff>
      <xdr:row>268</xdr:row>
      <xdr:rowOff>9525</xdr:rowOff>
    </xdr:to>
    <xdr:sp macro="" textlink="">
      <xdr:nvSpPr>
        <xdr:cNvPr id="272" name="Line 269"/>
        <xdr:cNvSpPr>
          <a:spLocks noChangeShapeType="1"/>
        </xdr:cNvSpPr>
      </xdr:nvSpPr>
      <xdr:spPr bwMode="auto">
        <a:xfrm>
          <a:off x="4514850" y="366522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419100</xdr:colOff>
      <xdr:row>267</xdr:row>
      <xdr:rowOff>104775</xdr:rowOff>
    </xdr:from>
    <xdr:to>
      <xdr:col>7</xdr:col>
      <xdr:colOff>419100</xdr:colOff>
      <xdr:row>268</xdr:row>
      <xdr:rowOff>9525</xdr:rowOff>
    </xdr:to>
    <xdr:sp macro="" textlink="">
      <xdr:nvSpPr>
        <xdr:cNvPr id="273" name="Line 270"/>
        <xdr:cNvSpPr>
          <a:spLocks noChangeShapeType="1"/>
        </xdr:cNvSpPr>
      </xdr:nvSpPr>
      <xdr:spPr bwMode="auto">
        <a:xfrm flipV="1">
          <a:off x="4686300" y="36585525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419100</xdr:colOff>
      <xdr:row>267</xdr:row>
      <xdr:rowOff>114300</xdr:rowOff>
    </xdr:from>
    <xdr:to>
      <xdr:col>7</xdr:col>
      <xdr:colOff>504825</xdr:colOff>
      <xdr:row>268</xdr:row>
      <xdr:rowOff>57150</xdr:rowOff>
    </xdr:to>
    <xdr:sp macro="" textlink="">
      <xdr:nvSpPr>
        <xdr:cNvPr id="274" name="Line 271"/>
        <xdr:cNvSpPr>
          <a:spLocks noChangeShapeType="1"/>
        </xdr:cNvSpPr>
      </xdr:nvSpPr>
      <xdr:spPr bwMode="auto">
        <a:xfrm>
          <a:off x="4686300" y="36595050"/>
          <a:ext cx="85725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504825</xdr:colOff>
      <xdr:row>268</xdr:row>
      <xdr:rowOff>0</xdr:rowOff>
    </xdr:from>
    <xdr:to>
      <xdr:col>7</xdr:col>
      <xdr:colOff>504825</xdr:colOff>
      <xdr:row>268</xdr:row>
      <xdr:rowOff>66675</xdr:rowOff>
    </xdr:to>
    <xdr:sp macro="" textlink="">
      <xdr:nvSpPr>
        <xdr:cNvPr id="275" name="Line 272"/>
        <xdr:cNvSpPr>
          <a:spLocks noChangeShapeType="1"/>
        </xdr:cNvSpPr>
      </xdr:nvSpPr>
      <xdr:spPr bwMode="auto">
        <a:xfrm flipV="1">
          <a:off x="4772025" y="36642675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504825</xdr:colOff>
      <xdr:row>268</xdr:row>
      <xdr:rowOff>0</xdr:rowOff>
    </xdr:from>
    <xdr:to>
      <xdr:col>8</xdr:col>
      <xdr:colOff>142875</xdr:colOff>
      <xdr:row>268</xdr:row>
      <xdr:rowOff>0</xdr:rowOff>
    </xdr:to>
    <xdr:sp macro="" textlink="">
      <xdr:nvSpPr>
        <xdr:cNvPr id="276" name="Line 273"/>
        <xdr:cNvSpPr>
          <a:spLocks noChangeShapeType="1"/>
        </xdr:cNvSpPr>
      </xdr:nvSpPr>
      <xdr:spPr bwMode="auto">
        <a:xfrm>
          <a:off x="4772025" y="36642675"/>
          <a:ext cx="247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600075</xdr:colOff>
      <xdr:row>263</xdr:row>
      <xdr:rowOff>0</xdr:rowOff>
    </xdr:from>
    <xdr:to>
      <xdr:col>5</xdr:col>
      <xdr:colOff>600075</xdr:colOff>
      <xdr:row>264</xdr:row>
      <xdr:rowOff>66675</xdr:rowOff>
    </xdr:to>
    <xdr:sp macro="" textlink="">
      <xdr:nvSpPr>
        <xdr:cNvPr id="277" name="Line 274"/>
        <xdr:cNvSpPr>
          <a:spLocks noChangeShapeType="1"/>
        </xdr:cNvSpPr>
      </xdr:nvSpPr>
      <xdr:spPr bwMode="auto">
        <a:xfrm>
          <a:off x="3648075" y="35833050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419100</xdr:colOff>
      <xdr:row>261</xdr:row>
      <xdr:rowOff>76200</xdr:rowOff>
    </xdr:from>
    <xdr:to>
      <xdr:col>6</xdr:col>
      <xdr:colOff>419100</xdr:colOff>
      <xdr:row>263</xdr:row>
      <xdr:rowOff>114300</xdr:rowOff>
    </xdr:to>
    <xdr:sp macro="" textlink="">
      <xdr:nvSpPr>
        <xdr:cNvPr id="278" name="Line 275"/>
        <xdr:cNvSpPr>
          <a:spLocks noChangeShapeType="1"/>
        </xdr:cNvSpPr>
      </xdr:nvSpPr>
      <xdr:spPr bwMode="auto">
        <a:xfrm>
          <a:off x="4076700" y="35585400"/>
          <a:ext cx="0" cy="361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419100</xdr:colOff>
      <xdr:row>261</xdr:row>
      <xdr:rowOff>85725</xdr:rowOff>
    </xdr:from>
    <xdr:to>
      <xdr:col>6</xdr:col>
      <xdr:colOff>600075</xdr:colOff>
      <xdr:row>261</xdr:row>
      <xdr:rowOff>85725</xdr:rowOff>
    </xdr:to>
    <xdr:sp macro="" textlink="">
      <xdr:nvSpPr>
        <xdr:cNvPr id="279" name="Line 276"/>
        <xdr:cNvSpPr>
          <a:spLocks noChangeShapeType="1"/>
        </xdr:cNvSpPr>
      </xdr:nvSpPr>
      <xdr:spPr bwMode="auto">
        <a:xfrm>
          <a:off x="4076700" y="3559492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266</xdr:row>
      <xdr:rowOff>95250</xdr:rowOff>
    </xdr:from>
    <xdr:to>
      <xdr:col>7</xdr:col>
      <xdr:colOff>342900</xdr:colOff>
      <xdr:row>266</xdr:row>
      <xdr:rowOff>95250</xdr:rowOff>
    </xdr:to>
    <xdr:sp macro="" textlink="">
      <xdr:nvSpPr>
        <xdr:cNvPr id="280" name="Line 277"/>
        <xdr:cNvSpPr>
          <a:spLocks noChangeShapeType="1"/>
        </xdr:cNvSpPr>
      </xdr:nvSpPr>
      <xdr:spPr bwMode="auto">
        <a:xfrm>
          <a:off x="4219575" y="44453175"/>
          <a:ext cx="390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266700</xdr:colOff>
      <xdr:row>263</xdr:row>
      <xdr:rowOff>0</xdr:rowOff>
    </xdr:from>
    <xdr:to>
      <xdr:col>8</xdr:col>
      <xdr:colOff>266700</xdr:colOff>
      <xdr:row>268</xdr:row>
      <xdr:rowOff>0</xdr:rowOff>
    </xdr:to>
    <xdr:sp macro="" textlink="">
      <xdr:nvSpPr>
        <xdr:cNvPr id="281" name="Line 278"/>
        <xdr:cNvSpPr>
          <a:spLocks noChangeShapeType="1"/>
        </xdr:cNvSpPr>
      </xdr:nvSpPr>
      <xdr:spPr bwMode="auto">
        <a:xfrm flipH="1">
          <a:off x="5143500" y="35833050"/>
          <a:ext cx="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9525</xdr:colOff>
      <xdr:row>263</xdr:row>
      <xdr:rowOff>0</xdr:rowOff>
    </xdr:from>
    <xdr:to>
      <xdr:col>8</xdr:col>
      <xdr:colOff>266700</xdr:colOff>
      <xdr:row>263</xdr:row>
      <xdr:rowOff>0</xdr:rowOff>
    </xdr:to>
    <xdr:sp macro="" textlink="">
      <xdr:nvSpPr>
        <xdr:cNvPr id="282" name="Line 279"/>
        <xdr:cNvSpPr>
          <a:spLocks noChangeShapeType="1"/>
        </xdr:cNvSpPr>
      </xdr:nvSpPr>
      <xdr:spPr bwMode="auto">
        <a:xfrm flipH="1">
          <a:off x="4886325" y="3583305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0</xdr:colOff>
      <xdr:row>268</xdr:row>
      <xdr:rowOff>0</xdr:rowOff>
    </xdr:from>
    <xdr:to>
      <xdr:col>8</xdr:col>
      <xdr:colOff>276225</xdr:colOff>
      <xdr:row>268</xdr:row>
      <xdr:rowOff>0</xdr:rowOff>
    </xdr:to>
    <xdr:sp macro="" textlink="">
      <xdr:nvSpPr>
        <xdr:cNvPr id="283" name="Line 280"/>
        <xdr:cNvSpPr>
          <a:spLocks noChangeShapeType="1"/>
        </xdr:cNvSpPr>
      </xdr:nvSpPr>
      <xdr:spPr bwMode="auto">
        <a:xfrm flipH="1">
          <a:off x="4876800" y="3664267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9525</xdr:colOff>
      <xdr:row>264</xdr:row>
      <xdr:rowOff>76200</xdr:rowOff>
    </xdr:from>
    <xdr:to>
      <xdr:col>8</xdr:col>
      <xdr:colOff>276225</xdr:colOff>
      <xdr:row>264</xdr:row>
      <xdr:rowOff>76200</xdr:rowOff>
    </xdr:to>
    <xdr:sp macro="" textlink="">
      <xdr:nvSpPr>
        <xdr:cNvPr id="284" name="Line 281"/>
        <xdr:cNvSpPr>
          <a:spLocks noChangeShapeType="1"/>
        </xdr:cNvSpPr>
      </xdr:nvSpPr>
      <xdr:spPr bwMode="auto">
        <a:xfrm flipH="1">
          <a:off x="4886325" y="3607117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0</xdr:colOff>
      <xdr:row>266</xdr:row>
      <xdr:rowOff>66675</xdr:rowOff>
    </xdr:from>
    <xdr:to>
      <xdr:col>8</xdr:col>
      <xdr:colOff>266700</xdr:colOff>
      <xdr:row>266</xdr:row>
      <xdr:rowOff>66675</xdr:rowOff>
    </xdr:to>
    <xdr:sp macro="" textlink="">
      <xdr:nvSpPr>
        <xdr:cNvPr id="285" name="Line 282"/>
        <xdr:cNvSpPr>
          <a:spLocks noChangeShapeType="1"/>
        </xdr:cNvSpPr>
      </xdr:nvSpPr>
      <xdr:spPr bwMode="auto">
        <a:xfrm flipH="1">
          <a:off x="4876800" y="3638550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6</xdr:col>
      <xdr:colOff>0</xdr:colOff>
      <xdr:row>269</xdr:row>
      <xdr:rowOff>95250</xdr:rowOff>
    </xdr:from>
    <xdr:to>
      <xdr:col>6</xdr:col>
      <xdr:colOff>0</xdr:colOff>
      <xdr:row>270</xdr:row>
      <xdr:rowOff>76200</xdr:rowOff>
    </xdr:to>
    <xdr:sp macro="" textlink="">
      <xdr:nvSpPr>
        <xdr:cNvPr id="286" name="Line 283"/>
        <xdr:cNvSpPr>
          <a:spLocks noChangeShapeType="1"/>
        </xdr:cNvSpPr>
      </xdr:nvSpPr>
      <xdr:spPr bwMode="auto">
        <a:xfrm flipH="1">
          <a:off x="3657600" y="3689985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333375</xdr:colOff>
      <xdr:row>269</xdr:row>
      <xdr:rowOff>95250</xdr:rowOff>
    </xdr:from>
    <xdr:to>
      <xdr:col>7</xdr:col>
      <xdr:colOff>333375</xdr:colOff>
      <xdr:row>270</xdr:row>
      <xdr:rowOff>47625</xdr:rowOff>
    </xdr:to>
    <xdr:sp macro="" textlink="">
      <xdr:nvSpPr>
        <xdr:cNvPr id="287" name="Line 284"/>
        <xdr:cNvSpPr>
          <a:spLocks noChangeShapeType="1"/>
        </xdr:cNvSpPr>
      </xdr:nvSpPr>
      <xdr:spPr bwMode="auto">
        <a:xfrm>
          <a:off x="4600575" y="368998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269</xdr:row>
      <xdr:rowOff>104775</xdr:rowOff>
    </xdr:from>
    <xdr:to>
      <xdr:col>8</xdr:col>
      <xdr:colOff>0</xdr:colOff>
      <xdr:row>270</xdr:row>
      <xdr:rowOff>38100</xdr:rowOff>
    </xdr:to>
    <xdr:sp macro="" textlink="">
      <xdr:nvSpPr>
        <xdr:cNvPr id="288" name="Line 285"/>
        <xdr:cNvSpPr>
          <a:spLocks noChangeShapeType="1"/>
        </xdr:cNvSpPr>
      </xdr:nvSpPr>
      <xdr:spPr bwMode="auto">
        <a:xfrm>
          <a:off x="4876800" y="369093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270</xdr:row>
      <xdr:rowOff>0</xdr:rowOff>
    </xdr:from>
    <xdr:to>
      <xdr:col>7</xdr:col>
      <xdr:colOff>333375</xdr:colOff>
      <xdr:row>270</xdr:row>
      <xdr:rowOff>0</xdr:rowOff>
    </xdr:to>
    <xdr:sp macro="" textlink="">
      <xdr:nvSpPr>
        <xdr:cNvPr id="289" name="Line 286"/>
        <xdr:cNvSpPr>
          <a:spLocks noChangeShapeType="1"/>
        </xdr:cNvSpPr>
      </xdr:nvSpPr>
      <xdr:spPr bwMode="auto">
        <a:xfrm>
          <a:off x="3657600" y="36966525"/>
          <a:ext cx="942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7</xdr:col>
      <xdr:colOff>333375</xdr:colOff>
      <xdr:row>270</xdr:row>
      <xdr:rowOff>0</xdr:rowOff>
    </xdr:from>
    <xdr:to>
      <xdr:col>8</xdr:col>
      <xdr:colOff>0</xdr:colOff>
      <xdr:row>270</xdr:row>
      <xdr:rowOff>0</xdr:rowOff>
    </xdr:to>
    <xdr:sp macro="" textlink="">
      <xdr:nvSpPr>
        <xdr:cNvPr id="290" name="Line 287"/>
        <xdr:cNvSpPr>
          <a:spLocks noChangeShapeType="1"/>
        </xdr:cNvSpPr>
      </xdr:nvSpPr>
      <xdr:spPr bwMode="auto">
        <a:xfrm>
          <a:off x="4600575" y="369665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542925</xdr:colOff>
      <xdr:row>262</xdr:row>
      <xdr:rowOff>152400</xdr:rowOff>
    </xdr:from>
    <xdr:to>
      <xdr:col>5</xdr:col>
      <xdr:colOff>542925</xdr:colOff>
      <xdr:row>264</xdr:row>
      <xdr:rowOff>76200</xdr:rowOff>
    </xdr:to>
    <xdr:sp macro="" textlink="">
      <xdr:nvSpPr>
        <xdr:cNvPr id="291" name="Line 288"/>
        <xdr:cNvSpPr>
          <a:spLocks noChangeShapeType="1"/>
        </xdr:cNvSpPr>
      </xdr:nvSpPr>
      <xdr:spPr bwMode="auto">
        <a:xfrm>
          <a:off x="3590925" y="3582352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381000</xdr:colOff>
      <xdr:row>263</xdr:row>
      <xdr:rowOff>0</xdr:rowOff>
    </xdr:from>
    <xdr:to>
      <xdr:col>5</xdr:col>
      <xdr:colOff>523875</xdr:colOff>
      <xdr:row>263</xdr:row>
      <xdr:rowOff>0</xdr:rowOff>
    </xdr:to>
    <xdr:sp macro="" textlink="">
      <xdr:nvSpPr>
        <xdr:cNvPr id="292" name="Line 289"/>
        <xdr:cNvSpPr>
          <a:spLocks noChangeShapeType="1"/>
        </xdr:cNvSpPr>
      </xdr:nvSpPr>
      <xdr:spPr bwMode="auto">
        <a:xfrm>
          <a:off x="3429000" y="358330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264</xdr:row>
      <xdr:rowOff>76200</xdr:rowOff>
    </xdr:from>
    <xdr:to>
      <xdr:col>5</xdr:col>
      <xdr:colOff>552450</xdr:colOff>
      <xdr:row>264</xdr:row>
      <xdr:rowOff>76200</xdr:rowOff>
    </xdr:to>
    <xdr:sp macro="" textlink="">
      <xdr:nvSpPr>
        <xdr:cNvPr id="293" name="Line 290"/>
        <xdr:cNvSpPr>
          <a:spLocks noChangeShapeType="1"/>
        </xdr:cNvSpPr>
      </xdr:nvSpPr>
      <xdr:spPr bwMode="auto">
        <a:xfrm>
          <a:off x="3524250" y="36071175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</xdr:col>
      <xdr:colOff>409575</xdr:colOff>
      <xdr:row>263</xdr:row>
      <xdr:rowOff>0</xdr:rowOff>
    </xdr:from>
    <xdr:ext cx="123825" cy="180975"/>
    <xdr:sp macro="" textlink="">
      <xdr:nvSpPr>
        <xdr:cNvPr id="294" name="Text Box 293"/>
        <xdr:cNvSpPr txBox="1">
          <a:spLocks noChangeArrowheads="1"/>
        </xdr:cNvSpPr>
      </xdr:nvSpPr>
      <xdr:spPr bwMode="auto">
        <a:xfrm>
          <a:off x="3457575" y="358330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</xdr:col>
      <xdr:colOff>590550</xdr:colOff>
      <xdr:row>269</xdr:row>
      <xdr:rowOff>0</xdr:rowOff>
    </xdr:from>
    <xdr:ext cx="123825" cy="180975"/>
    <xdr:sp macro="" textlink="">
      <xdr:nvSpPr>
        <xdr:cNvPr id="295" name="Text Box 294"/>
        <xdr:cNvSpPr txBox="1">
          <a:spLocks noChangeArrowheads="1"/>
        </xdr:cNvSpPr>
      </xdr:nvSpPr>
      <xdr:spPr bwMode="auto">
        <a:xfrm>
          <a:off x="4248150" y="368046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600075</xdr:colOff>
      <xdr:row>269</xdr:row>
      <xdr:rowOff>9525</xdr:rowOff>
    </xdr:from>
    <xdr:ext cx="123825" cy="180975"/>
    <xdr:sp macro="" textlink="">
      <xdr:nvSpPr>
        <xdr:cNvPr id="296" name="Text Box 295"/>
        <xdr:cNvSpPr txBox="1">
          <a:spLocks noChangeArrowheads="1"/>
        </xdr:cNvSpPr>
      </xdr:nvSpPr>
      <xdr:spPr bwMode="auto">
        <a:xfrm>
          <a:off x="4867275" y="368141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476250</xdr:colOff>
      <xdr:row>263</xdr:row>
      <xdr:rowOff>0</xdr:rowOff>
    </xdr:from>
    <xdr:to>
      <xdr:col>9</xdr:col>
      <xdr:colOff>28575</xdr:colOff>
      <xdr:row>263</xdr:row>
      <xdr:rowOff>0</xdr:rowOff>
    </xdr:to>
    <xdr:sp macro="" textlink="">
      <xdr:nvSpPr>
        <xdr:cNvPr id="297" name="Line 296"/>
        <xdr:cNvSpPr>
          <a:spLocks noChangeShapeType="1"/>
        </xdr:cNvSpPr>
      </xdr:nvSpPr>
      <xdr:spPr bwMode="auto">
        <a:xfrm>
          <a:off x="5353050" y="3583305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476250</xdr:colOff>
      <xdr:row>268</xdr:row>
      <xdr:rowOff>0</xdr:rowOff>
    </xdr:from>
    <xdr:to>
      <xdr:col>9</xdr:col>
      <xdr:colOff>28575</xdr:colOff>
      <xdr:row>268</xdr:row>
      <xdr:rowOff>0</xdr:rowOff>
    </xdr:to>
    <xdr:sp macro="" textlink="">
      <xdr:nvSpPr>
        <xdr:cNvPr id="298" name="Line 297"/>
        <xdr:cNvSpPr>
          <a:spLocks noChangeShapeType="1"/>
        </xdr:cNvSpPr>
      </xdr:nvSpPr>
      <xdr:spPr bwMode="auto">
        <a:xfrm>
          <a:off x="5353050" y="366426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561975</xdr:colOff>
      <xdr:row>263</xdr:row>
      <xdr:rowOff>0</xdr:rowOff>
    </xdr:from>
    <xdr:to>
      <xdr:col>8</xdr:col>
      <xdr:colOff>561975</xdr:colOff>
      <xdr:row>268</xdr:row>
      <xdr:rowOff>0</xdr:rowOff>
    </xdr:to>
    <xdr:sp macro="" textlink="">
      <xdr:nvSpPr>
        <xdr:cNvPr id="299" name="Line 298"/>
        <xdr:cNvSpPr>
          <a:spLocks noChangeShapeType="1"/>
        </xdr:cNvSpPr>
      </xdr:nvSpPr>
      <xdr:spPr bwMode="auto">
        <a:xfrm>
          <a:off x="5438775" y="35833050"/>
          <a:ext cx="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352425</xdr:colOff>
      <xdr:row>265</xdr:row>
      <xdr:rowOff>142875</xdr:rowOff>
    </xdr:from>
    <xdr:ext cx="123825" cy="180975"/>
    <xdr:sp macro="" textlink="">
      <xdr:nvSpPr>
        <xdr:cNvPr id="300" name="Text Box 299"/>
        <xdr:cNvSpPr txBox="1">
          <a:spLocks noChangeArrowheads="1"/>
        </xdr:cNvSpPr>
      </xdr:nvSpPr>
      <xdr:spPr bwMode="auto">
        <a:xfrm>
          <a:off x="5838825" y="361378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333375</xdr:colOff>
      <xdr:row>268</xdr:row>
      <xdr:rowOff>0</xdr:rowOff>
    </xdr:from>
    <xdr:to>
      <xdr:col>9</xdr:col>
      <xdr:colOff>209550</xdr:colOff>
      <xdr:row>268</xdr:row>
      <xdr:rowOff>0</xdr:rowOff>
    </xdr:to>
    <xdr:sp macro="" textlink="">
      <xdr:nvSpPr>
        <xdr:cNvPr id="301" name="Line 300"/>
        <xdr:cNvSpPr>
          <a:spLocks noChangeShapeType="1"/>
        </xdr:cNvSpPr>
      </xdr:nvSpPr>
      <xdr:spPr bwMode="auto">
        <a:xfrm>
          <a:off x="5210175" y="36642675"/>
          <a:ext cx="485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9</xdr:col>
      <xdr:colOff>285750</xdr:colOff>
      <xdr:row>267</xdr:row>
      <xdr:rowOff>66675</xdr:rowOff>
    </xdr:from>
    <xdr:ext cx="104775" cy="180975"/>
    <xdr:sp macro="" textlink="">
      <xdr:nvSpPr>
        <xdr:cNvPr id="302" name="Text Box 301"/>
        <xdr:cNvSpPr txBox="1">
          <a:spLocks noChangeArrowheads="1"/>
        </xdr:cNvSpPr>
      </xdr:nvSpPr>
      <xdr:spPr bwMode="auto">
        <a:xfrm>
          <a:off x="5772150" y="36547425"/>
          <a:ext cx="1047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oneCellAnchor>
  <xdr:oneCellAnchor>
    <xdr:from>
      <xdr:col>9</xdr:col>
      <xdr:colOff>333375</xdr:colOff>
      <xdr:row>267</xdr:row>
      <xdr:rowOff>104775</xdr:rowOff>
    </xdr:from>
    <xdr:ext cx="85725" cy="171450"/>
    <xdr:sp macro="" textlink="">
      <xdr:nvSpPr>
        <xdr:cNvPr id="303" name="Text Box 302"/>
        <xdr:cNvSpPr txBox="1">
          <a:spLocks noChangeArrowheads="1"/>
        </xdr:cNvSpPr>
      </xdr:nvSpPr>
      <xdr:spPr bwMode="auto">
        <a:xfrm>
          <a:off x="5819775" y="36585525"/>
          <a:ext cx="8572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Arial"/>
              <a:cs typeface="Arial"/>
            </a:rPr>
            <a:t>L</a:t>
          </a:r>
        </a:p>
      </xdr:txBody>
    </xdr:sp>
    <xdr:clientData/>
  </xdr:oneCellAnchor>
  <xdr:twoCellAnchor>
    <xdr:from>
      <xdr:col>4</xdr:col>
      <xdr:colOff>76200</xdr:colOff>
      <xdr:row>270</xdr:row>
      <xdr:rowOff>0</xdr:rowOff>
    </xdr:from>
    <xdr:to>
      <xdr:col>4</xdr:col>
      <xdr:colOff>304800</xdr:colOff>
      <xdr:row>270</xdr:row>
      <xdr:rowOff>0</xdr:rowOff>
    </xdr:to>
    <xdr:sp macro="" textlink="">
      <xdr:nvSpPr>
        <xdr:cNvPr id="304" name="Line 304"/>
        <xdr:cNvSpPr>
          <a:spLocks noChangeShapeType="1"/>
        </xdr:cNvSpPr>
      </xdr:nvSpPr>
      <xdr:spPr bwMode="auto">
        <a:xfrm>
          <a:off x="2514600" y="369665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0</xdr:col>
      <xdr:colOff>142875</xdr:colOff>
      <xdr:row>269</xdr:row>
      <xdr:rowOff>66675</xdr:rowOff>
    </xdr:from>
    <xdr:ext cx="104775" cy="180975"/>
    <xdr:sp macro="" textlink="">
      <xdr:nvSpPr>
        <xdr:cNvPr id="305" name="Text Box 305"/>
        <xdr:cNvSpPr txBox="1">
          <a:spLocks noChangeArrowheads="1"/>
        </xdr:cNvSpPr>
      </xdr:nvSpPr>
      <xdr:spPr bwMode="auto">
        <a:xfrm>
          <a:off x="142875" y="36871275"/>
          <a:ext cx="1047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X</a:t>
          </a:r>
        </a:p>
      </xdr:txBody>
    </xdr:sp>
    <xdr:clientData/>
  </xdr:oneCellAnchor>
  <xdr:oneCellAnchor>
    <xdr:from>
      <xdr:col>4</xdr:col>
      <xdr:colOff>323850</xdr:colOff>
      <xdr:row>269</xdr:row>
      <xdr:rowOff>66675</xdr:rowOff>
    </xdr:from>
    <xdr:ext cx="104775" cy="180975"/>
    <xdr:sp macro="" textlink="">
      <xdr:nvSpPr>
        <xdr:cNvPr id="306" name="Text Box 306"/>
        <xdr:cNvSpPr txBox="1">
          <a:spLocks noChangeArrowheads="1"/>
        </xdr:cNvSpPr>
      </xdr:nvSpPr>
      <xdr:spPr bwMode="auto">
        <a:xfrm>
          <a:off x="2762250" y="36871275"/>
          <a:ext cx="1047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X</a:t>
          </a:r>
        </a:p>
      </xdr:txBody>
    </xdr:sp>
    <xdr:clientData/>
  </xdr:oneCellAnchor>
  <xdr:twoCellAnchor>
    <xdr:from>
      <xdr:col>7</xdr:col>
      <xdr:colOff>381000</xdr:colOff>
      <xdr:row>263</xdr:row>
      <xdr:rowOff>28575</xdr:rowOff>
    </xdr:from>
    <xdr:to>
      <xdr:col>7</xdr:col>
      <xdr:colOff>457200</xdr:colOff>
      <xdr:row>263</xdr:row>
      <xdr:rowOff>104775</xdr:rowOff>
    </xdr:to>
    <xdr:sp macro="" textlink="">
      <xdr:nvSpPr>
        <xdr:cNvPr id="307" name="Oval 436"/>
        <xdr:cNvSpPr>
          <a:spLocks noChangeArrowheads="1"/>
        </xdr:cNvSpPr>
      </xdr:nvSpPr>
      <xdr:spPr bwMode="auto">
        <a:xfrm>
          <a:off x="4648200" y="35861625"/>
          <a:ext cx="76200" cy="762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263</xdr:row>
      <xdr:rowOff>19050</xdr:rowOff>
    </xdr:from>
    <xdr:to>
      <xdr:col>7</xdr:col>
      <xdr:colOff>571500</xdr:colOff>
      <xdr:row>263</xdr:row>
      <xdr:rowOff>95250</xdr:rowOff>
    </xdr:to>
    <xdr:sp macro="" textlink="">
      <xdr:nvSpPr>
        <xdr:cNvPr id="308" name="Oval 437"/>
        <xdr:cNvSpPr>
          <a:spLocks noChangeArrowheads="1"/>
        </xdr:cNvSpPr>
      </xdr:nvSpPr>
      <xdr:spPr bwMode="auto">
        <a:xfrm>
          <a:off x="4762500" y="35852100"/>
          <a:ext cx="76200" cy="762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263</xdr:row>
      <xdr:rowOff>152400</xdr:rowOff>
    </xdr:from>
    <xdr:to>
      <xdr:col>7</xdr:col>
      <xdr:colOff>457200</xdr:colOff>
      <xdr:row>264</xdr:row>
      <xdr:rowOff>66675</xdr:rowOff>
    </xdr:to>
    <xdr:sp macro="" textlink="">
      <xdr:nvSpPr>
        <xdr:cNvPr id="309" name="Oval 438"/>
        <xdr:cNvSpPr>
          <a:spLocks noChangeArrowheads="1"/>
        </xdr:cNvSpPr>
      </xdr:nvSpPr>
      <xdr:spPr bwMode="auto">
        <a:xfrm>
          <a:off x="4648200" y="35985450"/>
          <a:ext cx="76200" cy="762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263</xdr:row>
      <xdr:rowOff>142875</xdr:rowOff>
    </xdr:from>
    <xdr:to>
      <xdr:col>7</xdr:col>
      <xdr:colOff>571500</xdr:colOff>
      <xdr:row>264</xdr:row>
      <xdr:rowOff>57150</xdr:rowOff>
    </xdr:to>
    <xdr:sp macro="" textlink="">
      <xdr:nvSpPr>
        <xdr:cNvPr id="310" name="Oval 439"/>
        <xdr:cNvSpPr>
          <a:spLocks noChangeArrowheads="1"/>
        </xdr:cNvSpPr>
      </xdr:nvSpPr>
      <xdr:spPr bwMode="auto">
        <a:xfrm>
          <a:off x="4762500" y="35975925"/>
          <a:ext cx="76200" cy="762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571500</xdr:colOff>
      <xdr:row>260</xdr:row>
      <xdr:rowOff>85726</xdr:rowOff>
    </xdr:from>
    <xdr:to>
      <xdr:col>2</xdr:col>
      <xdr:colOff>287655</xdr:colOff>
      <xdr:row>262</xdr:row>
      <xdr:rowOff>152400</xdr:rowOff>
    </xdr:to>
    <xdr:sp macro="" textlink="">
      <xdr:nvSpPr>
        <xdr:cNvPr id="311" name="Line 277"/>
        <xdr:cNvSpPr>
          <a:spLocks noChangeShapeType="1"/>
        </xdr:cNvSpPr>
      </xdr:nvSpPr>
      <xdr:spPr bwMode="auto">
        <a:xfrm>
          <a:off x="1181100" y="35433001"/>
          <a:ext cx="325755" cy="39052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438150</xdr:colOff>
      <xdr:row>270</xdr:row>
      <xdr:rowOff>152400</xdr:rowOff>
    </xdr:from>
    <xdr:to>
      <xdr:col>2</xdr:col>
      <xdr:colOff>571500</xdr:colOff>
      <xdr:row>272</xdr:row>
      <xdr:rowOff>152400</xdr:rowOff>
    </xdr:to>
    <xdr:cxnSp macro="">
      <xdr:nvCxnSpPr>
        <xdr:cNvPr id="312" name="Straight Arrow Connector 311"/>
        <xdr:cNvCxnSpPr/>
      </xdr:nvCxnSpPr>
      <xdr:spPr bwMode="auto">
        <a:xfrm rot="16200000" flipV="1">
          <a:off x="1562100" y="37861875"/>
          <a:ext cx="323850" cy="1333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0</xdr:colOff>
      <xdr:row>295</xdr:row>
      <xdr:rowOff>0</xdr:rowOff>
    </xdr:from>
    <xdr:to>
      <xdr:col>3</xdr:col>
      <xdr:colOff>0</xdr:colOff>
      <xdr:row>304</xdr:row>
      <xdr:rowOff>0</xdr:rowOff>
    </xdr:to>
    <xdr:sp macro="" textlink="">
      <xdr:nvSpPr>
        <xdr:cNvPr id="313" name="Line 313"/>
        <xdr:cNvSpPr>
          <a:spLocks noChangeShapeType="1"/>
        </xdr:cNvSpPr>
      </xdr:nvSpPr>
      <xdr:spPr bwMode="auto">
        <a:xfrm>
          <a:off x="1828800" y="41224200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190500</xdr:colOff>
      <xdr:row>295</xdr:row>
      <xdr:rowOff>0</xdr:rowOff>
    </xdr:from>
    <xdr:to>
      <xdr:col>3</xdr:col>
      <xdr:colOff>190500</xdr:colOff>
      <xdr:row>304</xdr:row>
      <xdr:rowOff>0</xdr:rowOff>
    </xdr:to>
    <xdr:sp macro="" textlink="">
      <xdr:nvSpPr>
        <xdr:cNvPr id="314" name="Line 314"/>
        <xdr:cNvSpPr>
          <a:spLocks noChangeShapeType="1"/>
        </xdr:cNvSpPr>
      </xdr:nvSpPr>
      <xdr:spPr bwMode="auto">
        <a:xfrm>
          <a:off x="2019300" y="41224200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304</xdr:row>
      <xdr:rowOff>0</xdr:rowOff>
    </xdr:from>
    <xdr:to>
      <xdr:col>3</xdr:col>
      <xdr:colOff>0</xdr:colOff>
      <xdr:row>304</xdr:row>
      <xdr:rowOff>0</xdr:rowOff>
    </xdr:to>
    <xdr:sp macro="" textlink="">
      <xdr:nvSpPr>
        <xdr:cNvPr id="315" name="Line 315"/>
        <xdr:cNvSpPr>
          <a:spLocks noChangeShapeType="1"/>
        </xdr:cNvSpPr>
      </xdr:nvSpPr>
      <xdr:spPr bwMode="auto">
        <a:xfrm flipH="1">
          <a:off x="1266825" y="42681525"/>
          <a:ext cx="561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57150</xdr:colOff>
      <xdr:row>305</xdr:row>
      <xdr:rowOff>85725</xdr:rowOff>
    </xdr:from>
    <xdr:to>
      <xdr:col>4</xdr:col>
      <xdr:colOff>333375</xdr:colOff>
      <xdr:row>305</xdr:row>
      <xdr:rowOff>85725</xdr:rowOff>
    </xdr:to>
    <xdr:sp macro="" textlink="">
      <xdr:nvSpPr>
        <xdr:cNvPr id="316" name="Line 316"/>
        <xdr:cNvSpPr>
          <a:spLocks noChangeShapeType="1"/>
        </xdr:cNvSpPr>
      </xdr:nvSpPr>
      <xdr:spPr bwMode="auto">
        <a:xfrm>
          <a:off x="1276350" y="42929175"/>
          <a:ext cx="1495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190500</xdr:colOff>
      <xdr:row>304</xdr:row>
      <xdr:rowOff>0</xdr:rowOff>
    </xdr:from>
    <xdr:to>
      <xdr:col>4</xdr:col>
      <xdr:colOff>304800</xdr:colOff>
      <xdr:row>304</xdr:row>
      <xdr:rowOff>0</xdr:rowOff>
    </xdr:to>
    <xdr:sp macro="" textlink="">
      <xdr:nvSpPr>
        <xdr:cNvPr id="317" name="Line 317"/>
        <xdr:cNvSpPr>
          <a:spLocks noChangeShapeType="1"/>
        </xdr:cNvSpPr>
      </xdr:nvSpPr>
      <xdr:spPr bwMode="auto">
        <a:xfrm>
          <a:off x="2019300" y="42681525"/>
          <a:ext cx="723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314325</xdr:colOff>
      <xdr:row>303</xdr:row>
      <xdr:rowOff>104775</xdr:rowOff>
    </xdr:from>
    <xdr:to>
      <xdr:col>4</xdr:col>
      <xdr:colOff>314325</xdr:colOff>
      <xdr:row>304</xdr:row>
      <xdr:rowOff>66675</xdr:rowOff>
    </xdr:to>
    <xdr:sp macro="" textlink="">
      <xdr:nvSpPr>
        <xdr:cNvPr id="318" name="Line 318"/>
        <xdr:cNvSpPr>
          <a:spLocks noChangeShapeType="1"/>
        </xdr:cNvSpPr>
      </xdr:nvSpPr>
      <xdr:spPr bwMode="auto">
        <a:xfrm>
          <a:off x="2752725" y="426243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304</xdr:row>
      <xdr:rowOff>85725</xdr:rowOff>
    </xdr:from>
    <xdr:to>
      <xdr:col>4</xdr:col>
      <xdr:colOff>314325</xdr:colOff>
      <xdr:row>304</xdr:row>
      <xdr:rowOff>85725</xdr:rowOff>
    </xdr:to>
    <xdr:sp macro="" textlink="">
      <xdr:nvSpPr>
        <xdr:cNvPr id="319" name="Line 319"/>
        <xdr:cNvSpPr>
          <a:spLocks noChangeShapeType="1"/>
        </xdr:cNvSpPr>
      </xdr:nvSpPr>
      <xdr:spPr bwMode="auto">
        <a:xfrm flipH="1">
          <a:off x="2657475" y="427672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304</xdr:row>
      <xdr:rowOff>85725</xdr:rowOff>
    </xdr:from>
    <xdr:to>
      <xdr:col>4</xdr:col>
      <xdr:colOff>390525</xdr:colOff>
      <xdr:row>305</xdr:row>
      <xdr:rowOff>0</xdr:rowOff>
    </xdr:to>
    <xdr:sp macro="" textlink="">
      <xdr:nvSpPr>
        <xdr:cNvPr id="320" name="Line 320"/>
        <xdr:cNvSpPr>
          <a:spLocks noChangeShapeType="1"/>
        </xdr:cNvSpPr>
      </xdr:nvSpPr>
      <xdr:spPr bwMode="auto">
        <a:xfrm>
          <a:off x="2657475" y="42767250"/>
          <a:ext cx="17145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314325</xdr:colOff>
      <xdr:row>305</xdr:row>
      <xdr:rowOff>0</xdr:rowOff>
    </xdr:from>
    <xdr:to>
      <xdr:col>4</xdr:col>
      <xdr:colOff>400050</xdr:colOff>
      <xdr:row>305</xdr:row>
      <xdr:rowOff>0</xdr:rowOff>
    </xdr:to>
    <xdr:sp macro="" textlink="">
      <xdr:nvSpPr>
        <xdr:cNvPr id="321" name="Line 321"/>
        <xdr:cNvSpPr>
          <a:spLocks noChangeShapeType="1"/>
        </xdr:cNvSpPr>
      </xdr:nvSpPr>
      <xdr:spPr bwMode="auto">
        <a:xfrm flipH="1">
          <a:off x="2752725" y="4284345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314325</xdr:colOff>
      <xdr:row>304</xdr:row>
      <xdr:rowOff>152400</xdr:rowOff>
    </xdr:from>
    <xdr:to>
      <xdr:col>4</xdr:col>
      <xdr:colOff>314325</xdr:colOff>
      <xdr:row>305</xdr:row>
      <xdr:rowOff>142875</xdr:rowOff>
    </xdr:to>
    <xdr:sp macro="" textlink="">
      <xdr:nvSpPr>
        <xdr:cNvPr id="322" name="Line 322"/>
        <xdr:cNvSpPr>
          <a:spLocks noChangeShapeType="1"/>
        </xdr:cNvSpPr>
      </xdr:nvSpPr>
      <xdr:spPr bwMode="auto">
        <a:xfrm>
          <a:off x="2752725" y="428339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303</xdr:row>
      <xdr:rowOff>104775</xdr:rowOff>
    </xdr:from>
    <xdr:to>
      <xdr:col>2</xdr:col>
      <xdr:colOff>47625</xdr:colOff>
      <xdr:row>304</xdr:row>
      <xdr:rowOff>47625</xdr:rowOff>
    </xdr:to>
    <xdr:sp macro="" textlink="">
      <xdr:nvSpPr>
        <xdr:cNvPr id="323" name="Line 323"/>
        <xdr:cNvSpPr>
          <a:spLocks noChangeShapeType="1"/>
        </xdr:cNvSpPr>
      </xdr:nvSpPr>
      <xdr:spPr bwMode="auto">
        <a:xfrm>
          <a:off x="1266825" y="4262437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590550</xdr:colOff>
      <xdr:row>304</xdr:row>
      <xdr:rowOff>57150</xdr:rowOff>
    </xdr:from>
    <xdr:to>
      <xdr:col>2</xdr:col>
      <xdr:colOff>47625</xdr:colOff>
      <xdr:row>304</xdr:row>
      <xdr:rowOff>57150</xdr:rowOff>
    </xdr:to>
    <xdr:sp macro="" textlink="">
      <xdr:nvSpPr>
        <xdr:cNvPr id="324" name="Line 324"/>
        <xdr:cNvSpPr>
          <a:spLocks noChangeShapeType="1"/>
        </xdr:cNvSpPr>
      </xdr:nvSpPr>
      <xdr:spPr bwMode="auto">
        <a:xfrm flipH="1">
          <a:off x="1200150" y="4273867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590550</xdr:colOff>
      <xdr:row>304</xdr:row>
      <xdr:rowOff>66675</xdr:rowOff>
    </xdr:from>
    <xdr:to>
      <xdr:col>2</xdr:col>
      <xdr:colOff>104775</xdr:colOff>
      <xdr:row>304</xdr:row>
      <xdr:rowOff>123825</xdr:rowOff>
    </xdr:to>
    <xdr:sp macro="" textlink="">
      <xdr:nvSpPr>
        <xdr:cNvPr id="325" name="Line 325"/>
        <xdr:cNvSpPr>
          <a:spLocks noChangeShapeType="1"/>
        </xdr:cNvSpPr>
      </xdr:nvSpPr>
      <xdr:spPr bwMode="auto">
        <a:xfrm>
          <a:off x="1200150" y="42748200"/>
          <a:ext cx="123825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304</xdr:row>
      <xdr:rowOff>142875</xdr:rowOff>
    </xdr:from>
    <xdr:to>
      <xdr:col>2</xdr:col>
      <xdr:colOff>95250</xdr:colOff>
      <xdr:row>304</xdr:row>
      <xdr:rowOff>142875</xdr:rowOff>
    </xdr:to>
    <xdr:sp macro="" textlink="">
      <xdr:nvSpPr>
        <xdr:cNvPr id="326" name="Line 326"/>
        <xdr:cNvSpPr>
          <a:spLocks noChangeShapeType="1"/>
        </xdr:cNvSpPr>
      </xdr:nvSpPr>
      <xdr:spPr bwMode="auto">
        <a:xfrm flipH="1">
          <a:off x="1266825" y="42824400"/>
          <a:ext cx="47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304</xdr:row>
      <xdr:rowOff>152400</xdr:rowOff>
    </xdr:from>
    <xdr:to>
      <xdr:col>2</xdr:col>
      <xdr:colOff>47625</xdr:colOff>
      <xdr:row>305</xdr:row>
      <xdr:rowOff>142875</xdr:rowOff>
    </xdr:to>
    <xdr:sp macro="" textlink="">
      <xdr:nvSpPr>
        <xdr:cNvPr id="327" name="Line 327"/>
        <xdr:cNvSpPr>
          <a:spLocks noChangeShapeType="1"/>
        </xdr:cNvSpPr>
      </xdr:nvSpPr>
      <xdr:spPr bwMode="auto">
        <a:xfrm>
          <a:off x="1266825" y="428339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600075</xdr:colOff>
      <xdr:row>294</xdr:row>
      <xdr:rowOff>152400</xdr:rowOff>
    </xdr:from>
    <xdr:to>
      <xdr:col>3</xdr:col>
      <xdr:colOff>190500</xdr:colOff>
      <xdr:row>294</xdr:row>
      <xdr:rowOff>152400</xdr:rowOff>
    </xdr:to>
    <xdr:sp macro="" textlink="">
      <xdr:nvSpPr>
        <xdr:cNvPr id="328" name="Line 328"/>
        <xdr:cNvSpPr>
          <a:spLocks noChangeShapeType="1"/>
        </xdr:cNvSpPr>
      </xdr:nvSpPr>
      <xdr:spPr bwMode="auto">
        <a:xfrm>
          <a:off x="1819275" y="41214675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247650</xdr:colOff>
      <xdr:row>297</xdr:row>
      <xdr:rowOff>0</xdr:rowOff>
    </xdr:from>
    <xdr:to>
      <xdr:col>3</xdr:col>
      <xdr:colOff>0</xdr:colOff>
      <xdr:row>304</xdr:row>
      <xdr:rowOff>0</xdr:rowOff>
    </xdr:to>
    <xdr:sp macro="" textlink="">
      <xdr:nvSpPr>
        <xdr:cNvPr id="329" name="Line 329"/>
        <xdr:cNvSpPr>
          <a:spLocks noChangeShapeType="1"/>
        </xdr:cNvSpPr>
      </xdr:nvSpPr>
      <xdr:spPr bwMode="auto">
        <a:xfrm flipH="1">
          <a:off x="1466850" y="41548050"/>
          <a:ext cx="36195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266700</xdr:colOff>
      <xdr:row>303</xdr:row>
      <xdr:rowOff>152400</xdr:rowOff>
    </xdr:from>
    <xdr:to>
      <xdr:col>3</xdr:col>
      <xdr:colOff>9525</xdr:colOff>
      <xdr:row>304</xdr:row>
      <xdr:rowOff>0</xdr:rowOff>
    </xdr:to>
    <xdr:sp macro="" textlink="">
      <xdr:nvSpPr>
        <xdr:cNvPr id="330" name="Line 330"/>
        <xdr:cNvSpPr>
          <a:spLocks noChangeShapeType="1"/>
        </xdr:cNvSpPr>
      </xdr:nvSpPr>
      <xdr:spPr bwMode="auto">
        <a:xfrm flipV="1">
          <a:off x="1485900" y="4267200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371475</xdr:colOff>
      <xdr:row>302</xdr:row>
      <xdr:rowOff>57150</xdr:rowOff>
    </xdr:from>
    <xdr:to>
      <xdr:col>3</xdr:col>
      <xdr:colOff>0</xdr:colOff>
      <xdr:row>302</xdr:row>
      <xdr:rowOff>57150</xdr:rowOff>
    </xdr:to>
    <xdr:sp macro="" textlink="">
      <xdr:nvSpPr>
        <xdr:cNvPr id="331" name="Line 331"/>
        <xdr:cNvSpPr>
          <a:spLocks noChangeShapeType="1"/>
        </xdr:cNvSpPr>
      </xdr:nvSpPr>
      <xdr:spPr bwMode="auto">
        <a:xfrm>
          <a:off x="1590675" y="42414825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485775</xdr:colOff>
      <xdr:row>299</xdr:row>
      <xdr:rowOff>76200</xdr:rowOff>
    </xdr:from>
    <xdr:to>
      <xdr:col>2</xdr:col>
      <xdr:colOff>600075</xdr:colOff>
      <xdr:row>299</xdr:row>
      <xdr:rowOff>76200</xdr:rowOff>
    </xdr:to>
    <xdr:sp macro="" textlink="">
      <xdr:nvSpPr>
        <xdr:cNvPr id="332" name="Line 332"/>
        <xdr:cNvSpPr>
          <a:spLocks noChangeShapeType="1"/>
        </xdr:cNvSpPr>
      </xdr:nvSpPr>
      <xdr:spPr bwMode="auto">
        <a:xfrm>
          <a:off x="1704975" y="4194810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542925</xdr:colOff>
      <xdr:row>297</xdr:row>
      <xdr:rowOff>0</xdr:rowOff>
    </xdr:from>
    <xdr:to>
      <xdr:col>3</xdr:col>
      <xdr:colOff>542925</xdr:colOff>
      <xdr:row>304</xdr:row>
      <xdr:rowOff>0</xdr:rowOff>
    </xdr:to>
    <xdr:sp macro="" textlink="">
      <xdr:nvSpPr>
        <xdr:cNvPr id="333" name="Line 333"/>
        <xdr:cNvSpPr>
          <a:spLocks noChangeShapeType="1"/>
        </xdr:cNvSpPr>
      </xdr:nvSpPr>
      <xdr:spPr bwMode="auto">
        <a:xfrm flipH="1">
          <a:off x="2371725" y="41548050"/>
          <a:ext cx="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476250</xdr:colOff>
      <xdr:row>297</xdr:row>
      <xdr:rowOff>0</xdr:rowOff>
    </xdr:from>
    <xdr:to>
      <xdr:col>3</xdr:col>
      <xdr:colOff>590550</xdr:colOff>
      <xdr:row>297</xdr:row>
      <xdr:rowOff>0</xdr:rowOff>
    </xdr:to>
    <xdr:sp macro="" textlink="">
      <xdr:nvSpPr>
        <xdr:cNvPr id="334" name="Line 334"/>
        <xdr:cNvSpPr>
          <a:spLocks noChangeShapeType="1"/>
        </xdr:cNvSpPr>
      </xdr:nvSpPr>
      <xdr:spPr bwMode="auto">
        <a:xfrm>
          <a:off x="2305050" y="415480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361950</xdr:colOff>
      <xdr:row>300</xdr:row>
      <xdr:rowOff>9525</xdr:rowOff>
    </xdr:from>
    <xdr:ext cx="123825" cy="180975"/>
    <xdr:sp macro="" textlink="">
      <xdr:nvSpPr>
        <xdr:cNvPr id="335" name="Text Box 335"/>
        <xdr:cNvSpPr txBox="1">
          <a:spLocks noChangeArrowheads="1"/>
        </xdr:cNvSpPr>
      </xdr:nvSpPr>
      <xdr:spPr bwMode="auto">
        <a:xfrm>
          <a:off x="2800350" y="420433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6</xdr:col>
      <xdr:colOff>600075</xdr:colOff>
      <xdr:row>295</xdr:row>
      <xdr:rowOff>0</xdr:rowOff>
    </xdr:from>
    <xdr:to>
      <xdr:col>6</xdr:col>
      <xdr:colOff>600075</xdr:colOff>
      <xdr:row>304</xdr:row>
      <xdr:rowOff>0</xdr:rowOff>
    </xdr:to>
    <xdr:sp macro="" textlink="">
      <xdr:nvSpPr>
        <xdr:cNvPr id="336" name="Line 336"/>
        <xdr:cNvSpPr>
          <a:spLocks noChangeShapeType="1"/>
        </xdr:cNvSpPr>
      </xdr:nvSpPr>
      <xdr:spPr bwMode="auto">
        <a:xfrm>
          <a:off x="4257675" y="41224200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590550</xdr:colOff>
      <xdr:row>304</xdr:row>
      <xdr:rowOff>0</xdr:rowOff>
    </xdr:from>
    <xdr:to>
      <xdr:col>8</xdr:col>
      <xdr:colOff>9525</xdr:colOff>
      <xdr:row>304</xdr:row>
      <xdr:rowOff>0</xdr:rowOff>
    </xdr:to>
    <xdr:sp macro="" textlink="">
      <xdr:nvSpPr>
        <xdr:cNvPr id="337" name="Line 337"/>
        <xdr:cNvSpPr>
          <a:spLocks noChangeShapeType="1"/>
        </xdr:cNvSpPr>
      </xdr:nvSpPr>
      <xdr:spPr bwMode="auto">
        <a:xfrm flipV="1">
          <a:off x="4248150" y="42681525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295</xdr:row>
      <xdr:rowOff>0</xdr:rowOff>
    </xdr:from>
    <xdr:to>
      <xdr:col>8</xdr:col>
      <xdr:colOff>0</xdr:colOff>
      <xdr:row>295</xdr:row>
      <xdr:rowOff>0</xdr:rowOff>
    </xdr:to>
    <xdr:sp macro="" textlink="">
      <xdr:nvSpPr>
        <xdr:cNvPr id="338" name="Line 338"/>
        <xdr:cNvSpPr>
          <a:spLocks noChangeShapeType="1"/>
        </xdr:cNvSpPr>
      </xdr:nvSpPr>
      <xdr:spPr bwMode="auto">
        <a:xfrm>
          <a:off x="4257675" y="4122420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295</xdr:row>
      <xdr:rowOff>0</xdr:rowOff>
    </xdr:from>
    <xdr:to>
      <xdr:col>7</xdr:col>
      <xdr:colOff>600075</xdr:colOff>
      <xdr:row>304</xdr:row>
      <xdr:rowOff>9525</xdr:rowOff>
    </xdr:to>
    <xdr:sp macro="" textlink="">
      <xdr:nvSpPr>
        <xdr:cNvPr id="339" name="Line 339"/>
        <xdr:cNvSpPr>
          <a:spLocks noChangeShapeType="1"/>
        </xdr:cNvSpPr>
      </xdr:nvSpPr>
      <xdr:spPr bwMode="auto">
        <a:xfrm>
          <a:off x="4867275" y="41224200"/>
          <a:ext cx="0" cy="1466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295</xdr:row>
      <xdr:rowOff>0</xdr:rowOff>
    </xdr:from>
    <xdr:to>
      <xdr:col>6</xdr:col>
      <xdr:colOff>600075</xdr:colOff>
      <xdr:row>295</xdr:row>
      <xdr:rowOff>66675</xdr:rowOff>
    </xdr:to>
    <xdr:sp macro="" textlink="">
      <xdr:nvSpPr>
        <xdr:cNvPr id="340" name="Line 340"/>
        <xdr:cNvSpPr>
          <a:spLocks noChangeShapeType="1"/>
        </xdr:cNvSpPr>
      </xdr:nvSpPr>
      <xdr:spPr bwMode="auto">
        <a:xfrm flipH="1">
          <a:off x="4219575" y="412242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295</xdr:row>
      <xdr:rowOff>85725</xdr:rowOff>
    </xdr:from>
    <xdr:to>
      <xdr:col>6</xdr:col>
      <xdr:colOff>600075</xdr:colOff>
      <xdr:row>295</xdr:row>
      <xdr:rowOff>152400</xdr:rowOff>
    </xdr:to>
    <xdr:sp macro="" textlink="">
      <xdr:nvSpPr>
        <xdr:cNvPr id="341" name="Line 341"/>
        <xdr:cNvSpPr>
          <a:spLocks noChangeShapeType="1"/>
        </xdr:cNvSpPr>
      </xdr:nvSpPr>
      <xdr:spPr bwMode="auto">
        <a:xfrm flipH="1">
          <a:off x="4229100" y="413099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296</xdr:row>
      <xdr:rowOff>0</xdr:rowOff>
    </xdr:from>
    <xdr:to>
      <xdr:col>6</xdr:col>
      <xdr:colOff>600075</xdr:colOff>
      <xdr:row>296</xdr:row>
      <xdr:rowOff>66675</xdr:rowOff>
    </xdr:to>
    <xdr:sp macro="" textlink="">
      <xdr:nvSpPr>
        <xdr:cNvPr id="342" name="Line 342"/>
        <xdr:cNvSpPr>
          <a:spLocks noChangeShapeType="1"/>
        </xdr:cNvSpPr>
      </xdr:nvSpPr>
      <xdr:spPr bwMode="auto">
        <a:xfrm flipH="1">
          <a:off x="4219575" y="413861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296</xdr:row>
      <xdr:rowOff>85725</xdr:rowOff>
    </xdr:from>
    <xdr:to>
      <xdr:col>6</xdr:col>
      <xdr:colOff>600075</xdr:colOff>
      <xdr:row>296</xdr:row>
      <xdr:rowOff>152400</xdr:rowOff>
    </xdr:to>
    <xdr:sp macro="" textlink="">
      <xdr:nvSpPr>
        <xdr:cNvPr id="343" name="Line 343"/>
        <xdr:cNvSpPr>
          <a:spLocks noChangeShapeType="1"/>
        </xdr:cNvSpPr>
      </xdr:nvSpPr>
      <xdr:spPr bwMode="auto">
        <a:xfrm flipH="1">
          <a:off x="4229100" y="414718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297</xdr:row>
      <xdr:rowOff>0</xdr:rowOff>
    </xdr:from>
    <xdr:to>
      <xdr:col>6</xdr:col>
      <xdr:colOff>600075</xdr:colOff>
      <xdr:row>297</xdr:row>
      <xdr:rowOff>66675</xdr:rowOff>
    </xdr:to>
    <xdr:sp macro="" textlink="">
      <xdr:nvSpPr>
        <xdr:cNvPr id="344" name="Line 344"/>
        <xdr:cNvSpPr>
          <a:spLocks noChangeShapeType="1"/>
        </xdr:cNvSpPr>
      </xdr:nvSpPr>
      <xdr:spPr bwMode="auto">
        <a:xfrm flipH="1">
          <a:off x="4219575" y="415480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297</xdr:row>
      <xdr:rowOff>85725</xdr:rowOff>
    </xdr:from>
    <xdr:to>
      <xdr:col>6</xdr:col>
      <xdr:colOff>600075</xdr:colOff>
      <xdr:row>297</xdr:row>
      <xdr:rowOff>152400</xdr:rowOff>
    </xdr:to>
    <xdr:sp macro="" textlink="">
      <xdr:nvSpPr>
        <xdr:cNvPr id="345" name="Line 345"/>
        <xdr:cNvSpPr>
          <a:spLocks noChangeShapeType="1"/>
        </xdr:cNvSpPr>
      </xdr:nvSpPr>
      <xdr:spPr bwMode="auto">
        <a:xfrm flipH="1">
          <a:off x="4229100" y="416337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298</xdr:row>
      <xdr:rowOff>0</xdr:rowOff>
    </xdr:from>
    <xdr:to>
      <xdr:col>6</xdr:col>
      <xdr:colOff>600075</xdr:colOff>
      <xdr:row>298</xdr:row>
      <xdr:rowOff>66675</xdr:rowOff>
    </xdr:to>
    <xdr:sp macro="" textlink="">
      <xdr:nvSpPr>
        <xdr:cNvPr id="346" name="Line 346"/>
        <xdr:cNvSpPr>
          <a:spLocks noChangeShapeType="1"/>
        </xdr:cNvSpPr>
      </xdr:nvSpPr>
      <xdr:spPr bwMode="auto">
        <a:xfrm flipH="1">
          <a:off x="4219575" y="417099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298</xdr:row>
      <xdr:rowOff>85725</xdr:rowOff>
    </xdr:from>
    <xdr:to>
      <xdr:col>6</xdr:col>
      <xdr:colOff>600075</xdr:colOff>
      <xdr:row>298</xdr:row>
      <xdr:rowOff>152400</xdr:rowOff>
    </xdr:to>
    <xdr:sp macro="" textlink="">
      <xdr:nvSpPr>
        <xdr:cNvPr id="347" name="Line 347"/>
        <xdr:cNvSpPr>
          <a:spLocks noChangeShapeType="1"/>
        </xdr:cNvSpPr>
      </xdr:nvSpPr>
      <xdr:spPr bwMode="auto">
        <a:xfrm flipH="1">
          <a:off x="4229100" y="417957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299</xdr:row>
      <xdr:rowOff>0</xdr:rowOff>
    </xdr:from>
    <xdr:to>
      <xdr:col>6</xdr:col>
      <xdr:colOff>600075</xdr:colOff>
      <xdr:row>299</xdr:row>
      <xdr:rowOff>66675</xdr:rowOff>
    </xdr:to>
    <xdr:sp macro="" textlink="">
      <xdr:nvSpPr>
        <xdr:cNvPr id="348" name="Line 348"/>
        <xdr:cNvSpPr>
          <a:spLocks noChangeShapeType="1"/>
        </xdr:cNvSpPr>
      </xdr:nvSpPr>
      <xdr:spPr bwMode="auto">
        <a:xfrm flipH="1">
          <a:off x="4219575" y="418719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299</xdr:row>
      <xdr:rowOff>85725</xdr:rowOff>
    </xdr:from>
    <xdr:to>
      <xdr:col>6</xdr:col>
      <xdr:colOff>600075</xdr:colOff>
      <xdr:row>299</xdr:row>
      <xdr:rowOff>152400</xdr:rowOff>
    </xdr:to>
    <xdr:sp macro="" textlink="">
      <xdr:nvSpPr>
        <xdr:cNvPr id="349" name="Line 349"/>
        <xdr:cNvSpPr>
          <a:spLocks noChangeShapeType="1"/>
        </xdr:cNvSpPr>
      </xdr:nvSpPr>
      <xdr:spPr bwMode="auto">
        <a:xfrm flipH="1">
          <a:off x="4229100" y="419576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300</xdr:row>
      <xdr:rowOff>0</xdr:rowOff>
    </xdr:from>
    <xdr:to>
      <xdr:col>6</xdr:col>
      <xdr:colOff>600075</xdr:colOff>
      <xdr:row>300</xdr:row>
      <xdr:rowOff>66675</xdr:rowOff>
    </xdr:to>
    <xdr:sp macro="" textlink="">
      <xdr:nvSpPr>
        <xdr:cNvPr id="350" name="Line 350"/>
        <xdr:cNvSpPr>
          <a:spLocks noChangeShapeType="1"/>
        </xdr:cNvSpPr>
      </xdr:nvSpPr>
      <xdr:spPr bwMode="auto">
        <a:xfrm flipH="1">
          <a:off x="4219575" y="420338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300</xdr:row>
      <xdr:rowOff>85725</xdr:rowOff>
    </xdr:from>
    <xdr:to>
      <xdr:col>6</xdr:col>
      <xdr:colOff>600075</xdr:colOff>
      <xdr:row>300</xdr:row>
      <xdr:rowOff>152400</xdr:rowOff>
    </xdr:to>
    <xdr:sp macro="" textlink="">
      <xdr:nvSpPr>
        <xdr:cNvPr id="351" name="Line 351"/>
        <xdr:cNvSpPr>
          <a:spLocks noChangeShapeType="1"/>
        </xdr:cNvSpPr>
      </xdr:nvSpPr>
      <xdr:spPr bwMode="auto">
        <a:xfrm flipH="1">
          <a:off x="4229100" y="421195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301</xdr:row>
      <xdr:rowOff>0</xdr:rowOff>
    </xdr:from>
    <xdr:to>
      <xdr:col>6</xdr:col>
      <xdr:colOff>600075</xdr:colOff>
      <xdr:row>301</xdr:row>
      <xdr:rowOff>66675</xdr:rowOff>
    </xdr:to>
    <xdr:sp macro="" textlink="">
      <xdr:nvSpPr>
        <xdr:cNvPr id="352" name="Line 352"/>
        <xdr:cNvSpPr>
          <a:spLocks noChangeShapeType="1"/>
        </xdr:cNvSpPr>
      </xdr:nvSpPr>
      <xdr:spPr bwMode="auto">
        <a:xfrm flipH="1">
          <a:off x="4219575" y="421957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301</xdr:row>
      <xdr:rowOff>85725</xdr:rowOff>
    </xdr:from>
    <xdr:to>
      <xdr:col>6</xdr:col>
      <xdr:colOff>600075</xdr:colOff>
      <xdr:row>301</xdr:row>
      <xdr:rowOff>152400</xdr:rowOff>
    </xdr:to>
    <xdr:sp macro="" textlink="">
      <xdr:nvSpPr>
        <xdr:cNvPr id="353" name="Line 353"/>
        <xdr:cNvSpPr>
          <a:spLocks noChangeShapeType="1"/>
        </xdr:cNvSpPr>
      </xdr:nvSpPr>
      <xdr:spPr bwMode="auto">
        <a:xfrm flipH="1">
          <a:off x="4229100" y="422814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302</xdr:row>
      <xdr:rowOff>0</xdr:rowOff>
    </xdr:from>
    <xdr:to>
      <xdr:col>6</xdr:col>
      <xdr:colOff>600075</xdr:colOff>
      <xdr:row>302</xdr:row>
      <xdr:rowOff>66675</xdr:rowOff>
    </xdr:to>
    <xdr:sp macro="" textlink="">
      <xdr:nvSpPr>
        <xdr:cNvPr id="354" name="Line 354"/>
        <xdr:cNvSpPr>
          <a:spLocks noChangeShapeType="1"/>
        </xdr:cNvSpPr>
      </xdr:nvSpPr>
      <xdr:spPr bwMode="auto">
        <a:xfrm flipH="1">
          <a:off x="4219575" y="423576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302</xdr:row>
      <xdr:rowOff>85725</xdr:rowOff>
    </xdr:from>
    <xdr:to>
      <xdr:col>6</xdr:col>
      <xdr:colOff>600075</xdr:colOff>
      <xdr:row>302</xdr:row>
      <xdr:rowOff>152400</xdr:rowOff>
    </xdr:to>
    <xdr:sp macro="" textlink="">
      <xdr:nvSpPr>
        <xdr:cNvPr id="355" name="Line 355"/>
        <xdr:cNvSpPr>
          <a:spLocks noChangeShapeType="1"/>
        </xdr:cNvSpPr>
      </xdr:nvSpPr>
      <xdr:spPr bwMode="auto">
        <a:xfrm flipH="1">
          <a:off x="4229100" y="424434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303</xdr:row>
      <xdr:rowOff>0</xdr:rowOff>
    </xdr:from>
    <xdr:to>
      <xdr:col>6</xdr:col>
      <xdr:colOff>600075</xdr:colOff>
      <xdr:row>303</xdr:row>
      <xdr:rowOff>66675</xdr:rowOff>
    </xdr:to>
    <xdr:sp macro="" textlink="">
      <xdr:nvSpPr>
        <xdr:cNvPr id="356" name="Line 356"/>
        <xdr:cNvSpPr>
          <a:spLocks noChangeShapeType="1"/>
        </xdr:cNvSpPr>
      </xdr:nvSpPr>
      <xdr:spPr bwMode="auto">
        <a:xfrm flipH="1">
          <a:off x="4219575" y="425196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303</xdr:row>
      <xdr:rowOff>85725</xdr:rowOff>
    </xdr:from>
    <xdr:to>
      <xdr:col>6</xdr:col>
      <xdr:colOff>600075</xdr:colOff>
      <xdr:row>303</xdr:row>
      <xdr:rowOff>152400</xdr:rowOff>
    </xdr:to>
    <xdr:sp macro="" textlink="">
      <xdr:nvSpPr>
        <xdr:cNvPr id="357" name="Line 357"/>
        <xdr:cNvSpPr>
          <a:spLocks noChangeShapeType="1"/>
        </xdr:cNvSpPr>
      </xdr:nvSpPr>
      <xdr:spPr bwMode="auto">
        <a:xfrm flipH="1">
          <a:off x="4229100" y="426053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303</xdr:row>
      <xdr:rowOff>0</xdr:rowOff>
    </xdr:from>
    <xdr:to>
      <xdr:col>6</xdr:col>
      <xdr:colOff>600075</xdr:colOff>
      <xdr:row>303</xdr:row>
      <xdr:rowOff>66675</xdr:rowOff>
    </xdr:to>
    <xdr:sp macro="" textlink="">
      <xdr:nvSpPr>
        <xdr:cNvPr id="358" name="Line 358"/>
        <xdr:cNvSpPr>
          <a:spLocks noChangeShapeType="1"/>
        </xdr:cNvSpPr>
      </xdr:nvSpPr>
      <xdr:spPr bwMode="auto">
        <a:xfrm flipH="1">
          <a:off x="4219575" y="425196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303</xdr:row>
      <xdr:rowOff>85725</xdr:rowOff>
    </xdr:from>
    <xdr:to>
      <xdr:col>6</xdr:col>
      <xdr:colOff>600075</xdr:colOff>
      <xdr:row>303</xdr:row>
      <xdr:rowOff>152400</xdr:rowOff>
    </xdr:to>
    <xdr:sp macro="" textlink="">
      <xdr:nvSpPr>
        <xdr:cNvPr id="359" name="Line 359"/>
        <xdr:cNvSpPr>
          <a:spLocks noChangeShapeType="1"/>
        </xdr:cNvSpPr>
      </xdr:nvSpPr>
      <xdr:spPr bwMode="auto">
        <a:xfrm flipH="1">
          <a:off x="4229100" y="426053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304</xdr:row>
      <xdr:rowOff>0</xdr:rowOff>
    </xdr:from>
    <xdr:to>
      <xdr:col>7</xdr:col>
      <xdr:colOff>47625</xdr:colOff>
      <xdr:row>304</xdr:row>
      <xdr:rowOff>38100</xdr:rowOff>
    </xdr:to>
    <xdr:sp macro="" textlink="">
      <xdr:nvSpPr>
        <xdr:cNvPr id="360" name="Line 360"/>
        <xdr:cNvSpPr>
          <a:spLocks noChangeShapeType="1"/>
        </xdr:cNvSpPr>
      </xdr:nvSpPr>
      <xdr:spPr bwMode="auto">
        <a:xfrm flipH="1">
          <a:off x="4257675" y="42681525"/>
          <a:ext cx="5715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542925</xdr:colOff>
      <xdr:row>304</xdr:row>
      <xdr:rowOff>0</xdr:rowOff>
    </xdr:from>
    <xdr:to>
      <xdr:col>7</xdr:col>
      <xdr:colOff>581025</xdr:colOff>
      <xdr:row>304</xdr:row>
      <xdr:rowOff>47625</xdr:rowOff>
    </xdr:to>
    <xdr:sp macro="" textlink="">
      <xdr:nvSpPr>
        <xdr:cNvPr id="361" name="Line 361"/>
        <xdr:cNvSpPr>
          <a:spLocks noChangeShapeType="1"/>
        </xdr:cNvSpPr>
      </xdr:nvSpPr>
      <xdr:spPr bwMode="auto">
        <a:xfrm flipH="1">
          <a:off x="4810125" y="42681525"/>
          <a:ext cx="381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304</xdr:row>
      <xdr:rowOff>9525</xdr:rowOff>
    </xdr:from>
    <xdr:to>
      <xdr:col>7</xdr:col>
      <xdr:colOff>104775</xdr:colOff>
      <xdr:row>304</xdr:row>
      <xdr:rowOff>38100</xdr:rowOff>
    </xdr:to>
    <xdr:sp macro="" textlink="">
      <xdr:nvSpPr>
        <xdr:cNvPr id="362" name="Line 362"/>
        <xdr:cNvSpPr>
          <a:spLocks noChangeShapeType="1"/>
        </xdr:cNvSpPr>
      </xdr:nvSpPr>
      <xdr:spPr bwMode="auto">
        <a:xfrm flipH="1">
          <a:off x="4305300" y="42691050"/>
          <a:ext cx="6667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123825</xdr:colOff>
      <xdr:row>304</xdr:row>
      <xdr:rowOff>0</xdr:rowOff>
    </xdr:from>
    <xdr:to>
      <xdr:col>7</xdr:col>
      <xdr:colOff>200025</xdr:colOff>
      <xdr:row>304</xdr:row>
      <xdr:rowOff>38100</xdr:rowOff>
    </xdr:to>
    <xdr:sp macro="" textlink="">
      <xdr:nvSpPr>
        <xdr:cNvPr id="363" name="Line 363"/>
        <xdr:cNvSpPr>
          <a:spLocks noChangeShapeType="1"/>
        </xdr:cNvSpPr>
      </xdr:nvSpPr>
      <xdr:spPr bwMode="auto">
        <a:xfrm flipH="1">
          <a:off x="4391025" y="42681525"/>
          <a:ext cx="7620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219075</xdr:colOff>
      <xdr:row>303</xdr:row>
      <xdr:rowOff>152400</xdr:rowOff>
    </xdr:from>
    <xdr:to>
      <xdr:col>7</xdr:col>
      <xdr:colOff>304800</xdr:colOff>
      <xdr:row>304</xdr:row>
      <xdr:rowOff>38100</xdr:rowOff>
    </xdr:to>
    <xdr:sp macro="" textlink="">
      <xdr:nvSpPr>
        <xdr:cNvPr id="364" name="Line 364"/>
        <xdr:cNvSpPr>
          <a:spLocks noChangeShapeType="1"/>
        </xdr:cNvSpPr>
      </xdr:nvSpPr>
      <xdr:spPr bwMode="auto">
        <a:xfrm flipH="1">
          <a:off x="4486275" y="426720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295275</xdr:colOff>
      <xdr:row>304</xdr:row>
      <xdr:rowOff>0</xdr:rowOff>
    </xdr:from>
    <xdr:to>
      <xdr:col>7</xdr:col>
      <xdr:colOff>361950</xdr:colOff>
      <xdr:row>304</xdr:row>
      <xdr:rowOff>38100</xdr:rowOff>
    </xdr:to>
    <xdr:sp macro="" textlink="">
      <xdr:nvSpPr>
        <xdr:cNvPr id="365" name="Line 365"/>
        <xdr:cNvSpPr>
          <a:spLocks noChangeShapeType="1"/>
        </xdr:cNvSpPr>
      </xdr:nvSpPr>
      <xdr:spPr bwMode="auto">
        <a:xfrm flipH="1">
          <a:off x="4562475" y="42681525"/>
          <a:ext cx="66675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361950</xdr:colOff>
      <xdr:row>304</xdr:row>
      <xdr:rowOff>0</xdr:rowOff>
    </xdr:from>
    <xdr:to>
      <xdr:col>7</xdr:col>
      <xdr:colOff>438150</xdr:colOff>
      <xdr:row>304</xdr:row>
      <xdr:rowOff>47625</xdr:rowOff>
    </xdr:to>
    <xdr:sp macro="" textlink="">
      <xdr:nvSpPr>
        <xdr:cNvPr id="366" name="Line 366"/>
        <xdr:cNvSpPr>
          <a:spLocks noChangeShapeType="1"/>
        </xdr:cNvSpPr>
      </xdr:nvSpPr>
      <xdr:spPr bwMode="auto">
        <a:xfrm flipH="1">
          <a:off x="4629150" y="42681525"/>
          <a:ext cx="762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438150</xdr:colOff>
      <xdr:row>304</xdr:row>
      <xdr:rowOff>0</xdr:rowOff>
    </xdr:from>
    <xdr:to>
      <xdr:col>7</xdr:col>
      <xdr:colOff>514350</xdr:colOff>
      <xdr:row>304</xdr:row>
      <xdr:rowOff>57150</xdr:rowOff>
    </xdr:to>
    <xdr:sp macro="" textlink="">
      <xdr:nvSpPr>
        <xdr:cNvPr id="367" name="Line 367"/>
        <xdr:cNvSpPr>
          <a:spLocks noChangeShapeType="1"/>
        </xdr:cNvSpPr>
      </xdr:nvSpPr>
      <xdr:spPr bwMode="auto">
        <a:xfrm flipH="1">
          <a:off x="4705350" y="42681525"/>
          <a:ext cx="7620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190500</xdr:colOff>
      <xdr:row>295</xdr:row>
      <xdr:rowOff>0</xdr:rowOff>
    </xdr:from>
    <xdr:to>
      <xdr:col>6</xdr:col>
      <xdr:colOff>514350</xdr:colOff>
      <xdr:row>295</xdr:row>
      <xdr:rowOff>0</xdr:rowOff>
    </xdr:to>
    <xdr:sp macro="" textlink="">
      <xdr:nvSpPr>
        <xdr:cNvPr id="368" name="Line 368"/>
        <xdr:cNvSpPr>
          <a:spLocks noChangeShapeType="1"/>
        </xdr:cNvSpPr>
      </xdr:nvSpPr>
      <xdr:spPr bwMode="auto">
        <a:xfrm>
          <a:off x="3848100" y="412242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228600</xdr:colOff>
      <xdr:row>304</xdr:row>
      <xdr:rowOff>0</xdr:rowOff>
    </xdr:from>
    <xdr:to>
      <xdr:col>6</xdr:col>
      <xdr:colOff>504825</xdr:colOff>
      <xdr:row>304</xdr:row>
      <xdr:rowOff>0</xdr:rowOff>
    </xdr:to>
    <xdr:sp macro="" textlink="">
      <xdr:nvSpPr>
        <xdr:cNvPr id="369" name="Line 369"/>
        <xdr:cNvSpPr>
          <a:spLocks noChangeShapeType="1"/>
        </xdr:cNvSpPr>
      </xdr:nvSpPr>
      <xdr:spPr bwMode="auto">
        <a:xfrm>
          <a:off x="3886200" y="426815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447675</xdr:colOff>
      <xdr:row>295</xdr:row>
      <xdr:rowOff>0</xdr:rowOff>
    </xdr:from>
    <xdr:to>
      <xdr:col>6</xdr:col>
      <xdr:colOff>447675</xdr:colOff>
      <xdr:row>304</xdr:row>
      <xdr:rowOff>19050</xdr:rowOff>
    </xdr:to>
    <xdr:sp macro="" textlink="">
      <xdr:nvSpPr>
        <xdr:cNvPr id="370" name="Line 370"/>
        <xdr:cNvSpPr>
          <a:spLocks noChangeShapeType="1"/>
        </xdr:cNvSpPr>
      </xdr:nvSpPr>
      <xdr:spPr bwMode="auto">
        <a:xfrm>
          <a:off x="4105275" y="41224200"/>
          <a:ext cx="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7</xdr:col>
      <xdr:colOff>0</xdr:colOff>
      <xdr:row>305</xdr:row>
      <xdr:rowOff>104775</xdr:rowOff>
    </xdr:from>
    <xdr:to>
      <xdr:col>7</xdr:col>
      <xdr:colOff>0</xdr:colOff>
      <xdr:row>307</xdr:row>
      <xdr:rowOff>47625</xdr:rowOff>
    </xdr:to>
    <xdr:sp macro="" textlink="">
      <xdr:nvSpPr>
        <xdr:cNvPr id="371" name="Line 371"/>
        <xdr:cNvSpPr>
          <a:spLocks noChangeShapeType="1"/>
        </xdr:cNvSpPr>
      </xdr:nvSpPr>
      <xdr:spPr bwMode="auto">
        <a:xfrm>
          <a:off x="4267200" y="4294822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305</xdr:row>
      <xdr:rowOff>133350</xdr:rowOff>
    </xdr:from>
    <xdr:to>
      <xdr:col>8</xdr:col>
      <xdr:colOff>0</xdr:colOff>
      <xdr:row>305</xdr:row>
      <xdr:rowOff>133350</xdr:rowOff>
    </xdr:to>
    <xdr:sp macro="" textlink="">
      <xdr:nvSpPr>
        <xdr:cNvPr id="372" name="Line 372"/>
        <xdr:cNvSpPr>
          <a:spLocks noChangeShapeType="1"/>
        </xdr:cNvSpPr>
      </xdr:nvSpPr>
      <xdr:spPr bwMode="auto">
        <a:xfrm>
          <a:off x="4267200" y="4297680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6</xdr:col>
      <xdr:colOff>428625</xdr:colOff>
      <xdr:row>299</xdr:row>
      <xdr:rowOff>0</xdr:rowOff>
    </xdr:from>
    <xdr:ext cx="123825" cy="342900"/>
    <xdr:sp macro="" textlink="">
      <xdr:nvSpPr>
        <xdr:cNvPr id="373" name="Text Box 373"/>
        <xdr:cNvSpPr txBox="1">
          <a:spLocks noChangeArrowheads="1"/>
        </xdr:cNvSpPr>
      </xdr:nvSpPr>
      <xdr:spPr bwMode="auto">
        <a:xfrm>
          <a:off x="4086225" y="41871900"/>
          <a:ext cx="123825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6</xdr:col>
      <xdr:colOff>0</xdr:colOff>
      <xdr:row>299</xdr:row>
      <xdr:rowOff>0</xdr:rowOff>
    </xdr:from>
    <xdr:ext cx="161925" cy="180975"/>
    <xdr:sp macro="" textlink="">
      <xdr:nvSpPr>
        <xdr:cNvPr id="374" name="Text Box 374"/>
        <xdr:cNvSpPr txBox="1">
          <a:spLocks noChangeArrowheads="1"/>
        </xdr:cNvSpPr>
      </xdr:nvSpPr>
      <xdr:spPr bwMode="auto">
        <a:xfrm>
          <a:off x="3657600" y="41871900"/>
          <a:ext cx="1619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7</xdr:col>
      <xdr:colOff>428625</xdr:colOff>
      <xdr:row>307</xdr:row>
      <xdr:rowOff>0</xdr:rowOff>
    </xdr:from>
    <xdr:ext cx="123825" cy="180975"/>
    <xdr:sp macro="" textlink="">
      <xdr:nvSpPr>
        <xdr:cNvPr id="375" name="Text Box 375"/>
        <xdr:cNvSpPr txBox="1">
          <a:spLocks noChangeArrowheads="1"/>
        </xdr:cNvSpPr>
      </xdr:nvSpPr>
      <xdr:spPr bwMode="auto">
        <a:xfrm>
          <a:off x="4695825" y="43167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0</xdr:colOff>
      <xdr:row>305</xdr:row>
      <xdr:rowOff>142875</xdr:rowOff>
    </xdr:from>
    <xdr:ext cx="200025" cy="180975"/>
    <xdr:sp macro="" textlink="">
      <xdr:nvSpPr>
        <xdr:cNvPr id="376" name="Text Box 376"/>
        <xdr:cNvSpPr txBox="1">
          <a:spLocks noChangeArrowheads="1"/>
        </xdr:cNvSpPr>
      </xdr:nvSpPr>
      <xdr:spPr bwMode="auto">
        <a:xfrm>
          <a:off x="4267200" y="42986325"/>
          <a:ext cx="2000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a =</a:t>
          </a:r>
        </a:p>
      </xdr:txBody>
    </xdr:sp>
    <xdr:clientData/>
  </xdr:oneCellAnchor>
  <xdr:twoCellAnchor>
    <xdr:from>
      <xdr:col>6</xdr:col>
      <xdr:colOff>600075</xdr:colOff>
      <xdr:row>295</xdr:row>
      <xdr:rowOff>0</xdr:rowOff>
    </xdr:from>
    <xdr:to>
      <xdr:col>6</xdr:col>
      <xdr:colOff>600075</xdr:colOff>
      <xdr:row>304</xdr:row>
      <xdr:rowOff>0</xdr:rowOff>
    </xdr:to>
    <xdr:sp macro="" textlink="">
      <xdr:nvSpPr>
        <xdr:cNvPr id="377" name="Line 377"/>
        <xdr:cNvSpPr>
          <a:spLocks noChangeShapeType="1"/>
        </xdr:cNvSpPr>
      </xdr:nvSpPr>
      <xdr:spPr bwMode="auto">
        <a:xfrm>
          <a:off x="4257675" y="41224200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590550</xdr:colOff>
      <xdr:row>304</xdr:row>
      <xdr:rowOff>0</xdr:rowOff>
    </xdr:from>
    <xdr:to>
      <xdr:col>8</xdr:col>
      <xdr:colOff>9525</xdr:colOff>
      <xdr:row>304</xdr:row>
      <xdr:rowOff>0</xdr:rowOff>
    </xdr:to>
    <xdr:sp macro="" textlink="">
      <xdr:nvSpPr>
        <xdr:cNvPr id="378" name="Line 378"/>
        <xdr:cNvSpPr>
          <a:spLocks noChangeShapeType="1"/>
        </xdr:cNvSpPr>
      </xdr:nvSpPr>
      <xdr:spPr bwMode="auto">
        <a:xfrm flipV="1">
          <a:off x="4248150" y="42681525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295</xdr:row>
      <xdr:rowOff>0</xdr:rowOff>
    </xdr:from>
    <xdr:to>
      <xdr:col>8</xdr:col>
      <xdr:colOff>0</xdr:colOff>
      <xdr:row>295</xdr:row>
      <xdr:rowOff>0</xdr:rowOff>
    </xdr:to>
    <xdr:sp macro="" textlink="">
      <xdr:nvSpPr>
        <xdr:cNvPr id="379" name="Line 379"/>
        <xdr:cNvSpPr>
          <a:spLocks noChangeShapeType="1"/>
        </xdr:cNvSpPr>
      </xdr:nvSpPr>
      <xdr:spPr bwMode="auto">
        <a:xfrm>
          <a:off x="4257675" y="4122420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295</xdr:row>
      <xdr:rowOff>0</xdr:rowOff>
    </xdr:from>
    <xdr:to>
      <xdr:col>7</xdr:col>
      <xdr:colOff>600075</xdr:colOff>
      <xdr:row>304</xdr:row>
      <xdr:rowOff>9525</xdr:rowOff>
    </xdr:to>
    <xdr:sp macro="" textlink="">
      <xdr:nvSpPr>
        <xdr:cNvPr id="380" name="Line 380"/>
        <xdr:cNvSpPr>
          <a:spLocks noChangeShapeType="1"/>
        </xdr:cNvSpPr>
      </xdr:nvSpPr>
      <xdr:spPr bwMode="auto">
        <a:xfrm>
          <a:off x="4867275" y="41224200"/>
          <a:ext cx="0" cy="1466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295</xdr:row>
      <xdr:rowOff>0</xdr:rowOff>
    </xdr:from>
    <xdr:to>
      <xdr:col>6</xdr:col>
      <xdr:colOff>600075</xdr:colOff>
      <xdr:row>295</xdr:row>
      <xdr:rowOff>66675</xdr:rowOff>
    </xdr:to>
    <xdr:sp macro="" textlink="">
      <xdr:nvSpPr>
        <xdr:cNvPr id="381" name="Line 381"/>
        <xdr:cNvSpPr>
          <a:spLocks noChangeShapeType="1"/>
        </xdr:cNvSpPr>
      </xdr:nvSpPr>
      <xdr:spPr bwMode="auto">
        <a:xfrm flipH="1">
          <a:off x="4219575" y="412242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295</xdr:row>
      <xdr:rowOff>85725</xdr:rowOff>
    </xdr:from>
    <xdr:to>
      <xdr:col>6</xdr:col>
      <xdr:colOff>600075</xdr:colOff>
      <xdr:row>295</xdr:row>
      <xdr:rowOff>152400</xdr:rowOff>
    </xdr:to>
    <xdr:sp macro="" textlink="">
      <xdr:nvSpPr>
        <xdr:cNvPr id="382" name="Line 382"/>
        <xdr:cNvSpPr>
          <a:spLocks noChangeShapeType="1"/>
        </xdr:cNvSpPr>
      </xdr:nvSpPr>
      <xdr:spPr bwMode="auto">
        <a:xfrm flipH="1">
          <a:off x="4229100" y="413099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296</xdr:row>
      <xdr:rowOff>0</xdr:rowOff>
    </xdr:from>
    <xdr:to>
      <xdr:col>6</xdr:col>
      <xdr:colOff>600075</xdr:colOff>
      <xdr:row>296</xdr:row>
      <xdr:rowOff>66675</xdr:rowOff>
    </xdr:to>
    <xdr:sp macro="" textlink="">
      <xdr:nvSpPr>
        <xdr:cNvPr id="383" name="Line 383"/>
        <xdr:cNvSpPr>
          <a:spLocks noChangeShapeType="1"/>
        </xdr:cNvSpPr>
      </xdr:nvSpPr>
      <xdr:spPr bwMode="auto">
        <a:xfrm flipH="1">
          <a:off x="4219575" y="413861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296</xdr:row>
      <xdr:rowOff>85725</xdr:rowOff>
    </xdr:from>
    <xdr:to>
      <xdr:col>6</xdr:col>
      <xdr:colOff>600075</xdr:colOff>
      <xdr:row>296</xdr:row>
      <xdr:rowOff>152400</xdr:rowOff>
    </xdr:to>
    <xdr:sp macro="" textlink="">
      <xdr:nvSpPr>
        <xdr:cNvPr id="384" name="Line 384"/>
        <xdr:cNvSpPr>
          <a:spLocks noChangeShapeType="1"/>
        </xdr:cNvSpPr>
      </xdr:nvSpPr>
      <xdr:spPr bwMode="auto">
        <a:xfrm flipH="1">
          <a:off x="4229100" y="414718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297</xdr:row>
      <xdr:rowOff>0</xdr:rowOff>
    </xdr:from>
    <xdr:to>
      <xdr:col>6</xdr:col>
      <xdr:colOff>600075</xdr:colOff>
      <xdr:row>297</xdr:row>
      <xdr:rowOff>66675</xdr:rowOff>
    </xdr:to>
    <xdr:sp macro="" textlink="">
      <xdr:nvSpPr>
        <xdr:cNvPr id="385" name="Line 385"/>
        <xdr:cNvSpPr>
          <a:spLocks noChangeShapeType="1"/>
        </xdr:cNvSpPr>
      </xdr:nvSpPr>
      <xdr:spPr bwMode="auto">
        <a:xfrm flipH="1">
          <a:off x="4219575" y="415480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297</xdr:row>
      <xdr:rowOff>85725</xdr:rowOff>
    </xdr:from>
    <xdr:to>
      <xdr:col>6</xdr:col>
      <xdr:colOff>600075</xdr:colOff>
      <xdr:row>297</xdr:row>
      <xdr:rowOff>152400</xdr:rowOff>
    </xdr:to>
    <xdr:sp macro="" textlink="">
      <xdr:nvSpPr>
        <xdr:cNvPr id="386" name="Line 386"/>
        <xdr:cNvSpPr>
          <a:spLocks noChangeShapeType="1"/>
        </xdr:cNvSpPr>
      </xdr:nvSpPr>
      <xdr:spPr bwMode="auto">
        <a:xfrm flipH="1">
          <a:off x="4229100" y="416337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298</xdr:row>
      <xdr:rowOff>0</xdr:rowOff>
    </xdr:from>
    <xdr:to>
      <xdr:col>6</xdr:col>
      <xdr:colOff>600075</xdr:colOff>
      <xdr:row>298</xdr:row>
      <xdr:rowOff>66675</xdr:rowOff>
    </xdr:to>
    <xdr:sp macro="" textlink="">
      <xdr:nvSpPr>
        <xdr:cNvPr id="387" name="Line 387"/>
        <xdr:cNvSpPr>
          <a:spLocks noChangeShapeType="1"/>
        </xdr:cNvSpPr>
      </xdr:nvSpPr>
      <xdr:spPr bwMode="auto">
        <a:xfrm flipH="1">
          <a:off x="4219575" y="417099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298</xdr:row>
      <xdr:rowOff>85725</xdr:rowOff>
    </xdr:from>
    <xdr:to>
      <xdr:col>6</xdr:col>
      <xdr:colOff>600075</xdr:colOff>
      <xdr:row>298</xdr:row>
      <xdr:rowOff>152400</xdr:rowOff>
    </xdr:to>
    <xdr:sp macro="" textlink="">
      <xdr:nvSpPr>
        <xdr:cNvPr id="388" name="Line 388"/>
        <xdr:cNvSpPr>
          <a:spLocks noChangeShapeType="1"/>
        </xdr:cNvSpPr>
      </xdr:nvSpPr>
      <xdr:spPr bwMode="auto">
        <a:xfrm flipH="1">
          <a:off x="4229100" y="417957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299</xdr:row>
      <xdr:rowOff>0</xdr:rowOff>
    </xdr:from>
    <xdr:to>
      <xdr:col>6</xdr:col>
      <xdr:colOff>600075</xdr:colOff>
      <xdr:row>299</xdr:row>
      <xdr:rowOff>66675</xdr:rowOff>
    </xdr:to>
    <xdr:sp macro="" textlink="">
      <xdr:nvSpPr>
        <xdr:cNvPr id="389" name="Line 389"/>
        <xdr:cNvSpPr>
          <a:spLocks noChangeShapeType="1"/>
        </xdr:cNvSpPr>
      </xdr:nvSpPr>
      <xdr:spPr bwMode="auto">
        <a:xfrm flipH="1">
          <a:off x="4219575" y="418719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299</xdr:row>
      <xdr:rowOff>85725</xdr:rowOff>
    </xdr:from>
    <xdr:to>
      <xdr:col>6</xdr:col>
      <xdr:colOff>600075</xdr:colOff>
      <xdr:row>299</xdr:row>
      <xdr:rowOff>152400</xdr:rowOff>
    </xdr:to>
    <xdr:sp macro="" textlink="">
      <xdr:nvSpPr>
        <xdr:cNvPr id="390" name="Line 390"/>
        <xdr:cNvSpPr>
          <a:spLocks noChangeShapeType="1"/>
        </xdr:cNvSpPr>
      </xdr:nvSpPr>
      <xdr:spPr bwMode="auto">
        <a:xfrm flipH="1">
          <a:off x="4229100" y="419576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300</xdr:row>
      <xdr:rowOff>0</xdr:rowOff>
    </xdr:from>
    <xdr:to>
      <xdr:col>6</xdr:col>
      <xdr:colOff>600075</xdr:colOff>
      <xdr:row>300</xdr:row>
      <xdr:rowOff>66675</xdr:rowOff>
    </xdr:to>
    <xdr:sp macro="" textlink="">
      <xdr:nvSpPr>
        <xdr:cNvPr id="391" name="Line 391"/>
        <xdr:cNvSpPr>
          <a:spLocks noChangeShapeType="1"/>
        </xdr:cNvSpPr>
      </xdr:nvSpPr>
      <xdr:spPr bwMode="auto">
        <a:xfrm flipH="1">
          <a:off x="4219575" y="4203382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300</xdr:row>
      <xdr:rowOff>85725</xdr:rowOff>
    </xdr:from>
    <xdr:to>
      <xdr:col>6</xdr:col>
      <xdr:colOff>600075</xdr:colOff>
      <xdr:row>300</xdr:row>
      <xdr:rowOff>152400</xdr:rowOff>
    </xdr:to>
    <xdr:sp macro="" textlink="">
      <xdr:nvSpPr>
        <xdr:cNvPr id="392" name="Line 392"/>
        <xdr:cNvSpPr>
          <a:spLocks noChangeShapeType="1"/>
        </xdr:cNvSpPr>
      </xdr:nvSpPr>
      <xdr:spPr bwMode="auto">
        <a:xfrm flipH="1">
          <a:off x="4229100" y="4211955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301</xdr:row>
      <xdr:rowOff>0</xdr:rowOff>
    </xdr:from>
    <xdr:to>
      <xdr:col>6</xdr:col>
      <xdr:colOff>600075</xdr:colOff>
      <xdr:row>301</xdr:row>
      <xdr:rowOff>66675</xdr:rowOff>
    </xdr:to>
    <xdr:sp macro="" textlink="">
      <xdr:nvSpPr>
        <xdr:cNvPr id="393" name="Line 393"/>
        <xdr:cNvSpPr>
          <a:spLocks noChangeShapeType="1"/>
        </xdr:cNvSpPr>
      </xdr:nvSpPr>
      <xdr:spPr bwMode="auto">
        <a:xfrm flipH="1">
          <a:off x="4219575" y="4219575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301</xdr:row>
      <xdr:rowOff>85725</xdr:rowOff>
    </xdr:from>
    <xdr:to>
      <xdr:col>6</xdr:col>
      <xdr:colOff>600075</xdr:colOff>
      <xdr:row>301</xdr:row>
      <xdr:rowOff>152400</xdr:rowOff>
    </xdr:to>
    <xdr:sp macro="" textlink="">
      <xdr:nvSpPr>
        <xdr:cNvPr id="394" name="Line 394"/>
        <xdr:cNvSpPr>
          <a:spLocks noChangeShapeType="1"/>
        </xdr:cNvSpPr>
      </xdr:nvSpPr>
      <xdr:spPr bwMode="auto">
        <a:xfrm flipH="1">
          <a:off x="4229100" y="4228147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302</xdr:row>
      <xdr:rowOff>0</xdr:rowOff>
    </xdr:from>
    <xdr:to>
      <xdr:col>6</xdr:col>
      <xdr:colOff>600075</xdr:colOff>
      <xdr:row>302</xdr:row>
      <xdr:rowOff>66675</xdr:rowOff>
    </xdr:to>
    <xdr:sp macro="" textlink="">
      <xdr:nvSpPr>
        <xdr:cNvPr id="395" name="Line 395"/>
        <xdr:cNvSpPr>
          <a:spLocks noChangeShapeType="1"/>
        </xdr:cNvSpPr>
      </xdr:nvSpPr>
      <xdr:spPr bwMode="auto">
        <a:xfrm flipH="1">
          <a:off x="4219575" y="42357675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302</xdr:row>
      <xdr:rowOff>85725</xdr:rowOff>
    </xdr:from>
    <xdr:to>
      <xdr:col>6</xdr:col>
      <xdr:colOff>600075</xdr:colOff>
      <xdr:row>302</xdr:row>
      <xdr:rowOff>152400</xdr:rowOff>
    </xdr:to>
    <xdr:sp macro="" textlink="">
      <xdr:nvSpPr>
        <xdr:cNvPr id="396" name="Line 396"/>
        <xdr:cNvSpPr>
          <a:spLocks noChangeShapeType="1"/>
        </xdr:cNvSpPr>
      </xdr:nvSpPr>
      <xdr:spPr bwMode="auto">
        <a:xfrm flipH="1">
          <a:off x="4229100" y="42443400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303</xdr:row>
      <xdr:rowOff>0</xdr:rowOff>
    </xdr:from>
    <xdr:to>
      <xdr:col>6</xdr:col>
      <xdr:colOff>600075</xdr:colOff>
      <xdr:row>303</xdr:row>
      <xdr:rowOff>66675</xdr:rowOff>
    </xdr:to>
    <xdr:sp macro="" textlink="">
      <xdr:nvSpPr>
        <xdr:cNvPr id="397" name="Line 397"/>
        <xdr:cNvSpPr>
          <a:spLocks noChangeShapeType="1"/>
        </xdr:cNvSpPr>
      </xdr:nvSpPr>
      <xdr:spPr bwMode="auto">
        <a:xfrm flipH="1">
          <a:off x="4219575" y="425196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303</xdr:row>
      <xdr:rowOff>85725</xdr:rowOff>
    </xdr:from>
    <xdr:to>
      <xdr:col>6</xdr:col>
      <xdr:colOff>600075</xdr:colOff>
      <xdr:row>303</xdr:row>
      <xdr:rowOff>152400</xdr:rowOff>
    </xdr:to>
    <xdr:sp macro="" textlink="">
      <xdr:nvSpPr>
        <xdr:cNvPr id="398" name="Line 398"/>
        <xdr:cNvSpPr>
          <a:spLocks noChangeShapeType="1"/>
        </xdr:cNvSpPr>
      </xdr:nvSpPr>
      <xdr:spPr bwMode="auto">
        <a:xfrm flipH="1">
          <a:off x="4229100" y="426053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561975</xdr:colOff>
      <xdr:row>303</xdr:row>
      <xdr:rowOff>0</xdr:rowOff>
    </xdr:from>
    <xdr:to>
      <xdr:col>6</xdr:col>
      <xdr:colOff>600075</xdr:colOff>
      <xdr:row>303</xdr:row>
      <xdr:rowOff>66675</xdr:rowOff>
    </xdr:to>
    <xdr:sp macro="" textlink="">
      <xdr:nvSpPr>
        <xdr:cNvPr id="399" name="Line 399"/>
        <xdr:cNvSpPr>
          <a:spLocks noChangeShapeType="1"/>
        </xdr:cNvSpPr>
      </xdr:nvSpPr>
      <xdr:spPr bwMode="auto">
        <a:xfrm flipH="1">
          <a:off x="4219575" y="42519600"/>
          <a:ext cx="3810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571500</xdr:colOff>
      <xdr:row>303</xdr:row>
      <xdr:rowOff>85725</xdr:rowOff>
    </xdr:from>
    <xdr:to>
      <xdr:col>6</xdr:col>
      <xdr:colOff>600075</xdr:colOff>
      <xdr:row>303</xdr:row>
      <xdr:rowOff>152400</xdr:rowOff>
    </xdr:to>
    <xdr:sp macro="" textlink="">
      <xdr:nvSpPr>
        <xdr:cNvPr id="400" name="Line 400"/>
        <xdr:cNvSpPr>
          <a:spLocks noChangeShapeType="1"/>
        </xdr:cNvSpPr>
      </xdr:nvSpPr>
      <xdr:spPr bwMode="auto">
        <a:xfrm flipH="1">
          <a:off x="4229100" y="42605325"/>
          <a:ext cx="2857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600075</xdr:colOff>
      <xdr:row>304</xdr:row>
      <xdr:rowOff>0</xdr:rowOff>
    </xdr:from>
    <xdr:to>
      <xdr:col>7</xdr:col>
      <xdr:colOff>47625</xdr:colOff>
      <xdr:row>304</xdr:row>
      <xdr:rowOff>38100</xdr:rowOff>
    </xdr:to>
    <xdr:sp macro="" textlink="">
      <xdr:nvSpPr>
        <xdr:cNvPr id="401" name="Line 401"/>
        <xdr:cNvSpPr>
          <a:spLocks noChangeShapeType="1"/>
        </xdr:cNvSpPr>
      </xdr:nvSpPr>
      <xdr:spPr bwMode="auto">
        <a:xfrm flipH="1">
          <a:off x="4257675" y="42681525"/>
          <a:ext cx="5715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542925</xdr:colOff>
      <xdr:row>304</xdr:row>
      <xdr:rowOff>0</xdr:rowOff>
    </xdr:from>
    <xdr:to>
      <xdr:col>7</xdr:col>
      <xdr:colOff>581025</xdr:colOff>
      <xdr:row>304</xdr:row>
      <xdr:rowOff>47625</xdr:rowOff>
    </xdr:to>
    <xdr:sp macro="" textlink="">
      <xdr:nvSpPr>
        <xdr:cNvPr id="402" name="Line 402"/>
        <xdr:cNvSpPr>
          <a:spLocks noChangeShapeType="1"/>
        </xdr:cNvSpPr>
      </xdr:nvSpPr>
      <xdr:spPr bwMode="auto">
        <a:xfrm flipH="1">
          <a:off x="4810125" y="42681525"/>
          <a:ext cx="381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304</xdr:row>
      <xdr:rowOff>9525</xdr:rowOff>
    </xdr:from>
    <xdr:to>
      <xdr:col>7</xdr:col>
      <xdr:colOff>104775</xdr:colOff>
      <xdr:row>304</xdr:row>
      <xdr:rowOff>38100</xdr:rowOff>
    </xdr:to>
    <xdr:sp macro="" textlink="">
      <xdr:nvSpPr>
        <xdr:cNvPr id="403" name="Line 403"/>
        <xdr:cNvSpPr>
          <a:spLocks noChangeShapeType="1"/>
        </xdr:cNvSpPr>
      </xdr:nvSpPr>
      <xdr:spPr bwMode="auto">
        <a:xfrm flipH="1">
          <a:off x="4305300" y="42691050"/>
          <a:ext cx="66675" cy="28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123825</xdr:colOff>
      <xdr:row>304</xdr:row>
      <xdr:rowOff>0</xdr:rowOff>
    </xdr:from>
    <xdr:to>
      <xdr:col>7</xdr:col>
      <xdr:colOff>200025</xdr:colOff>
      <xdr:row>304</xdr:row>
      <xdr:rowOff>38100</xdr:rowOff>
    </xdr:to>
    <xdr:sp macro="" textlink="">
      <xdr:nvSpPr>
        <xdr:cNvPr id="404" name="Line 404"/>
        <xdr:cNvSpPr>
          <a:spLocks noChangeShapeType="1"/>
        </xdr:cNvSpPr>
      </xdr:nvSpPr>
      <xdr:spPr bwMode="auto">
        <a:xfrm flipH="1">
          <a:off x="4391025" y="42681525"/>
          <a:ext cx="7620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219075</xdr:colOff>
      <xdr:row>303</xdr:row>
      <xdr:rowOff>152400</xdr:rowOff>
    </xdr:from>
    <xdr:to>
      <xdr:col>7</xdr:col>
      <xdr:colOff>304800</xdr:colOff>
      <xdr:row>304</xdr:row>
      <xdr:rowOff>38100</xdr:rowOff>
    </xdr:to>
    <xdr:sp macro="" textlink="">
      <xdr:nvSpPr>
        <xdr:cNvPr id="405" name="Line 405"/>
        <xdr:cNvSpPr>
          <a:spLocks noChangeShapeType="1"/>
        </xdr:cNvSpPr>
      </xdr:nvSpPr>
      <xdr:spPr bwMode="auto">
        <a:xfrm flipH="1">
          <a:off x="4486275" y="426720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295275</xdr:colOff>
      <xdr:row>304</xdr:row>
      <xdr:rowOff>0</xdr:rowOff>
    </xdr:from>
    <xdr:to>
      <xdr:col>7</xdr:col>
      <xdr:colOff>361950</xdr:colOff>
      <xdr:row>304</xdr:row>
      <xdr:rowOff>38100</xdr:rowOff>
    </xdr:to>
    <xdr:sp macro="" textlink="">
      <xdr:nvSpPr>
        <xdr:cNvPr id="406" name="Line 406"/>
        <xdr:cNvSpPr>
          <a:spLocks noChangeShapeType="1"/>
        </xdr:cNvSpPr>
      </xdr:nvSpPr>
      <xdr:spPr bwMode="auto">
        <a:xfrm flipH="1">
          <a:off x="4562475" y="42681525"/>
          <a:ext cx="66675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361950</xdr:colOff>
      <xdr:row>304</xdr:row>
      <xdr:rowOff>0</xdr:rowOff>
    </xdr:from>
    <xdr:to>
      <xdr:col>7</xdr:col>
      <xdr:colOff>438150</xdr:colOff>
      <xdr:row>304</xdr:row>
      <xdr:rowOff>47625</xdr:rowOff>
    </xdr:to>
    <xdr:sp macro="" textlink="">
      <xdr:nvSpPr>
        <xdr:cNvPr id="407" name="Line 407"/>
        <xdr:cNvSpPr>
          <a:spLocks noChangeShapeType="1"/>
        </xdr:cNvSpPr>
      </xdr:nvSpPr>
      <xdr:spPr bwMode="auto">
        <a:xfrm flipH="1">
          <a:off x="4629150" y="42681525"/>
          <a:ext cx="7620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438150</xdr:colOff>
      <xdr:row>304</xdr:row>
      <xdr:rowOff>0</xdr:rowOff>
    </xdr:from>
    <xdr:to>
      <xdr:col>7</xdr:col>
      <xdr:colOff>514350</xdr:colOff>
      <xdr:row>304</xdr:row>
      <xdr:rowOff>57150</xdr:rowOff>
    </xdr:to>
    <xdr:sp macro="" textlink="">
      <xdr:nvSpPr>
        <xdr:cNvPr id="408" name="Line 408"/>
        <xdr:cNvSpPr>
          <a:spLocks noChangeShapeType="1"/>
        </xdr:cNvSpPr>
      </xdr:nvSpPr>
      <xdr:spPr bwMode="auto">
        <a:xfrm flipH="1">
          <a:off x="4705350" y="42681525"/>
          <a:ext cx="7620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190500</xdr:colOff>
      <xdr:row>295</xdr:row>
      <xdr:rowOff>0</xdr:rowOff>
    </xdr:from>
    <xdr:to>
      <xdr:col>6</xdr:col>
      <xdr:colOff>514350</xdr:colOff>
      <xdr:row>295</xdr:row>
      <xdr:rowOff>0</xdr:rowOff>
    </xdr:to>
    <xdr:sp macro="" textlink="">
      <xdr:nvSpPr>
        <xdr:cNvPr id="409" name="Line 409"/>
        <xdr:cNvSpPr>
          <a:spLocks noChangeShapeType="1"/>
        </xdr:cNvSpPr>
      </xdr:nvSpPr>
      <xdr:spPr bwMode="auto">
        <a:xfrm>
          <a:off x="3848100" y="412242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228600</xdr:colOff>
      <xdr:row>304</xdr:row>
      <xdr:rowOff>0</xdr:rowOff>
    </xdr:from>
    <xdr:to>
      <xdr:col>6</xdr:col>
      <xdr:colOff>504825</xdr:colOff>
      <xdr:row>304</xdr:row>
      <xdr:rowOff>0</xdr:rowOff>
    </xdr:to>
    <xdr:sp macro="" textlink="">
      <xdr:nvSpPr>
        <xdr:cNvPr id="410" name="Line 410"/>
        <xdr:cNvSpPr>
          <a:spLocks noChangeShapeType="1"/>
        </xdr:cNvSpPr>
      </xdr:nvSpPr>
      <xdr:spPr bwMode="auto">
        <a:xfrm>
          <a:off x="3886200" y="426815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447675</xdr:colOff>
      <xdr:row>295</xdr:row>
      <xdr:rowOff>0</xdr:rowOff>
    </xdr:from>
    <xdr:to>
      <xdr:col>6</xdr:col>
      <xdr:colOff>447675</xdr:colOff>
      <xdr:row>304</xdr:row>
      <xdr:rowOff>19050</xdr:rowOff>
    </xdr:to>
    <xdr:sp macro="" textlink="">
      <xdr:nvSpPr>
        <xdr:cNvPr id="411" name="Line 411"/>
        <xdr:cNvSpPr>
          <a:spLocks noChangeShapeType="1"/>
        </xdr:cNvSpPr>
      </xdr:nvSpPr>
      <xdr:spPr bwMode="auto">
        <a:xfrm>
          <a:off x="4105275" y="41224200"/>
          <a:ext cx="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7</xdr:col>
      <xdr:colOff>0</xdr:colOff>
      <xdr:row>305</xdr:row>
      <xdr:rowOff>104775</xdr:rowOff>
    </xdr:from>
    <xdr:to>
      <xdr:col>7</xdr:col>
      <xdr:colOff>0</xdr:colOff>
      <xdr:row>307</xdr:row>
      <xdr:rowOff>47625</xdr:rowOff>
    </xdr:to>
    <xdr:sp macro="" textlink="">
      <xdr:nvSpPr>
        <xdr:cNvPr id="412" name="Line 412"/>
        <xdr:cNvSpPr>
          <a:spLocks noChangeShapeType="1"/>
        </xdr:cNvSpPr>
      </xdr:nvSpPr>
      <xdr:spPr bwMode="auto">
        <a:xfrm>
          <a:off x="4267200" y="4294822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305</xdr:row>
      <xdr:rowOff>133350</xdr:rowOff>
    </xdr:from>
    <xdr:to>
      <xdr:col>8</xdr:col>
      <xdr:colOff>0</xdr:colOff>
      <xdr:row>305</xdr:row>
      <xdr:rowOff>133350</xdr:rowOff>
    </xdr:to>
    <xdr:sp macro="" textlink="">
      <xdr:nvSpPr>
        <xdr:cNvPr id="413" name="Line 413"/>
        <xdr:cNvSpPr>
          <a:spLocks noChangeShapeType="1"/>
        </xdr:cNvSpPr>
      </xdr:nvSpPr>
      <xdr:spPr bwMode="auto">
        <a:xfrm>
          <a:off x="4267200" y="4297680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6</xdr:col>
      <xdr:colOff>428625</xdr:colOff>
      <xdr:row>299</xdr:row>
      <xdr:rowOff>0</xdr:rowOff>
    </xdr:from>
    <xdr:ext cx="123825" cy="342900"/>
    <xdr:sp macro="" textlink="">
      <xdr:nvSpPr>
        <xdr:cNvPr id="414" name="Text Box 414"/>
        <xdr:cNvSpPr txBox="1">
          <a:spLocks noChangeArrowheads="1"/>
        </xdr:cNvSpPr>
      </xdr:nvSpPr>
      <xdr:spPr bwMode="auto">
        <a:xfrm>
          <a:off x="4086225" y="41871900"/>
          <a:ext cx="123825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6</xdr:col>
      <xdr:colOff>0</xdr:colOff>
      <xdr:row>299</xdr:row>
      <xdr:rowOff>0</xdr:rowOff>
    </xdr:from>
    <xdr:ext cx="161925" cy="180975"/>
    <xdr:sp macro="" textlink="">
      <xdr:nvSpPr>
        <xdr:cNvPr id="415" name="Text Box 415"/>
        <xdr:cNvSpPr txBox="1">
          <a:spLocks noChangeArrowheads="1"/>
        </xdr:cNvSpPr>
      </xdr:nvSpPr>
      <xdr:spPr bwMode="auto">
        <a:xfrm>
          <a:off x="3657600" y="41871900"/>
          <a:ext cx="1619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7</xdr:col>
      <xdr:colOff>428625</xdr:colOff>
      <xdr:row>307</xdr:row>
      <xdr:rowOff>0</xdr:rowOff>
    </xdr:from>
    <xdr:ext cx="123825" cy="180975"/>
    <xdr:sp macro="" textlink="">
      <xdr:nvSpPr>
        <xdr:cNvPr id="416" name="Text Box 416"/>
        <xdr:cNvSpPr txBox="1">
          <a:spLocks noChangeArrowheads="1"/>
        </xdr:cNvSpPr>
      </xdr:nvSpPr>
      <xdr:spPr bwMode="auto">
        <a:xfrm>
          <a:off x="4695825" y="43167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0</xdr:colOff>
      <xdr:row>305</xdr:row>
      <xdr:rowOff>142875</xdr:rowOff>
    </xdr:from>
    <xdr:ext cx="200025" cy="180975"/>
    <xdr:sp macro="" textlink="">
      <xdr:nvSpPr>
        <xdr:cNvPr id="417" name="Text Box 417"/>
        <xdr:cNvSpPr txBox="1">
          <a:spLocks noChangeArrowheads="1"/>
        </xdr:cNvSpPr>
      </xdr:nvSpPr>
      <xdr:spPr bwMode="auto">
        <a:xfrm>
          <a:off x="4267200" y="42986325"/>
          <a:ext cx="2000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a =</a:t>
          </a:r>
        </a:p>
      </xdr:txBody>
    </xdr:sp>
    <xdr:clientData/>
  </xdr:oneCellAnchor>
  <xdr:twoCellAnchor>
    <xdr:from>
      <xdr:col>3</xdr:col>
      <xdr:colOff>0</xdr:colOff>
      <xdr:row>306</xdr:row>
      <xdr:rowOff>95250</xdr:rowOff>
    </xdr:from>
    <xdr:to>
      <xdr:col>3</xdr:col>
      <xdr:colOff>0</xdr:colOff>
      <xdr:row>307</xdr:row>
      <xdr:rowOff>47625</xdr:rowOff>
    </xdr:to>
    <xdr:sp macro="" textlink="">
      <xdr:nvSpPr>
        <xdr:cNvPr id="418" name="Line 426"/>
        <xdr:cNvSpPr>
          <a:spLocks noChangeShapeType="1"/>
        </xdr:cNvSpPr>
      </xdr:nvSpPr>
      <xdr:spPr bwMode="auto">
        <a:xfrm>
          <a:off x="1828800" y="431006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306</xdr:row>
      <xdr:rowOff>114300</xdr:rowOff>
    </xdr:from>
    <xdr:to>
      <xdr:col>3</xdr:col>
      <xdr:colOff>200025</xdr:colOff>
      <xdr:row>307</xdr:row>
      <xdr:rowOff>28575</xdr:rowOff>
    </xdr:to>
    <xdr:sp macro="" textlink="">
      <xdr:nvSpPr>
        <xdr:cNvPr id="419" name="Line 427"/>
        <xdr:cNvSpPr>
          <a:spLocks noChangeShapeType="1"/>
        </xdr:cNvSpPr>
      </xdr:nvSpPr>
      <xdr:spPr bwMode="auto">
        <a:xfrm>
          <a:off x="2028825" y="4311967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307</xdr:row>
      <xdr:rowOff>0</xdr:rowOff>
    </xdr:from>
    <xdr:to>
      <xdr:col>3</xdr:col>
      <xdr:colOff>200025</xdr:colOff>
      <xdr:row>307</xdr:row>
      <xdr:rowOff>0</xdr:rowOff>
    </xdr:to>
    <xdr:sp macro="" textlink="">
      <xdr:nvSpPr>
        <xdr:cNvPr id="420" name="Line 428"/>
        <xdr:cNvSpPr>
          <a:spLocks noChangeShapeType="1"/>
        </xdr:cNvSpPr>
      </xdr:nvSpPr>
      <xdr:spPr bwMode="auto">
        <a:xfrm>
          <a:off x="1828800" y="43167300"/>
          <a:ext cx="200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3</xdr:col>
      <xdr:colOff>304800</xdr:colOff>
      <xdr:row>306</xdr:row>
      <xdr:rowOff>0</xdr:rowOff>
    </xdr:from>
    <xdr:ext cx="123825" cy="180975"/>
    <xdr:sp macro="" textlink="">
      <xdr:nvSpPr>
        <xdr:cNvPr id="421" name="Text Box 429"/>
        <xdr:cNvSpPr txBox="1">
          <a:spLocks noChangeArrowheads="1"/>
        </xdr:cNvSpPr>
      </xdr:nvSpPr>
      <xdr:spPr bwMode="auto">
        <a:xfrm>
          <a:off x="2133600" y="430053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</xdr:col>
      <xdr:colOff>114300</xdr:colOff>
      <xdr:row>295</xdr:row>
      <xdr:rowOff>57150</xdr:rowOff>
    </xdr:from>
    <xdr:to>
      <xdr:col>3</xdr:col>
      <xdr:colOff>600075</xdr:colOff>
      <xdr:row>297</xdr:row>
      <xdr:rowOff>19050</xdr:rowOff>
    </xdr:to>
    <xdr:sp macro="" textlink="">
      <xdr:nvSpPr>
        <xdr:cNvPr id="422" name="Line 430"/>
        <xdr:cNvSpPr>
          <a:spLocks noChangeShapeType="1"/>
        </xdr:cNvSpPr>
      </xdr:nvSpPr>
      <xdr:spPr bwMode="auto">
        <a:xfrm flipV="1">
          <a:off x="1943100" y="41281350"/>
          <a:ext cx="485775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/>
        </a:ln>
      </xdr:spPr>
    </xdr:sp>
    <xdr:clientData/>
  </xdr:twoCellAnchor>
  <xdr:twoCellAnchor>
    <xdr:from>
      <xdr:col>4</xdr:col>
      <xdr:colOff>0</xdr:colOff>
      <xdr:row>295</xdr:row>
      <xdr:rowOff>57150</xdr:rowOff>
    </xdr:from>
    <xdr:to>
      <xdr:col>4</xdr:col>
      <xdr:colOff>180975</xdr:colOff>
      <xdr:row>295</xdr:row>
      <xdr:rowOff>57150</xdr:rowOff>
    </xdr:to>
    <xdr:sp macro="" textlink="">
      <xdr:nvSpPr>
        <xdr:cNvPr id="423" name="Line 431"/>
        <xdr:cNvSpPr>
          <a:spLocks noChangeShapeType="1"/>
        </xdr:cNvSpPr>
      </xdr:nvSpPr>
      <xdr:spPr bwMode="auto">
        <a:xfrm>
          <a:off x="2438400" y="41281350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419100</xdr:colOff>
      <xdr:row>295</xdr:row>
      <xdr:rowOff>152400</xdr:rowOff>
    </xdr:from>
    <xdr:ext cx="125291" cy="170560"/>
    <xdr:sp macro="" textlink="">
      <xdr:nvSpPr>
        <xdr:cNvPr id="424" name="Text Box 534"/>
        <xdr:cNvSpPr txBox="1">
          <a:spLocks noChangeArrowheads="1"/>
        </xdr:cNvSpPr>
      </xdr:nvSpPr>
      <xdr:spPr bwMode="auto">
        <a:xfrm>
          <a:off x="1638300" y="41376600"/>
          <a:ext cx="12529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  <a:endParaRPr lang="en-GB" sz="8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5</xdr:col>
      <xdr:colOff>295275</xdr:colOff>
      <xdr:row>303</xdr:row>
      <xdr:rowOff>0</xdr:rowOff>
    </xdr:from>
    <xdr:ext cx="123825" cy="180975"/>
    <xdr:sp macro="" textlink="">
      <xdr:nvSpPr>
        <xdr:cNvPr id="425" name="Text Box 581"/>
        <xdr:cNvSpPr txBox="1">
          <a:spLocks noChangeArrowheads="1"/>
        </xdr:cNvSpPr>
      </xdr:nvSpPr>
      <xdr:spPr bwMode="auto">
        <a:xfrm>
          <a:off x="3343275" y="425196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4</xdr:col>
      <xdr:colOff>323850</xdr:colOff>
      <xdr:row>302</xdr:row>
      <xdr:rowOff>152400</xdr:rowOff>
    </xdr:from>
    <xdr:ext cx="200025" cy="180975"/>
    <xdr:sp macro="" textlink="">
      <xdr:nvSpPr>
        <xdr:cNvPr id="426" name="Text Box 582"/>
        <xdr:cNvSpPr txBox="1">
          <a:spLocks noChangeArrowheads="1"/>
        </xdr:cNvSpPr>
      </xdr:nvSpPr>
      <xdr:spPr bwMode="auto">
        <a:xfrm>
          <a:off x="2762250" y="42510075"/>
          <a:ext cx="2000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oneCellAnchor>
  <xdr:twoCellAnchor>
    <xdr:from>
      <xdr:col>4</xdr:col>
      <xdr:colOff>142875</xdr:colOff>
      <xdr:row>303</xdr:row>
      <xdr:rowOff>76200</xdr:rowOff>
    </xdr:from>
    <xdr:to>
      <xdr:col>4</xdr:col>
      <xdr:colOff>257175</xdr:colOff>
      <xdr:row>303</xdr:row>
      <xdr:rowOff>152400</xdr:rowOff>
    </xdr:to>
    <xdr:sp macro="" textlink="">
      <xdr:nvSpPr>
        <xdr:cNvPr id="427" name="AutoShape 583"/>
        <xdr:cNvSpPr>
          <a:spLocks noChangeArrowheads="1"/>
        </xdr:cNvSpPr>
      </xdr:nvSpPr>
      <xdr:spPr bwMode="auto">
        <a:xfrm>
          <a:off x="2581275" y="42595800"/>
          <a:ext cx="114300" cy="76200"/>
        </a:xfrm>
        <a:prstGeom prst="flowChartMerge">
          <a:avLst/>
        </a:prstGeom>
        <a:solidFill>
          <a:srgbClr val="FFFFFF"/>
        </a:solidFill>
        <a:ln w="158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133350</xdr:colOff>
      <xdr:row>297</xdr:row>
      <xdr:rowOff>0</xdr:rowOff>
    </xdr:from>
    <xdr:to>
      <xdr:col>2</xdr:col>
      <xdr:colOff>476250</xdr:colOff>
      <xdr:row>297</xdr:row>
      <xdr:rowOff>9525</xdr:rowOff>
    </xdr:to>
    <xdr:cxnSp macro="">
      <xdr:nvCxnSpPr>
        <xdr:cNvPr id="428" name="Straight Connector 427"/>
        <xdr:cNvCxnSpPr/>
      </xdr:nvCxnSpPr>
      <xdr:spPr bwMode="auto">
        <a:xfrm flipV="1">
          <a:off x="742950" y="41548050"/>
          <a:ext cx="9525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190500</xdr:colOff>
      <xdr:row>294</xdr:row>
      <xdr:rowOff>152400</xdr:rowOff>
    </xdr:from>
    <xdr:to>
      <xdr:col>2</xdr:col>
      <xdr:colOff>523875</xdr:colOff>
      <xdr:row>295</xdr:row>
      <xdr:rowOff>0</xdr:rowOff>
    </xdr:to>
    <xdr:cxnSp macro="">
      <xdr:nvCxnSpPr>
        <xdr:cNvPr id="429" name="Straight Connector 428"/>
        <xdr:cNvCxnSpPr/>
      </xdr:nvCxnSpPr>
      <xdr:spPr bwMode="auto">
        <a:xfrm flipV="1">
          <a:off x="800100" y="41214675"/>
          <a:ext cx="9429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424656</xdr:colOff>
      <xdr:row>304</xdr:row>
      <xdr:rowOff>8731</xdr:rowOff>
    </xdr:from>
    <xdr:to>
      <xdr:col>5</xdr:col>
      <xdr:colOff>457993</xdr:colOff>
      <xdr:row>304</xdr:row>
      <xdr:rowOff>10319</xdr:rowOff>
    </xdr:to>
    <xdr:cxnSp macro="">
      <xdr:nvCxnSpPr>
        <xdr:cNvPr id="430" name="Straight Connector 429"/>
        <xdr:cNvCxnSpPr>
          <a:stCxn id="426" idx="2"/>
        </xdr:cNvCxnSpPr>
      </xdr:nvCxnSpPr>
      <xdr:spPr bwMode="auto">
        <a:xfrm rot="16200000" flipH="1">
          <a:off x="3183731" y="42369581"/>
          <a:ext cx="1588" cy="64293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 editAs="oneCell">
    <xdr:from>
      <xdr:col>4</xdr:col>
      <xdr:colOff>600075</xdr:colOff>
      <xdr:row>337</xdr:row>
      <xdr:rowOff>0</xdr:rowOff>
    </xdr:from>
    <xdr:to>
      <xdr:col>5</xdr:col>
      <xdr:colOff>0</xdr:colOff>
      <xdr:row>337</xdr:row>
      <xdr:rowOff>161925</xdr:rowOff>
    </xdr:to>
    <xdr:sp macro="" textlink="">
      <xdr:nvSpPr>
        <xdr:cNvPr id="431" name="Text Box 154"/>
        <xdr:cNvSpPr txBox="1">
          <a:spLocks noChangeArrowheads="1"/>
        </xdr:cNvSpPr>
      </xdr:nvSpPr>
      <xdr:spPr bwMode="auto">
        <a:xfrm>
          <a:off x="3038475" y="481584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338</xdr:row>
      <xdr:rowOff>0</xdr:rowOff>
    </xdr:from>
    <xdr:to>
      <xdr:col>5</xdr:col>
      <xdr:colOff>0</xdr:colOff>
      <xdr:row>339</xdr:row>
      <xdr:rowOff>0</xdr:rowOff>
    </xdr:to>
    <xdr:sp macro="" textlink="">
      <xdr:nvSpPr>
        <xdr:cNvPr id="432" name="Text Box 154"/>
        <xdr:cNvSpPr txBox="1">
          <a:spLocks noChangeArrowheads="1"/>
        </xdr:cNvSpPr>
      </xdr:nvSpPr>
      <xdr:spPr bwMode="auto">
        <a:xfrm>
          <a:off x="3038475" y="483584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338</xdr:row>
      <xdr:rowOff>0</xdr:rowOff>
    </xdr:from>
    <xdr:to>
      <xdr:col>5</xdr:col>
      <xdr:colOff>0</xdr:colOff>
      <xdr:row>339</xdr:row>
      <xdr:rowOff>0</xdr:rowOff>
    </xdr:to>
    <xdr:sp macro="" textlink="">
      <xdr:nvSpPr>
        <xdr:cNvPr id="433" name="Text Box 154"/>
        <xdr:cNvSpPr txBox="1">
          <a:spLocks noChangeArrowheads="1"/>
        </xdr:cNvSpPr>
      </xdr:nvSpPr>
      <xdr:spPr bwMode="auto">
        <a:xfrm>
          <a:off x="3038475" y="483584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336</xdr:row>
      <xdr:rowOff>0</xdr:rowOff>
    </xdr:from>
    <xdr:to>
      <xdr:col>5</xdr:col>
      <xdr:colOff>0</xdr:colOff>
      <xdr:row>336</xdr:row>
      <xdr:rowOff>161925</xdr:rowOff>
    </xdr:to>
    <xdr:sp macro="" textlink="">
      <xdr:nvSpPr>
        <xdr:cNvPr id="434" name="Text Box 154"/>
        <xdr:cNvSpPr txBox="1">
          <a:spLocks noChangeArrowheads="1"/>
        </xdr:cNvSpPr>
      </xdr:nvSpPr>
      <xdr:spPr bwMode="auto">
        <a:xfrm>
          <a:off x="3038475" y="479583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344</xdr:row>
      <xdr:rowOff>0</xdr:rowOff>
    </xdr:from>
    <xdr:to>
      <xdr:col>2</xdr:col>
      <xdr:colOff>0</xdr:colOff>
      <xdr:row>352</xdr:row>
      <xdr:rowOff>28575</xdr:rowOff>
    </xdr:to>
    <xdr:sp macro="" textlink="">
      <xdr:nvSpPr>
        <xdr:cNvPr id="435" name="Line 435"/>
        <xdr:cNvSpPr>
          <a:spLocks noChangeShapeType="1"/>
        </xdr:cNvSpPr>
      </xdr:nvSpPr>
      <xdr:spPr bwMode="auto">
        <a:xfrm>
          <a:off x="1219200" y="49368075"/>
          <a:ext cx="0" cy="1323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2</xdr:col>
      <xdr:colOff>142875</xdr:colOff>
      <xdr:row>344</xdr:row>
      <xdr:rowOff>0</xdr:rowOff>
    </xdr:from>
    <xdr:to>
      <xdr:col>2</xdr:col>
      <xdr:colOff>142875</xdr:colOff>
      <xdr:row>351</xdr:row>
      <xdr:rowOff>0</xdr:rowOff>
    </xdr:to>
    <xdr:sp macro="" textlink="">
      <xdr:nvSpPr>
        <xdr:cNvPr id="436" name="Line 440"/>
        <xdr:cNvSpPr>
          <a:spLocks noChangeShapeType="1"/>
        </xdr:cNvSpPr>
      </xdr:nvSpPr>
      <xdr:spPr bwMode="auto">
        <a:xfrm flipH="1">
          <a:off x="1362075" y="49368075"/>
          <a:ext cx="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142875</xdr:colOff>
      <xdr:row>351</xdr:row>
      <xdr:rowOff>0</xdr:rowOff>
    </xdr:from>
    <xdr:to>
      <xdr:col>3</xdr:col>
      <xdr:colOff>209550</xdr:colOff>
      <xdr:row>351</xdr:row>
      <xdr:rowOff>0</xdr:rowOff>
    </xdr:to>
    <xdr:sp macro="" textlink="">
      <xdr:nvSpPr>
        <xdr:cNvPr id="437" name="Line 441"/>
        <xdr:cNvSpPr>
          <a:spLocks noChangeShapeType="1"/>
        </xdr:cNvSpPr>
      </xdr:nvSpPr>
      <xdr:spPr bwMode="auto">
        <a:xfrm flipH="1">
          <a:off x="1362075" y="50501550"/>
          <a:ext cx="676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0</xdr:colOff>
      <xdr:row>352</xdr:row>
      <xdr:rowOff>9525</xdr:rowOff>
    </xdr:from>
    <xdr:to>
      <xdr:col>3</xdr:col>
      <xdr:colOff>209550</xdr:colOff>
      <xdr:row>352</xdr:row>
      <xdr:rowOff>9525</xdr:rowOff>
    </xdr:to>
    <xdr:sp macro="" textlink="">
      <xdr:nvSpPr>
        <xdr:cNvPr id="438" name="Line 442"/>
        <xdr:cNvSpPr>
          <a:spLocks noChangeShapeType="1"/>
        </xdr:cNvSpPr>
      </xdr:nvSpPr>
      <xdr:spPr bwMode="auto">
        <a:xfrm>
          <a:off x="1219200" y="50673000"/>
          <a:ext cx="819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344</xdr:row>
      <xdr:rowOff>0</xdr:rowOff>
    </xdr:from>
    <xdr:to>
      <xdr:col>2</xdr:col>
      <xdr:colOff>142875</xdr:colOff>
      <xdr:row>344</xdr:row>
      <xdr:rowOff>0</xdr:rowOff>
    </xdr:to>
    <xdr:sp macro="" textlink="">
      <xdr:nvSpPr>
        <xdr:cNvPr id="439" name="Line 443"/>
        <xdr:cNvSpPr>
          <a:spLocks noChangeShapeType="1"/>
        </xdr:cNvSpPr>
      </xdr:nvSpPr>
      <xdr:spPr bwMode="auto">
        <a:xfrm flipH="1">
          <a:off x="762000" y="49368075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344</xdr:row>
      <xdr:rowOff>0</xdr:rowOff>
    </xdr:from>
    <xdr:to>
      <xdr:col>1</xdr:col>
      <xdr:colOff>9525</xdr:colOff>
      <xdr:row>355</xdr:row>
      <xdr:rowOff>0</xdr:rowOff>
    </xdr:to>
    <xdr:sp macro="" textlink="">
      <xdr:nvSpPr>
        <xdr:cNvPr id="440" name="Line 444"/>
        <xdr:cNvSpPr>
          <a:spLocks noChangeShapeType="1"/>
        </xdr:cNvSpPr>
      </xdr:nvSpPr>
      <xdr:spPr bwMode="auto">
        <a:xfrm>
          <a:off x="619125" y="49368075"/>
          <a:ext cx="0" cy="1781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390525</xdr:colOff>
      <xdr:row>355</xdr:row>
      <xdr:rowOff>9525</xdr:rowOff>
    </xdr:from>
    <xdr:to>
      <xdr:col>1</xdr:col>
      <xdr:colOff>238125</xdr:colOff>
      <xdr:row>355</xdr:row>
      <xdr:rowOff>9525</xdr:rowOff>
    </xdr:to>
    <xdr:sp macro="" textlink="">
      <xdr:nvSpPr>
        <xdr:cNvPr id="441" name="Line 445"/>
        <xdr:cNvSpPr>
          <a:spLocks noChangeShapeType="1"/>
        </xdr:cNvSpPr>
      </xdr:nvSpPr>
      <xdr:spPr bwMode="auto">
        <a:xfrm>
          <a:off x="390525" y="51158775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400050</xdr:colOff>
      <xdr:row>354</xdr:row>
      <xdr:rowOff>142875</xdr:rowOff>
    </xdr:from>
    <xdr:to>
      <xdr:col>2</xdr:col>
      <xdr:colOff>419100</xdr:colOff>
      <xdr:row>354</xdr:row>
      <xdr:rowOff>142875</xdr:rowOff>
    </xdr:to>
    <xdr:sp macro="" textlink="">
      <xdr:nvSpPr>
        <xdr:cNvPr id="442" name="Line 446"/>
        <xdr:cNvSpPr>
          <a:spLocks noChangeShapeType="1"/>
        </xdr:cNvSpPr>
      </xdr:nvSpPr>
      <xdr:spPr bwMode="auto">
        <a:xfrm>
          <a:off x="1009650" y="51130200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238125</xdr:colOff>
      <xdr:row>354</xdr:row>
      <xdr:rowOff>47625</xdr:rowOff>
    </xdr:from>
    <xdr:to>
      <xdr:col>1</xdr:col>
      <xdr:colOff>238125</xdr:colOff>
      <xdr:row>354</xdr:row>
      <xdr:rowOff>152400</xdr:rowOff>
    </xdr:to>
    <xdr:sp macro="" textlink="">
      <xdr:nvSpPr>
        <xdr:cNvPr id="443" name="Line 447"/>
        <xdr:cNvSpPr>
          <a:spLocks noChangeShapeType="1"/>
        </xdr:cNvSpPr>
      </xdr:nvSpPr>
      <xdr:spPr bwMode="auto">
        <a:xfrm flipV="1">
          <a:off x="847725" y="510349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238125</xdr:colOff>
      <xdr:row>354</xdr:row>
      <xdr:rowOff>47625</xdr:rowOff>
    </xdr:from>
    <xdr:to>
      <xdr:col>1</xdr:col>
      <xdr:colOff>419100</xdr:colOff>
      <xdr:row>355</xdr:row>
      <xdr:rowOff>66675</xdr:rowOff>
    </xdr:to>
    <xdr:sp macro="" textlink="">
      <xdr:nvSpPr>
        <xdr:cNvPr id="444" name="Line 448"/>
        <xdr:cNvSpPr>
          <a:spLocks noChangeShapeType="1"/>
        </xdr:cNvSpPr>
      </xdr:nvSpPr>
      <xdr:spPr bwMode="auto">
        <a:xfrm>
          <a:off x="847725" y="51034950"/>
          <a:ext cx="1809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409575</xdr:colOff>
      <xdr:row>354</xdr:row>
      <xdr:rowOff>133350</xdr:rowOff>
    </xdr:from>
    <xdr:to>
      <xdr:col>1</xdr:col>
      <xdr:colOff>409575</xdr:colOff>
      <xdr:row>355</xdr:row>
      <xdr:rowOff>66675</xdr:rowOff>
    </xdr:to>
    <xdr:sp macro="" textlink="">
      <xdr:nvSpPr>
        <xdr:cNvPr id="445" name="Line 449"/>
        <xdr:cNvSpPr>
          <a:spLocks noChangeShapeType="1"/>
        </xdr:cNvSpPr>
      </xdr:nvSpPr>
      <xdr:spPr bwMode="auto">
        <a:xfrm flipV="1">
          <a:off x="1019175" y="511206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350</xdr:row>
      <xdr:rowOff>57150</xdr:rowOff>
    </xdr:from>
    <xdr:to>
      <xdr:col>3</xdr:col>
      <xdr:colOff>200025</xdr:colOff>
      <xdr:row>351</xdr:row>
      <xdr:rowOff>66675</xdr:rowOff>
    </xdr:to>
    <xdr:sp macro="" textlink="">
      <xdr:nvSpPr>
        <xdr:cNvPr id="446" name="Line 450"/>
        <xdr:cNvSpPr>
          <a:spLocks noChangeShapeType="1"/>
        </xdr:cNvSpPr>
      </xdr:nvSpPr>
      <xdr:spPr bwMode="auto">
        <a:xfrm>
          <a:off x="2028825" y="50396775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123825</xdr:colOff>
      <xdr:row>351</xdr:row>
      <xdr:rowOff>66675</xdr:rowOff>
    </xdr:from>
    <xdr:to>
      <xdr:col>3</xdr:col>
      <xdr:colOff>190500</xdr:colOff>
      <xdr:row>351</xdr:row>
      <xdr:rowOff>66675</xdr:rowOff>
    </xdr:to>
    <xdr:sp macro="" textlink="">
      <xdr:nvSpPr>
        <xdr:cNvPr id="447" name="Line 451"/>
        <xdr:cNvSpPr>
          <a:spLocks noChangeShapeType="1"/>
        </xdr:cNvSpPr>
      </xdr:nvSpPr>
      <xdr:spPr bwMode="auto">
        <a:xfrm flipH="1">
          <a:off x="1952625" y="5056822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133350</xdr:colOff>
      <xdr:row>351</xdr:row>
      <xdr:rowOff>66675</xdr:rowOff>
    </xdr:from>
    <xdr:to>
      <xdr:col>3</xdr:col>
      <xdr:colOff>276225</xdr:colOff>
      <xdr:row>352</xdr:row>
      <xdr:rowOff>0</xdr:rowOff>
    </xdr:to>
    <xdr:sp macro="" textlink="">
      <xdr:nvSpPr>
        <xdr:cNvPr id="448" name="Line 452"/>
        <xdr:cNvSpPr>
          <a:spLocks noChangeShapeType="1"/>
        </xdr:cNvSpPr>
      </xdr:nvSpPr>
      <xdr:spPr bwMode="auto">
        <a:xfrm>
          <a:off x="1962150" y="50568225"/>
          <a:ext cx="14287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351</xdr:row>
      <xdr:rowOff>152400</xdr:rowOff>
    </xdr:from>
    <xdr:to>
      <xdr:col>3</xdr:col>
      <xdr:colOff>257175</xdr:colOff>
      <xdr:row>352</xdr:row>
      <xdr:rowOff>0</xdr:rowOff>
    </xdr:to>
    <xdr:sp macro="" textlink="">
      <xdr:nvSpPr>
        <xdr:cNvPr id="449" name="Line 453"/>
        <xdr:cNvSpPr>
          <a:spLocks noChangeShapeType="1"/>
        </xdr:cNvSpPr>
      </xdr:nvSpPr>
      <xdr:spPr bwMode="auto">
        <a:xfrm flipH="1">
          <a:off x="2028825" y="50653950"/>
          <a:ext cx="571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333375</xdr:colOff>
      <xdr:row>344</xdr:row>
      <xdr:rowOff>0</xdr:rowOff>
    </xdr:from>
    <xdr:to>
      <xdr:col>3</xdr:col>
      <xdr:colOff>9525</xdr:colOff>
      <xdr:row>351</xdr:row>
      <xdr:rowOff>19050</xdr:rowOff>
    </xdr:to>
    <xdr:sp macro="" textlink="">
      <xdr:nvSpPr>
        <xdr:cNvPr id="450" name="Line 455"/>
        <xdr:cNvSpPr>
          <a:spLocks noChangeShapeType="1"/>
        </xdr:cNvSpPr>
      </xdr:nvSpPr>
      <xdr:spPr bwMode="auto">
        <a:xfrm>
          <a:off x="1552575" y="49368075"/>
          <a:ext cx="285750" cy="1152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343</xdr:row>
      <xdr:rowOff>152400</xdr:rowOff>
    </xdr:from>
    <xdr:to>
      <xdr:col>2</xdr:col>
      <xdr:colOff>333375</xdr:colOff>
      <xdr:row>343</xdr:row>
      <xdr:rowOff>152400</xdr:rowOff>
    </xdr:to>
    <xdr:sp macro="" textlink="">
      <xdr:nvSpPr>
        <xdr:cNvPr id="451" name="Line 456"/>
        <xdr:cNvSpPr>
          <a:spLocks noChangeShapeType="1"/>
        </xdr:cNvSpPr>
      </xdr:nvSpPr>
      <xdr:spPr bwMode="auto">
        <a:xfrm flipH="1">
          <a:off x="1371600" y="49358550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142875</xdr:colOff>
      <xdr:row>346</xdr:row>
      <xdr:rowOff>0</xdr:rowOff>
    </xdr:from>
    <xdr:to>
      <xdr:col>2</xdr:col>
      <xdr:colOff>409575</xdr:colOff>
      <xdr:row>346</xdr:row>
      <xdr:rowOff>0</xdr:rowOff>
    </xdr:to>
    <xdr:sp macro="" textlink="">
      <xdr:nvSpPr>
        <xdr:cNvPr id="452" name="Line 457"/>
        <xdr:cNvSpPr>
          <a:spLocks noChangeShapeType="1"/>
        </xdr:cNvSpPr>
      </xdr:nvSpPr>
      <xdr:spPr bwMode="auto">
        <a:xfrm flipH="1">
          <a:off x="1362075" y="4969192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142875</xdr:colOff>
      <xdr:row>348</xdr:row>
      <xdr:rowOff>152400</xdr:rowOff>
    </xdr:from>
    <xdr:to>
      <xdr:col>2</xdr:col>
      <xdr:colOff>523875</xdr:colOff>
      <xdr:row>348</xdr:row>
      <xdr:rowOff>152400</xdr:rowOff>
    </xdr:to>
    <xdr:sp macro="" textlink="">
      <xdr:nvSpPr>
        <xdr:cNvPr id="453" name="Line 458"/>
        <xdr:cNvSpPr>
          <a:spLocks noChangeShapeType="1"/>
        </xdr:cNvSpPr>
      </xdr:nvSpPr>
      <xdr:spPr bwMode="auto">
        <a:xfrm flipH="1">
          <a:off x="1362075" y="501681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314325</xdr:colOff>
      <xdr:row>351</xdr:row>
      <xdr:rowOff>0</xdr:rowOff>
    </xdr:from>
    <xdr:to>
      <xdr:col>4</xdr:col>
      <xdr:colOff>0</xdr:colOff>
      <xdr:row>351</xdr:row>
      <xdr:rowOff>0</xdr:rowOff>
    </xdr:to>
    <xdr:sp macro="" textlink="">
      <xdr:nvSpPr>
        <xdr:cNvPr id="454" name="Line 459"/>
        <xdr:cNvSpPr>
          <a:spLocks noChangeShapeType="1"/>
        </xdr:cNvSpPr>
      </xdr:nvSpPr>
      <xdr:spPr bwMode="auto">
        <a:xfrm>
          <a:off x="2143125" y="5050155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304800</xdr:colOff>
      <xdr:row>350</xdr:row>
      <xdr:rowOff>152400</xdr:rowOff>
    </xdr:from>
    <xdr:to>
      <xdr:col>0</xdr:col>
      <xdr:colOff>533400</xdr:colOff>
      <xdr:row>350</xdr:row>
      <xdr:rowOff>152400</xdr:rowOff>
    </xdr:to>
    <xdr:sp macro="" textlink="">
      <xdr:nvSpPr>
        <xdr:cNvPr id="455" name="Line 460"/>
        <xdr:cNvSpPr>
          <a:spLocks noChangeShapeType="1"/>
        </xdr:cNvSpPr>
      </xdr:nvSpPr>
      <xdr:spPr bwMode="auto">
        <a:xfrm flipH="1" flipV="1">
          <a:off x="304800" y="504920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57150</xdr:colOff>
      <xdr:row>350</xdr:row>
      <xdr:rowOff>85725</xdr:rowOff>
    </xdr:from>
    <xdr:ext cx="95250" cy="170560"/>
    <xdr:sp macro="" textlink="">
      <xdr:nvSpPr>
        <xdr:cNvPr id="456" name="Text Box 461"/>
        <xdr:cNvSpPr txBox="1">
          <a:spLocks noChangeArrowheads="1"/>
        </xdr:cNvSpPr>
      </xdr:nvSpPr>
      <xdr:spPr bwMode="auto">
        <a:xfrm>
          <a:off x="2495550" y="50425350"/>
          <a:ext cx="95250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X</a:t>
          </a:r>
        </a:p>
      </xdr:txBody>
    </xdr:sp>
    <xdr:clientData/>
  </xdr:oneCellAnchor>
  <xdr:oneCellAnchor>
    <xdr:from>
      <xdr:col>0</xdr:col>
      <xdr:colOff>142876</xdr:colOff>
      <xdr:row>350</xdr:row>
      <xdr:rowOff>47625</xdr:rowOff>
    </xdr:from>
    <xdr:ext cx="114300" cy="170560"/>
    <xdr:sp macro="" textlink="">
      <xdr:nvSpPr>
        <xdr:cNvPr id="457" name="Text Box 462"/>
        <xdr:cNvSpPr txBox="1">
          <a:spLocks noChangeArrowheads="1"/>
        </xdr:cNvSpPr>
      </xdr:nvSpPr>
      <xdr:spPr bwMode="auto">
        <a:xfrm>
          <a:off x="142876" y="50387250"/>
          <a:ext cx="114300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X</a:t>
          </a:r>
        </a:p>
      </xdr:txBody>
    </xdr:sp>
    <xdr:clientData/>
  </xdr:oneCellAnchor>
  <xdr:twoCellAnchor>
    <xdr:from>
      <xdr:col>3</xdr:col>
      <xdr:colOff>57150</xdr:colOff>
      <xdr:row>344</xdr:row>
      <xdr:rowOff>0</xdr:rowOff>
    </xdr:from>
    <xdr:to>
      <xdr:col>3</xdr:col>
      <xdr:colOff>57150</xdr:colOff>
      <xdr:row>351</xdr:row>
      <xdr:rowOff>0</xdr:rowOff>
    </xdr:to>
    <xdr:sp macro="" textlink="">
      <xdr:nvSpPr>
        <xdr:cNvPr id="458" name="Line 463"/>
        <xdr:cNvSpPr>
          <a:spLocks noChangeShapeType="1"/>
        </xdr:cNvSpPr>
      </xdr:nvSpPr>
      <xdr:spPr bwMode="auto">
        <a:xfrm>
          <a:off x="1885950" y="49368075"/>
          <a:ext cx="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523875</xdr:colOff>
      <xdr:row>344</xdr:row>
      <xdr:rowOff>0</xdr:rowOff>
    </xdr:from>
    <xdr:to>
      <xdr:col>3</xdr:col>
      <xdr:colOff>200025</xdr:colOff>
      <xdr:row>344</xdr:row>
      <xdr:rowOff>0</xdr:rowOff>
    </xdr:to>
    <xdr:sp macro="" textlink="">
      <xdr:nvSpPr>
        <xdr:cNvPr id="459" name="Line 464"/>
        <xdr:cNvSpPr>
          <a:spLocks noChangeShapeType="1"/>
        </xdr:cNvSpPr>
      </xdr:nvSpPr>
      <xdr:spPr bwMode="auto">
        <a:xfrm>
          <a:off x="1743075" y="49368075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209550</xdr:colOff>
      <xdr:row>348</xdr:row>
      <xdr:rowOff>0</xdr:rowOff>
    </xdr:from>
    <xdr:to>
      <xdr:col>7</xdr:col>
      <xdr:colOff>266700</xdr:colOff>
      <xdr:row>348</xdr:row>
      <xdr:rowOff>0</xdr:rowOff>
    </xdr:to>
    <xdr:sp macro="" textlink="">
      <xdr:nvSpPr>
        <xdr:cNvPr id="460" name="Line 466"/>
        <xdr:cNvSpPr>
          <a:spLocks noChangeShapeType="1"/>
        </xdr:cNvSpPr>
      </xdr:nvSpPr>
      <xdr:spPr bwMode="auto">
        <a:xfrm>
          <a:off x="3867150" y="50015775"/>
          <a:ext cx="666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266700</xdr:colOff>
      <xdr:row>348</xdr:row>
      <xdr:rowOff>0</xdr:rowOff>
    </xdr:from>
    <xdr:to>
      <xdr:col>7</xdr:col>
      <xdr:colOff>266700</xdr:colOff>
      <xdr:row>352</xdr:row>
      <xdr:rowOff>0</xdr:rowOff>
    </xdr:to>
    <xdr:sp macro="" textlink="">
      <xdr:nvSpPr>
        <xdr:cNvPr id="461" name="Line 467"/>
        <xdr:cNvSpPr>
          <a:spLocks noChangeShapeType="1"/>
        </xdr:cNvSpPr>
      </xdr:nvSpPr>
      <xdr:spPr bwMode="auto">
        <a:xfrm flipH="1">
          <a:off x="4533900" y="50015775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428625</xdr:colOff>
      <xdr:row>343</xdr:row>
      <xdr:rowOff>0</xdr:rowOff>
    </xdr:from>
    <xdr:to>
      <xdr:col>7</xdr:col>
      <xdr:colOff>428625</xdr:colOff>
      <xdr:row>352</xdr:row>
      <xdr:rowOff>0</xdr:rowOff>
    </xdr:to>
    <xdr:sp macro="" textlink="">
      <xdr:nvSpPr>
        <xdr:cNvPr id="462" name="Line 469"/>
        <xdr:cNvSpPr>
          <a:spLocks noChangeShapeType="1"/>
        </xdr:cNvSpPr>
      </xdr:nvSpPr>
      <xdr:spPr bwMode="auto">
        <a:xfrm>
          <a:off x="4695825" y="49206150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343</xdr:row>
      <xdr:rowOff>0</xdr:rowOff>
    </xdr:from>
    <xdr:to>
      <xdr:col>8</xdr:col>
      <xdr:colOff>0</xdr:colOff>
      <xdr:row>352</xdr:row>
      <xdr:rowOff>0</xdr:rowOff>
    </xdr:to>
    <xdr:sp macro="" textlink="">
      <xdr:nvSpPr>
        <xdr:cNvPr id="463" name="Line 471"/>
        <xdr:cNvSpPr>
          <a:spLocks noChangeShapeType="1"/>
        </xdr:cNvSpPr>
      </xdr:nvSpPr>
      <xdr:spPr bwMode="auto">
        <a:xfrm flipH="1">
          <a:off x="4876800" y="49206150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438150</xdr:colOff>
      <xdr:row>351</xdr:row>
      <xdr:rowOff>47625</xdr:rowOff>
    </xdr:from>
    <xdr:to>
      <xdr:col>8</xdr:col>
      <xdr:colOff>9525</xdr:colOff>
      <xdr:row>351</xdr:row>
      <xdr:rowOff>47625</xdr:rowOff>
    </xdr:to>
    <xdr:sp macro="" textlink="">
      <xdr:nvSpPr>
        <xdr:cNvPr id="464" name="Line 472"/>
        <xdr:cNvSpPr>
          <a:spLocks noChangeShapeType="1"/>
        </xdr:cNvSpPr>
      </xdr:nvSpPr>
      <xdr:spPr bwMode="auto">
        <a:xfrm flipH="1">
          <a:off x="4705350" y="5054917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428625</xdr:colOff>
      <xdr:row>343</xdr:row>
      <xdr:rowOff>85725</xdr:rowOff>
    </xdr:from>
    <xdr:to>
      <xdr:col>8</xdr:col>
      <xdr:colOff>0</xdr:colOff>
      <xdr:row>343</xdr:row>
      <xdr:rowOff>85725</xdr:rowOff>
    </xdr:to>
    <xdr:sp macro="" textlink="">
      <xdr:nvSpPr>
        <xdr:cNvPr id="465" name="Line 473"/>
        <xdr:cNvSpPr>
          <a:spLocks noChangeShapeType="1"/>
        </xdr:cNvSpPr>
      </xdr:nvSpPr>
      <xdr:spPr bwMode="auto">
        <a:xfrm flipH="1">
          <a:off x="4695825" y="4929187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438150</xdr:colOff>
      <xdr:row>345</xdr:row>
      <xdr:rowOff>95250</xdr:rowOff>
    </xdr:from>
    <xdr:to>
      <xdr:col>7</xdr:col>
      <xdr:colOff>600075</xdr:colOff>
      <xdr:row>345</xdr:row>
      <xdr:rowOff>95250</xdr:rowOff>
    </xdr:to>
    <xdr:sp macro="" textlink="">
      <xdr:nvSpPr>
        <xdr:cNvPr id="466" name="Line 474"/>
        <xdr:cNvSpPr>
          <a:spLocks noChangeShapeType="1"/>
        </xdr:cNvSpPr>
      </xdr:nvSpPr>
      <xdr:spPr bwMode="auto">
        <a:xfrm flipH="1">
          <a:off x="4705350" y="4962525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438150</xdr:colOff>
      <xdr:row>348</xdr:row>
      <xdr:rowOff>152400</xdr:rowOff>
    </xdr:from>
    <xdr:to>
      <xdr:col>7</xdr:col>
      <xdr:colOff>600075</xdr:colOff>
      <xdr:row>348</xdr:row>
      <xdr:rowOff>152400</xdr:rowOff>
    </xdr:to>
    <xdr:sp macro="" textlink="">
      <xdr:nvSpPr>
        <xdr:cNvPr id="467" name="Line 475"/>
        <xdr:cNvSpPr>
          <a:spLocks noChangeShapeType="1"/>
        </xdr:cNvSpPr>
      </xdr:nvSpPr>
      <xdr:spPr bwMode="auto">
        <a:xfrm flipH="1">
          <a:off x="4705350" y="501681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428625</xdr:colOff>
      <xdr:row>347</xdr:row>
      <xdr:rowOff>47625</xdr:rowOff>
    </xdr:from>
    <xdr:to>
      <xdr:col>8</xdr:col>
      <xdr:colOff>0</xdr:colOff>
      <xdr:row>347</xdr:row>
      <xdr:rowOff>47625</xdr:rowOff>
    </xdr:to>
    <xdr:sp macro="" textlink="">
      <xdr:nvSpPr>
        <xdr:cNvPr id="468" name="Line 476"/>
        <xdr:cNvSpPr>
          <a:spLocks noChangeShapeType="1"/>
        </xdr:cNvSpPr>
      </xdr:nvSpPr>
      <xdr:spPr bwMode="auto">
        <a:xfrm flipH="1">
          <a:off x="4695825" y="4990147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7</xdr:col>
      <xdr:colOff>161925</xdr:colOff>
      <xdr:row>352</xdr:row>
      <xdr:rowOff>0</xdr:rowOff>
    </xdr:from>
    <xdr:to>
      <xdr:col>7</xdr:col>
      <xdr:colOff>295275</xdr:colOff>
      <xdr:row>352</xdr:row>
      <xdr:rowOff>0</xdr:rowOff>
    </xdr:to>
    <xdr:sp macro="" textlink="">
      <xdr:nvSpPr>
        <xdr:cNvPr id="469" name="Line 477"/>
        <xdr:cNvSpPr>
          <a:spLocks noChangeShapeType="1"/>
        </xdr:cNvSpPr>
      </xdr:nvSpPr>
      <xdr:spPr bwMode="auto">
        <a:xfrm>
          <a:off x="4429125" y="506634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295275</xdr:colOff>
      <xdr:row>351</xdr:row>
      <xdr:rowOff>114300</xdr:rowOff>
    </xdr:from>
    <xdr:to>
      <xdr:col>7</xdr:col>
      <xdr:colOff>295275</xdr:colOff>
      <xdr:row>352</xdr:row>
      <xdr:rowOff>0</xdr:rowOff>
    </xdr:to>
    <xdr:sp macro="" textlink="">
      <xdr:nvSpPr>
        <xdr:cNvPr id="470" name="Line 478"/>
        <xdr:cNvSpPr>
          <a:spLocks noChangeShapeType="1"/>
        </xdr:cNvSpPr>
      </xdr:nvSpPr>
      <xdr:spPr bwMode="auto">
        <a:xfrm flipV="1">
          <a:off x="4562475" y="50615850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351</xdr:row>
      <xdr:rowOff>123825</xdr:rowOff>
    </xdr:from>
    <xdr:to>
      <xdr:col>7</xdr:col>
      <xdr:colOff>361950</xdr:colOff>
      <xdr:row>352</xdr:row>
      <xdr:rowOff>57150</xdr:rowOff>
    </xdr:to>
    <xdr:sp macro="" textlink="">
      <xdr:nvSpPr>
        <xdr:cNvPr id="471" name="Line 479"/>
        <xdr:cNvSpPr>
          <a:spLocks noChangeShapeType="1"/>
        </xdr:cNvSpPr>
      </xdr:nvSpPr>
      <xdr:spPr bwMode="auto">
        <a:xfrm>
          <a:off x="4572000" y="50625375"/>
          <a:ext cx="571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371475</xdr:colOff>
      <xdr:row>352</xdr:row>
      <xdr:rowOff>0</xdr:rowOff>
    </xdr:from>
    <xdr:to>
      <xdr:col>7</xdr:col>
      <xdr:colOff>371475</xdr:colOff>
      <xdr:row>352</xdr:row>
      <xdr:rowOff>57150</xdr:rowOff>
    </xdr:to>
    <xdr:sp macro="" textlink="">
      <xdr:nvSpPr>
        <xdr:cNvPr id="472" name="Line 480"/>
        <xdr:cNvSpPr>
          <a:spLocks noChangeShapeType="1"/>
        </xdr:cNvSpPr>
      </xdr:nvSpPr>
      <xdr:spPr bwMode="auto">
        <a:xfrm flipV="1">
          <a:off x="4638675" y="50663475"/>
          <a:ext cx="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371475</xdr:colOff>
      <xdr:row>352</xdr:row>
      <xdr:rowOff>0</xdr:rowOff>
    </xdr:from>
    <xdr:to>
      <xdr:col>8</xdr:col>
      <xdr:colOff>85725</xdr:colOff>
      <xdr:row>352</xdr:row>
      <xdr:rowOff>0</xdr:rowOff>
    </xdr:to>
    <xdr:sp macro="" textlink="">
      <xdr:nvSpPr>
        <xdr:cNvPr id="473" name="Line 481"/>
        <xdr:cNvSpPr>
          <a:spLocks noChangeShapeType="1"/>
        </xdr:cNvSpPr>
      </xdr:nvSpPr>
      <xdr:spPr bwMode="auto">
        <a:xfrm>
          <a:off x="4638675" y="5066347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342</xdr:row>
      <xdr:rowOff>123825</xdr:rowOff>
    </xdr:from>
    <xdr:to>
      <xdr:col>7</xdr:col>
      <xdr:colOff>361950</xdr:colOff>
      <xdr:row>343</xdr:row>
      <xdr:rowOff>57150</xdr:rowOff>
    </xdr:to>
    <xdr:sp macro="" textlink="">
      <xdr:nvSpPr>
        <xdr:cNvPr id="474" name="Line 484"/>
        <xdr:cNvSpPr>
          <a:spLocks noChangeShapeType="1"/>
        </xdr:cNvSpPr>
      </xdr:nvSpPr>
      <xdr:spPr bwMode="auto">
        <a:xfrm>
          <a:off x="4572000" y="49168050"/>
          <a:ext cx="571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371475</xdr:colOff>
      <xdr:row>343</xdr:row>
      <xdr:rowOff>0</xdr:rowOff>
    </xdr:from>
    <xdr:to>
      <xdr:col>7</xdr:col>
      <xdr:colOff>371475</xdr:colOff>
      <xdr:row>343</xdr:row>
      <xdr:rowOff>57150</xdr:rowOff>
    </xdr:to>
    <xdr:sp macro="" textlink="">
      <xdr:nvSpPr>
        <xdr:cNvPr id="475" name="Line 485"/>
        <xdr:cNvSpPr>
          <a:spLocks noChangeShapeType="1"/>
        </xdr:cNvSpPr>
      </xdr:nvSpPr>
      <xdr:spPr bwMode="auto">
        <a:xfrm flipV="1">
          <a:off x="4638675" y="49206150"/>
          <a:ext cx="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304800</xdr:colOff>
      <xdr:row>342</xdr:row>
      <xdr:rowOff>123825</xdr:rowOff>
    </xdr:from>
    <xdr:to>
      <xdr:col>7</xdr:col>
      <xdr:colOff>361950</xdr:colOff>
      <xdr:row>343</xdr:row>
      <xdr:rowOff>57150</xdr:rowOff>
    </xdr:to>
    <xdr:sp macro="" textlink="">
      <xdr:nvSpPr>
        <xdr:cNvPr id="476" name="Line 489"/>
        <xdr:cNvSpPr>
          <a:spLocks noChangeShapeType="1"/>
        </xdr:cNvSpPr>
      </xdr:nvSpPr>
      <xdr:spPr bwMode="auto">
        <a:xfrm>
          <a:off x="4572000" y="49168050"/>
          <a:ext cx="571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371475</xdr:colOff>
      <xdr:row>343</xdr:row>
      <xdr:rowOff>0</xdr:rowOff>
    </xdr:from>
    <xdr:to>
      <xdr:col>7</xdr:col>
      <xdr:colOff>371475</xdr:colOff>
      <xdr:row>343</xdr:row>
      <xdr:rowOff>57150</xdr:rowOff>
    </xdr:to>
    <xdr:sp macro="" textlink="">
      <xdr:nvSpPr>
        <xdr:cNvPr id="477" name="Line 490"/>
        <xdr:cNvSpPr>
          <a:spLocks noChangeShapeType="1"/>
        </xdr:cNvSpPr>
      </xdr:nvSpPr>
      <xdr:spPr bwMode="auto">
        <a:xfrm flipV="1">
          <a:off x="4638675" y="49206150"/>
          <a:ext cx="0" cy="57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561975</xdr:colOff>
      <xdr:row>348</xdr:row>
      <xdr:rowOff>0</xdr:rowOff>
    </xdr:from>
    <xdr:to>
      <xdr:col>6</xdr:col>
      <xdr:colOff>76200</xdr:colOff>
      <xdr:row>348</xdr:row>
      <xdr:rowOff>0</xdr:rowOff>
    </xdr:to>
    <xdr:sp macro="" textlink="">
      <xdr:nvSpPr>
        <xdr:cNvPr id="478" name="Line 493"/>
        <xdr:cNvSpPr>
          <a:spLocks noChangeShapeType="1"/>
        </xdr:cNvSpPr>
      </xdr:nvSpPr>
      <xdr:spPr bwMode="auto">
        <a:xfrm>
          <a:off x="3609975" y="50015775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219075</xdr:colOff>
      <xdr:row>350</xdr:row>
      <xdr:rowOff>9525</xdr:rowOff>
    </xdr:from>
    <xdr:to>
      <xdr:col>7</xdr:col>
      <xdr:colOff>266700</xdr:colOff>
      <xdr:row>350</xdr:row>
      <xdr:rowOff>9525</xdr:rowOff>
    </xdr:to>
    <xdr:sp macro="" textlink="">
      <xdr:nvSpPr>
        <xdr:cNvPr id="479" name="Line 495"/>
        <xdr:cNvSpPr>
          <a:spLocks noChangeShapeType="1"/>
        </xdr:cNvSpPr>
      </xdr:nvSpPr>
      <xdr:spPr bwMode="auto">
        <a:xfrm>
          <a:off x="3876675" y="50349150"/>
          <a:ext cx="657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6</xdr:col>
      <xdr:colOff>209550</xdr:colOff>
      <xdr:row>349</xdr:row>
      <xdr:rowOff>114300</xdr:rowOff>
    </xdr:from>
    <xdr:to>
      <xdr:col>6</xdr:col>
      <xdr:colOff>209550</xdr:colOff>
      <xdr:row>350</xdr:row>
      <xdr:rowOff>95250</xdr:rowOff>
    </xdr:to>
    <xdr:sp macro="" textlink="">
      <xdr:nvSpPr>
        <xdr:cNvPr id="480" name="Line 496"/>
        <xdr:cNvSpPr>
          <a:spLocks noChangeShapeType="1"/>
        </xdr:cNvSpPr>
      </xdr:nvSpPr>
      <xdr:spPr bwMode="auto">
        <a:xfrm flipH="1">
          <a:off x="3867150" y="5029200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276225</xdr:colOff>
      <xdr:row>353</xdr:row>
      <xdr:rowOff>114300</xdr:rowOff>
    </xdr:from>
    <xdr:to>
      <xdr:col>7</xdr:col>
      <xdr:colOff>276225</xdr:colOff>
      <xdr:row>354</xdr:row>
      <xdr:rowOff>47625</xdr:rowOff>
    </xdr:to>
    <xdr:sp macro="" textlink="">
      <xdr:nvSpPr>
        <xdr:cNvPr id="481" name="Line 497"/>
        <xdr:cNvSpPr>
          <a:spLocks noChangeShapeType="1"/>
        </xdr:cNvSpPr>
      </xdr:nvSpPr>
      <xdr:spPr bwMode="auto">
        <a:xfrm>
          <a:off x="4543425" y="509397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438150</xdr:colOff>
      <xdr:row>353</xdr:row>
      <xdr:rowOff>95250</xdr:rowOff>
    </xdr:from>
    <xdr:to>
      <xdr:col>7</xdr:col>
      <xdr:colOff>438150</xdr:colOff>
      <xdr:row>354</xdr:row>
      <xdr:rowOff>38100</xdr:rowOff>
    </xdr:to>
    <xdr:sp macro="" textlink="">
      <xdr:nvSpPr>
        <xdr:cNvPr id="482" name="Line 498"/>
        <xdr:cNvSpPr>
          <a:spLocks noChangeShapeType="1"/>
        </xdr:cNvSpPr>
      </xdr:nvSpPr>
      <xdr:spPr bwMode="auto">
        <a:xfrm>
          <a:off x="4705350" y="509206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276225</xdr:colOff>
      <xdr:row>354</xdr:row>
      <xdr:rowOff>0</xdr:rowOff>
    </xdr:from>
    <xdr:to>
      <xdr:col>7</xdr:col>
      <xdr:colOff>438150</xdr:colOff>
      <xdr:row>354</xdr:row>
      <xdr:rowOff>0</xdr:rowOff>
    </xdr:to>
    <xdr:sp macro="" textlink="">
      <xdr:nvSpPr>
        <xdr:cNvPr id="483" name="Line 499"/>
        <xdr:cNvSpPr>
          <a:spLocks noChangeShapeType="1"/>
        </xdr:cNvSpPr>
      </xdr:nvSpPr>
      <xdr:spPr bwMode="auto">
        <a:xfrm>
          <a:off x="4543425" y="5098732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3</xdr:col>
      <xdr:colOff>457200</xdr:colOff>
      <xdr:row>346</xdr:row>
      <xdr:rowOff>152400</xdr:rowOff>
    </xdr:from>
    <xdr:ext cx="123825" cy="180975"/>
    <xdr:sp macro="" textlink="">
      <xdr:nvSpPr>
        <xdr:cNvPr id="484" name="Text Box 500"/>
        <xdr:cNvSpPr txBox="1">
          <a:spLocks noChangeArrowheads="1"/>
        </xdr:cNvSpPr>
      </xdr:nvSpPr>
      <xdr:spPr bwMode="auto">
        <a:xfrm>
          <a:off x="2286000" y="498443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476250</xdr:colOff>
      <xdr:row>352</xdr:row>
      <xdr:rowOff>152400</xdr:rowOff>
    </xdr:from>
    <xdr:ext cx="123825" cy="180975"/>
    <xdr:sp macro="" textlink="">
      <xdr:nvSpPr>
        <xdr:cNvPr id="485" name="Text Box 502"/>
        <xdr:cNvSpPr txBox="1">
          <a:spLocks noChangeArrowheads="1"/>
        </xdr:cNvSpPr>
      </xdr:nvSpPr>
      <xdr:spPr bwMode="auto">
        <a:xfrm>
          <a:off x="4743450" y="508158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0</xdr:colOff>
      <xdr:row>348</xdr:row>
      <xdr:rowOff>152400</xdr:rowOff>
    </xdr:from>
    <xdr:ext cx="123825" cy="180975"/>
    <xdr:sp macro="" textlink="">
      <xdr:nvSpPr>
        <xdr:cNvPr id="486" name="Text Box 503"/>
        <xdr:cNvSpPr txBox="1">
          <a:spLocks noChangeArrowheads="1"/>
        </xdr:cNvSpPr>
      </xdr:nvSpPr>
      <xdr:spPr bwMode="auto">
        <a:xfrm>
          <a:off x="4267200" y="501681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200025</xdr:colOff>
      <xdr:row>343</xdr:row>
      <xdr:rowOff>0</xdr:rowOff>
    </xdr:from>
    <xdr:to>
      <xdr:col>8</xdr:col>
      <xdr:colOff>200025</xdr:colOff>
      <xdr:row>352</xdr:row>
      <xdr:rowOff>0</xdr:rowOff>
    </xdr:to>
    <xdr:sp macro="" textlink="">
      <xdr:nvSpPr>
        <xdr:cNvPr id="487" name="Line 505"/>
        <xdr:cNvSpPr>
          <a:spLocks noChangeShapeType="1"/>
        </xdr:cNvSpPr>
      </xdr:nvSpPr>
      <xdr:spPr bwMode="auto">
        <a:xfrm>
          <a:off x="5076825" y="49206150"/>
          <a:ext cx="0" cy="14573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8</xdr:col>
      <xdr:colOff>161925</xdr:colOff>
      <xdr:row>352</xdr:row>
      <xdr:rowOff>0</xdr:rowOff>
    </xdr:from>
    <xdr:to>
      <xdr:col>8</xdr:col>
      <xdr:colOff>295275</xdr:colOff>
      <xdr:row>352</xdr:row>
      <xdr:rowOff>0</xdr:rowOff>
    </xdr:to>
    <xdr:sp macro="" textlink="">
      <xdr:nvSpPr>
        <xdr:cNvPr id="488" name="Line 507"/>
        <xdr:cNvSpPr>
          <a:spLocks noChangeShapeType="1"/>
        </xdr:cNvSpPr>
      </xdr:nvSpPr>
      <xdr:spPr bwMode="auto">
        <a:xfrm>
          <a:off x="5038725" y="506634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238125</xdr:colOff>
      <xdr:row>342</xdr:row>
      <xdr:rowOff>143671</xdr:rowOff>
    </xdr:from>
    <xdr:to>
      <xdr:col>7</xdr:col>
      <xdr:colOff>248443</xdr:colOff>
      <xdr:row>345</xdr:row>
      <xdr:rowOff>161924</xdr:rowOff>
    </xdr:to>
    <xdr:cxnSp macro="">
      <xdr:nvCxnSpPr>
        <xdr:cNvPr id="489" name="Straight Connector 488"/>
        <xdr:cNvCxnSpPr/>
      </xdr:nvCxnSpPr>
      <xdr:spPr bwMode="auto">
        <a:xfrm rot="5400000" flipH="1" flipV="1">
          <a:off x="4258470" y="49434751"/>
          <a:ext cx="504028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600076</xdr:colOff>
      <xdr:row>345</xdr:row>
      <xdr:rowOff>152402</xdr:rowOff>
    </xdr:from>
    <xdr:to>
      <xdr:col>6</xdr:col>
      <xdr:colOff>1</xdr:colOff>
      <xdr:row>347</xdr:row>
      <xdr:rowOff>152402</xdr:rowOff>
    </xdr:to>
    <xdr:cxnSp macro="">
      <xdr:nvCxnSpPr>
        <xdr:cNvPr id="490" name="Straight Connector 489"/>
        <xdr:cNvCxnSpPr/>
      </xdr:nvCxnSpPr>
      <xdr:spPr bwMode="auto">
        <a:xfrm rot="5400000" flipH="1" flipV="1">
          <a:off x="3490914" y="49839564"/>
          <a:ext cx="3238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190500</xdr:colOff>
      <xdr:row>346</xdr:row>
      <xdr:rowOff>0</xdr:rowOff>
    </xdr:from>
    <xdr:to>
      <xdr:col>7</xdr:col>
      <xdr:colOff>228600</xdr:colOff>
      <xdr:row>346</xdr:row>
      <xdr:rowOff>1588</xdr:rowOff>
    </xdr:to>
    <xdr:cxnSp macro="">
      <xdr:nvCxnSpPr>
        <xdr:cNvPr id="491" name="Straight Connector 490"/>
        <xdr:cNvCxnSpPr/>
      </xdr:nvCxnSpPr>
      <xdr:spPr bwMode="auto">
        <a:xfrm rot="10800000">
          <a:off x="3848100" y="49691925"/>
          <a:ext cx="6477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208756</xdr:colOff>
      <xdr:row>346</xdr:row>
      <xdr:rowOff>10319</xdr:rowOff>
    </xdr:from>
    <xdr:to>
      <xdr:col>6</xdr:col>
      <xdr:colOff>210344</xdr:colOff>
      <xdr:row>348</xdr:row>
      <xdr:rowOff>794</xdr:rowOff>
    </xdr:to>
    <xdr:cxnSp macro="">
      <xdr:nvCxnSpPr>
        <xdr:cNvPr id="492" name="Straight Connector 491"/>
        <xdr:cNvCxnSpPr>
          <a:stCxn id="460" idx="0"/>
        </xdr:cNvCxnSpPr>
      </xdr:nvCxnSpPr>
      <xdr:spPr bwMode="auto">
        <a:xfrm rot="5400000" flipH="1">
          <a:off x="3709987" y="49858613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371475</xdr:colOff>
      <xdr:row>343</xdr:row>
      <xdr:rowOff>9525</xdr:rowOff>
    </xdr:from>
    <xdr:to>
      <xdr:col>8</xdr:col>
      <xdr:colOff>514350</xdr:colOff>
      <xdr:row>343</xdr:row>
      <xdr:rowOff>19050</xdr:rowOff>
    </xdr:to>
    <xdr:cxnSp macro="">
      <xdr:nvCxnSpPr>
        <xdr:cNvPr id="493" name="Straight Connector 492"/>
        <xdr:cNvCxnSpPr/>
      </xdr:nvCxnSpPr>
      <xdr:spPr bwMode="auto">
        <a:xfrm>
          <a:off x="4638675" y="49215675"/>
          <a:ext cx="7524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428625</xdr:colOff>
      <xdr:row>342</xdr:row>
      <xdr:rowOff>152400</xdr:rowOff>
    </xdr:from>
    <xdr:to>
      <xdr:col>7</xdr:col>
      <xdr:colOff>333375</xdr:colOff>
      <xdr:row>342</xdr:row>
      <xdr:rowOff>153988</xdr:rowOff>
    </xdr:to>
    <xdr:cxnSp macro="">
      <xdr:nvCxnSpPr>
        <xdr:cNvPr id="494" name="Straight Connector 493"/>
        <xdr:cNvCxnSpPr/>
      </xdr:nvCxnSpPr>
      <xdr:spPr bwMode="auto">
        <a:xfrm>
          <a:off x="4086225" y="49196625"/>
          <a:ext cx="5143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485775</xdr:colOff>
      <xdr:row>346</xdr:row>
      <xdr:rowOff>0</xdr:rowOff>
    </xdr:from>
    <xdr:to>
      <xdr:col>6</xdr:col>
      <xdr:colOff>123825</xdr:colOff>
      <xdr:row>346</xdr:row>
      <xdr:rowOff>1588</xdr:rowOff>
    </xdr:to>
    <xdr:cxnSp macro="">
      <xdr:nvCxnSpPr>
        <xdr:cNvPr id="495" name="Straight Connector 494"/>
        <xdr:cNvCxnSpPr/>
      </xdr:nvCxnSpPr>
      <xdr:spPr bwMode="auto">
        <a:xfrm>
          <a:off x="3533775" y="49691925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323850</xdr:colOff>
      <xdr:row>344</xdr:row>
      <xdr:rowOff>95250</xdr:rowOff>
    </xdr:from>
    <xdr:to>
      <xdr:col>6</xdr:col>
      <xdr:colOff>381000</xdr:colOff>
      <xdr:row>344</xdr:row>
      <xdr:rowOff>96838</xdr:rowOff>
    </xdr:to>
    <xdr:cxnSp macro="">
      <xdr:nvCxnSpPr>
        <xdr:cNvPr id="496" name="Straight Arrow Connector 495"/>
        <xdr:cNvCxnSpPr/>
      </xdr:nvCxnSpPr>
      <xdr:spPr bwMode="auto">
        <a:xfrm>
          <a:off x="3371850" y="49463325"/>
          <a:ext cx="666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370682</xdr:colOff>
      <xdr:row>344</xdr:row>
      <xdr:rowOff>96044</xdr:rowOff>
    </xdr:from>
    <xdr:to>
      <xdr:col>6</xdr:col>
      <xdr:colOff>372270</xdr:colOff>
      <xdr:row>345</xdr:row>
      <xdr:rowOff>153194</xdr:rowOff>
    </xdr:to>
    <xdr:cxnSp macro="">
      <xdr:nvCxnSpPr>
        <xdr:cNvPr id="497" name="Straight Arrow Connector 496"/>
        <xdr:cNvCxnSpPr/>
      </xdr:nvCxnSpPr>
      <xdr:spPr bwMode="auto">
        <a:xfrm rot="5400000">
          <a:off x="3919538" y="49572863"/>
          <a:ext cx="219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47625</xdr:colOff>
      <xdr:row>402</xdr:row>
      <xdr:rowOff>152400</xdr:rowOff>
    </xdr:from>
    <xdr:to>
      <xdr:col>8</xdr:col>
      <xdr:colOff>352425</xdr:colOff>
      <xdr:row>402</xdr:row>
      <xdr:rowOff>153988</xdr:rowOff>
    </xdr:to>
    <xdr:cxnSp macro="">
      <xdr:nvCxnSpPr>
        <xdr:cNvPr id="498" name="Straight Connector 497"/>
        <xdr:cNvCxnSpPr/>
      </xdr:nvCxnSpPr>
      <xdr:spPr bwMode="auto">
        <a:xfrm>
          <a:off x="47625" y="64531875"/>
          <a:ext cx="5181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247651</xdr:colOff>
      <xdr:row>400</xdr:row>
      <xdr:rowOff>66675</xdr:rowOff>
    </xdr:from>
    <xdr:to>
      <xdr:col>0</xdr:col>
      <xdr:colOff>257176</xdr:colOff>
      <xdr:row>402</xdr:row>
      <xdr:rowOff>152400</xdr:rowOff>
    </xdr:to>
    <xdr:cxnSp macro="">
      <xdr:nvCxnSpPr>
        <xdr:cNvPr id="499" name="Straight Arrow Connector 498"/>
        <xdr:cNvCxnSpPr/>
      </xdr:nvCxnSpPr>
      <xdr:spPr bwMode="auto">
        <a:xfrm rot="5400000">
          <a:off x="47626" y="64322325"/>
          <a:ext cx="4095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95251</xdr:colOff>
      <xdr:row>400</xdr:row>
      <xdr:rowOff>66675</xdr:rowOff>
    </xdr:from>
    <xdr:to>
      <xdr:col>8</xdr:col>
      <xdr:colOff>104776</xdr:colOff>
      <xdr:row>402</xdr:row>
      <xdr:rowOff>152400</xdr:rowOff>
    </xdr:to>
    <xdr:cxnSp macro="">
      <xdr:nvCxnSpPr>
        <xdr:cNvPr id="500" name="Straight Arrow Connector 499"/>
        <xdr:cNvCxnSpPr/>
      </xdr:nvCxnSpPr>
      <xdr:spPr bwMode="auto">
        <a:xfrm rot="5400000">
          <a:off x="4772026" y="64322325"/>
          <a:ext cx="4095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209550</xdr:colOff>
      <xdr:row>400</xdr:row>
      <xdr:rowOff>57150</xdr:rowOff>
    </xdr:from>
    <xdr:to>
      <xdr:col>2</xdr:col>
      <xdr:colOff>219075</xdr:colOff>
      <xdr:row>402</xdr:row>
      <xdr:rowOff>142875</xdr:rowOff>
    </xdr:to>
    <xdr:cxnSp macro="">
      <xdr:nvCxnSpPr>
        <xdr:cNvPr id="501" name="Straight Arrow Connector 500"/>
        <xdr:cNvCxnSpPr/>
      </xdr:nvCxnSpPr>
      <xdr:spPr bwMode="auto">
        <a:xfrm rot="5400000">
          <a:off x="1228725" y="64312800"/>
          <a:ext cx="4095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104775</xdr:colOff>
      <xdr:row>400</xdr:row>
      <xdr:rowOff>85725</xdr:rowOff>
    </xdr:from>
    <xdr:to>
      <xdr:col>4</xdr:col>
      <xdr:colOff>114300</xdr:colOff>
      <xdr:row>403</xdr:row>
      <xdr:rowOff>9525</xdr:rowOff>
    </xdr:to>
    <xdr:cxnSp macro="">
      <xdr:nvCxnSpPr>
        <xdr:cNvPr id="502" name="Straight Arrow Connector 501"/>
        <xdr:cNvCxnSpPr/>
      </xdr:nvCxnSpPr>
      <xdr:spPr bwMode="auto">
        <a:xfrm rot="5400000">
          <a:off x="2343150" y="64341375"/>
          <a:ext cx="4095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9525</xdr:colOff>
      <xdr:row>400</xdr:row>
      <xdr:rowOff>85725</xdr:rowOff>
    </xdr:from>
    <xdr:to>
      <xdr:col>6</xdr:col>
      <xdr:colOff>19050</xdr:colOff>
      <xdr:row>403</xdr:row>
      <xdr:rowOff>9525</xdr:rowOff>
    </xdr:to>
    <xdr:cxnSp macro="">
      <xdr:nvCxnSpPr>
        <xdr:cNvPr id="503" name="Straight Arrow Connector 502"/>
        <xdr:cNvCxnSpPr/>
      </xdr:nvCxnSpPr>
      <xdr:spPr bwMode="auto">
        <a:xfrm rot="5400000">
          <a:off x="3467100" y="64341375"/>
          <a:ext cx="4095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64767</xdr:colOff>
      <xdr:row>402</xdr:row>
      <xdr:rowOff>19050</xdr:rowOff>
    </xdr:from>
    <xdr:to>
      <xdr:col>0</xdr:col>
      <xdr:colOff>381000</xdr:colOff>
      <xdr:row>404</xdr:row>
      <xdr:rowOff>123825</xdr:rowOff>
    </xdr:to>
    <xdr:sp macro="" textlink="">
      <xdr:nvSpPr>
        <xdr:cNvPr id="504" name="Arc 503"/>
        <xdr:cNvSpPr/>
      </xdr:nvSpPr>
      <xdr:spPr bwMode="auto">
        <a:xfrm flipH="1">
          <a:off x="64767" y="64398525"/>
          <a:ext cx="316233" cy="428625"/>
        </a:xfrm>
        <a:prstGeom prst="arc">
          <a:avLst>
            <a:gd name="adj1" fmla="val 16200000"/>
            <a:gd name="adj2" fmla="val 444663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8</xdr:col>
      <xdr:colOff>19050</xdr:colOff>
      <xdr:row>401</xdr:row>
      <xdr:rowOff>85725</xdr:rowOff>
    </xdr:from>
    <xdr:to>
      <xdr:col>8</xdr:col>
      <xdr:colOff>333375</xdr:colOff>
      <xdr:row>403</xdr:row>
      <xdr:rowOff>85725</xdr:rowOff>
    </xdr:to>
    <xdr:sp macro="" textlink="">
      <xdr:nvSpPr>
        <xdr:cNvPr id="505" name="Arc 504"/>
        <xdr:cNvSpPr/>
      </xdr:nvSpPr>
      <xdr:spPr bwMode="auto">
        <a:xfrm>
          <a:off x="4895850" y="64303275"/>
          <a:ext cx="314325" cy="323850"/>
        </a:xfrm>
        <a:prstGeom prst="arc">
          <a:avLst>
            <a:gd name="adj1" fmla="val 16200000"/>
            <a:gd name="adj2" fmla="val 362767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38100</xdr:colOff>
      <xdr:row>406</xdr:row>
      <xdr:rowOff>152400</xdr:rowOff>
    </xdr:from>
    <xdr:to>
      <xdr:col>8</xdr:col>
      <xdr:colOff>342900</xdr:colOff>
      <xdr:row>406</xdr:row>
      <xdr:rowOff>153988</xdr:rowOff>
    </xdr:to>
    <xdr:cxnSp macro="">
      <xdr:nvCxnSpPr>
        <xdr:cNvPr id="506" name="Straight Connector 505"/>
        <xdr:cNvCxnSpPr/>
      </xdr:nvCxnSpPr>
      <xdr:spPr bwMode="auto">
        <a:xfrm>
          <a:off x="38100" y="65179575"/>
          <a:ext cx="5181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104776</xdr:colOff>
      <xdr:row>404</xdr:row>
      <xdr:rowOff>10318</xdr:rowOff>
    </xdr:from>
    <xdr:to>
      <xdr:col>8</xdr:col>
      <xdr:colOff>105570</xdr:colOff>
      <xdr:row>423</xdr:row>
      <xdr:rowOff>9524</xdr:rowOff>
    </xdr:to>
    <xdr:cxnSp macro="">
      <xdr:nvCxnSpPr>
        <xdr:cNvPr id="507" name="Straight Connector 506"/>
        <xdr:cNvCxnSpPr/>
      </xdr:nvCxnSpPr>
      <xdr:spPr bwMode="auto">
        <a:xfrm rot="5400000">
          <a:off x="3444082" y="66251137"/>
          <a:ext cx="3075781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95251</xdr:colOff>
      <xdr:row>405</xdr:row>
      <xdr:rowOff>29368</xdr:rowOff>
    </xdr:from>
    <xdr:to>
      <xdr:col>4</xdr:col>
      <xdr:colOff>96045</xdr:colOff>
      <xdr:row>422</xdr:row>
      <xdr:rowOff>161924</xdr:rowOff>
    </xdr:to>
    <xdr:cxnSp macro="">
      <xdr:nvCxnSpPr>
        <xdr:cNvPr id="508" name="Straight Connector 507"/>
        <xdr:cNvCxnSpPr/>
      </xdr:nvCxnSpPr>
      <xdr:spPr bwMode="auto">
        <a:xfrm rot="5400000">
          <a:off x="1091407" y="66336862"/>
          <a:ext cx="2885281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404</xdr:row>
      <xdr:rowOff>153194</xdr:rowOff>
    </xdr:from>
    <xdr:to>
      <xdr:col>6</xdr:col>
      <xdr:colOff>794</xdr:colOff>
      <xdr:row>422</xdr:row>
      <xdr:rowOff>152400</xdr:rowOff>
    </xdr:to>
    <xdr:cxnSp macro="">
      <xdr:nvCxnSpPr>
        <xdr:cNvPr id="509" name="Straight Connector 508"/>
        <xdr:cNvCxnSpPr/>
      </xdr:nvCxnSpPr>
      <xdr:spPr bwMode="auto">
        <a:xfrm rot="5400000">
          <a:off x="2201069" y="66313050"/>
          <a:ext cx="2913856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247650</xdr:colOff>
      <xdr:row>414</xdr:row>
      <xdr:rowOff>0</xdr:rowOff>
    </xdr:from>
    <xdr:to>
      <xdr:col>8</xdr:col>
      <xdr:colOff>95250</xdr:colOff>
      <xdr:row>414</xdr:row>
      <xdr:rowOff>9525</xdr:rowOff>
    </xdr:to>
    <xdr:cxnSp macro="">
      <xdr:nvCxnSpPr>
        <xdr:cNvPr id="510" name="Straight Connector 509"/>
        <xdr:cNvCxnSpPr/>
      </xdr:nvCxnSpPr>
      <xdr:spPr bwMode="auto">
        <a:xfrm flipV="1">
          <a:off x="247650" y="66322575"/>
          <a:ext cx="47244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228600</xdr:colOff>
      <xdr:row>412</xdr:row>
      <xdr:rowOff>38100</xdr:rowOff>
    </xdr:from>
    <xdr:to>
      <xdr:col>2</xdr:col>
      <xdr:colOff>171450</xdr:colOff>
      <xdr:row>416</xdr:row>
      <xdr:rowOff>9526</xdr:rowOff>
    </xdr:to>
    <xdr:cxnSp macro="">
      <xdr:nvCxnSpPr>
        <xdr:cNvPr id="511" name="Straight Connector 510"/>
        <xdr:cNvCxnSpPr/>
      </xdr:nvCxnSpPr>
      <xdr:spPr bwMode="auto">
        <a:xfrm flipV="1">
          <a:off x="228600" y="66036825"/>
          <a:ext cx="1162050" cy="6191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180975</xdr:colOff>
      <xdr:row>412</xdr:row>
      <xdr:rowOff>57150</xdr:rowOff>
    </xdr:from>
    <xdr:to>
      <xdr:col>4</xdr:col>
      <xdr:colOff>95250</xdr:colOff>
      <xdr:row>416</xdr:row>
      <xdr:rowOff>0</xdr:rowOff>
    </xdr:to>
    <xdr:cxnSp macro="">
      <xdr:nvCxnSpPr>
        <xdr:cNvPr id="512" name="Straight Connector 511"/>
        <xdr:cNvCxnSpPr/>
      </xdr:nvCxnSpPr>
      <xdr:spPr bwMode="auto">
        <a:xfrm flipV="1">
          <a:off x="1400175" y="66055875"/>
          <a:ext cx="1133475" cy="5905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104775</xdr:colOff>
      <xdr:row>412</xdr:row>
      <xdr:rowOff>47625</xdr:rowOff>
    </xdr:from>
    <xdr:to>
      <xdr:col>6</xdr:col>
      <xdr:colOff>9525</xdr:colOff>
      <xdr:row>416</xdr:row>
      <xdr:rowOff>9526</xdr:rowOff>
    </xdr:to>
    <xdr:cxnSp macro="">
      <xdr:nvCxnSpPr>
        <xdr:cNvPr id="513" name="Straight Connector 512"/>
        <xdr:cNvCxnSpPr/>
      </xdr:nvCxnSpPr>
      <xdr:spPr bwMode="auto">
        <a:xfrm flipV="1">
          <a:off x="2543175" y="66046350"/>
          <a:ext cx="1123950" cy="60960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19050</xdr:colOff>
      <xdr:row>412</xdr:row>
      <xdr:rowOff>0</xdr:rowOff>
    </xdr:from>
    <xdr:to>
      <xdr:col>8</xdr:col>
      <xdr:colOff>104775</xdr:colOff>
      <xdr:row>415</xdr:row>
      <xdr:rowOff>152401</xdr:rowOff>
    </xdr:to>
    <xdr:cxnSp macro="">
      <xdr:nvCxnSpPr>
        <xdr:cNvPr id="514" name="Straight Connector 513"/>
        <xdr:cNvCxnSpPr/>
      </xdr:nvCxnSpPr>
      <xdr:spPr bwMode="auto">
        <a:xfrm flipV="1">
          <a:off x="3676650" y="65998725"/>
          <a:ext cx="1304925" cy="63817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228600</xdr:colOff>
      <xdr:row>422</xdr:row>
      <xdr:rowOff>0</xdr:rowOff>
    </xdr:from>
    <xdr:to>
      <xdr:col>8</xdr:col>
      <xdr:colOff>76200</xdr:colOff>
      <xdr:row>422</xdr:row>
      <xdr:rowOff>9525</xdr:rowOff>
    </xdr:to>
    <xdr:cxnSp macro="">
      <xdr:nvCxnSpPr>
        <xdr:cNvPr id="515" name="Straight Connector 514"/>
        <xdr:cNvCxnSpPr/>
      </xdr:nvCxnSpPr>
      <xdr:spPr bwMode="auto">
        <a:xfrm flipV="1">
          <a:off x="228600" y="67617975"/>
          <a:ext cx="47244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180975</xdr:colOff>
      <xdr:row>420</xdr:row>
      <xdr:rowOff>9525</xdr:rowOff>
    </xdr:from>
    <xdr:to>
      <xdr:col>4</xdr:col>
      <xdr:colOff>85725</xdr:colOff>
      <xdr:row>423</xdr:row>
      <xdr:rowOff>146049</xdr:rowOff>
    </xdr:to>
    <xdr:sp macro="" textlink="">
      <xdr:nvSpPr>
        <xdr:cNvPr id="516" name="Freeform 515"/>
        <xdr:cNvSpPr/>
      </xdr:nvSpPr>
      <xdr:spPr bwMode="auto">
        <a:xfrm>
          <a:off x="1400175" y="67303650"/>
          <a:ext cx="1123950" cy="622299"/>
        </a:xfrm>
        <a:custGeom>
          <a:avLst/>
          <a:gdLst>
            <a:gd name="connsiteX0" fmla="*/ 0 w 1085850"/>
            <a:gd name="connsiteY0" fmla="*/ 19050 h 603250"/>
            <a:gd name="connsiteX1" fmla="*/ 390525 w 1085850"/>
            <a:gd name="connsiteY1" fmla="*/ 600075 h 603250"/>
            <a:gd name="connsiteX2" fmla="*/ 1085850 w 1085850"/>
            <a:gd name="connsiteY2" fmla="*/ 0 h 603250"/>
            <a:gd name="connsiteX3" fmla="*/ 1085850 w 1085850"/>
            <a:gd name="connsiteY3" fmla="*/ 0 h 603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085850" h="603250">
              <a:moveTo>
                <a:pt x="0" y="19050"/>
              </a:moveTo>
              <a:cubicBezTo>
                <a:pt x="104775" y="311150"/>
                <a:pt x="209550" y="603250"/>
                <a:pt x="390525" y="600075"/>
              </a:cubicBezTo>
              <a:cubicBezTo>
                <a:pt x="571500" y="596900"/>
                <a:pt x="1085850" y="0"/>
                <a:pt x="1085850" y="0"/>
              </a:cubicBezTo>
              <a:lnTo>
                <a:pt x="1085850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219076</xdr:colOff>
      <xdr:row>420</xdr:row>
      <xdr:rowOff>9525</xdr:rowOff>
    </xdr:from>
    <xdr:to>
      <xdr:col>2</xdr:col>
      <xdr:colOff>180975</xdr:colOff>
      <xdr:row>421</xdr:row>
      <xdr:rowOff>103187</xdr:rowOff>
    </xdr:to>
    <xdr:sp macro="" textlink="">
      <xdr:nvSpPr>
        <xdr:cNvPr id="517" name="Freeform 516"/>
        <xdr:cNvSpPr/>
      </xdr:nvSpPr>
      <xdr:spPr bwMode="auto">
        <a:xfrm>
          <a:off x="219076" y="67303650"/>
          <a:ext cx="1181099" cy="255587"/>
        </a:xfrm>
        <a:custGeom>
          <a:avLst/>
          <a:gdLst>
            <a:gd name="connsiteX0" fmla="*/ 0 w 1209675"/>
            <a:gd name="connsiteY0" fmla="*/ 0 h 255588"/>
            <a:gd name="connsiteX1" fmla="*/ 609600 w 1209675"/>
            <a:gd name="connsiteY1" fmla="*/ 247650 h 255588"/>
            <a:gd name="connsiteX2" fmla="*/ 1209675 w 1209675"/>
            <a:gd name="connsiteY2" fmla="*/ 47625 h 255588"/>
            <a:gd name="connsiteX3" fmla="*/ 1209675 w 1209675"/>
            <a:gd name="connsiteY3" fmla="*/ 47625 h 2555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209675" h="255588">
              <a:moveTo>
                <a:pt x="0" y="0"/>
              </a:moveTo>
              <a:cubicBezTo>
                <a:pt x="203993" y="119856"/>
                <a:pt x="407987" y="239712"/>
                <a:pt x="609600" y="247650"/>
              </a:cubicBezTo>
              <a:cubicBezTo>
                <a:pt x="811213" y="255588"/>
                <a:pt x="1209675" y="47625"/>
                <a:pt x="1209675" y="47625"/>
              </a:cubicBezTo>
              <a:lnTo>
                <a:pt x="1209675" y="47625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104775</xdr:colOff>
      <xdr:row>419</xdr:row>
      <xdr:rowOff>133350</xdr:rowOff>
    </xdr:from>
    <xdr:to>
      <xdr:col>6</xdr:col>
      <xdr:colOff>9525</xdr:colOff>
      <xdr:row>423</xdr:row>
      <xdr:rowOff>127000</xdr:rowOff>
    </xdr:to>
    <xdr:sp macro="" textlink="">
      <xdr:nvSpPr>
        <xdr:cNvPr id="518" name="Freeform 517"/>
        <xdr:cNvSpPr/>
      </xdr:nvSpPr>
      <xdr:spPr bwMode="auto">
        <a:xfrm>
          <a:off x="2543175" y="67265550"/>
          <a:ext cx="1123950" cy="641350"/>
        </a:xfrm>
        <a:custGeom>
          <a:avLst/>
          <a:gdLst>
            <a:gd name="connsiteX0" fmla="*/ 0 w 1085850"/>
            <a:gd name="connsiteY0" fmla="*/ 19050 h 603250"/>
            <a:gd name="connsiteX1" fmla="*/ 390525 w 1085850"/>
            <a:gd name="connsiteY1" fmla="*/ 600075 h 603250"/>
            <a:gd name="connsiteX2" fmla="*/ 1085850 w 1085850"/>
            <a:gd name="connsiteY2" fmla="*/ 0 h 603250"/>
            <a:gd name="connsiteX3" fmla="*/ 1085850 w 1085850"/>
            <a:gd name="connsiteY3" fmla="*/ 0 h 603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085850" h="603250">
              <a:moveTo>
                <a:pt x="0" y="19050"/>
              </a:moveTo>
              <a:cubicBezTo>
                <a:pt x="104775" y="311150"/>
                <a:pt x="209550" y="603250"/>
                <a:pt x="390525" y="600075"/>
              </a:cubicBezTo>
              <a:cubicBezTo>
                <a:pt x="571500" y="596900"/>
                <a:pt x="1085850" y="0"/>
                <a:pt x="1085850" y="0"/>
              </a:cubicBezTo>
              <a:lnTo>
                <a:pt x="1085850" y="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6</xdr:col>
      <xdr:colOff>0</xdr:colOff>
      <xdr:row>419</xdr:row>
      <xdr:rowOff>123825</xdr:rowOff>
    </xdr:from>
    <xdr:to>
      <xdr:col>8</xdr:col>
      <xdr:colOff>114300</xdr:colOff>
      <xdr:row>421</xdr:row>
      <xdr:rowOff>93663</xdr:rowOff>
    </xdr:to>
    <xdr:sp macro="" textlink="">
      <xdr:nvSpPr>
        <xdr:cNvPr id="519" name="Freeform 518"/>
        <xdr:cNvSpPr/>
      </xdr:nvSpPr>
      <xdr:spPr bwMode="auto">
        <a:xfrm>
          <a:off x="3657600" y="67256025"/>
          <a:ext cx="1333500" cy="293688"/>
        </a:xfrm>
        <a:custGeom>
          <a:avLst/>
          <a:gdLst>
            <a:gd name="connsiteX0" fmla="*/ 0 w 1209675"/>
            <a:gd name="connsiteY0" fmla="*/ 0 h 255588"/>
            <a:gd name="connsiteX1" fmla="*/ 609600 w 1209675"/>
            <a:gd name="connsiteY1" fmla="*/ 247650 h 255588"/>
            <a:gd name="connsiteX2" fmla="*/ 1209675 w 1209675"/>
            <a:gd name="connsiteY2" fmla="*/ 47625 h 255588"/>
            <a:gd name="connsiteX3" fmla="*/ 1209675 w 1209675"/>
            <a:gd name="connsiteY3" fmla="*/ 47625 h 2555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209675" h="255588">
              <a:moveTo>
                <a:pt x="0" y="0"/>
              </a:moveTo>
              <a:cubicBezTo>
                <a:pt x="203993" y="119856"/>
                <a:pt x="407987" y="239712"/>
                <a:pt x="609600" y="247650"/>
              </a:cubicBezTo>
              <a:cubicBezTo>
                <a:pt x="811213" y="255588"/>
                <a:pt x="1209675" y="47625"/>
                <a:pt x="1209675" y="47625"/>
              </a:cubicBezTo>
              <a:lnTo>
                <a:pt x="1209675" y="47625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57150</xdr:colOff>
      <xdr:row>406</xdr:row>
      <xdr:rowOff>85725</xdr:rowOff>
    </xdr:from>
    <xdr:to>
      <xdr:col>2</xdr:col>
      <xdr:colOff>247650</xdr:colOff>
      <xdr:row>407</xdr:row>
      <xdr:rowOff>95250</xdr:rowOff>
    </xdr:to>
    <xdr:cxnSp macro="">
      <xdr:nvCxnSpPr>
        <xdr:cNvPr id="520" name="Straight Connector 519"/>
        <xdr:cNvCxnSpPr/>
      </xdr:nvCxnSpPr>
      <xdr:spPr bwMode="auto">
        <a:xfrm rot="10800000" flipV="1">
          <a:off x="1276350" y="65112900"/>
          <a:ext cx="190500" cy="1714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600076</xdr:colOff>
      <xdr:row>406</xdr:row>
      <xdr:rowOff>85724</xdr:rowOff>
    </xdr:from>
    <xdr:to>
      <xdr:col>4</xdr:col>
      <xdr:colOff>171451</xdr:colOff>
      <xdr:row>407</xdr:row>
      <xdr:rowOff>85724</xdr:rowOff>
    </xdr:to>
    <xdr:cxnSp macro="">
      <xdr:nvCxnSpPr>
        <xdr:cNvPr id="521" name="Straight Connector 520"/>
        <xdr:cNvCxnSpPr/>
      </xdr:nvCxnSpPr>
      <xdr:spPr bwMode="auto">
        <a:xfrm rot="10800000" flipV="1">
          <a:off x="2428876" y="65112899"/>
          <a:ext cx="180975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19050</xdr:colOff>
      <xdr:row>406</xdr:row>
      <xdr:rowOff>66676</xdr:rowOff>
    </xdr:from>
    <xdr:to>
      <xdr:col>8</xdr:col>
      <xdr:colOff>180975</xdr:colOff>
      <xdr:row>407</xdr:row>
      <xdr:rowOff>95251</xdr:rowOff>
    </xdr:to>
    <xdr:cxnSp macro="">
      <xdr:nvCxnSpPr>
        <xdr:cNvPr id="522" name="Straight Connector 521"/>
        <xdr:cNvCxnSpPr/>
      </xdr:nvCxnSpPr>
      <xdr:spPr bwMode="auto">
        <a:xfrm rot="5400000">
          <a:off x="4881563" y="65108138"/>
          <a:ext cx="190500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332581</xdr:colOff>
      <xdr:row>405</xdr:row>
      <xdr:rowOff>134144</xdr:rowOff>
    </xdr:from>
    <xdr:to>
      <xdr:col>8</xdr:col>
      <xdr:colOff>334169</xdr:colOff>
      <xdr:row>407</xdr:row>
      <xdr:rowOff>57944</xdr:rowOff>
    </xdr:to>
    <xdr:cxnSp macro="">
      <xdr:nvCxnSpPr>
        <xdr:cNvPr id="523" name="Straight Connector 522"/>
        <xdr:cNvCxnSpPr/>
      </xdr:nvCxnSpPr>
      <xdr:spPr bwMode="auto">
        <a:xfrm rot="5400000">
          <a:off x="5086350" y="65122425"/>
          <a:ext cx="2476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218283</xdr:colOff>
      <xdr:row>412</xdr:row>
      <xdr:rowOff>19051</xdr:rowOff>
    </xdr:from>
    <xdr:to>
      <xdr:col>1</xdr:col>
      <xdr:colOff>228602</xdr:colOff>
      <xdr:row>413</xdr:row>
      <xdr:rowOff>105572</xdr:rowOff>
    </xdr:to>
    <xdr:cxnSp macro="">
      <xdr:nvCxnSpPr>
        <xdr:cNvPr id="524" name="Straight Connector 523"/>
        <xdr:cNvCxnSpPr/>
      </xdr:nvCxnSpPr>
      <xdr:spPr bwMode="auto">
        <a:xfrm rot="5400000" flipH="1" flipV="1">
          <a:off x="708820" y="66136839"/>
          <a:ext cx="248446" cy="1031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228600</xdr:colOff>
      <xdr:row>412</xdr:row>
      <xdr:rowOff>104775</xdr:rowOff>
    </xdr:from>
    <xdr:to>
      <xdr:col>1</xdr:col>
      <xdr:colOff>219075</xdr:colOff>
      <xdr:row>412</xdr:row>
      <xdr:rowOff>106363</xdr:rowOff>
    </xdr:to>
    <xdr:cxnSp macro="">
      <xdr:nvCxnSpPr>
        <xdr:cNvPr id="525" name="Straight Arrow Connector 524"/>
        <xdr:cNvCxnSpPr/>
      </xdr:nvCxnSpPr>
      <xdr:spPr bwMode="auto">
        <a:xfrm>
          <a:off x="228600" y="66103500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3</xdr:col>
      <xdr:colOff>161136</xdr:colOff>
      <xdr:row>410</xdr:row>
      <xdr:rowOff>133350</xdr:rowOff>
    </xdr:from>
    <xdr:to>
      <xdr:col>3</xdr:col>
      <xdr:colOff>171454</xdr:colOff>
      <xdr:row>413</xdr:row>
      <xdr:rowOff>105574</xdr:rowOff>
    </xdr:to>
    <xdr:cxnSp macro="">
      <xdr:nvCxnSpPr>
        <xdr:cNvPr id="526" name="Straight Connector 525"/>
        <xdr:cNvCxnSpPr/>
      </xdr:nvCxnSpPr>
      <xdr:spPr bwMode="auto">
        <a:xfrm rot="5400000" flipH="1" flipV="1">
          <a:off x="1766095" y="66032066"/>
          <a:ext cx="457999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94463</xdr:colOff>
      <xdr:row>410</xdr:row>
      <xdr:rowOff>133353</xdr:rowOff>
    </xdr:from>
    <xdr:to>
      <xdr:col>5</xdr:col>
      <xdr:colOff>104781</xdr:colOff>
      <xdr:row>413</xdr:row>
      <xdr:rowOff>105577</xdr:rowOff>
    </xdr:to>
    <xdr:cxnSp macro="">
      <xdr:nvCxnSpPr>
        <xdr:cNvPr id="527" name="Straight Connector 526"/>
        <xdr:cNvCxnSpPr/>
      </xdr:nvCxnSpPr>
      <xdr:spPr bwMode="auto">
        <a:xfrm rot="5400000" flipH="1" flipV="1">
          <a:off x="2918622" y="66032069"/>
          <a:ext cx="457999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171450</xdr:colOff>
      <xdr:row>411</xdr:row>
      <xdr:rowOff>76200</xdr:rowOff>
    </xdr:from>
    <xdr:to>
      <xdr:col>3</xdr:col>
      <xdr:colOff>161925</xdr:colOff>
      <xdr:row>411</xdr:row>
      <xdr:rowOff>77788</xdr:rowOff>
    </xdr:to>
    <xdr:cxnSp macro="">
      <xdr:nvCxnSpPr>
        <xdr:cNvPr id="528" name="Straight Arrow Connector 527"/>
        <xdr:cNvCxnSpPr/>
      </xdr:nvCxnSpPr>
      <xdr:spPr bwMode="auto">
        <a:xfrm>
          <a:off x="1390650" y="65913000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4</xdr:col>
      <xdr:colOff>114300</xdr:colOff>
      <xdr:row>411</xdr:row>
      <xdr:rowOff>66675</xdr:rowOff>
    </xdr:from>
    <xdr:to>
      <xdr:col>5</xdr:col>
      <xdr:colOff>104775</xdr:colOff>
      <xdr:row>411</xdr:row>
      <xdr:rowOff>68263</xdr:rowOff>
    </xdr:to>
    <xdr:cxnSp macro="">
      <xdr:nvCxnSpPr>
        <xdr:cNvPr id="529" name="Straight Arrow Connector 528"/>
        <xdr:cNvCxnSpPr/>
      </xdr:nvCxnSpPr>
      <xdr:spPr bwMode="auto">
        <a:xfrm>
          <a:off x="2552700" y="65903475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7</xdr:col>
      <xdr:colOff>38101</xdr:colOff>
      <xdr:row>410</xdr:row>
      <xdr:rowOff>114302</xdr:rowOff>
    </xdr:from>
    <xdr:to>
      <xdr:col>7</xdr:col>
      <xdr:colOff>48419</xdr:colOff>
      <xdr:row>413</xdr:row>
      <xdr:rowOff>86526</xdr:rowOff>
    </xdr:to>
    <xdr:cxnSp macro="">
      <xdr:nvCxnSpPr>
        <xdr:cNvPr id="530" name="Straight Connector 529"/>
        <xdr:cNvCxnSpPr/>
      </xdr:nvCxnSpPr>
      <xdr:spPr bwMode="auto">
        <a:xfrm rot="5400000" flipH="1" flipV="1">
          <a:off x="4081460" y="66013018"/>
          <a:ext cx="457999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38100</xdr:colOff>
      <xdr:row>411</xdr:row>
      <xdr:rowOff>38100</xdr:rowOff>
    </xdr:from>
    <xdr:to>
      <xdr:col>7</xdr:col>
      <xdr:colOff>28575</xdr:colOff>
      <xdr:row>411</xdr:row>
      <xdr:rowOff>39688</xdr:rowOff>
    </xdr:to>
    <xdr:cxnSp macro="">
      <xdr:nvCxnSpPr>
        <xdr:cNvPr id="531" name="Straight Arrow Connector 530"/>
        <xdr:cNvCxnSpPr/>
      </xdr:nvCxnSpPr>
      <xdr:spPr bwMode="auto">
        <a:xfrm>
          <a:off x="3695700" y="65874900"/>
          <a:ext cx="600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 editAs="oneCell">
    <xdr:from>
      <xdr:col>4</xdr:col>
      <xdr:colOff>600075</xdr:colOff>
      <xdr:row>482</xdr:row>
      <xdr:rowOff>0</xdr:rowOff>
    </xdr:from>
    <xdr:to>
      <xdr:col>5</xdr:col>
      <xdr:colOff>0</xdr:colOff>
      <xdr:row>482</xdr:row>
      <xdr:rowOff>161925</xdr:rowOff>
    </xdr:to>
    <xdr:sp macro="" textlink="">
      <xdr:nvSpPr>
        <xdr:cNvPr id="532" name="Text Box 154"/>
        <xdr:cNvSpPr txBox="1">
          <a:spLocks noChangeArrowheads="1"/>
        </xdr:cNvSpPr>
      </xdr:nvSpPr>
      <xdr:spPr bwMode="auto">
        <a:xfrm>
          <a:off x="3038475" y="774668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484</xdr:row>
      <xdr:rowOff>0</xdr:rowOff>
    </xdr:from>
    <xdr:to>
      <xdr:col>5</xdr:col>
      <xdr:colOff>0</xdr:colOff>
      <xdr:row>484</xdr:row>
      <xdr:rowOff>161925</xdr:rowOff>
    </xdr:to>
    <xdr:sp macro="" textlink="">
      <xdr:nvSpPr>
        <xdr:cNvPr id="533" name="Text Box 154"/>
        <xdr:cNvSpPr txBox="1">
          <a:spLocks noChangeArrowheads="1"/>
        </xdr:cNvSpPr>
      </xdr:nvSpPr>
      <xdr:spPr bwMode="auto">
        <a:xfrm>
          <a:off x="3038475" y="778573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485</xdr:row>
      <xdr:rowOff>0</xdr:rowOff>
    </xdr:from>
    <xdr:to>
      <xdr:col>5</xdr:col>
      <xdr:colOff>0</xdr:colOff>
      <xdr:row>485</xdr:row>
      <xdr:rowOff>161925</xdr:rowOff>
    </xdr:to>
    <xdr:sp macro="" textlink="">
      <xdr:nvSpPr>
        <xdr:cNvPr id="534" name="Text Box 154"/>
        <xdr:cNvSpPr txBox="1">
          <a:spLocks noChangeArrowheads="1"/>
        </xdr:cNvSpPr>
      </xdr:nvSpPr>
      <xdr:spPr bwMode="auto">
        <a:xfrm>
          <a:off x="3038475" y="780573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481</xdr:row>
      <xdr:rowOff>0</xdr:rowOff>
    </xdr:from>
    <xdr:to>
      <xdr:col>5</xdr:col>
      <xdr:colOff>0</xdr:colOff>
      <xdr:row>481</xdr:row>
      <xdr:rowOff>161925</xdr:rowOff>
    </xdr:to>
    <xdr:sp macro="" textlink="">
      <xdr:nvSpPr>
        <xdr:cNvPr id="535" name="Text Box 154"/>
        <xdr:cNvSpPr txBox="1">
          <a:spLocks noChangeArrowheads="1"/>
        </xdr:cNvSpPr>
      </xdr:nvSpPr>
      <xdr:spPr bwMode="auto">
        <a:xfrm>
          <a:off x="3038475" y="772668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113</xdr:row>
      <xdr:rowOff>0</xdr:rowOff>
    </xdr:from>
    <xdr:to>
      <xdr:col>5</xdr:col>
      <xdr:colOff>0</xdr:colOff>
      <xdr:row>113</xdr:row>
      <xdr:rowOff>161925</xdr:rowOff>
    </xdr:to>
    <xdr:sp macro="" textlink="">
      <xdr:nvSpPr>
        <xdr:cNvPr id="536" name="Text Box 154"/>
        <xdr:cNvSpPr txBox="1">
          <a:spLocks noChangeArrowheads="1"/>
        </xdr:cNvSpPr>
      </xdr:nvSpPr>
      <xdr:spPr bwMode="auto">
        <a:xfrm>
          <a:off x="3038475" y="595026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115</xdr:row>
      <xdr:rowOff>0</xdr:rowOff>
    </xdr:from>
    <xdr:to>
      <xdr:col>5</xdr:col>
      <xdr:colOff>0</xdr:colOff>
      <xdr:row>115</xdr:row>
      <xdr:rowOff>161925</xdr:rowOff>
    </xdr:to>
    <xdr:sp macro="" textlink="">
      <xdr:nvSpPr>
        <xdr:cNvPr id="537" name="Text Box 154"/>
        <xdr:cNvSpPr txBox="1">
          <a:spLocks noChangeArrowheads="1"/>
        </xdr:cNvSpPr>
      </xdr:nvSpPr>
      <xdr:spPr bwMode="auto">
        <a:xfrm>
          <a:off x="3038475" y="598932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116</xdr:row>
      <xdr:rowOff>0</xdr:rowOff>
    </xdr:from>
    <xdr:to>
      <xdr:col>5</xdr:col>
      <xdr:colOff>0</xdr:colOff>
      <xdr:row>116</xdr:row>
      <xdr:rowOff>161925</xdr:rowOff>
    </xdr:to>
    <xdr:sp macro="" textlink="">
      <xdr:nvSpPr>
        <xdr:cNvPr id="538" name="Text Box 154"/>
        <xdr:cNvSpPr txBox="1">
          <a:spLocks noChangeArrowheads="1"/>
        </xdr:cNvSpPr>
      </xdr:nvSpPr>
      <xdr:spPr bwMode="auto">
        <a:xfrm>
          <a:off x="3038475" y="600932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112</xdr:row>
      <xdr:rowOff>0</xdr:rowOff>
    </xdr:from>
    <xdr:to>
      <xdr:col>5</xdr:col>
      <xdr:colOff>0</xdr:colOff>
      <xdr:row>112</xdr:row>
      <xdr:rowOff>161925</xdr:rowOff>
    </xdr:to>
    <xdr:sp macro="" textlink="">
      <xdr:nvSpPr>
        <xdr:cNvPr id="539" name="Text Box 154"/>
        <xdr:cNvSpPr txBox="1">
          <a:spLocks noChangeArrowheads="1"/>
        </xdr:cNvSpPr>
      </xdr:nvSpPr>
      <xdr:spPr bwMode="auto">
        <a:xfrm>
          <a:off x="3038475" y="593026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9526</xdr:colOff>
      <xdr:row>262</xdr:row>
      <xdr:rowOff>142875</xdr:rowOff>
    </xdr:from>
    <xdr:to>
      <xdr:col>2</xdr:col>
      <xdr:colOff>171453</xdr:colOff>
      <xdr:row>262</xdr:row>
      <xdr:rowOff>144463</xdr:rowOff>
    </xdr:to>
    <xdr:cxnSp macro="">
      <xdr:nvCxnSpPr>
        <xdr:cNvPr id="540" name="Straight Connector 539"/>
        <xdr:cNvCxnSpPr/>
      </xdr:nvCxnSpPr>
      <xdr:spPr bwMode="auto">
        <a:xfrm rot="10800000">
          <a:off x="619126" y="35814000"/>
          <a:ext cx="77152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371475</xdr:colOff>
      <xdr:row>272</xdr:row>
      <xdr:rowOff>0</xdr:rowOff>
    </xdr:from>
    <xdr:to>
      <xdr:col>1</xdr:col>
      <xdr:colOff>323850</xdr:colOff>
      <xdr:row>272</xdr:row>
      <xdr:rowOff>1588</xdr:rowOff>
    </xdr:to>
    <xdr:cxnSp macro="">
      <xdr:nvCxnSpPr>
        <xdr:cNvPr id="541" name="Straight Connector 540"/>
        <xdr:cNvCxnSpPr/>
      </xdr:nvCxnSpPr>
      <xdr:spPr bwMode="auto">
        <a:xfrm>
          <a:off x="371475" y="37290375"/>
          <a:ext cx="561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561975</xdr:colOff>
      <xdr:row>272</xdr:row>
      <xdr:rowOff>0</xdr:rowOff>
    </xdr:from>
    <xdr:to>
      <xdr:col>2</xdr:col>
      <xdr:colOff>342900</xdr:colOff>
      <xdr:row>272</xdr:row>
      <xdr:rowOff>1588</xdr:rowOff>
    </xdr:to>
    <xdr:cxnSp macro="">
      <xdr:nvCxnSpPr>
        <xdr:cNvPr id="542" name="Straight Connector 541"/>
        <xdr:cNvCxnSpPr/>
      </xdr:nvCxnSpPr>
      <xdr:spPr bwMode="auto">
        <a:xfrm>
          <a:off x="1171575" y="37290375"/>
          <a:ext cx="3905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323850</xdr:colOff>
      <xdr:row>272</xdr:row>
      <xdr:rowOff>1</xdr:rowOff>
    </xdr:from>
    <xdr:to>
      <xdr:col>1</xdr:col>
      <xdr:colOff>390525</xdr:colOff>
      <xdr:row>272</xdr:row>
      <xdr:rowOff>133351</xdr:rowOff>
    </xdr:to>
    <xdr:cxnSp macro="">
      <xdr:nvCxnSpPr>
        <xdr:cNvPr id="543" name="Straight Connector 542"/>
        <xdr:cNvCxnSpPr/>
      </xdr:nvCxnSpPr>
      <xdr:spPr bwMode="auto">
        <a:xfrm rot="16200000" flipH="1">
          <a:off x="900113" y="37323713"/>
          <a:ext cx="133350" cy="6667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390525</xdr:colOff>
      <xdr:row>271</xdr:row>
      <xdr:rowOff>38100</xdr:rowOff>
    </xdr:from>
    <xdr:to>
      <xdr:col>1</xdr:col>
      <xdr:colOff>409575</xdr:colOff>
      <xdr:row>272</xdr:row>
      <xdr:rowOff>123825</xdr:rowOff>
    </xdr:to>
    <xdr:cxnSp macro="">
      <xdr:nvCxnSpPr>
        <xdr:cNvPr id="544" name="Straight Connector 543"/>
        <xdr:cNvCxnSpPr/>
      </xdr:nvCxnSpPr>
      <xdr:spPr bwMode="auto">
        <a:xfrm rot="5400000" flipH="1" flipV="1">
          <a:off x="885825" y="37280850"/>
          <a:ext cx="24765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409575</xdr:colOff>
      <xdr:row>271</xdr:row>
      <xdr:rowOff>47625</xdr:rowOff>
    </xdr:from>
    <xdr:to>
      <xdr:col>1</xdr:col>
      <xdr:colOff>561975</xdr:colOff>
      <xdr:row>272</xdr:row>
      <xdr:rowOff>0</xdr:rowOff>
    </xdr:to>
    <xdr:cxnSp macro="">
      <xdr:nvCxnSpPr>
        <xdr:cNvPr id="545" name="Straight Connector 544"/>
        <xdr:cNvCxnSpPr/>
      </xdr:nvCxnSpPr>
      <xdr:spPr bwMode="auto">
        <a:xfrm>
          <a:off x="1019175" y="37176075"/>
          <a:ext cx="152400" cy="11430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314325</xdr:colOff>
      <xdr:row>270</xdr:row>
      <xdr:rowOff>0</xdr:rowOff>
    </xdr:from>
    <xdr:to>
      <xdr:col>1</xdr:col>
      <xdr:colOff>600075</xdr:colOff>
      <xdr:row>270</xdr:row>
      <xdr:rowOff>1588</xdr:rowOff>
    </xdr:to>
    <xdr:cxnSp macro="">
      <xdr:nvCxnSpPr>
        <xdr:cNvPr id="546" name="Straight Connector 545"/>
        <xdr:cNvCxnSpPr/>
      </xdr:nvCxnSpPr>
      <xdr:spPr bwMode="auto">
        <a:xfrm rot="10800000">
          <a:off x="314325" y="36966525"/>
          <a:ext cx="8953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66675</xdr:colOff>
      <xdr:row>261</xdr:row>
      <xdr:rowOff>85725</xdr:rowOff>
    </xdr:from>
    <xdr:to>
      <xdr:col>1</xdr:col>
      <xdr:colOff>295275</xdr:colOff>
      <xdr:row>261</xdr:row>
      <xdr:rowOff>87313</xdr:rowOff>
    </xdr:to>
    <xdr:cxnSp macro="">
      <xdr:nvCxnSpPr>
        <xdr:cNvPr id="547" name="Straight Connector 546"/>
        <xdr:cNvCxnSpPr/>
      </xdr:nvCxnSpPr>
      <xdr:spPr bwMode="auto">
        <a:xfrm>
          <a:off x="676275" y="35594925"/>
          <a:ext cx="228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295273</xdr:colOff>
      <xdr:row>261</xdr:row>
      <xdr:rowOff>85725</xdr:rowOff>
    </xdr:from>
    <xdr:to>
      <xdr:col>1</xdr:col>
      <xdr:colOff>304802</xdr:colOff>
      <xdr:row>263</xdr:row>
      <xdr:rowOff>3</xdr:rowOff>
    </xdr:to>
    <xdr:cxnSp macro="">
      <xdr:nvCxnSpPr>
        <xdr:cNvPr id="548" name="Straight Arrow Connector 547"/>
        <xdr:cNvCxnSpPr/>
      </xdr:nvCxnSpPr>
      <xdr:spPr bwMode="auto">
        <a:xfrm rot="16200000" flipH="1">
          <a:off x="790574" y="35709224"/>
          <a:ext cx="238128" cy="952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170656</xdr:colOff>
      <xdr:row>271</xdr:row>
      <xdr:rowOff>10318</xdr:rowOff>
    </xdr:from>
    <xdr:to>
      <xdr:col>2</xdr:col>
      <xdr:colOff>172244</xdr:colOff>
      <xdr:row>272</xdr:row>
      <xdr:rowOff>10318</xdr:rowOff>
    </xdr:to>
    <xdr:cxnSp macro="">
      <xdr:nvCxnSpPr>
        <xdr:cNvPr id="549" name="Straight Connector 548"/>
        <xdr:cNvCxnSpPr>
          <a:stCxn id="243" idx="1"/>
        </xdr:cNvCxnSpPr>
      </xdr:nvCxnSpPr>
      <xdr:spPr bwMode="auto">
        <a:xfrm rot="16200000" flipH="1">
          <a:off x="1309687" y="37218937"/>
          <a:ext cx="1619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600075</xdr:colOff>
      <xdr:row>351</xdr:row>
      <xdr:rowOff>86521</xdr:rowOff>
    </xdr:from>
    <xdr:to>
      <xdr:col>2</xdr:col>
      <xdr:colOff>793</xdr:colOff>
      <xdr:row>354</xdr:row>
      <xdr:rowOff>142874</xdr:rowOff>
    </xdr:to>
    <xdr:cxnSp macro="">
      <xdr:nvCxnSpPr>
        <xdr:cNvPr id="550" name="Straight Connector 549"/>
        <xdr:cNvCxnSpPr/>
      </xdr:nvCxnSpPr>
      <xdr:spPr bwMode="auto">
        <a:xfrm rot="5400000" flipH="1" flipV="1">
          <a:off x="943770" y="50853976"/>
          <a:ext cx="542128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19050</xdr:colOff>
      <xdr:row>342</xdr:row>
      <xdr:rowOff>95250</xdr:rowOff>
    </xdr:from>
    <xdr:to>
      <xdr:col>2</xdr:col>
      <xdr:colOff>76200</xdr:colOff>
      <xdr:row>342</xdr:row>
      <xdr:rowOff>96838</xdr:rowOff>
    </xdr:to>
    <xdr:cxnSp macro="">
      <xdr:nvCxnSpPr>
        <xdr:cNvPr id="551" name="Straight Arrow Connector 550"/>
        <xdr:cNvCxnSpPr/>
      </xdr:nvCxnSpPr>
      <xdr:spPr bwMode="auto">
        <a:xfrm>
          <a:off x="628650" y="49139475"/>
          <a:ext cx="666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75407</xdr:colOff>
      <xdr:row>342</xdr:row>
      <xdr:rowOff>105571</xdr:rowOff>
    </xdr:from>
    <xdr:to>
      <xdr:col>2</xdr:col>
      <xdr:colOff>76995</xdr:colOff>
      <xdr:row>344</xdr:row>
      <xdr:rowOff>796</xdr:rowOff>
    </xdr:to>
    <xdr:cxnSp macro="">
      <xdr:nvCxnSpPr>
        <xdr:cNvPr id="552" name="Straight Arrow Connector 551"/>
        <xdr:cNvCxnSpPr/>
      </xdr:nvCxnSpPr>
      <xdr:spPr bwMode="auto">
        <a:xfrm rot="5400000">
          <a:off x="1185863" y="49258540"/>
          <a:ext cx="219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208757</xdr:colOff>
      <xdr:row>352</xdr:row>
      <xdr:rowOff>10319</xdr:rowOff>
    </xdr:from>
    <xdr:to>
      <xdr:col>3</xdr:col>
      <xdr:colOff>210345</xdr:colOff>
      <xdr:row>353</xdr:row>
      <xdr:rowOff>67469</xdr:rowOff>
    </xdr:to>
    <xdr:cxnSp macro="">
      <xdr:nvCxnSpPr>
        <xdr:cNvPr id="553" name="Straight Connector 552"/>
        <xdr:cNvCxnSpPr/>
      </xdr:nvCxnSpPr>
      <xdr:spPr bwMode="auto">
        <a:xfrm rot="16200000" flipH="1">
          <a:off x="1928813" y="50782538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561975</xdr:colOff>
      <xdr:row>342</xdr:row>
      <xdr:rowOff>95250</xdr:rowOff>
    </xdr:from>
    <xdr:to>
      <xdr:col>7</xdr:col>
      <xdr:colOff>238125</xdr:colOff>
      <xdr:row>344</xdr:row>
      <xdr:rowOff>152400</xdr:rowOff>
    </xdr:to>
    <xdr:sp macro="" textlink="">
      <xdr:nvSpPr>
        <xdr:cNvPr id="554" name="Line 277"/>
        <xdr:cNvSpPr>
          <a:spLocks noChangeShapeType="1"/>
        </xdr:cNvSpPr>
      </xdr:nvSpPr>
      <xdr:spPr bwMode="auto">
        <a:xfrm>
          <a:off x="3609975" y="49139475"/>
          <a:ext cx="895350" cy="381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285750</xdr:colOff>
      <xdr:row>346</xdr:row>
      <xdr:rowOff>104775</xdr:rowOff>
    </xdr:from>
    <xdr:to>
      <xdr:col>0</xdr:col>
      <xdr:colOff>581025</xdr:colOff>
      <xdr:row>346</xdr:row>
      <xdr:rowOff>106363</xdr:rowOff>
    </xdr:to>
    <xdr:cxnSp macro="">
      <xdr:nvCxnSpPr>
        <xdr:cNvPr id="555" name="Straight Arrow Connector 554"/>
        <xdr:cNvCxnSpPr/>
      </xdr:nvCxnSpPr>
      <xdr:spPr bwMode="auto">
        <a:xfrm>
          <a:off x="285750" y="49796700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409576</xdr:colOff>
      <xdr:row>352</xdr:row>
      <xdr:rowOff>19050</xdr:rowOff>
    </xdr:from>
    <xdr:to>
      <xdr:col>2</xdr:col>
      <xdr:colOff>600076</xdr:colOff>
      <xdr:row>354</xdr:row>
      <xdr:rowOff>66675</xdr:rowOff>
    </xdr:to>
    <xdr:cxnSp macro="">
      <xdr:nvCxnSpPr>
        <xdr:cNvPr id="556" name="Straight Arrow Connector 555"/>
        <xdr:cNvCxnSpPr/>
      </xdr:nvCxnSpPr>
      <xdr:spPr bwMode="auto">
        <a:xfrm rot="16200000" flipV="1">
          <a:off x="1538288" y="50773013"/>
          <a:ext cx="371475" cy="1905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9525</xdr:colOff>
      <xdr:row>344</xdr:row>
      <xdr:rowOff>0</xdr:rowOff>
    </xdr:from>
    <xdr:to>
      <xdr:col>1</xdr:col>
      <xdr:colOff>142875</xdr:colOff>
      <xdr:row>344</xdr:row>
      <xdr:rowOff>1588</xdr:rowOff>
    </xdr:to>
    <xdr:cxnSp macro="">
      <xdr:nvCxnSpPr>
        <xdr:cNvPr id="557" name="Straight Connector 556"/>
        <xdr:cNvCxnSpPr>
          <a:endCxn id="440" idx="0"/>
        </xdr:cNvCxnSpPr>
      </xdr:nvCxnSpPr>
      <xdr:spPr bwMode="auto">
        <a:xfrm rot="10800000">
          <a:off x="619125" y="49368075"/>
          <a:ext cx="1333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227807</xdr:colOff>
      <xdr:row>403</xdr:row>
      <xdr:rowOff>48418</xdr:rowOff>
    </xdr:from>
    <xdr:to>
      <xdr:col>0</xdr:col>
      <xdr:colOff>229395</xdr:colOff>
      <xdr:row>424</xdr:row>
      <xdr:rowOff>67468</xdr:rowOff>
    </xdr:to>
    <xdr:cxnSp macro="">
      <xdr:nvCxnSpPr>
        <xdr:cNvPr id="559" name="Straight Connector 558"/>
        <xdr:cNvCxnSpPr/>
      </xdr:nvCxnSpPr>
      <xdr:spPr bwMode="auto">
        <a:xfrm rot="5400000">
          <a:off x="-1481137" y="66298762"/>
          <a:ext cx="34194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170655</xdr:colOff>
      <xdr:row>403</xdr:row>
      <xdr:rowOff>794</xdr:rowOff>
    </xdr:from>
    <xdr:to>
      <xdr:col>2</xdr:col>
      <xdr:colOff>172243</xdr:colOff>
      <xdr:row>424</xdr:row>
      <xdr:rowOff>19844</xdr:rowOff>
    </xdr:to>
    <xdr:cxnSp macro="">
      <xdr:nvCxnSpPr>
        <xdr:cNvPr id="560" name="Straight Connector 559"/>
        <xdr:cNvCxnSpPr/>
      </xdr:nvCxnSpPr>
      <xdr:spPr bwMode="auto">
        <a:xfrm rot="5400000">
          <a:off x="-319089" y="66251138"/>
          <a:ext cx="34194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</xdr:colOff>
      <xdr:row>60</xdr:row>
      <xdr:rowOff>133350</xdr:rowOff>
    </xdr:from>
    <xdr:to>
      <xdr:col>1</xdr:col>
      <xdr:colOff>9528</xdr:colOff>
      <xdr:row>70</xdr:row>
      <xdr:rowOff>47628</xdr:rowOff>
    </xdr:to>
    <xdr:cxnSp macro="">
      <xdr:nvCxnSpPr>
        <xdr:cNvPr id="561" name="Straight Arrow Connector 560"/>
        <xdr:cNvCxnSpPr/>
      </xdr:nvCxnSpPr>
      <xdr:spPr bwMode="auto">
        <a:xfrm rot="16200000" flipH="1">
          <a:off x="-152399" y="11049001"/>
          <a:ext cx="1533528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219075</xdr:colOff>
      <xdr:row>137</xdr:row>
      <xdr:rowOff>152400</xdr:rowOff>
    </xdr:from>
    <xdr:to>
      <xdr:col>1</xdr:col>
      <xdr:colOff>304800</xdr:colOff>
      <xdr:row>138</xdr:row>
      <xdr:rowOff>38100</xdr:rowOff>
    </xdr:to>
    <xdr:sp macro="" textlink="">
      <xdr:nvSpPr>
        <xdr:cNvPr id="562" name="Line 139"/>
        <xdr:cNvSpPr>
          <a:spLocks noChangeShapeType="1"/>
        </xdr:cNvSpPr>
      </xdr:nvSpPr>
      <xdr:spPr bwMode="auto">
        <a:xfrm flipH="1">
          <a:off x="828675" y="15849600"/>
          <a:ext cx="85725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304800</xdr:colOff>
      <xdr:row>129</xdr:row>
      <xdr:rowOff>123825</xdr:rowOff>
    </xdr:from>
    <xdr:to>
      <xdr:col>4</xdr:col>
      <xdr:colOff>523875</xdr:colOff>
      <xdr:row>129</xdr:row>
      <xdr:rowOff>123825</xdr:rowOff>
    </xdr:to>
    <xdr:sp macro="" textlink="">
      <xdr:nvSpPr>
        <xdr:cNvPr id="563" name="Line 203"/>
        <xdr:cNvSpPr>
          <a:spLocks noChangeShapeType="1"/>
        </xdr:cNvSpPr>
      </xdr:nvSpPr>
      <xdr:spPr bwMode="auto">
        <a:xfrm flipH="1">
          <a:off x="2743200" y="1448752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sm"/>
          <a:tailEnd type="none" w="med" len="sm"/>
        </a:ln>
      </xdr:spPr>
    </xdr:sp>
    <xdr:clientData/>
  </xdr:twoCellAnchor>
  <xdr:twoCellAnchor>
    <xdr:from>
      <xdr:col>4</xdr:col>
      <xdr:colOff>123825</xdr:colOff>
      <xdr:row>134</xdr:row>
      <xdr:rowOff>133350</xdr:rowOff>
    </xdr:from>
    <xdr:to>
      <xdr:col>4</xdr:col>
      <xdr:colOff>523875</xdr:colOff>
      <xdr:row>134</xdr:row>
      <xdr:rowOff>142875</xdr:rowOff>
    </xdr:to>
    <xdr:cxnSp macro="">
      <xdr:nvCxnSpPr>
        <xdr:cNvPr id="564" name="Straight Arrow Connector 563"/>
        <xdr:cNvCxnSpPr/>
      </xdr:nvCxnSpPr>
      <xdr:spPr bwMode="auto">
        <a:xfrm flipV="1">
          <a:off x="2562225" y="15306675"/>
          <a:ext cx="400050" cy="95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cxnSp>
    <xdr:clientData/>
  </xdr:twoCellAnchor>
  <xdr:twoCellAnchor>
    <xdr:from>
      <xdr:col>4</xdr:col>
      <xdr:colOff>190500</xdr:colOff>
      <xdr:row>132</xdr:row>
      <xdr:rowOff>123825</xdr:rowOff>
    </xdr:from>
    <xdr:to>
      <xdr:col>4</xdr:col>
      <xdr:colOff>504825</xdr:colOff>
      <xdr:row>132</xdr:row>
      <xdr:rowOff>133350</xdr:rowOff>
    </xdr:to>
    <xdr:cxnSp macro="">
      <xdr:nvCxnSpPr>
        <xdr:cNvPr id="565" name="Straight Arrow Connector 564"/>
        <xdr:cNvCxnSpPr/>
      </xdr:nvCxnSpPr>
      <xdr:spPr bwMode="auto">
        <a:xfrm>
          <a:off x="2628900" y="14973300"/>
          <a:ext cx="314325" cy="95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cxnSp>
    <xdr:clientData/>
  </xdr:twoCellAnchor>
  <xdr:twoCellAnchor>
    <xdr:from>
      <xdr:col>4</xdr:col>
      <xdr:colOff>28575</xdr:colOff>
      <xdr:row>136</xdr:row>
      <xdr:rowOff>142875</xdr:rowOff>
    </xdr:from>
    <xdr:to>
      <xdr:col>4</xdr:col>
      <xdr:colOff>533400</xdr:colOff>
      <xdr:row>136</xdr:row>
      <xdr:rowOff>142875</xdr:rowOff>
    </xdr:to>
    <xdr:sp macro="" textlink="">
      <xdr:nvSpPr>
        <xdr:cNvPr id="566" name="Line 173"/>
        <xdr:cNvSpPr>
          <a:spLocks noChangeShapeType="1"/>
        </xdr:cNvSpPr>
      </xdr:nvSpPr>
      <xdr:spPr bwMode="auto">
        <a:xfrm>
          <a:off x="2466975" y="15640050"/>
          <a:ext cx="504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sp>
    <xdr:clientData/>
  </xdr:twoCellAnchor>
  <xdr:twoCellAnchor>
    <xdr:from>
      <xdr:col>1</xdr:col>
      <xdr:colOff>9525</xdr:colOff>
      <xdr:row>262</xdr:row>
      <xdr:rowOff>133350</xdr:rowOff>
    </xdr:from>
    <xdr:to>
      <xdr:col>1</xdr:col>
      <xdr:colOff>9525</xdr:colOff>
      <xdr:row>270</xdr:row>
      <xdr:rowOff>142875</xdr:rowOff>
    </xdr:to>
    <xdr:sp macro="" textlink="">
      <xdr:nvSpPr>
        <xdr:cNvPr id="567" name="Line 240"/>
        <xdr:cNvSpPr>
          <a:spLocks noChangeShapeType="1"/>
        </xdr:cNvSpPr>
      </xdr:nvSpPr>
      <xdr:spPr bwMode="auto">
        <a:xfrm>
          <a:off x="619125" y="36452175"/>
          <a:ext cx="0" cy="1304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264</xdr:row>
      <xdr:rowOff>9525</xdr:rowOff>
    </xdr:from>
    <xdr:to>
      <xdr:col>1</xdr:col>
      <xdr:colOff>9525</xdr:colOff>
      <xdr:row>272</xdr:row>
      <xdr:rowOff>19050</xdr:rowOff>
    </xdr:to>
    <xdr:sp macro="" textlink="">
      <xdr:nvSpPr>
        <xdr:cNvPr id="568" name="Line 240"/>
        <xdr:cNvSpPr>
          <a:spLocks noChangeShapeType="1"/>
        </xdr:cNvSpPr>
      </xdr:nvSpPr>
      <xdr:spPr bwMode="auto">
        <a:xfrm>
          <a:off x="619125" y="36652200"/>
          <a:ext cx="0" cy="1304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180975</xdr:colOff>
      <xdr:row>270</xdr:row>
      <xdr:rowOff>38100</xdr:rowOff>
    </xdr:from>
    <xdr:to>
      <xdr:col>3</xdr:col>
      <xdr:colOff>476250</xdr:colOff>
      <xdr:row>270</xdr:row>
      <xdr:rowOff>152400</xdr:rowOff>
    </xdr:to>
    <xdr:sp macro="" textlink="">
      <xdr:nvSpPr>
        <xdr:cNvPr id="569" name="Rectangle 568"/>
        <xdr:cNvSpPr/>
      </xdr:nvSpPr>
      <xdr:spPr bwMode="auto">
        <a:xfrm>
          <a:off x="1400175" y="37652325"/>
          <a:ext cx="904875" cy="114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triangl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180975</xdr:colOff>
      <xdr:row>263</xdr:row>
      <xdr:rowOff>0</xdr:rowOff>
    </xdr:from>
    <xdr:to>
      <xdr:col>2</xdr:col>
      <xdr:colOff>333375</xdr:colOff>
      <xdr:row>270</xdr:row>
      <xdr:rowOff>38100</xdr:rowOff>
    </xdr:to>
    <xdr:sp macro="" textlink="">
      <xdr:nvSpPr>
        <xdr:cNvPr id="570" name="Rectangle 569"/>
        <xdr:cNvSpPr/>
      </xdr:nvSpPr>
      <xdr:spPr bwMode="auto">
        <a:xfrm>
          <a:off x="1400175" y="36480750"/>
          <a:ext cx="152400" cy="11715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361949</xdr:colOff>
      <xdr:row>264</xdr:row>
      <xdr:rowOff>76201</xdr:rowOff>
    </xdr:from>
    <xdr:to>
      <xdr:col>7</xdr:col>
      <xdr:colOff>600074</xdr:colOff>
      <xdr:row>267</xdr:row>
      <xdr:rowOff>123826</xdr:rowOff>
    </xdr:to>
    <xdr:sp macro="" textlink="">
      <xdr:nvSpPr>
        <xdr:cNvPr id="571" name="Rectangle 570"/>
        <xdr:cNvSpPr/>
      </xdr:nvSpPr>
      <xdr:spPr bwMode="auto">
        <a:xfrm>
          <a:off x="4629149" y="36718876"/>
          <a:ext cx="238125" cy="53340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19049</xdr:colOff>
      <xdr:row>263</xdr:row>
      <xdr:rowOff>0</xdr:rowOff>
    </xdr:from>
    <xdr:to>
      <xdr:col>2</xdr:col>
      <xdr:colOff>161925</xdr:colOff>
      <xdr:row>269</xdr:row>
      <xdr:rowOff>152399</xdr:rowOff>
    </xdr:to>
    <xdr:sp macro="" textlink="">
      <xdr:nvSpPr>
        <xdr:cNvPr id="572" name="Rectangle 571"/>
        <xdr:cNvSpPr/>
      </xdr:nvSpPr>
      <xdr:spPr bwMode="auto">
        <a:xfrm>
          <a:off x="628649" y="36480750"/>
          <a:ext cx="752476" cy="11239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ap="flat" cmpd="sng" algn="ctr">
          <a:solidFill>
            <a:schemeClr val="accent4">
              <a:lumMod val="60000"/>
              <a:lumOff val="40000"/>
            </a:schemeClr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600075</xdr:colOff>
      <xdr:row>60</xdr:row>
      <xdr:rowOff>142875</xdr:rowOff>
    </xdr:from>
    <xdr:to>
      <xdr:col>6</xdr:col>
      <xdr:colOff>600075</xdr:colOff>
      <xdr:row>61</xdr:row>
      <xdr:rowOff>123825</xdr:rowOff>
    </xdr:to>
    <xdr:sp macro="" textlink="">
      <xdr:nvSpPr>
        <xdr:cNvPr id="574" name="Rectangle 573"/>
        <xdr:cNvSpPr/>
      </xdr:nvSpPr>
      <xdr:spPr bwMode="auto">
        <a:xfrm>
          <a:off x="3648075" y="10296525"/>
          <a:ext cx="609600" cy="142875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609598</xdr:colOff>
      <xdr:row>125</xdr:row>
      <xdr:rowOff>19051</xdr:rowOff>
    </xdr:from>
    <xdr:to>
      <xdr:col>8</xdr:col>
      <xdr:colOff>9527</xdr:colOff>
      <xdr:row>138</xdr:row>
      <xdr:rowOff>2</xdr:rowOff>
    </xdr:to>
    <xdr:cxnSp macro="">
      <xdr:nvCxnSpPr>
        <xdr:cNvPr id="576" name="Straight Arrow Connector 575"/>
        <xdr:cNvCxnSpPr/>
      </xdr:nvCxnSpPr>
      <xdr:spPr bwMode="auto">
        <a:xfrm rot="5400000" flipH="1" flipV="1">
          <a:off x="3838575" y="22002749"/>
          <a:ext cx="2085976" cy="9529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cxnSp>
    <xdr:clientData/>
  </xdr:twoCellAnchor>
  <xdr:twoCellAnchor>
    <xdr:from>
      <xdr:col>8</xdr:col>
      <xdr:colOff>447676</xdr:colOff>
      <xdr:row>123</xdr:row>
      <xdr:rowOff>142876</xdr:rowOff>
    </xdr:from>
    <xdr:to>
      <xdr:col>9</xdr:col>
      <xdr:colOff>171451</xdr:colOff>
      <xdr:row>123</xdr:row>
      <xdr:rowOff>142876</xdr:rowOff>
    </xdr:to>
    <xdr:sp macro="" textlink="">
      <xdr:nvSpPr>
        <xdr:cNvPr id="577" name="Line 210"/>
        <xdr:cNvSpPr>
          <a:spLocks noChangeShapeType="1"/>
        </xdr:cNvSpPr>
      </xdr:nvSpPr>
      <xdr:spPr bwMode="auto">
        <a:xfrm>
          <a:off x="5324476" y="20764501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476251</xdr:colOff>
      <xdr:row>137</xdr:row>
      <xdr:rowOff>133351</xdr:rowOff>
    </xdr:from>
    <xdr:to>
      <xdr:col>9</xdr:col>
      <xdr:colOff>114301</xdr:colOff>
      <xdr:row>137</xdr:row>
      <xdr:rowOff>133351</xdr:rowOff>
    </xdr:to>
    <xdr:sp macro="" textlink="">
      <xdr:nvSpPr>
        <xdr:cNvPr id="578" name="Line 211"/>
        <xdr:cNvSpPr>
          <a:spLocks noChangeShapeType="1"/>
        </xdr:cNvSpPr>
      </xdr:nvSpPr>
      <xdr:spPr bwMode="auto">
        <a:xfrm>
          <a:off x="5353051" y="23021926"/>
          <a:ext cx="247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123</xdr:row>
      <xdr:rowOff>152402</xdr:rowOff>
    </xdr:from>
    <xdr:to>
      <xdr:col>9</xdr:col>
      <xdr:colOff>9525</xdr:colOff>
      <xdr:row>137</xdr:row>
      <xdr:rowOff>133352</xdr:rowOff>
    </xdr:to>
    <xdr:cxnSp macro="">
      <xdr:nvCxnSpPr>
        <xdr:cNvPr id="579" name="Straight Arrow Connector 578"/>
        <xdr:cNvCxnSpPr/>
      </xdr:nvCxnSpPr>
      <xdr:spPr bwMode="auto">
        <a:xfrm rot="5400000" flipH="1" flipV="1">
          <a:off x="4367213" y="21893214"/>
          <a:ext cx="2247900" cy="95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452301</xdr:colOff>
      <xdr:row>49</xdr:row>
      <xdr:rowOff>38877</xdr:rowOff>
    </xdr:from>
    <xdr:to>
      <xdr:col>2</xdr:col>
      <xdr:colOff>554005</xdr:colOff>
      <xdr:row>49</xdr:row>
      <xdr:rowOff>163674</xdr:rowOff>
    </xdr:to>
    <xdr:sp macro="" textlink="">
      <xdr:nvSpPr>
        <xdr:cNvPr id="16" name="AutoShape 27"/>
        <xdr:cNvSpPr>
          <a:spLocks noChangeArrowheads="1"/>
        </xdr:cNvSpPr>
      </xdr:nvSpPr>
      <xdr:spPr bwMode="auto">
        <a:xfrm>
          <a:off x="1676944" y="9145943"/>
          <a:ext cx="101704" cy="124797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388776</xdr:colOff>
      <xdr:row>43</xdr:row>
      <xdr:rowOff>116632</xdr:rowOff>
    </xdr:from>
    <xdr:to>
      <xdr:col>1</xdr:col>
      <xdr:colOff>404132</xdr:colOff>
      <xdr:row>44</xdr:row>
      <xdr:rowOff>11428</xdr:rowOff>
    </xdr:to>
    <xdr:sp macro="" textlink="">
      <xdr:nvSpPr>
        <xdr:cNvPr id="21" name="Line 32"/>
        <xdr:cNvSpPr>
          <a:spLocks noChangeShapeType="1"/>
        </xdr:cNvSpPr>
      </xdr:nvSpPr>
      <xdr:spPr bwMode="auto">
        <a:xfrm>
          <a:off x="388776" y="8057372"/>
          <a:ext cx="627677" cy="891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oneCellAnchor>
    <xdr:from>
      <xdr:col>1</xdr:col>
      <xdr:colOff>301885</xdr:colOff>
      <xdr:row>45</xdr:row>
      <xdr:rowOff>0</xdr:rowOff>
    </xdr:from>
    <xdr:ext cx="123825" cy="180975"/>
    <xdr:sp macro="" textlink="">
      <xdr:nvSpPr>
        <xdr:cNvPr id="26" name="Text Box 46"/>
        <xdr:cNvSpPr txBox="1">
          <a:spLocks noChangeArrowheads="1"/>
        </xdr:cNvSpPr>
      </xdr:nvSpPr>
      <xdr:spPr bwMode="auto">
        <a:xfrm>
          <a:off x="914206" y="832951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8</xdr:col>
      <xdr:colOff>600075</xdr:colOff>
      <xdr:row>41</xdr:row>
      <xdr:rowOff>0</xdr:rowOff>
    </xdr:from>
    <xdr:ext cx="123825" cy="180975"/>
    <xdr:sp macro="" textlink="">
      <xdr:nvSpPr>
        <xdr:cNvPr id="34" name="Text Box 59"/>
        <xdr:cNvSpPr txBox="1">
          <a:spLocks noChangeArrowheads="1"/>
        </xdr:cNvSpPr>
      </xdr:nvSpPr>
      <xdr:spPr bwMode="auto">
        <a:xfrm>
          <a:off x="1209675" y="56673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</xdr:col>
      <xdr:colOff>0</xdr:colOff>
      <xdr:row>83</xdr:row>
      <xdr:rowOff>19050</xdr:rowOff>
    </xdr:from>
    <xdr:ext cx="123825" cy="180975"/>
    <xdr:sp macro="" textlink="">
      <xdr:nvSpPr>
        <xdr:cNvPr id="37" name="Text Box 62"/>
        <xdr:cNvSpPr txBox="1">
          <a:spLocks noChangeArrowheads="1"/>
        </xdr:cNvSpPr>
      </xdr:nvSpPr>
      <xdr:spPr bwMode="auto">
        <a:xfrm>
          <a:off x="1219200" y="139446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228599</xdr:colOff>
      <xdr:row>61</xdr:row>
      <xdr:rowOff>171450</xdr:rowOff>
    </xdr:from>
    <xdr:to>
      <xdr:col>8</xdr:col>
      <xdr:colOff>295275</xdr:colOff>
      <xdr:row>62</xdr:row>
      <xdr:rowOff>133350</xdr:rowOff>
    </xdr:to>
    <xdr:sp macro="" textlink="">
      <xdr:nvSpPr>
        <xdr:cNvPr id="38" name="Line 63"/>
        <xdr:cNvSpPr>
          <a:spLocks noChangeShapeType="1"/>
        </xdr:cNvSpPr>
      </xdr:nvSpPr>
      <xdr:spPr bwMode="auto">
        <a:xfrm flipH="1">
          <a:off x="5105399" y="9725025"/>
          <a:ext cx="66676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oneCellAnchor>
    <xdr:from>
      <xdr:col>0</xdr:col>
      <xdr:colOff>447675</xdr:colOff>
      <xdr:row>49</xdr:row>
      <xdr:rowOff>180975</xdr:rowOff>
    </xdr:from>
    <xdr:ext cx="123825" cy="180975"/>
    <xdr:sp macro="" textlink="">
      <xdr:nvSpPr>
        <xdr:cNvPr id="43" name="Text Box 69"/>
        <xdr:cNvSpPr txBox="1">
          <a:spLocks noChangeArrowheads="1"/>
        </xdr:cNvSpPr>
      </xdr:nvSpPr>
      <xdr:spPr bwMode="auto">
        <a:xfrm>
          <a:off x="5372100" y="75628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7</xdr:col>
      <xdr:colOff>581025</xdr:colOff>
      <xdr:row>52</xdr:row>
      <xdr:rowOff>142875</xdr:rowOff>
    </xdr:from>
    <xdr:to>
      <xdr:col>8</xdr:col>
      <xdr:colOff>238125</xdr:colOff>
      <xdr:row>54</xdr:row>
      <xdr:rowOff>95250</xdr:rowOff>
    </xdr:to>
    <xdr:sp macro="" textlink="">
      <xdr:nvSpPr>
        <xdr:cNvPr id="46" name="Oval 45"/>
        <xdr:cNvSpPr>
          <a:spLocks noChangeArrowheads="1"/>
        </xdr:cNvSpPr>
      </xdr:nvSpPr>
      <xdr:spPr bwMode="auto">
        <a:xfrm>
          <a:off x="1190625" y="8553450"/>
          <a:ext cx="266700" cy="3333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7</xdr:col>
      <xdr:colOff>581025</xdr:colOff>
      <xdr:row>32</xdr:row>
      <xdr:rowOff>155510</xdr:rowOff>
    </xdr:from>
    <xdr:to>
      <xdr:col>8</xdr:col>
      <xdr:colOff>238125</xdr:colOff>
      <xdr:row>34</xdr:row>
      <xdr:rowOff>95250</xdr:rowOff>
    </xdr:to>
    <xdr:sp macro="" textlink="">
      <xdr:nvSpPr>
        <xdr:cNvPr id="47" name="Oval 46"/>
        <xdr:cNvSpPr>
          <a:spLocks noChangeArrowheads="1"/>
        </xdr:cNvSpPr>
      </xdr:nvSpPr>
      <xdr:spPr bwMode="auto">
        <a:xfrm>
          <a:off x="4867275" y="5821913"/>
          <a:ext cx="269421" cy="32851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oneCellAnchor>
    <xdr:from>
      <xdr:col>7</xdr:col>
      <xdr:colOff>590550</xdr:colOff>
      <xdr:row>56</xdr:row>
      <xdr:rowOff>0</xdr:rowOff>
    </xdr:from>
    <xdr:ext cx="123825" cy="180975"/>
    <xdr:sp macro="" textlink="">
      <xdr:nvSpPr>
        <xdr:cNvPr id="57" name="Text Box 86"/>
        <xdr:cNvSpPr txBox="1">
          <a:spLocks noChangeArrowheads="1"/>
        </xdr:cNvSpPr>
      </xdr:nvSpPr>
      <xdr:spPr bwMode="auto">
        <a:xfrm>
          <a:off x="1819275" y="85248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4</xdr:col>
      <xdr:colOff>361950</xdr:colOff>
      <xdr:row>56</xdr:row>
      <xdr:rowOff>0</xdr:rowOff>
    </xdr:from>
    <xdr:ext cx="123825" cy="180975"/>
    <xdr:sp macro="" textlink="">
      <xdr:nvSpPr>
        <xdr:cNvPr id="58" name="Text Box 87"/>
        <xdr:cNvSpPr txBox="1">
          <a:spLocks noChangeArrowheads="1"/>
        </xdr:cNvSpPr>
      </xdr:nvSpPr>
      <xdr:spPr bwMode="auto">
        <a:xfrm>
          <a:off x="3429000" y="85248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609989</xdr:colOff>
      <xdr:row>37</xdr:row>
      <xdr:rowOff>20799</xdr:rowOff>
    </xdr:from>
    <xdr:to>
      <xdr:col>6</xdr:col>
      <xdr:colOff>454867</xdr:colOff>
      <xdr:row>37</xdr:row>
      <xdr:rowOff>20799</xdr:rowOff>
    </xdr:to>
    <xdr:sp macro="" textlink="">
      <xdr:nvSpPr>
        <xdr:cNvPr id="64" name="Line 1012"/>
        <xdr:cNvSpPr>
          <a:spLocks noChangeShapeType="1"/>
        </xdr:cNvSpPr>
      </xdr:nvSpPr>
      <xdr:spPr bwMode="auto">
        <a:xfrm>
          <a:off x="3671596" y="6659141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</xdr:col>
      <xdr:colOff>275059</xdr:colOff>
      <xdr:row>40</xdr:row>
      <xdr:rowOff>0</xdr:rowOff>
    </xdr:from>
    <xdr:ext cx="123825" cy="180975"/>
    <xdr:sp macro="" textlink="">
      <xdr:nvSpPr>
        <xdr:cNvPr id="66" name="Text Box 1014"/>
        <xdr:cNvSpPr txBox="1">
          <a:spLocks noChangeArrowheads="1"/>
        </xdr:cNvSpPr>
      </xdr:nvSpPr>
      <xdr:spPr bwMode="auto">
        <a:xfrm>
          <a:off x="887380" y="722150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1</xdr:col>
      <xdr:colOff>409575</xdr:colOff>
      <xdr:row>52</xdr:row>
      <xdr:rowOff>142875</xdr:rowOff>
    </xdr:from>
    <xdr:to>
      <xdr:col>2</xdr:col>
      <xdr:colOff>66675</xdr:colOff>
      <xdr:row>54</xdr:row>
      <xdr:rowOff>85725</xdr:rowOff>
    </xdr:to>
    <xdr:sp macro="" textlink="">
      <xdr:nvSpPr>
        <xdr:cNvPr id="72" name="Oval 1021"/>
        <xdr:cNvSpPr>
          <a:spLocks noChangeArrowheads="1"/>
        </xdr:cNvSpPr>
      </xdr:nvSpPr>
      <xdr:spPr bwMode="auto">
        <a:xfrm>
          <a:off x="4067175" y="8553450"/>
          <a:ext cx="2667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oneCellAnchor>
    <xdr:from>
      <xdr:col>5</xdr:col>
      <xdr:colOff>323850</xdr:colOff>
      <xdr:row>26</xdr:row>
      <xdr:rowOff>0</xdr:rowOff>
    </xdr:from>
    <xdr:ext cx="123825" cy="180975"/>
    <xdr:sp macro="" textlink="">
      <xdr:nvSpPr>
        <xdr:cNvPr id="76" name="Text Box 1039"/>
        <xdr:cNvSpPr txBox="1">
          <a:spLocks noChangeArrowheads="1"/>
        </xdr:cNvSpPr>
      </xdr:nvSpPr>
      <xdr:spPr bwMode="auto">
        <a:xfrm>
          <a:off x="2762250" y="47910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</xdr:col>
      <xdr:colOff>579470</xdr:colOff>
      <xdr:row>43</xdr:row>
      <xdr:rowOff>184668</xdr:rowOff>
    </xdr:from>
    <xdr:to>
      <xdr:col>4</xdr:col>
      <xdr:colOff>87474</xdr:colOff>
      <xdr:row>44</xdr:row>
      <xdr:rowOff>56371</xdr:rowOff>
    </xdr:to>
    <xdr:sp macro="" textlink="">
      <xdr:nvSpPr>
        <xdr:cNvPr id="79" name="Line 2153"/>
        <xdr:cNvSpPr>
          <a:spLocks noChangeShapeType="1"/>
        </xdr:cNvSpPr>
      </xdr:nvSpPr>
      <xdr:spPr bwMode="auto">
        <a:xfrm flipH="1">
          <a:off x="2416434" y="8125408"/>
          <a:ext cx="120326" cy="6609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oneCellAnchor>
    <xdr:from>
      <xdr:col>4</xdr:col>
      <xdr:colOff>304800</xdr:colOff>
      <xdr:row>43</xdr:row>
      <xdr:rowOff>0</xdr:rowOff>
    </xdr:from>
    <xdr:ext cx="460126" cy="170560"/>
    <xdr:sp macro="" textlink="">
      <xdr:nvSpPr>
        <xdr:cNvPr id="80" name="Text Box 2154"/>
        <xdr:cNvSpPr txBox="1">
          <a:spLocks noChangeArrowheads="1"/>
        </xdr:cNvSpPr>
      </xdr:nvSpPr>
      <xdr:spPr bwMode="auto">
        <a:xfrm>
          <a:off x="2754086" y="7940740"/>
          <a:ext cx="460126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m,PWD</a:t>
          </a:r>
        </a:p>
      </xdr:txBody>
    </xdr:sp>
    <xdr:clientData/>
  </xdr:oneCellAnchor>
  <xdr:twoCellAnchor>
    <xdr:from>
      <xdr:col>2</xdr:col>
      <xdr:colOff>0</xdr:colOff>
      <xdr:row>92</xdr:row>
      <xdr:rowOff>180975</xdr:rowOff>
    </xdr:from>
    <xdr:to>
      <xdr:col>2</xdr:col>
      <xdr:colOff>180975</xdr:colOff>
      <xdr:row>92</xdr:row>
      <xdr:rowOff>180975</xdr:rowOff>
    </xdr:to>
    <xdr:sp macro="" textlink="">
      <xdr:nvSpPr>
        <xdr:cNvPr id="99" name="Line 106"/>
        <xdr:cNvSpPr>
          <a:spLocks noChangeShapeType="1"/>
        </xdr:cNvSpPr>
      </xdr:nvSpPr>
      <xdr:spPr bwMode="auto">
        <a:xfrm>
          <a:off x="1219200" y="1576387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3</xdr:col>
      <xdr:colOff>533400</xdr:colOff>
      <xdr:row>97</xdr:row>
      <xdr:rowOff>123825</xdr:rowOff>
    </xdr:from>
    <xdr:to>
      <xdr:col>4</xdr:col>
      <xdr:colOff>0</xdr:colOff>
      <xdr:row>98</xdr:row>
      <xdr:rowOff>104775</xdr:rowOff>
    </xdr:to>
    <xdr:sp macro="" textlink="">
      <xdr:nvSpPr>
        <xdr:cNvPr id="114" name="Text Box 130"/>
        <xdr:cNvSpPr txBox="1">
          <a:spLocks noChangeArrowheads="1"/>
        </xdr:cNvSpPr>
      </xdr:nvSpPr>
      <xdr:spPr bwMode="auto">
        <a:xfrm>
          <a:off x="4238625" y="132207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8</xdr:col>
      <xdr:colOff>590550</xdr:colOff>
      <xdr:row>88</xdr:row>
      <xdr:rowOff>0</xdr:rowOff>
    </xdr:from>
    <xdr:ext cx="123825" cy="180975"/>
    <xdr:sp macro="" textlink="">
      <xdr:nvSpPr>
        <xdr:cNvPr id="115" name="Text Box 131"/>
        <xdr:cNvSpPr txBox="1">
          <a:spLocks noChangeArrowheads="1"/>
        </xdr:cNvSpPr>
      </xdr:nvSpPr>
      <xdr:spPr bwMode="auto">
        <a:xfrm>
          <a:off x="5467350" y="148780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9</xdr:col>
      <xdr:colOff>0</xdr:colOff>
      <xdr:row>80</xdr:row>
      <xdr:rowOff>19050</xdr:rowOff>
    </xdr:from>
    <xdr:ext cx="123825" cy="180975"/>
    <xdr:sp macro="" textlink="">
      <xdr:nvSpPr>
        <xdr:cNvPr id="117" name="Text Box 133"/>
        <xdr:cNvSpPr txBox="1">
          <a:spLocks noChangeArrowheads="1"/>
        </xdr:cNvSpPr>
      </xdr:nvSpPr>
      <xdr:spPr bwMode="auto">
        <a:xfrm>
          <a:off x="5486400" y="133731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 editAs="oneCell">
    <xdr:from>
      <xdr:col>0</xdr:col>
      <xdr:colOff>590550</xdr:colOff>
      <xdr:row>83</xdr:row>
      <xdr:rowOff>0</xdr:rowOff>
    </xdr:from>
    <xdr:to>
      <xdr:col>1</xdr:col>
      <xdr:colOff>28575</xdr:colOff>
      <xdr:row>83</xdr:row>
      <xdr:rowOff>171450</xdr:rowOff>
    </xdr:to>
    <xdr:sp macro="" textlink="">
      <xdr:nvSpPr>
        <xdr:cNvPr id="138" name="Text Box 1052"/>
        <xdr:cNvSpPr txBox="1">
          <a:spLocks noChangeArrowheads="1"/>
        </xdr:cNvSpPr>
      </xdr:nvSpPr>
      <xdr:spPr bwMode="auto">
        <a:xfrm>
          <a:off x="3657600" y="111918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0</xdr:col>
      <xdr:colOff>590550</xdr:colOff>
      <xdr:row>83</xdr:row>
      <xdr:rowOff>0</xdr:rowOff>
    </xdr:from>
    <xdr:to>
      <xdr:col>1</xdr:col>
      <xdr:colOff>28575</xdr:colOff>
      <xdr:row>83</xdr:row>
      <xdr:rowOff>171450</xdr:rowOff>
    </xdr:to>
    <xdr:sp macro="" textlink="">
      <xdr:nvSpPr>
        <xdr:cNvPr id="139" name="Text Box 1053"/>
        <xdr:cNvSpPr txBox="1">
          <a:spLocks noChangeArrowheads="1"/>
        </xdr:cNvSpPr>
      </xdr:nvSpPr>
      <xdr:spPr bwMode="auto">
        <a:xfrm>
          <a:off x="3657600" y="11191875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1</xdr:col>
      <xdr:colOff>447675</xdr:colOff>
      <xdr:row>96</xdr:row>
      <xdr:rowOff>180975</xdr:rowOff>
    </xdr:from>
    <xdr:ext cx="123825" cy="180975"/>
    <xdr:sp macro="" textlink="">
      <xdr:nvSpPr>
        <xdr:cNvPr id="141" name="Text Box 4302"/>
        <xdr:cNvSpPr txBox="1">
          <a:spLocks noChangeArrowheads="1"/>
        </xdr:cNvSpPr>
      </xdr:nvSpPr>
      <xdr:spPr bwMode="auto">
        <a:xfrm>
          <a:off x="1057275" y="165830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232163</xdr:colOff>
      <xdr:row>36</xdr:row>
      <xdr:rowOff>11144</xdr:rowOff>
    </xdr:from>
    <xdr:to>
      <xdr:col>9</xdr:col>
      <xdr:colOff>355988</xdr:colOff>
      <xdr:row>36</xdr:row>
      <xdr:rowOff>12732</xdr:rowOff>
    </xdr:to>
    <xdr:cxnSp macro="">
      <xdr:nvCxnSpPr>
        <xdr:cNvPr id="143" name="Straight Connector 142"/>
        <xdr:cNvCxnSpPr/>
      </xdr:nvCxnSpPr>
      <xdr:spPr bwMode="auto">
        <a:xfrm>
          <a:off x="5130734" y="6455098"/>
          <a:ext cx="73614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</xdr:colOff>
      <xdr:row>97</xdr:row>
      <xdr:rowOff>9527</xdr:rowOff>
    </xdr:from>
    <xdr:to>
      <xdr:col>1</xdr:col>
      <xdr:colOff>6</xdr:colOff>
      <xdr:row>98</xdr:row>
      <xdr:rowOff>152406</xdr:rowOff>
    </xdr:to>
    <xdr:cxnSp macro="">
      <xdr:nvCxnSpPr>
        <xdr:cNvPr id="150" name="Straight Connector 149"/>
        <xdr:cNvCxnSpPr/>
      </xdr:nvCxnSpPr>
      <xdr:spPr bwMode="auto">
        <a:xfrm rot="16200000" flipH="1">
          <a:off x="442915" y="16768766"/>
          <a:ext cx="333379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262423</xdr:colOff>
      <xdr:row>49</xdr:row>
      <xdr:rowOff>184669</xdr:rowOff>
    </xdr:from>
    <xdr:to>
      <xdr:col>0</xdr:col>
      <xdr:colOff>544285</xdr:colOff>
      <xdr:row>50</xdr:row>
      <xdr:rowOff>1</xdr:rowOff>
    </xdr:to>
    <xdr:cxnSp macro="">
      <xdr:nvCxnSpPr>
        <xdr:cNvPr id="160" name="Straight Connector 159"/>
        <xdr:cNvCxnSpPr/>
      </xdr:nvCxnSpPr>
      <xdr:spPr bwMode="auto">
        <a:xfrm>
          <a:off x="262423" y="9291735"/>
          <a:ext cx="281862" cy="972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391321</xdr:colOff>
      <xdr:row>51</xdr:row>
      <xdr:rowOff>10321</xdr:rowOff>
    </xdr:from>
    <xdr:to>
      <xdr:col>0</xdr:col>
      <xdr:colOff>398496</xdr:colOff>
      <xdr:row>53</xdr:row>
      <xdr:rowOff>13413</xdr:rowOff>
    </xdr:to>
    <xdr:cxnSp macro="">
      <xdr:nvCxnSpPr>
        <xdr:cNvPr id="161" name="Straight Arrow Connector 160"/>
        <xdr:cNvCxnSpPr/>
      </xdr:nvCxnSpPr>
      <xdr:spPr bwMode="auto">
        <a:xfrm rot="16200000" flipH="1">
          <a:off x="231438" y="8799854"/>
          <a:ext cx="326942" cy="71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8</xdr:col>
      <xdr:colOff>247198</xdr:colOff>
      <xdr:row>48</xdr:row>
      <xdr:rowOff>0</xdr:rowOff>
    </xdr:from>
    <xdr:to>
      <xdr:col>9</xdr:col>
      <xdr:colOff>351973</xdr:colOff>
      <xdr:row>48</xdr:row>
      <xdr:rowOff>1588</xdr:rowOff>
    </xdr:to>
    <xdr:cxnSp macro="">
      <xdr:nvCxnSpPr>
        <xdr:cNvPr id="162" name="Straight Connector 161"/>
        <xdr:cNvCxnSpPr/>
      </xdr:nvCxnSpPr>
      <xdr:spPr bwMode="auto">
        <a:xfrm rot="10800000">
          <a:off x="5145769" y="8765268"/>
          <a:ext cx="71709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0</xdr:colOff>
      <xdr:row>137</xdr:row>
      <xdr:rowOff>152400</xdr:rowOff>
    </xdr:from>
    <xdr:to>
      <xdr:col>7</xdr:col>
      <xdr:colOff>0</xdr:colOff>
      <xdr:row>138</xdr:row>
      <xdr:rowOff>2</xdr:rowOff>
    </xdr:to>
    <xdr:cxnSp macro="">
      <xdr:nvCxnSpPr>
        <xdr:cNvPr id="163" name="Straight Connector 162"/>
        <xdr:cNvCxnSpPr/>
      </xdr:nvCxnSpPr>
      <xdr:spPr bwMode="auto">
        <a:xfrm>
          <a:off x="2438400" y="24279225"/>
          <a:ext cx="1828800" cy="9527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9527</xdr:colOff>
      <xdr:row>124</xdr:row>
      <xdr:rowOff>9525</xdr:rowOff>
    </xdr:from>
    <xdr:to>
      <xdr:col>7</xdr:col>
      <xdr:colOff>219075</xdr:colOff>
      <xdr:row>124</xdr:row>
      <xdr:rowOff>9529</xdr:rowOff>
    </xdr:to>
    <xdr:cxnSp macro="">
      <xdr:nvCxnSpPr>
        <xdr:cNvPr id="164" name="Straight Connector 163"/>
        <xdr:cNvCxnSpPr/>
      </xdr:nvCxnSpPr>
      <xdr:spPr bwMode="auto">
        <a:xfrm rot="10800000" flipV="1">
          <a:off x="4324352" y="18754725"/>
          <a:ext cx="209548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133350</xdr:colOff>
      <xdr:row>140</xdr:row>
      <xdr:rowOff>0</xdr:rowOff>
    </xdr:from>
    <xdr:to>
      <xdr:col>7</xdr:col>
      <xdr:colOff>504825</xdr:colOff>
      <xdr:row>140</xdr:row>
      <xdr:rowOff>1588</xdr:rowOff>
    </xdr:to>
    <xdr:cxnSp macro="">
      <xdr:nvCxnSpPr>
        <xdr:cNvPr id="165" name="Straight Connector 164"/>
        <xdr:cNvCxnSpPr/>
      </xdr:nvCxnSpPr>
      <xdr:spPr bwMode="auto">
        <a:xfrm>
          <a:off x="1971675" y="21336000"/>
          <a:ext cx="2847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505621</xdr:colOff>
      <xdr:row>137</xdr:row>
      <xdr:rowOff>134145</xdr:rowOff>
    </xdr:from>
    <xdr:to>
      <xdr:col>7</xdr:col>
      <xdr:colOff>514353</xdr:colOff>
      <xdr:row>140</xdr:row>
      <xdr:rowOff>0</xdr:rowOff>
    </xdr:to>
    <xdr:cxnSp macro="">
      <xdr:nvCxnSpPr>
        <xdr:cNvPr id="166" name="Straight Connector 165"/>
        <xdr:cNvCxnSpPr/>
      </xdr:nvCxnSpPr>
      <xdr:spPr bwMode="auto">
        <a:xfrm rot="16200000" flipV="1">
          <a:off x="4648997" y="21155819"/>
          <a:ext cx="351630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</xdr:colOff>
      <xdr:row>124</xdr:row>
      <xdr:rowOff>19050</xdr:rowOff>
    </xdr:from>
    <xdr:to>
      <xdr:col>7</xdr:col>
      <xdr:colOff>8734</xdr:colOff>
      <xdr:row>138</xdr:row>
      <xdr:rowOff>796</xdr:rowOff>
    </xdr:to>
    <xdr:cxnSp macro="">
      <xdr:nvCxnSpPr>
        <xdr:cNvPr id="167" name="Straight Connector 166"/>
        <xdr:cNvCxnSpPr/>
      </xdr:nvCxnSpPr>
      <xdr:spPr bwMode="auto">
        <a:xfrm rot="16200000" flipV="1">
          <a:off x="3194846" y="19884232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132562</xdr:colOff>
      <xdr:row>138</xdr:row>
      <xdr:rowOff>1</xdr:rowOff>
    </xdr:from>
    <xdr:to>
      <xdr:col>3</xdr:col>
      <xdr:colOff>133353</xdr:colOff>
      <xdr:row>140</xdr:row>
      <xdr:rowOff>796</xdr:rowOff>
    </xdr:to>
    <xdr:cxnSp macro="">
      <xdr:nvCxnSpPr>
        <xdr:cNvPr id="168" name="Straight Connector 167"/>
        <xdr:cNvCxnSpPr/>
      </xdr:nvCxnSpPr>
      <xdr:spPr bwMode="auto">
        <a:xfrm rot="5400000" flipH="1" flipV="1">
          <a:off x="1808960" y="21174078"/>
          <a:ext cx="324645" cy="79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8736</xdr:colOff>
      <xdr:row>124</xdr:row>
      <xdr:rowOff>1</xdr:rowOff>
    </xdr:from>
    <xdr:to>
      <xdr:col>4</xdr:col>
      <xdr:colOff>9525</xdr:colOff>
      <xdr:row>138</xdr:row>
      <xdr:rowOff>798</xdr:rowOff>
    </xdr:to>
    <xdr:cxnSp macro="">
      <xdr:nvCxnSpPr>
        <xdr:cNvPr id="169" name="Straight Connector 168"/>
        <xdr:cNvCxnSpPr/>
      </xdr:nvCxnSpPr>
      <xdr:spPr bwMode="auto">
        <a:xfrm rot="5400000" flipH="1" flipV="1">
          <a:off x="1332707" y="19878680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123</xdr:row>
      <xdr:rowOff>152400</xdr:rowOff>
    </xdr:from>
    <xdr:to>
      <xdr:col>4</xdr:col>
      <xdr:colOff>0</xdr:colOff>
      <xdr:row>124</xdr:row>
      <xdr:rowOff>0</xdr:rowOff>
    </xdr:to>
    <xdr:cxnSp macro="">
      <xdr:nvCxnSpPr>
        <xdr:cNvPr id="170" name="Straight Connector 169"/>
        <xdr:cNvCxnSpPr/>
      </xdr:nvCxnSpPr>
      <xdr:spPr bwMode="auto">
        <a:xfrm rot="10800000">
          <a:off x="2209800" y="18735675"/>
          <a:ext cx="2476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219075</xdr:colOff>
      <xdr:row>124</xdr:row>
      <xdr:rowOff>19049</xdr:rowOff>
    </xdr:from>
    <xdr:to>
      <xdr:col>7</xdr:col>
      <xdr:colOff>514350</xdr:colOff>
      <xdr:row>138</xdr:row>
      <xdr:rowOff>9524</xdr:rowOff>
    </xdr:to>
    <xdr:cxnSp macro="">
      <xdr:nvCxnSpPr>
        <xdr:cNvPr id="171" name="Straight Connector 170"/>
        <xdr:cNvCxnSpPr/>
      </xdr:nvCxnSpPr>
      <xdr:spPr bwMode="auto">
        <a:xfrm rot="16200000" flipH="1">
          <a:off x="3552825" y="19745324"/>
          <a:ext cx="225742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133351</xdr:colOff>
      <xdr:row>123</xdr:row>
      <xdr:rowOff>152399</xdr:rowOff>
    </xdr:from>
    <xdr:to>
      <xdr:col>3</xdr:col>
      <xdr:colOff>361954</xdr:colOff>
      <xdr:row>138</xdr:row>
      <xdr:rowOff>3</xdr:rowOff>
    </xdr:to>
    <xdr:cxnSp macro="">
      <xdr:nvCxnSpPr>
        <xdr:cNvPr id="172" name="Straight Connector 171"/>
        <xdr:cNvCxnSpPr/>
      </xdr:nvCxnSpPr>
      <xdr:spPr bwMode="auto">
        <a:xfrm rot="5400000">
          <a:off x="947738" y="19759612"/>
          <a:ext cx="2276479" cy="22860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534566</xdr:colOff>
      <xdr:row>124</xdr:row>
      <xdr:rowOff>0</xdr:rowOff>
    </xdr:from>
    <xdr:to>
      <xdr:col>8</xdr:col>
      <xdr:colOff>252705</xdr:colOff>
      <xdr:row>124</xdr:row>
      <xdr:rowOff>9721</xdr:rowOff>
    </xdr:to>
    <xdr:cxnSp macro="">
      <xdr:nvCxnSpPr>
        <xdr:cNvPr id="173" name="Straight Connector 172"/>
        <xdr:cNvCxnSpPr/>
      </xdr:nvCxnSpPr>
      <xdr:spPr bwMode="auto">
        <a:xfrm>
          <a:off x="4820816" y="22947474"/>
          <a:ext cx="330460" cy="972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590550</xdr:colOff>
      <xdr:row>138</xdr:row>
      <xdr:rowOff>9525</xdr:rowOff>
    </xdr:from>
    <xdr:to>
      <xdr:col>8</xdr:col>
      <xdr:colOff>184669</xdr:colOff>
      <xdr:row>138</xdr:row>
      <xdr:rowOff>9719</xdr:rowOff>
    </xdr:to>
    <xdr:cxnSp macro="">
      <xdr:nvCxnSpPr>
        <xdr:cNvPr id="174" name="Straight Connector 173"/>
        <xdr:cNvCxnSpPr/>
      </xdr:nvCxnSpPr>
      <xdr:spPr bwMode="auto">
        <a:xfrm>
          <a:off x="4876800" y="25270214"/>
          <a:ext cx="206440" cy="1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140</xdr:row>
      <xdr:rowOff>19050</xdr:rowOff>
    </xdr:from>
    <xdr:to>
      <xdr:col>8</xdr:col>
      <xdr:colOff>262424</xdr:colOff>
      <xdr:row>140</xdr:row>
      <xdr:rowOff>19439</xdr:rowOff>
    </xdr:to>
    <xdr:cxnSp macro="">
      <xdr:nvCxnSpPr>
        <xdr:cNvPr id="175" name="Straight Connector 174"/>
        <xdr:cNvCxnSpPr/>
      </xdr:nvCxnSpPr>
      <xdr:spPr bwMode="auto">
        <a:xfrm>
          <a:off x="4886325" y="25610198"/>
          <a:ext cx="274670" cy="3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75407</xdr:colOff>
      <xdr:row>124</xdr:row>
      <xdr:rowOff>10318</xdr:rowOff>
    </xdr:from>
    <xdr:to>
      <xdr:col>8</xdr:col>
      <xdr:colOff>76995</xdr:colOff>
      <xdr:row>138</xdr:row>
      <xdr:rowOff>793</xdr:rowOff>
    </xdr:to>
    <xdr:cxnSp macro="">
      <xdr:nvCxnSpPr>
        <xdr:cNvPr id="176" name="Straight Arrow Connector 175"/>
        <xdr:cNvCxnSpPr/>
      </xdr:nvCxnSpPr>
      <xdr:spPr bwMode="auto">
        <a:xfrm rot="5400000">
          <a:off x="3871913" y="19883437"/>
          <a:ext cx="2257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67468</xdr:colOff>
      <xdr:row>138</xdr:row>
      <xdr:rowOff>10125</xdr:rowOff>
    </xdr:from>
    <xdr:to>
      <xdr:col>8</xdr:col>
      <xdr:colOff>68035</xdr:colOff>
      <xdr:row>140</xdr:row>
      <xdr:rowOff>19442</xdr:rowOff>
    </xdr:to>
    <xdr:cxnSp macro="">
      <xdr:nvCxnSpPr>
        <xdr:cNvPr id="177" name="Straight Arrow Connector 176"/>
        <xdr:cNvCxnSpPr/>
      </xdr:nvCxnSpPr>
      <xdr:spPr bwMode="auto">
        <a:xfrm rot="16200000" flipH="1">
          <a:off x="4796435" y="25440418"/>
          <a:ext cx="339776" cy="56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142081</xdr:colOff>
      <xdr:row>140</xdr:row>
      <xdr:rowOff>47625</xdr:rowOff>
    </xdr:from>
    <xdr:to>
      <xdr:col>3</xdr:col>
      <xdr:colOff>142875</xdr:colOff>
      <xdr:row>143</xdr:row>
      <xdr:rowOff>153194</xdr:rowOff>
    </xdr:to>
    <xdr:cxnSp macro="">
      <xdr:nvCxnSpPr>
        <xdr:cNvPr id="178" name="Straight Connector 177"/>
        <xdr:cNvCxnSpPr/>
      </xdr:nvCxnSpPr>
      <xdr:spPr bwMode="auto">
        <a:xfrm rot="5400000">
          <a:off x="1685131" y="2167890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513556</xdr:colOff>
      <xdr:row>140</xdr:row>
      <xdr:rowOff>66675</xdr:rowOff>
    </xdr:from>
    <xdr:to>
      <xdr:col>7</xdr:col>
      <xdr:colOff>514350</xdr:colOff>
      <xdr:row>144</xdr:row>
      <xdr:rowOff>10319</xdr:rowOff>
    </xdr:to>
    <xdr:cxnSp macro="">
      <xdr:nvCxnSpPr>
        <xdr:cNvPr id="179" name="Straight Connector 178"/>
        <xdr:cNvCxnSpPr/>
      </xdr:nvCxnSpPr>
      <xdr:spPr bwMode="auto">
        <a:xfrm rot="5400000">
          <a:off x="4533106" y="2169795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140</xdr:row>
      <xdr:rowOff>38100</xdr:rowOff>
    </xdr:from>
    <xdr:to>
      <xdr:col>3</xdr:col>
      <xdr:colOff>600869</xdr:colOff>
      <xdr:row>142</xdr:row>
      <xdr:rowOff>19050</xdr:rowOff>
    </xdr:to>
    <xdr:cxnSp macro="">
      <xdr:nvCxnSpPr>
        <xdr:cNvPr id="180" name="Straight Connector 179"/>
        <xdr:cNvCxnSpPr/>
      </xdr:nvCxnSpPr>
      <xdr:spPr bwMode="auto">
        <a:xfrm rot="5400000">
          <a:off x="2286397" y="21526103"/>
          <a:ext cx="30480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140</xdr:row>
      <xdr:rowOff>9527</xdr:rowOff>
    </xdr:from>
    <xdr:to>
      <xdr:col>7</xdr:col>
      <xdr:colOff>10319</xdr:colOff>
      <xdr:row>142</xdr:row>
      <xdr:rowOff>9527</xdr:rowOff>
    </xdr:to>
    <xdr:cxnSp macro="">
      <xdr:nvCxnSpPr>
        <xdr:cNvPr id="181" name="Straight Connector 180"/>
        <xdr:cNvCxnSpPr/>
      </xdr:nvCxnSpPr>
      <xdr:spPr bwMode="auto">
        <a:xfrm rot="5400000">
          <a:off x="4162822" y="21507055"/>
          <a:ext cx="32385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476250</xdr:colOff>
      <xdr:row>137</xdr:row>
      <xdr:rowOff>152401</xdr:rowOff>
    </xdr:from>
    <xdr:to>
      <xdr:col>3</xdr:col>
      <xdr:colOff>114300</xdr:colOff>
      <xdr:row>137</xdr:row>
      <xdr:rowOff>155510</xdr:rowOff>
    </xdr:to>
    <xdr:cxnSp macro="">
      <xdr:nvCxnSpPr>
        <xdr:cNvPr id="182" name="Straight Connector 181"/>
        <xdr:cNvCxnSpPr/>
      </xdr:nvCxnSpPr>
      <xdr:spPr bwMode="auto">
        <a:xfrm flipV="1">
          <a:off x="1700893" y="25247860"/>
          <a:ext cx="250371" cy="310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369337</xdr:colOff>
      <xdr:row>123</xdr:row>
      <xdr:rowOff>152400</xdr:rowOff>
    </xdr:from>
    <xdr:to>
      <xdr:col>3</xdr:col>
      <xdr:colOff>266700</xdr:colOff>
      <xdr:row>124</xdr:row>
      <xdr:rowOff>0</xdr:rowOff>
    </xdr:to>
    <xdr:cxnSp macro="">
      <xdr:nvCxnSpPr>
        <xdr:cNvPr id="183" name="Straight Connector 182"/>
        <xdr:cNvCxnSpPr/>
      </xdr:nvCxnSpPr>
      <xdr:spPr bwMode="auto">
        <a:xfrm flipV="1">
          <a:off x="1593980" y="22934645"/>
          <a:ext cx="509684" cy="1282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142875</xdr:colOff>
      <xdr:row>141</xdr:row>
      <xdr:rowOff>9525</xdr:rowOff>
    </xdr:from>
    <xdr:to>
      <xdr:col>3</xdr:col>
      <xdr:colOff>600075</xdr:colOff>
      <xdr:row>141</xdr:row>
      <xdr:rowOff>11113</xdr:rowOff>
    </xdr:to>
    <xdr:cxnSp macro="">
      <xdr:nvCxnSpPr>
        <xdr:cNvPr id="184" name="Straight Arrow Connector 183"/>
        <xdr:cNvCxnSpPr/>
      </xdr:nvCxnSpPr>
      <xdr:spPr bwMode="auto">
        <a:xfrm>
          <a:off x="1981200" y="21507450"/>
          <a:ext cx="457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19050</xdr:colOff>
      <xdr:row>141</xdr:row>
      <xdr:rowOff>0</xdr:rowOff>
    </xdr:from>
    <xdr:to>
      <xdr:col>7</xdr:col>
      <xdr:colOff>504825</xdr:colOff>
      <xdr:row>141</xdr:row>
      <xdr:rowOff>1588</xdr:rowOff>
    </xdr:to>
    <xdr:cxnSp macro="">
      <xdr:nvCxnSpPr>
        <xdr:cNvPr id="185" name="Straight Arrow Connector 184"/>
        <xdr:cNvCxnSpPr/>
      </xdr:nvCxnSpPr>
      <xdr:spPr bwMode="auto">
        <a:xfrm>
          <a:off x="4333875" y="214979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600075</xdr:colOff>
      <xdr:row>141</xdr:row>
      <xdr:rowOff>9525</xdr:rowOff>
    </xdr:from>
    <xdr:to>
      <xdr:col>7</xdr:col>
      <xdr:colOff>0</xdr:colOff>
      <xdr:row>141</xdr:row>
      <xdr:rowOff>9526</xdr:rowOff>
    </xdr:to>
    <xdr:cxnSp macro="">
      <xdr:nvCxnSpPr>
        <xdr:cNvPr id="186" name="Straight Arrow Connector 185"/>
        <xdr:cNvCxnSpPr/>
      </xdr:nvCxnSpPr>
      <xdr:spPr bwMode="auto">
        <a:xfrm>
          <a:off x="2438400" y="21507450"/>
          <a:ext cx="18764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123825</xdr:colOff>
      <xdr:row>142</xdr:row>
      <xdr:rowOff>152400</xdr:rowOff>
    </xdr:from>
    <xdr:to>
      <xdr:col>7</xdr:col>
      <xdr:colOff>514350</xdr:colOff>
      <xdr:row>143</xdr:row>
      <xdr:rowOff>9525</xdr:rowOff>
    </xdr:to>
    <xdr:cxnSp macro="">
      <xdr:nvCxnSpPr>
        <xdr:cNvPr id="187" name="Straight Arrow Connector 186"/>
        <xdr:cNvCxnSpPr/>
      </xdr:nvCxnSpPr>
      <xdr:spPr bwMode="auto">
        <a:xfrm flipV="1">
          <a:off x="1962150" y="21812250"/>
          <a:ext cx="286702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124619</xdr:colOff>
      <xdr:row>129</xdr:row>
      <xdr:rowOff>152400</xdr:rowOff>
    </xdr:from>
    <xdr:to>
      <xdr:col>3</xdr:col>
      <xdr:colOff>123825</xdr:colOff>
      <xdr:row>130</xdr:row>
      <xdr:rowOff>0</xdr:rowOff>
    </xdr:to>
    <xdr:cxnSp macro="">
      <xdr:nvCxnSpPr>
        <xdr:cNvPr id="188" name="Straight Connector 187"/>
        <xdr:cNvCxnSpPr/>
      </xdr:nvCxnSpPr>
      <xdr:spPr bwMode="auto">
        <a:xfrm>
          <a:off x="1353344" y="19707225"/>
          <a:ext cx="60880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419100</xdr:colOff>
      <xdr:row>131</xdr:row>
      <xdr:rowOff>152400</xdr:rowOff>
    </xdr:from>
    <xdr:to>
      <xdr:col>6</xdr:col>
      <xdr:colOff>161925</xdr:colOff>
      <xdr:row>132</xdr:row>
      <xdr:rowOff>9525</xdr:rowOff>
    </xdr:to>
    <xdr:cxnSp macro="">
      <xdr:nvCxnSpPr>
        <xdr:cNvPr id="189" name="Straight Connector 188"/>
        <xdr:cNvCxnSpPr/>
      </xdr:nvCxnSpPr>
      <xdr:spPr bwMode="auto">
        <a:xfrm>
          <a:off x="2876550" y="20031075"/>
          <a:ext cx="9906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161925</xdr:colOff>
      <xdr:row>129</xdr:row>
      <xdr:rowOff>47625</xdr:rowOff>
    </xdr:from>
    <xdr:to>
      <xdr:col>2</xdr:col>
      <xdr:colOff>238125</xdr:colOff>
      <xdr:row>129</xdr:row>
      <xdr:rowOff>133350</xdr:rowOff>
    </xdr:to>
    <xdr:sp macro="" textlink="">
      <xdr:nvSpPr>
        <xdr:cNvPr id="190" name="Flowchart: Merge 189"/>
        <xdr:cNvSpPr/>
      </xdr:nvSpPr>
      <xdr:spPr bwMode="auto">
        <a:xfrm>
          <a:off x="1390650" y="19602450"/>
          <a:ext cx="76200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57150</xdr:colOff>
      <xdr:row>131</xdr:row>
      <xdr:rowOff>66675</xdr:rowOff>
    </xdr:from>
    <xdr:to>
      <xdr:col>5</xdr:col>
      <xdr:colOff>180975</xdr:colOff>
      <xdr:row>132</xdr:row>
      <xdr:rowOff>9525</xdr:rowOff>
    </xdr:to>
    <xdr:sp macro="" textlink="">
      <xdr:nvSpPr>
        <xdr:cNvPr id="191" name="Flowchart: Merge 190"/>
        <xdr:cNvSpPr/>
      </xdr:nvSpPr>
      <xdr:spPr bwMode="auto">
        <a:xfrm>
          <a:off x="3105150" y="23221950"/>
          <a:ext cx="123825" cy="10477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47626</xdr:colOff>
      <xdr:row>123</xdr:row>
      <xdr:rowOff>152399</xdr:rowOff>
    </xdr:from>
    <xdr:to>
      <xdr:col>3</xdr:col>
      <xdr:colOff>66676</xdr:colOff>
      <xdr:row>129</xdr:row>
      <xdr:rowOff>161924</xdr:rowOff>
    </xdr:to>
    <xdr:cxnSp macro="">
      <xdr:nvCxnSpPr>
        <xdr:cNvPr id="192" name="Straight Arrow Connector 191"/>
        <xdr:cNvCxnSpPr/>
      </xdr:nvCxnSpPr>
      <xdr:spPr bwMode="auto">
        <a:xfrm rot="5400000">
          <a:off x="1404938" y="19216687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28576</xdr:colOff>
      <xdr:row>130</xdr:row>
      <xdr:rowOff>9525</xdr:rowOff>
    </xdr:from>
    <xdr:to>
      <xdr:col>3</xdr:col>
      <xdr:colOff>38101</xdr:colOff>
      <xdr:row>138</xdr:row>
      <xdr:rowOff>0</xdr:rowOff>
    </xdr:to>
    <xdr:cxnSp macro="">
      <xdr:nvCxnSpPr>
        <xdr:cNvPr id="193" name="Straight Arrow Connector 192"/>
        <xdr:cNvCxnSpPr/>
      </xdr:nvCxnSpPr>
      <xdr:spPr bwMode="auto">
        <a:xfrm rot="5400000">
          <a:off x="1228726" y="2036445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285751</xdr:colOff>
      <xdr:row>132</xdr:row>
      <xdr:rowOff>2</xdr:rowOff>
    </xdr:from>
    <xdr:to>
      <xdr:col>5</xdr:col>
      <xdr:colOff>304801</xdr:colOff>
      <xdr:row>138</xdr:row>
      <xdr:rowOff>9527</xdr:rowOff>
    </xdr:to>
    <xdr:cxnSp macro="">
      <xdr:nvCxnSpPr>
        <xdr:cNvPr id="194" name="Straight Arrow Connector 193"/>
        <xdr:cNvCxnSpPr/>
      </xdr:nvCxnSpPr>
      <xdr:spPr bwMode="auto">
        <a:xfrm rot="5400000">
          <a:off x="2871788" y="20521615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85725</xdr:colOff>
      <xdr:row>126</xdr:row>
      <xdr:rowOff>0</xdr:rowOff>
    </xdr:from>
    <xdr:ext cx="235962" cy="170560"/>
    <xdr:sp macro="" textlink="">
      <xdr:nvSpPr>
        <xdr:cNvPr id="195" name="Text Box 133"/>
        <xdr:cNvSpPr txBox="1">
          <a:spLocks noChangeArrowheads="1"/>
        </xdr:cNvSpPr>
      </xdr:nvSpPr>
      <xdr:spPr bwMode="auto">
        <a:xfrm>
          <a:off x="1314450" y="1906905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2</xdr:col>
      <xdr:colOff>47625</xdr:colOff>
      <xdr:row>133</xdr:row>
      <xdr:rowOff>0</xdr:rowOff>
    </xdr:from>
    <xdr:ext cx="235962" cy="170560"/>
    <xdr:sp macro="" textlink="">
      <xdr:nvSpPr>
        <xdr:cNvPr id="196" name="Text Box 133"/>
        <xdr:cNvSpPr txBox="1">
          <a:spLocks noChangeArrowheads="1"/>
        </xdr:cNvSpPr>
      </xdr:nvSpPr>
      <xdr:spPr bwMode="auto">
        <a:xfrm>
          <a:off x="1276350" y="2020252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h2=</a:t>
          </a:r>
        </a:p>
      </xdr:txBody>
    </xdr:sp>
    <xdr:clientData/>
  </xdr:oneCellAnchor>
  <xdr:twoCellAnchor>
    <xdr:from>
      <xdr:col>1</xdr:col>
      <xdr:colOff>600075</xdr:colOff>
      <xdr:row>124</xdr:row>
      <xdr:rowOff>0</xdr:rowOff>
    </xdr:from>
    <xdr:to>
      <xdr:col>1</xdr:col>
      <xdr:colOff>600864</xdr:colOff>
      <xdr:row>138</xdr:row>
      <xdr:rowOff>797</xdr:rowOff>
    </xdr:to>
    <xdr:cxnSp macro="">
      <xdr:nvCxnSpPr>
        <xdr:cNvPr id="197" name="Straight Connector 196"/>
        <xdr:cNvCxnSpPr/>
      </xdr:nvCxnSpPr>
      <xdr:spPr bwMode="auto">
        <a:xfrm rot="5400000" flipH="1" flipV="1">
          <a:off x="76196" y="19878679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304801</xdr:colOff>
      <xdr:row>130</xdr:row>
      <xdr:rowOff>9525</xdr:rowOff>
    </xdr:from>
    <xdr:to>
      <xdr:col>1</xdr:col>
      <xdr:colOff>314326</xdr:colOff>
      <xdr:row>138</xdr:row>
      <xdr:rowOff>0</xdr:rowOff>
    </xdr:to>
    <xdr:cxnSp macro="">
      <xdr:nvCxnSpPr>
        <xdr:cNvPr id="198" name="Straight Arrow Connector 197"/>
        <xdr:cNvCxnSpPr/>
      </xdr:nvCxnSpPr>
      <xdr:spPr bwMode="auto">
        <a:xfrm rot="5400000">
          <a:off x="276226" y="2036445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124</xdr:row>
      <xdr:rowOff>9525</xdr:rowOff>
    </xdr:from>
    <xdr:to>
      <xdr:col>2</xdr:col>
      <xdr:colOff>1</xdr:colOff>
      <xdr:row>130</xdr:row>
      <xdr:rowOff>0</xdr:rowOff>
    </xdr:to>
    <xdr:cxnSp macro="">
      <xdr:nvCxnSpPr>
        <xdr:cNvPr id="199" name="Straight Connector 198"/>
        <xdr:cNvCxnSpPr/>
      </xdr:nvCxnSpPr>
      <xdr:spPr bwMode="auto">
        <a:xfrm rot="5400000">
          <a:off x="595313" y="19083338"/>
          <a:ext cx="962025" cy="3048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28575</xdr:colOff>
      <xdr:row>131</xdr:row>
      <xdr:rowOff>133350</xdr:rowOff>
    </xdr:from>
    <xdr:to>
      <xdr:col>4</xdr:col>
      <xdr:colOff>447675</xdr:colOff>
      <xdr:row>137</xdr:row>
      <xdr:rowOff>152400</xdr:rowOff>
    </xdr:to>
    <xdr:cxnSp macro="">
      <xdr:nvCxnSpPr>
        <xdr:cNvPr id="200" name="Straight Connector 199"/>
        <xdr:cNvCxnSpPr/>
      </xdr:nvCxnSpPr>
      <xdr:spPr bwMode="auto">
        <a:xfrm rot="16200000" flipH="1">
          <a:off x="2181225" y="23574375"/>
          <a:ext cx="990600" cy="419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304801</xdr:colOff>
      <xdr:row>137</xdr:row>
      <xdr:rowOff>152400</xdr:rowOff>
    </xdr:from>
    <xdr:to>
      <xdr:col>1</xdr:col>
      <xdr:colOff>600076</xdr:colOff>
      <xdr:row>138</xdr:row>
      <xdr:rowOff>9525</xdr:rowOff>
    </xdr:to>
    <xdr:cxnSp macro="">
      <xdr:nvCxnSpPr>
        <xdr:cNvPr id="201" name="Straight Connector 200"/>
        <xdr:cNvCxnSpPr/>
      </xdr:nvCxnSpPr>
      <xdr:spPr bwMode="auto">
        <a:xfrm rot="10800000" flipV="1">
          <a:off x="304801" y="21002625"/>
          <a:ext cx="90487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130</xdr:row>
      <xdr:rowOff>0</xdr:rowOff>
    </xdr:from>
    <xdr:to>
      <xdr:col>1</xdr:col>
      <xdr:colOff>590551</xdr:colOff>
      <xdr:row>130</xdr:row>
      <xdr:rowOff>1588</xdr:rowOff>
    </xdr:to>
    <xdr:cxnSp macro="">
      <xdr:nvCxnSpPr>
        <xdr:cNvPr id="202" name="Straight Connector 201"/>
        <xdr:cNvCxnSpPr/>
      </xdr:nvCxnSpPr>
      <xdr:spPr bwMode="auto">
        <a:xfrm rot="10800000">
          <a:off x="923926" y="19716750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3</xdr:col>
      <xdr:colOff>123828</xdr:colOff>
      <xdr:row>124</xdr:row>
      <xdr:rowOff>9527</xdr:rowOff>
    </xdr:from>
    <xdr:to>
      <xdr:col>3</xdr:col>
      <xdr:colOff>132559</xdr:colOff>
      <xdr:row>137</xdr:row>
      <xdr:rowOff>153198</xdr:rowOff>
    </xdr:to>
    <xdr:cxnSp macro="">
      <xdr:nvCxnSpPr>
        <xdr:cNvPr id="203" name="Straight Connector 202"/>
        <xdr:cNvCxnSpPr/>
      </xdr:nvCxnSpPr>
      <xdr:spPr bwMode="auto">
        <a:xfrm rot="16200000" flipV="1">
          <a:off x="842171" y="19874709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136</xdr:row>
      <xdr:rowOff>142875</xdr:rowOff>
    </xdr:from>
    <xdr:to>
      <xdr:col>4</xdr:col>
      <xdr:colOff>352426</xdr:colOff>
      <xdr:row>136</xdr:row>
      <xdr:rowOff>144463</xdr:rowOff>
    </xdr:to>
    <xdr:cxnSp macro="">
      <xdr:nvCxnSpPr>
        <xdr:cNvPr id="204" name="Straight Arrow Connector 203"/>
        <xdr:cNvCxnSpPr/>
      </xdr:nvCxnSpPr>
      <xdr:spPr bwMode="auto">
        <a:xfrm rot="10800000">
          <a:off x="2457451" y="20831175"/>
          <a:ext cx="352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</xdr:colOff>
      <xdr:row>134</xdr:row>
      <xdr:rowOff>19050</xdr:rowOff>
    </xdr:from>
    <xdr:to>
      <xdr:col>4</xdr:col>
      <xdr:colOff>171450</xdr:colOff>
      <xdr:row>134</xdr:row>
      <xdr:rowOff>20638</xdr:rowOff>
    </xdr:to>
    <xdr:cxnSp macro="">
      <xdr:nvCxnSpPr>
        <xdr:cNvPr id="205" name="Straight Arrow Connector 204"/>
        <xdr:cNvCxnSpPr/>
      </xdr:nvCxnSpPr>
      <xdr:spPr bwMode="auto">
        <a:xfrm rot="10800000">
          <a:off x="2457452" y="20383500"/>
          <a:ext cx="1714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38100</xdr:colOff>
      <xdr:row>127</xdr:row>
      <xdr:rowOff>85726</xdr:rowOff>
    </xdr:from>
    <xdr:to>
      <xdr:col>1</xdr:col>
      <xdr:colOff>590550</xdr:colOff>
      <xdr:row>127</xdr:row>
      <xdr:rowOff>95250</xdr:rowOff>
    </xdr:to>
    <xdr:cxnSp macro="">
      <xdr:nvCxnSpPr>
        <xdr:cNvPr id="206" name="Straight Arrow Connector 205"/>
        <xdr:cNvCxnSpPr/>
      </xdr:nvCxnSpPr>
      <xdr:spPr bwMode="auto">
        <a:xfrm>
          <a:off x="647700" y="1931670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132</xdr:row>
      <xdr:rowOff>0</xdr:rowOff>
    </xdr:from>
    <xdr:to>
      <xdr:col>2</xdr:col>
      <xdr:colOff>0</xdr:colOff>
      <xdr:row>132</xdr:row>
      <xdr:rowOff>9525</xdr:rowOff>
    </xdr:to>
    <xdr:cxnSp macro="">
      <xdr:nvCxnSpPr>
        <xdr:cNvPr id="207" name="Straight Arrow Connector 206"/>
        <xdr:cNvCxnSpPr/>
      </xdr:nvCxnSpPr>
      <xdr:spPr bwMode="auto">
        <a:xfrm flipV="1">
          <a:off x="933450" y="20040600"/>
          <a:ext cx="2952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304800</xdr:colOff>
      <xdr:row>134</xdr:row>
      <xdr:rowOff>9525</xdr:rowOff>
    </xdr:from>
    <xdr:to>
      <xdr:col>1</xdr:col>
      <xdr:colOff>600075</xdr:colOff>
      <xdr:row>134</xdr:row>
      <xdr:rowOff>11113</xdr:rowOff>
    </xdr:to>
    <xdr:cxnSp macro="">
      <xdr:nvCxnSpPr>
        <xdr:cNvPr id="208" name="Straight Arrow Connector 207"/>
        <xdr:cNvCxnSpPr/>
      </xdr:nvCxnSpPr>
      <xdr:spPr bwMode="auto">
        <a:xfrm>
          <a:off x="914400" y="20373975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137</xdr:row>
      <xdr:rowOff>0</xdr:rowOff>
    </xdr:from>
    <xdr:to>
      <xdr:col>1</xdr:col>
      <xdr:colOff>600075</xdr:colOff>
      <xdr:row>137</xdr:row>
      <xdr:rowOff>1588</xdr:rowOff>
    </xdr:to>
    <xdr:cxnSp macro="">
      <xdr:nvCxnSpPr>
        <xdr:cNvPr id="209" name="Straight Arrow Connector 208"/>
        <xdr:cNvCxnSpPr/>
      </xdr:nvCxnSpPr>
      <xdr:spPr bwMode="auto">
        <a:xfrm>
          <a:off x="933450" y="20850225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600075</xdr:colOff>
      <xdr:row>134</xdr:row>
      <xdr:rowOff>114300</xdr:rowOff>
    </xdr:from>
    <xdr:to>
      <xdr:col>1</xdr:col>
      <xdr:colOff>304800</xdr:colOff>
      <xdr:row>134</xdr:row>
      <xdr:rowOff>114302</xdr:rowOff>
    </xdr:to>
    <xdr:cxnSp macro="">
      <xdr:nvCxnSpPr>
        <xdr:cNvPr id="210" name="Straight Arrow Connector 209"/>
        <xdr:cNvCxnSpPr/>
      </xdr:nvCxnSpPr>
      <xdr:spPr bwMode="auto">
        <a:xfrm>
          <a:off x="600075" y="20478750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137</xdr:row>
      <xdr:rowOff>0</xdr:rowOff>
    </xdr:from>
    <xdr:to>
      <xdr:col>1</xdr:col>
      <xdr:colOff>295275</xdr:colOff>
      <xdr:row>137</xdr:row>
      <xdr:rowOff>1588</xdr:rowOff>
    </xdr:to>
    <xdr:cxnSp macro="">
      <xdr:nvCxnSpPr>
        <xdr:cNvPr id="211" name="Straight Arrow Connector 210"/>
        <xdr:cNvCxnSpPr/>
      </xdr:nvCxnSpPr>
      <xdr:spPr bwMode="auto">
        <a:xfrm>
          <a:off x="419100" y="208502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104775</xdr:colOff>
      <xdr:row>133</xdr:row>
      <xdr:rowOff>9525</xdr:rowOff>
    </xdr:from>
    <xdr:to>
      <xdr:col>1</xdr:col>
      <xdr:colOff>304800</xdr:colOff>
      <xdr:row>133</xdr:row>
      <xdr:rowOff>11113</xdr:rowOff>
    </xdr:to>
    <xdr:cxnSp macro="">
      <xdr:nvCxnSpPr>
        <xdr:cNvPr id="212" name="Straight Arrow Connector 211"/>
        <xdr:cNvCxnSpPr/>
      </xdr:nvCxnSpPr>
      <xdr:spPr bwMode="auto">
        <a:xfrm>
          <a:off x="714375" y="20212050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419100</xdr:colOff>
      <xdr:row>128</xdr:row>
      <xdr:rowOff>19050</xdr:rowOff>
    </xdr:from>
    <xdr:to>
      <xdr:col>1</xdr:col>
      <xdr:colOff>600075</xdr:colOff>
      <xdr:row>128</xdr:row>
      <xdr:rowOff>20638</xdr:rowOff>
    </xdr:to>
    <xdr:cxnSp macro="">
      <xdr:nvCxnSpPr>
        <xdr:cNvPr id="213" name="Straight Arrow Connector 212"/>
        <xdr:cNvCxnSpPr/>
      </xdr:nvCxnSpPr>
      <xdr:spPr bwMode="auto">
        <a:xfrm>
          <a:off x="1028700" y="19411950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457200</xdr:colOff>
      <xdr:row>127</xdr:row>
      <xdr:rowOff>0</xdr:rowOff>
    </xdr:from>
    <xdr:to>
      <xdr:col>1</xdr:col>
      <xdr:colOff>600075</xdr:colOff>
      <xdr:row>127</xdr:row>
      <xdr:rowOff>1588</xdr:rowOff>
    </xdr:to>
    <xdr:cxnSp macro="">
      <xdr:nvCxnSpPr>
        <xdr:cNvPr id="214" name="Straight Arrow Connector 213"/>
        <xdr:cNvCxnSpPr/>
      </xdr:nvCxnSpPr>
      <xdr:spPr bwMode="auto">
        <a:xfrm>
          <a:off x="1066800" y="22507575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oneCellAnchor>
    <xdr:from>
      <xdr:col>5</xdr:col>
      <xdr:colOff>28575</xdr:colOff>
      <xdr:row>134</xdr:row>
      <xdr:rowOff>9525</xdr:rowOff>
    </xdr:from>
    <xdr:ext cx="235962" cy="170560"/>
    <xdr:sp macro="" textlink="">
      <xdr:nvSpPr>
        <xdr:cNvPr id="215" name="Text Box 133"/>
        <xdr:cNvSpPr txBox="1">
          <a:spLocks noChangeArrowheads="1"/>
        </xdr:cNvSpPr>
      </xdr:nvSpPr>
      <xdr:spPr bwMode="auto">
        <a:xfrm>
          <a:off x="3095625" y="2037397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h3=</a:t>
          </a:r>
        </a:p>
      </xdr:txBody>
    </xdr:sp>
    <xdr:clientData/>
  </xdr:oneCellAnchor>
  <xdr:oneCellAnchor>
    <xdr:from>
      <xdr:col>5</xdr:col>
      <xdr:colOff>38100</xdr:colOff>
      <xdr:row>143</xdr:row>
      <xdr:rowOff>26048</xdr:rowOff>
    </xdr:from>
    <xdr:ext cx="178895" cy="170560"/>
    <xdr:sp macro="" textlink="">
      <xdr:nvSpPr>
        <xdr:cNvPr id="216" name="Text Box 133"/>
        <xdr:cNvSpPr txBox="1">
          <a:spLocks noChangeArrowheads="1"/>
        </xdr:cNvSpPr>
      </xdr:nvSpPr>
      <xdr:spPr bwMode="auto">
        <a:xfrm>
          <a:off x="3099707" y="26112885"/>
          <a:ext cx="17889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5</xdr:col>
      <xdr:colOff>28575</xdr:colOff>
      <xdr:row>140</xdr:row>
      <xdr:rowOff>162703</xdr:rowOff>
    </xdr:from>
    <xdr:ext cx="200311" cy="170560"/>
    <xdr:sp macro="" textlink="">
      <xdr:nvSpPr>
        <xdr:cNvPr id="217" name="Text Box 133"/>
        <xdr:cNvSpPr txBox="1">
          <a:spLocks noChangeArrowheads="1"/>
        </xdr:cNvSpPr>
      </xdr:nvSpPr>
      <xdr:spPr bwMode="auto">
        <a:xfrm>
          <a:off x="3090182" y="25753851"/>
          <a:ext cx="20031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 =</a:t>
          </a:r>
        </a:p>
      </xdr:txBody>
    </xdr:sp>
    <xdr:clientData/>
  </xdr:oneCellAnchor>
  <xdr:twoCellAnchor>
    <xdr:from>
      <xdr:col>1</xdr:col>
      <xdr:colOff>38100</xdr:colOff>
      <xdr:row>131</xdr:row>
      <xdr:rowOff>85726</xdr:rowOff>
    </xdr:from>
    <xdr:to>
      <xdr:col>1</xdr:col>
      <xdr:colOff>590550</xdr:colOff>
      <xdr:row>131</xdr:row>
      <xdr:rowOff>95250</xdr:rowOff>
    </xdr:to>
    <xdr:cxnSp macro="">
      <xdr:nvCxnSpPr>
        <xdr:cNvPr id="218" name="Straight Arrow Connector 217"/>
        <xdr:cNvCxnSpPr/>
      </xdr:nvCxnSpPr>
      <xdr:spPr bwMode="auto">
        <a:xfrm>
          <a:off x="647700" y="1996440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135</xdr:row>
      <xdr:rowOff>76200</xdr:rowOff>
    </xdr:from>
    <xdr:to>
      <xdr:col>2</xdr:col>
      <xdr:colOff>9525</xdr:colOff>
      <xdr:row>135</xdr:row>
      <xdr:rowOff>77788</xdr:rowOff>
    </xdr:to>
    <xdr:cxnSp macro="">
      <xdr:nvCxnSpPr>
        <xdr:cNvPr id="219" name="Straight Arrow Connector 218"/>
        <xdr:cNvCxnSpPr/>
      </xdr:nvCxnSpPr>
      <xdr:spPr bwMode="auto">
        <a:xfrm>
          <a:off x="419100" y="20602575"/>
          <a:ext cx="819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9528</xdr:colOff>
      <xdr:row>135</xdr:row>
      <xdr:rowOff>76199</xdr:rowOff>
    </xdr:from>
    <xdr:to>
      <xdr:col>4</xdr:col>
      <xdr:colOff>400051</xdr:colOff>
      <xdr:row>135</xdr:row>
      <xdr:rowOff>85724</xdr:rowOff>
    </xdr:to>
    <xdr:cxnSp macro="">
      <xdr:nvCxnSpPr>
        <xdr:cNvPr id="220" name="Straight Arrow Connector 219"/>
        <xdr:cNvCxnSpPr/>
      </xdr:nvCxnSpPr>
      <xdr:spPr bwMode="auto">
        <a:xfrm rot="10800000" flipV="1">
          <a:off x="2466978" y="20602574"/>
          <a:ext cx="390523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542925</xdr:colOff>
      <xdr:row>218</xdr:row>
      <xdr:rowOff>104775</xdr:rowOff>
    </xdr:from>
    <xdr:to>
      <xdr:col>3</xdr:col>
      <xdr:colOff>304800</xdr:colOff>
      <xdr:row>220</xdr:row>
      <xdr:rowOff>0</xdr:rowOff>
    </xdr:to>
    <xdr:sp macro="" textlink="">
      <xdr:nvSpPr>
        <xdr:cNvPr id="221" name="Arc 220"/>
        <xdr:cNvSpPr/>
      </xdr:nvSpPr>
      <xdr:spPr bwMode="auto">
        <a:xfrm>
          <a:off x="4248150" y="34928175"/>
          <a:ext cx="371475" cy="219075"/>
        </a:xfrm>
        <a:prstGeom prst="arc">
          <a:avLst>
            <a:gd name="adj1" fmla="val 9384173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561976</xdr:colOff>
      <xdr:row>218</xdr:row>
      <xdr:rowOff>85725</xdr:rowOff>
    </xdr:from>
    <xdr:to>
      <xdr:col>1</xdr:col>
      <xdr:colOff>152400</xdr:colOff>
      <xdr:row>220</xdr:row>
      <xdr:rowOff>0</xdr:rowOff>
    </xdr:to>
    <xdr:sp macro="" textlink="">
      <xdr:nvSpPr>
        <xdr:cNvPr id="222" name="Arc 221"/>
        <xdr:cNvSpPr/>
      </xdr:nvSpPr>
      <xdr:spPr bwMode="auto">
        <a:xfrm flipH="1">
          <a:off x="3019426" y="34909125"/>
          <a:ext cx="200024" cy="238125"/>
        </a:xfrm>
        <a:prstGeom prst="arc">
          <a:avLst>
            <a:gd name="adj1" fmla="val 16200000"/>
            <a:gd name="adj2" fmla="val 509192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9525</xdr:colOff>
      <xdr:row>225</xdr:row>
      <xdr:rowOff>0</xdr:rowOff>
    </xdr:from>
    <xdr:to>
      <xdr:col>7</xdr:col>
      <xdr:colOff>180975</xdr:colOff>
      <xdr:row>225</xdr:row>
      <xdr:rowOff>1588</xdr:rowOff>
    </xdr:to>
    <xdr:cxnSp macro="">
      <xdr:nvCxnSpPr>
        <xdr:cNvPr id="223" name="Straight Connector 222"/>
        <xdr:cNvCxnSpPr/>
      </xdr:nvCxnSpPr>
      <xdr:spPr bwMode="auto">
        <a:xfrm>
          <a:off x="1238250" y="35956875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226</xdr:row>
      <xdr:rowOff>152400</xdr:rowOff>
    </xdr:from>
    <xdr:to>
      <xdr:col>7</xdr:col>
      <xdr:colOff>171450</xdr:colOff>
      <xdr:row>226</xdr:row>
      <xdr:rowOff>153988</xdr:rowOff>
    </xdr:to>
    <xdr:cxnSp macro="">
      <xdr:nvCxnSpPr>
        <xdr:cNvPr id="224" name="Straight Connector 223"/>
        <xdr:cNvCxnSpPr/>
      </xdr:nvCxnSpPr>
      <xdr:spPr bwMode="auto">
        <a:xfrm>
          <a:off x="1228725" y="36271200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608807</xdr:colOff>
      <xdr:row>225</xdr:row>
      <xdr:rowOff>793</xdr:rowOff>
    </xdr:from>
    <xdr:to>
      <xdr:col>2</xdr:col>
      <xdr:colOff>795</xdr:colOff>
      <xdr:row>226</xdr:row>
      <xdr:rowOff>153193</xdr:rowOff>
    </xdr:to>
    <xdr:cxnSp macro="">
      <xdr:nvCxnSpPr>
        <xdr:cNvPr id="225" name="Straight Connector 224"/>
        <xdr:cNvCxnSpPr/>
      </xdr:nvCxnSpPr>
      <xdr:spPr bwMode="auto">
        <a:xfrm rot="5400000">
          <a:off x="1066801" y="36109274"/>
          <a:ext cx="314325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8731</xdr:colOff>
      <xdr:row>227</xdr:row>
      <xdr:rowOff>115097</xdr:rowOff>
    </xdr:from>
    <xdr:to>
      <xdr:col>2</xdr:col>
      <xdr:colOff>10319</xdr:colOff>
      <xdr:row>231</xdr:row>
      <xdr:rowOff>29371</xdr:rowOff>
    </xdr:to>
    <xdr:cxnSp macro="">
      <xdr:nvCxnSpPr>
        <xdr:cNvPr id="227" name="Straight Connector 226"/>
        <xdr:cNvCxnSpPr/>
      </xdr:nvCxnSpPr>
      <xdr:spPr bwMode="auto">
        <a:xfrm rot="5400000">
          <a:off x="957263" y="36676015"/>
          <a:ext cx="561974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219075</xdr:colOff>
      <xdr:row>222</xdr:row>
      <xdr:rowOff>142877</xdr:rowOff>
    </xdr:from>
    <xdr:to>
      <xdr:col>2</xdr:col>
      <xdr:colOff>220663</xdr:colOff>
      <xdr:row>224</xdr:row>
      <xdr:rowOff>133352</xdr:rowOff>
    </xdr:to>
    <xdr:cxnSp macro="">
      <xdr:nvCxnSpPr>
        <xdr:cNvPr id="228" name="Straight Connector 227"/>
        <xdr:cNvCxnSpPr/>
      </xdr:nvCxnSpPr>
      <xdr:spPr bwMode="auto">
        <a:xfrm rot="5400000">
          <a:off x="1291431" y="35770346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314325</xdr:colOff>
      <xdr:row>227</xdr:row>
      <xdr:rowOff>9528</xdr:rowOff>
    </xdr:from>
    <xdr:to>
      <xdr:col>4</xdr:col>
      <xdr:colOff>315913</xdr:colOff>
      <xdr:row>229</xdr:row>
      <xdr:rowOff>3</xdr:rowOff>
    </xdr:to>
    <xdr:cxnSp macro="">
      <xdr:nvCxnSpPr>
        <xdr:cNvPr id="231" name="Straight Connector 230"/>
        <xdr:cNvCxnSpPr/>
      </xdr:nvCxnSpPr>
      <xdr:spPr bwMode="auto">
        <a:xfrm rot="5400000">
          <a:off x="2615406" y="36446622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238125</xdr:colOff>
      <xdr:row>224</xdr:row>
      <xdr:rowOff>0</xdr:rowOff>
    </xdr:from>
    <xdr:to>
      <xdr:col>7</xdr:col>
      <xdr:colOff>171450</xdr:colOff>
      <xdr:row>224</xdr:row>
      <xdr:rowOff>9525</xdr:rowOff>
    </xdr:to>
    <xdr:cxnSp macro="">
      <xdr:nvCxnSpPr>
        <xdr:cNvPr id="232" name="Straight Arrow Connector 231"/>
        <xdr:cNvCxnSpPr/>
      </xdr:nvCxnSpPr>
      <xdr:spPr bwMode="auto">
        <a:xfrm flipV="1">
          <a:off x="1466850" y="35794950"/>
          <a:ext cx="3019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323850</xdr:colOff>
      <xdr:row>228</xdr:row>
      <xdr:rowOff>9525</xdr:rowOff>
    </xdr:from>
    <xdr:to>
      <xdr:col>7</xdr:col>
      <xdr:colOff>180975</xdr:colOff>
      <xdr:row>228</xdr:row>
      <xdr:rowOff>11113</xdr:rowOff>
    </xdr:to>
    <xdr:cxnSp macro="">
      <xdr:nvCxnSpPr>
        <xdr:cNvPr id="233" name="Straight Arrow Connector 232"/>
        <xdr:cNvCxnSpPr/>
      </xdr:nvCxnSpPr>
      <xdr:spPr bwMode="auto">
        <a:xfrm>
          <a:off x="2781300" y="36452175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400050</xdr:colOff>
      <xdr:row>230</xdr:row>
      <xdr:rowOff>85725</xdr:rowOff>
    </xdr:from>
    <xdr:to>
      <xdr:col>7</xdr:col>
      <xdr:colOff>180975</xdr:colOff>
      <xdr:row>230</xdr:row>
      <xdr:rowOff>96838</xdr:rowOff>
    </xdr:to>
    <xdr:cxnSp macro="">
      <xdr:nvCxnSpPr>
        <xdr:cNvPr id="234" name="Straight Arrow Connector 233"/>
        <xdr:cNvCxnSpPr/>
      </xdr:nvCxnSpPr>
      <xdr:spPr bwMode="auto">
        <a:xfrm>
          <a:off x="3467100" y="36852225"/>
          <a:ext cx="1028700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19051</xdr:colOff>
      <xdr:row>230</xdr:row>
      <xdr:rowOff>95250</xdr:rowOff>
    </xdr:from>
    <xdr:to>
      <xdr:col>4</xdr:col>
      <xdr:colOff>85726</xdr:colOff>
      <xdr:row>230</xdr:row>
      <xdr:rowOff>96838</xdr:rowOff>
    </xdr:to>
    <xdr:cxnSp macro="">
      <xdr:nvCxnSpPr>
        <xdr:cNvPr id="235" name="Straight Arrow Connector 234"/>
        <xdr:cNvCxnSpPr/>
      </xdr:nvCxnSpPr>
      <xdr:spPr bwMode="auto">
        <a:xfrm rot="10800000">
          <a:off x="1247776" y="36861750"/>
          <a:ext cx="1295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219075</xdr:colOff>
      <xdr:row>224</xdr:row>
      <xdr:rowOff>152400</xdr:rowOff>
    </xdr:from>
    <xdr:to>
      <xdr:col>7</xdr:col>
      <xdr:colOff>476250</xdr:colOff>
      <xdr:row>224</xdr:row>
      <xdr:rowOff>153988</xdr:rowOff>
    </xdr:to>
    <xdr:cxnSp macro="">
      <xdr:nvCxnSpPr>
        <xdr:cNvPr id="236" name="Straight Connector 235"/>
        <xdr:cNvCxnSpPr/>
      </xdr:nvCxnSpPr>
      <xdr:spPr bwMode="auto">
        <a:xfrm>
          <a:off x="4533900" y="3594735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228600</xdr:colOff>
      <xdr:row>227</xdr:row>
      <xdr:rowOff>0</xdr:rowOff>
    </xdr:from>
    <xdr:to>
      <xdr:col>7</xdr:col>
      <xdr:colOff>485775</xdr:colOff>
      <xdr:row>227</xdr:row>
      <xdr:rowOff>1588</xdr:rowOff>
    </xdr:to>
    <xdr:cxnSp macro="">
      <xdr:nvCxnSpPr>
        <xdr:cNvPr id="237" name="Straight Connector 236"/>
        <xdr:cNvCxnSpPr/>
      </xdr:nvCxnSpPr>
      <xdr:spPr bwMode="auto">
        <a:xfrm>
          <a:off x="4543425" y="3628072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225</xdr:row>
      <xdr:rowOff>19049</xdr:rowOff>
    </xdr:from>
    <xdr:to>
      <xdr:col>7</xdr:col>
      <xdr:colOff>295275</xdr:colOff>
      <xdr:row>227</xdr:row>
      <xdr:rowOff>9524</xdr:rowOff>
    </xdr:to>
    <xdr:cxnSp macro="">
      <xdr:nvCxnSpPr>
        <xdr:cNvPr id="238" name="Straight Arrow Connector 237"/>
        <xdr:cNvCxnSpPr/>
      </xdr:nvCxnSpPr>
      <xdr:spPr bwMode="auto">
        <a:xfrm rot="16200000" flipH="1">
          <a:off x="4448175" y="36128324"/>
          <a:ext cx="314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342900</xdr:colOff>
      <xdr:row>224</xdr:row>
      <xdr:rowOff>133350</xdr:rowOff>
    </xdr:from>
    <xdr:to>
      <xdr:col>2</xdr:col>
      <xdr:colOff>104775</xdr:colOff>
      <xdr:row>227</xdr:row>
      <xdr:rowOff>28575</xdr:rowOff>
    </xdr:to>
    <xdr:sp macro="" textlink="">
      <xdr:nvSpPr>
        <xdr:cNvPr id="239" name="Arc 238"/>
        <xdr:cNvSpPr/>
      </xdr:nvSpPr>
      <xdr:spPr bwMode="auto">
        <a:xfrm>
          <a:off x="952500" y="35928300"/>
          <a:ext cx="381000" cy="381000"/>
        </a:xfrm>
        <a:prstGeom prst="arc">
          <a:avLst>
            <a:gd name="adj1" fmla="val 6868560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504825</xdr:colOff>
      <xdr:row>224</xdr:row>
      <xdr:rowOff>85725</xdr:rowOff>
    </xdr:from>
    <xdr:to>
      <xdr:col>8</xdr:col>
      <xdr:colOff>219075</xdr:colOff>
      <xdr:row>226</xdr:row>
      <xdr:rowOff>152400</xdr:rowOff>
    </xdr:to>
    <xdr:sp macro="" textlink="">
      <xdr:nvSpPr>
        <xdr:cNvPr id="240" name="Arc 239"/>
        <xdr:cNvSpPr/>
      </xdr:nvSpPr>
      <xdr:spPr bwMode="auto">
        <a:xfrm flipH="1">
          <a:off x="4819650" y="35880675"/>
          <a:ext cx="323850" cy="390525"/>
        </a:xfrm>
        <a:prstGeom prst="arc">
          <a:avLst>
            <a:gd name="adj1" fmla="val 4531782"/>
            <a:gd name="adj2" fmla="val 17612854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190509</xdr:colOff>
      <xdr:row>128</xdr:row>
      <xdr:rowOff>85724</xdr:rowOff>
    </xdr:from>
    <xdr:to>
      <xdr:col>4</xdr:col>
      <xdr:colOff>219076</xdr:colOff>
      <xdr:row>128</xdr:row>
      <xdr:rowOff>104773</xdr:rowOff>
    </xdr:to>
    <xdr:cxnSp macro="">
      <xdr:nvCxnSpPr>
        <xdr:cNvPr id="241" name="Straight Arrow Connector 240"/>
        <xdr:cNvCxnSpPr/>
      </xdr:nvCxnSpPr>
      <xdr:spPr bwMode="auto">
        <a:xfrm rot="10800000" flipV="1">
          <a:off x="2028834" y="19478624"/>
          <a:ext cx="647692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180974</xdr:colOff>
      <xdr:row>128</xdr:row>
      <xdr:rowOff>95250</xdr:rowOff>
    </xdr:from>
    <xdr:to>
      <xdr:col>3</xdr:col>
      <xdr:colOff>190499</xdr:colOff>
      <xdr:row>130</xdr:row>
      <xdr:rowOff>0</xdr:rowOff>
    </xdr:to>
    <xdr:cxnSp macro="">
      <xdr:nvCxnSpPr>
        <xdr:cNvPr id="242" name="Straight Arrow Connector 241"/>
        <xdr:cNvCxnSpPr/>
      </xdr:nvCxnSpPr>
      <xdr:spPr bwMode="auto">
        <a:xfrm rot="16200000" flipH="1">
          <a:off x="1909762" y="19597687"/>
          <a:ext cx="228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sm" len="sm"/>
          <a:tailEnd type="triangle" w="sm" len="sm"/>
        </a:ln>
        <a:effectLst/>
      </xdr:spPr>
    </xdr:cxnSp>
    <xdr:clientData/>
  </xdr:twoCellAnchor>
  <xdr:twoCellAnchor>
    <xdr:from>
      <xdr:col>4</xdr:col>
      <xdr:colOff>342108</xdr:colOff>
      <xdr:row>221</xdr:row>
      <xdr:rowOff>9528</xdr:rowOff>
    </xdr:from>
    <xdr:to>
      <xdr:col>4</xdr:col>
      <xdr:colOff>342901</xdr:colOff>
      <xdr:row>223</xdr:row>
      <xdr:rowOff>115093</xdr:rowOff>
    </xdr:to>
    <xdr:cxnSp macro="">
      <xdr:nvCxnSpPr>
        <xdr:cNvPr id="243" name="Straight Arrow Connector 242"/>
        <xdr:cNvCxnSpPr/>
      </xdr:nvCxnSpPr>
      <xdr:spPr bwMode="auto">
        <a:xfrm rot="5400000">
          <a:off x="2585247" y="35533014"/>
          <a:ext cx="429415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323850</xdr:colOff>
      <xdr:row>221</xdr:row>
      <xdr:rowOff>152400</xdr:rowOff>
    </xdr:from>
    <xdr:to>
      <xdr:col>7</xdr:col>
      <xdr:colOff>180975</xdr:colOff>
      <xdr:row>221</xdr:row>
      <xdr:rowOff>153988</xdr:rowOff>
    </xdr:to>
    <xdr:cxnSp macro="">
      <xdr:nvCxnSpPr>
        <xdr:cNvPr id="244" name="Straight Arrow Connector 243"/>
        <xdr:cNvCxnSpPr/>
      </xdr:nvCxnSpPr>
      <xdr:spPr bwMode="auto">
        <a:xfrm>
          <a:off x="2781300" y="35461575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398496</xdr:colOff>
      <xdr:row>44</xdr:row>
      <xdr:rowOff>48597</xdr:rowOff>
    </xdr:from>
    <xdr:to>
      <xdr:col>3</xdr:col>
      <xdr:colOff>22748</xdr:colOff>
      <xdr:row>45</xdr:row>
      <xdr:rowOff>75423</xdr:rowOff>
    </xdr:to>
    <xdr:cxnSp macro="">
      <xdr:nvCxnSpPr>
        <xdr:cNvPr id="246" name="Straight Arrow Connector 245"/>
        <xdr:cNvCxnSpPr/>
      </xdr:nvCxnSpPr>
      <xdr:spPr bwMode="auto">
        <a:xfrm rot="10800000">
          <a:off x="1623139" y="8047653"/>
          <a:ext cx="236573" cy="2212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190500</xdr:colOff>
      <xdr:row>222</xdr:row>
      <xdr:rowOff>85728</xdr:rowOff>
    </xdr:from>
    <xdr:to>
      <xdr:col>8</xdr:col>
      <xdr:colOff>19052</xdr:colOff>
      <xdr:row>223</xdr:row>
      <xdr:rowOff>9525</xdr:rowOff>
    </xdr:to>
    <xdr:cxnSp macro="">
      <xdr:nvCxnSpPr>
        <xdr:cNvPr id="247" name="Straight Arrow Connector 246"/>
        <xdr:cNvCxnSpPr/>
      </xdr:nvCxnSpPr>
      <xdr:spPr bwMode="auto">
        <a:xfrm rot="10800000" flipV="1">
          <a:off x="4505325" y="35556828"/>
          <a:ext cx="438152" cy="857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323056</xdr:colOff>
      <xdr:row>134</xdr:row>
      <xdr:rowOff>48419</xdr:rowOff>
    </xdr:from>
    <xdr:to>
      <xdr:col>6</xdr:col>
      <xdr:colOff>324644</xdr:colOff>
      <xdr:row>136</xdr:row>
      <xdr:rowOff>48419</xdr:rowOff>
    </xdr:to>
    <xdr:cxnSp macro="">
      <xdr:nvCxnSpPr>
        <xdr:cNvPr id="248" name="Straight Arrow Connector 247"/>
        <xdr:cNvCxnSpPr/>
      </xdr:nvCxnSpPr>
      <xdr:spPr bwMode="auto">
        <a:xfrm rot="5400000">
          <a:off x="3867150" y="20574000"/>
          <a:ext cx="32385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9525</xdr:colOff>
      <xdr:row>228</xdr:row>
      <xdr:rowOff>95250</xdr:rowOff>
    </xdr:from>
    <xdr:to>
      <xdr:col>2</xdr:col>
      <xdr:colOff>276225</xdr:colOff>
      <xdr:row>228</xdr:row>
      <xdr:rowOff>96838</xdr:rowOff>
    </xdr:to>
    <xdr:cxnSp macro="">
      <xdr:nvCxnSpPr>
        <xdr:cNvPr id="249" name="Straight Arrow Connector 248"/>
        <xdr:cNvCxnSpPr/>
      </xdr:nvCxnSpPr>
      <xdr:spPr bwMode="auto">
        <a:xfrm>
          <a:off x="1238250" y="36537900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0</xdr:colOff>
      <xdr:row>387</xdr:row>
      <xdr:rowOff>1</xdr:rowOff>
    </xdr:from>
    <xdr:to>
      <xdr:col>7</xdr:col>
      <xdr:colOff>0</xdr:colOff>
      <xdr:row>387</xdr:row>
      <xdr:rowOff>19050</xdr:rowOff>
    </xdr:to>
    <xdr:cxnSp macro="">
      <xdr:nvCxnSpPr>
        <xdr:cNvPr id="250" name="Straight Connector 249"/>
        <xdr:cNvCxnSpPr/>
      </xdr:nvCxnSpPr>
      <xdr:spPr bwMode="auto">
        <a:xfrm flipV="1">
          <a:off x="2457450" y="57369076"/>
          <a:ext cx="1857375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9527</xdr:colOff>
      <xdr:row>373</xdr:row>
      <xdr:rowOff>9525</xdr:rowOff>
    </xdr:from>
    <xdr:to>
      <xdr:col>7</xdr:col>
      <xdr:colOff>219075</xdr:colOff>
      <xdr:row>373</xdr:row>
      <xdr:rowOff>9529</xdr:rowOff>
    </xdr:to>
    <xdr:cxnSp macro="">
      <xdr:nvCxnSpPr>
        <xdr:cNvPr id="251" name="Straight Connector 250"/>
        <xdr:cNvCxnSpPr/>
      </xdr:nvCxnSpPr>
      <xdr:spPr bwMode="auto">
        <a:xfrm rot="10800000" flipV="1">
          <a:off x="4324352" y="55111650"/>
          <a:ext cx="209548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133350</xdr:colOff>
      <xdr:row>389</xdr:row>
      <xdr:rowOff>0</xdr:rowOff>
    </xdr:from>
    <xdr:to>
      <xdr:col>7</xdr:col>
      <xdr:colOff>504825</xdr:colOff>
      <xdr:row>389</xdr:row>
      <xdr:rowOff>1588</xdr:rowOff>
    </xdr:to>
    <xdr:cxnSp macro="">
      <xdr:nvCxnSpPr>
        <xdr:cNvPr id="252" name="Straight Connector 251"/>
        <xdr:cNvCxnSpPr/>
      </xdr:nvCxnSpPr>
      <xdr:spPr bwMode="auto">
        <a:xfrm>
          <a:off x="1971675" y="57692925"/>
          <a:ext cx="2847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505621</xdr:colOff>
      <xdr:row>386</xdr:row>
      <xdr:rowOff>134145</xdr:rowOff>
    </xdr:from>
    <xdr:to>
      <xdr:col>7</xdr:col>
      <xdr:colOff>514353</xdr:colOff>
      <xdr:row>389</xdr:row>
      <xdr:rowOff>0</xdr:rowOff>
    </xdr:to>
    <xdr:cxnSp macro="">
      <xdr:nvCxnSpPr>
        <xdr:cNvPr id="253" name="Straight Connector 252"/>
        <xdr:cNvCxnSpPr/>
      </xdr:nvCxnSpPr>
      <xdr:spPr bwMode="auto">
        <a:xfrm rot="16200000" flipV="1">
          <a:off x="4648997" y="57512744"/>
          <a:ext cx="351630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</xdr:colOff>
      <xdr:row>373</xdr:row>
      <xdr:rowOff>19050</xdr:rowOff>
    </xdr:from>
    <xdr:to>
      <xdr:col>7</xdr:col>
      <xdr:colOff>8734</xdr:colOff>
      <xdr:row>387</xdr:row>
      <xdr:rowOff>796</xdr:rowOff>
    </xdr:to>
    <xdr:cxnSp macro="">
      <xdr:nvCxnSpPr>
        <xdr:cNvPr id="254" name="Straight Connector 253"/>
        <xdr:cNvCxnSpPr/>
      </xdr:nvCxnSpPr>
      <xdr:spPr bwMode="auto">
        <a:xfrm rot="16200000" flipV="1">
          <a:off x="3194846" y="56241157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132562</xdr:colOff>
      <xdr:row>387</xdr:row>
      <xdr:rowOff>1</xdr:rowOff>
    </xdr:from>
    <xdr:to>
      <xdr:col>3</xdr:col>
      <xdr:colOff>133353</xdr:colOff>
      <xdr:row>389</xdr:row>
      <xdr:rowOff>796</xdr:rowOff>
    </xdr:to>
    <xdr:cxnSp macro="">
      <xdr:nvCxnSpPr>
        <xdr:cNvPr id="255" name="Straight Connector 254"/>
        <xdr:cNvCxnSpPr/>
      </xdr:nvCxnSpPr>
      <xdr:spPr bwMode="auto">
        <a:xfrm rot="5400000" flipH="1" flipV="1">
          <a:off x="1808960" y="57531003"/>
          <a:ext cx="324645" cy="79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8736</xdr:colOff>
      <xdr:row>373</xdr:row>
      <xdr:rowOff>1</xdr:rowOff>
    </xdr:from>
    <xdr:to>
      <xdr:col>4</xdr:col>
      <xdr:colOff>9525</xdr:colOff>
      <xdr:row>387</xdr:row>
      <xdr:rowOff>798</xdr:rowOff>
    </xdr:to>
    <xdr:cxnSp macro="">
      <xdr:nvCxnSpPr>
        <xdr:cNvPr id="256" name="Straight Connector 255"/>
        <xdr:cNvCxnSpPr/>
      </xdr:nvCxnSpPr>
      <xdr:spPr bwMode="auto">
        <a:xfrm rot="5400000" flipH="1" flipV="1">
          <a:off x="1332707" y="56235605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372</xdr:row>
      <xdr:rowOff>152400</xdr:rowOff>
    </xdr:from>
    <xdr:to>
      <xdr:col>4</xdr:col>
      <xdr:colOff>0</xdr:colOff>
      <xdr:row>373</xdr:row>
      <xdr:rowOff>0</xdr:rowOff>
    </xdr:to>
    <xdr:cxnSp macro="">
      <xdr:nvCxnSpPr>
        <xdr:cNvPr id="257" name="Straight Connector 256"/>
        <xdr:cNvCxnSpPr/>
      </xdr:nvCxnSpPr>
      <xdr:spPr bwMode="auto">
        <a:xfrm rot="10800000">
          <a:off x="2209800" y="55092600"/>
          <a:ext cx="2476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219075</xdr:colOff>
      <xdr:row>373</xdr:row>
      <xdr:rowOff>19049</xdr:rowOff>
    </xdr:from>
    <xdr:to>
      <xdr:col>7</xdr:col>
      <xdr:colOff>514350</xdr:colOff>
      <xdr:row>387</xdr:row>
      <xdr:rowOff>9524</xdr:rowOff>
    </xdr:to>
    <xdr:cxnSp macro="">
      <xdr:nvCxnSpPr>
        <xdr:cNvPr id="258" name="Straight Connector 257"/>
        <xdr:cNvCxnSpPr/>
      </xdr:nvCxnSpPr>
      <xdr:spPr bwMode="auto">
        <a:xfrm rot="16200000" flipH="1">
          <a:off x="3552825" y="56102249"/>
          <a:ext cx="225742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133351</xdr:colOff>
      <xdr:row>372</xdr:row>
      <xdr:rowOff>152399</xdr:rowOff>
    </xdr:from>
    <xdr:to>
      <xdr:col>3</xdr:col>
      <xdr:colOff>361954</xdr:colOff>
      <xdr:row>387</xdr:row>
      <xdr:rowOff>3</xdr:rowOff>
    </xdr:to>
    <xdr:cxnSp macro="">
      <xdr:nvCxnSpPr>
        <xdr:cNvPr id="259" name="Straight Connector 258"/>
        <xdr:cNvCxnSpPr/>
      </xdr:nvCxnSpPr>
      <xdr:spPr bwMode="auto">
        <a:xfrm rot="5400000">
          <a:off x="947738" y="56116537"/>
          <a:ext cx="2276479" cy="22860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592883</xdr:colOff>
      <xdr:row>373</xdr:row>
      <xdr:rowOff>9720</xdr:rowOff>
    </xdr:from>
    <xdr:to>
      <xdr:col>8</xdr:col>
      <xdr:colOff>252705</xdr:colOff>
      <xdr:row>373</xdr:row>
      <xdr:rowOff>11308</xdr:rowOff>
    </xdr:to>
    <xdr:cxnSp macro="">
      <xdr:nvCxnSpPr>
        <xdr:cNvPr id="260" name="Straight Connector 259"/>
        <xdr:cNvCxnSpPr/>
      </xdr:nvCxnSpPr>
      <xdr:spPr bwMode="auto">
        <a:xfrm>
          <a:off x="4879133" y="59822832"/>
          <a:ext cx="272143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590550</xdr:colOff>
      <xdr:row>387</xdr:row>
      <xdr:rowOff>9525</xdr:rowOff>
    </xdr:from>
    <xdr:to>
      <xdr:col>8</xdr:col>
      <xdr:colOff>272143</xdr:colOff>
      <xdr:row>387</xdr:row>
      <xdr:rowOff>9719</xdr:rowOff>
    </xdr:to>
    <xdr:cxnSp macro="">
      <xdr:nvCxnSpPr>
        <xdr:cNvPr id="261" name="Straight Connector 260"/>
        <xdr:cNvCxnSpPr/>
      </xdr:nvCxnSpPr>
      <xdr:spPr bwMode="auto">
        <a:xfrm>
          <a:off x="4876800" y="62135852"/>
          <a:ext cx="293914" cy="1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389</xdr:row>
      <xdr:rowOff>19050</xdr:rowOff>
    </xdr:from>
    <xdr:to>
      <xdr:col>8</xdr:col>
      <xdr:colOff>281863</xdr:colOff>
      <xdr:row>389</xdr:row>
      <xdr:rowOff>19438</xdr:rowOff>
    </xdr:to>
    <xdr:cxnSp macro="">
      <xdr:nvCxnSpPr>
        <xdr:cNvPr id="262" name="Straight Connector 261"/>
        <xdr:cNvCxnSpPr/>
      </xdr:nvCxnSpPr>
      <xdr:spPr bwMode="auto">
        <a:xfrm>
          <a:off x="4886325" y="62475836"/>
          <a:ext cx="294109" cy="3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75407</xdr:colOff>
      <xdr:row>373</xdr:row>
      <xdr:rowOff>10318</xdr:rowOff>
    </xdr:from>
    <xdr:to>
      <xdr:col>8</xdr:col>
      <xdr:colOff>76995</xdr:colOff>
      <xdr:row>387</xdr:row>
      <xdr:rowOff>793</xdr:rowOff>
    </xdr:to>
    <xdr:cxnSp macro="">
      <xdr:nvCxnSpPr>
        <xdr:cNvPr id="263" name="Straight Arrow Connector 262"/>
        <xdr:cNvCxnSpPr/>
      </xdr:nvCxnSpPr>
      <xdr:spPr bwMode="auto">
        <a:xfrm rot="5400000">
          <a:off x="3871913" y="56240362"/>
          <a:ext cx="2257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85320</xdr:colOff>
      <xdr:row>387</xdr:row>
      <xdr:rowOff>29563</xdr:rowOff>
    </xdr:from>
    <xdr:to>
      <xdr:col>8</xdr:col>
      <xdr:colOff>86908</xdr:colOff>
      <xdr:row>389</xdr:row>
      <xdr:rowOff>29564</xdr:rowOff>
    </xdr:to>
    <xdr:cxnSp macro="">
      <xdr:nvCxnSpPr>
        <xdr:cNvPr id="264" name="Straight Arrow Connector 263"/>
        <xdr:cNvCxnSpPr/>
      </xdr:nvCxnSpPr>
      <xdr:spPr bwMode="auto">
        <a:xfrm rot="5400000">
          <a:off x="4819455" y="61455300"/>
          <a:ext cx="33046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142081</xdr:colOff>
      <xdr:row>389</xdr:row>
      <xdr:rowOff>47625</xdr:rowOff>
    </xdr:from>
    <xdr:to>
      <xdr:col>3</xdr:col>
      <xdr:colOff>142875</xdr:colOff>
      <xdr:row>392</xdr:row>
      <xdr:rowOff>153194</xdr:rowOff>
    </xdr:to>
    <xdr:cxnSp macro="">
      <xdr:nvCxnSpPr>
        <xdr:cNvPr id="265" name="Straight Connector 264"/>
        <xdr:cNvCxnSpPr/>
      </xdr:nvCxnSpPr>
      <xdr:spPr bwMode="auto">
        <a:xfrm rot="5400000">
          <a:off x="1685131" y="58035825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513556</xdr:colOff>
      <xdr:row>389</xdr:row>
      <xdr:rowOff>66675</xdr:rowOff>
    </xdr:from>
    <xdr:to>
      <xdr:col>7</xdr:col>
      <xdr:colOff>514350</xdr:colOff>
      <xdr:row>393</xdr:row>
      <xdr:rowOff>10319</xdr:rowOff>
    </xdr:to>
    <xdr:cxnSp macro="">
      <xdr:nvCxnSpPr>
        <xdr:cNvPr id="266" name="Straight Connector 265"/>
        <xdr:cNvCxnSpPr/>
      </xdr:nvCxnSpPr>
      <xdr:spPr bwMode="auto">
        <a:xfrm rot="5400000">
          <a:off x="4533106" y="58054875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389</xdr:row>
      <xdr:rowOff>38100</xdr:rowOff>
    </xdr:from>
    <xdr:to>
      <xdr:col>3</xdr:col>
      <xdr:colOff>600869</xdr:colOff>
      <xdr:row>391</xdr:row>
      <xdr:rowOff>19050</xdr:rowOff>
    </xdr:to>
    <xdr:cxnSp macro="">
      <xdr:nvCxnSpPr>
        <xdr:cNvPr id="267" name="Straight Connector 266"/>
        <xdr:cNvCxnSpPr/>
      </xdr:nvCxnSpPr>
      <xdr:spPr bwMode="auto">
        <a:xfrm rot="5400000">
          <a:off x="2286397" y="57883028"/>
          <a:ext cx="30480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389</xdr:row>
      <xdr:rowOff>9527</xdr:rowOff>
    </xdr:from>
    <xdr:to>
      <xdr:col>7</xdr:col>
      <xdr:colOff>10319</xdr:colOff>
      <xdr:row>391</xdr:row>
      <xdr:rowOff>9527</xdr:rowOff>
    </xdr:to>
    <xdr:cxnSp macro="">
      <xdr:nvCxnSpPr>
        <xdr:cNvPr id="268" name="Straight Connector 267"/>
        <xdr:cNvCxnSpPr/>
      </xdr:nvCxnSpPr>
      <xdr:spPr bwMode="auto">
        <a:xfrm rot="5400000">
          <a:off x="4162822" y="57863980"/>
          <a:ext cx="32385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466530</xdr:colOff>
      <xdr:row>386</xdr:row>
      <xdr:rowOff>152402</xdr:rowOff>
    </xdr:from>
    <xdr:to>
      <xdr:col>3</xdr:col>
      <xdr:colOff>114300</xdr:colOff>
      <xdr:row>386</xdr:row>
      <xdr:rowOff>155510</xdr:rowOff>
    </xdr:to>
    <xdr:cxnSp macro="">
      <xdr:nvCxnSpPr>
        <xdr:cNvPr id="269" name="Straight Connector 268"/>
        <xdr:cNvCxnSpPr/>
      </xdr:nvCxnSpPr>
      <xdr:spPr bwMode="auto">
        <a:xfrm flipV="1">
          <a:off x="1691173" y="62113499"/>
          <a:ext cx="260091" cy="310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437372</xdr:colOff>
      <xdr:row>372</xdr:row>
      <xdr:rowOff>152400</xdr:rowOff>
    </xdr:from>
    <xdr:to>
      <xdr:col>3</xdr:col>
      <xdr:colOff>266700</xdr:colOff>
      <xdr:row>372</xdr:row>
      <xdr:rowOff>155510</xdr:rowOff>
    </xdr:to>
    <xdr:cxnSp macro="">
      <xdr:nvCxnSpPr>
        <xdr:cNvPr id="270" name="Straight Connector 269"/>
        <xdr:cNvCxnSpPr/>
      </xdr:nvCxnSpPr>
      <xdr:spPr bwMode="auto">
        <a:xfrm flipV="1">
          <a:off x="1662015" y="59800283"/>
          <a:ext cx="441649" cy="311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142875</xdr:colOff>
      <xdr:row>390</xdr:row>
      <xdr:rowOff>9525</xdr:rowOff>
    </xdr:from>
    <xdr:to>
      <xdr:col>3</xdr:col>
      <xdr:colOff>600075</xdr:colOff>
      <xdr:row>390</xdr:row>
      <xdr:rowOff>11113</xdr:rowOff>
    </xdr:to>
    <xdr:cxnSp macro="">
      <xdr:nvCxnSpPr>
        <xdr:cNvPr id="271" name="Straight Arrow Connector 270"/>
        <xdr:cNvCxnSpPr/>
      </xdr:nvCxnSpPr>
      <xdr:spPr bwMode="auto">
        <a:xfrm>
          <a:off x="1981200" y="57864375"/>
          <a:ext cx="457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19050</xdr:colOff>
      <xdr:row>390</xdr:row>
      <xdr:rowOff>0</xdr:rowOff>
    </xdr:from>
    <xdr:to>
      <xdr:col>7</xdr:col>
      <xdr:colOff>504825</xdr:colOff>
      <xdr:row>390</xdr:row>
      <xdr:rowOff>1588</xdr:rowOff>
    </xdr:to>
    <xdr:cxnSp macro="">
      <xdr:nvCxnSpPr>
        <xdr:cNvPr id="272" name="Straight Arrow Connector 271"/>
        <xdr:cNvCxnSpPr/>
      </xdr:nvCxnSpPr>
      <xdr:spPr bwMode="auto">
        <a:xfrm>
          <a:off x="4333875" y="5785485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600075</xdr:colOff>
      <xdr:row>390</xdr:row>
      <xdr:rowOff>9525</xdr:rowOff>
    </xdr:from>
    <xdr:to>
      <xdr:col>7</xdr:col>
      <xdr:colOff>0</xdr:colOff>
      <xdr:row>390</xdr:row>
      <xdr:rowOff>9526</xdr:rowOff>
    </xdr:to>
    <xdr:cxnSp macro="">
      <xdr:nvCxnSpPr>
        <xdr:cNvPr id="273" name="Straight Arrow Connector 272"/>
        <xdr:cNvCxnSpPr/>
      </xdr:nvCxnSpPr>
      <xdr:spPr bwMode="auto">
        <a:xfrm>
          <a:off x="2438400" y="57864375"/>
          <a:ext cx="18764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123825</xdr:colOff>
      <xdr:row>391</xdr:row>
      <xdr:rowOff>152400</xdr:rowOff>
    </xdr:from>
    <xdr:to>
      <xdr:col>7</xdr:col>
      <xdr:colOff>514350</xdr:colOff>
      <xdr:row>392</xdr:row>
      <xdr:rowOff>9525</xdr:rowOff>
    </xdr:to>
    <xdr:cxnSp macro="">
      <xdr:nvCxnSpPr>
        <xdr:cNvPr id="274" name="Straight Arrow Connector 273"/>
        <xdr:cNvCxnSpPr/>
      </xdr:nvCxnSpPr>
      <xdr:spPr bwMode="auto">
        <a:xfrm flipV="1">
          <a:off x="1962150" y="58169175"/>
          <a:ext cx="286702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124619</xdr:colOff>
      <xdr:row>378</xdr:row>
      <xdr:rowOff>152400</xdr:rowOff>
    </xdr:from>
    <xdr:to>
      <xdr:col>3</xdr:col>
      <xdr:colOff>123825</xdr:colOff>
      <xdr:row>379</xdr:row>
      <xdr:rowOff>0</xdr:rowOff>
    </xdr:to>
    <xdr:cxnSp macro="">
      <xdr:nvCxnSpPr>
        <xdr:cNvPr id="275" name="Straight Connector 274"/>
        <xdr:cNvCxnSpPr/>
      </xdr:nvCxnSpPr>
      <xdr:spPr bwMode="auto">
        <a:xfrm>
          <a:off x="1353344" y="56064150"/>
          <a:ext cx="60880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419100</xdr:colOff>
      <xdr:row>380</xdr:row>
      <xdr:rowOff>152400</xdr:rowOff>
    </xdr:from>
    <xdr:to>
      <xdr:col>6</xdr:col>
      <xdr:colOff>161925</xdr:colOff>
      <xdr:row>381</xdr:row>
      <xdr:rowOff>9525</xdr:rowOff>
    </xdr:to>
    <xdr:cxnSp macro="">
      <xdr:nvCxnSpPr>
        <xdr:cNvPr id="276" name="Straight Connector 275"/>
        <xdr:cNvCxnSpPr/>
      </xdr:nvCxnSpPr>
      <xdr:spPr bwMode="auto">
        <a:xfrm>
          <a:off x="2876550" y="56388000"/>
          <a:ext cx="9906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161925</xdr:colOff>
      <xdr:row>378</xdr:row>
      <xdr:rowOff>47625</xdr:rowOff>
    </xdr:from>
    <xdr:to>
      <xdr:col>2</xdr:col>
      <xdr:colOff>238125</xdr:colOff>
      <xdr:row>378</xdr:row>
      <xdr:rowOff>133350</xdr:rowOff>
    </xdr:to>
    <xdr:sp macro="" textlink="">
      <xdr:nvSpPr>
        <xdr:cNvPr id="277" name="Flowchart: Merge 276"/>
        <xdr:cNvSpPr/>
      </xdr:nvSpPr>
      <xdr:spPr bwMode="auto">
        <a:xfrm>
          <a:off x="1390650" y="55959375"/>
          <a:ext cx="76200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180975</xdr:colOff>
      <xdr:row>380</xdr:row>
      <xdr:rowOff>66675</xdr:rowOff>
    </xdr:from>
    <xdr:to>
      <xdr:col>5</xdr:col>
      <xdr:colOff>304800</xdr:colOff>
      <xdr:row>381</xdr:row>
      <xdr:rowOff>9525</xdr:rowOff>
    </xdr:to>
    <xdr:sp macro="" textlink="">
      <xdr:nvSpPr>
        <xdr:cNvPr id="278" name="Flowchart: Merge 277"/>
        <xdr:cNvSpPr/>
      </xdr:nvSpPr>
      <xdr:spPr bwMode="auto">
        <a:xfrm>
          <a:off x="3248025" y="56302275"/>
          <a:ext cx="123825" cy="10477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47626</xdr:colOff>
      <xdr:row>372</xdr:row>
      <xdr:rowOff>152399</xdr:rowOff>
    </xdr:from>
    <xdr:to>
      <xdr:col>3</xdr:col>
      <xdr:colOff>66676</xdr:colOff>
      <xdr:row>378</xdr:row>
      <xdr:rowOff>161924</xdr:rowOff>
    </xdr:to>
    <xdr:cxnSp macro="">
      <xdr:nvCxnSpPr>
        <xdr:cNvPr id="279" name="Straight Arrow Connector 278"/>
        <xdr:cNvCxnSpPr/>
      </xdr:nvCxnSpPr>
      <xdr:spPr bwMode="auto">
        <a:xfrm rot="5400000">
          <a:off x="1404938" y="55573612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28576</xdr:colOff>
      <xdr:row>379</xdr:row>
      <xdr:rowOff>9525</xdr:rowOff>
    </xdr:from>
    <xdr:to>
      <xdr:col>3</xdr:col>
      <xdr:colOff>38101</xdr:colOff>
      <xdr:row>387</xdr:row>
      <xdr:rowOff>0</xdr:rowOff>
    </xdr:to>
    <xdr:cxnSp macro="">
      <xdr:nvCxnSpPr>
        <xdr:cNvPr id="280" name="Straight Arrow Connector 279"/>
        <xdr:cNvCxnSpPr/>
      </xdr:nvCxnSpPr>
      <xdr:spPr bwMode="auto">
        <a:xfrm rot="5400000">
          <a:off x="1228726" y="56721375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285751</xdr:colOff>
      <xdr:row>381</xdr:row>
      <xdr:rowOff>2</xdr:rowOff>
    </xdr:from>
    <xdr:to>
      <xdr:col>5</xdr:col>
      <xdr:colOff>304801</xdr:colOff>
      <xdr:row>387</xdr:row>
      <xdr:rowOff>9527</xdr:rowOff>
    </xdr:to>
    <xdr:cxnSp macro="">
      <xdr:nvCxnSpPr>
        <xdr:cNvPr id="281" name="Straight Arrow Connector 280"/>
        <xdr:cNvCxnSpPr/>
      </xdr:nvCxnSpPr>
      <xdr:spPr bwMode="auto">
        <a:xfrm rot="5400000">
          <a:off x="2871788" y="56878540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85725</xdr:colOff>
      <xdr:row>375</xdr:row>
      <xdr:rowOff>0</xdr:rowOff>
    </xdr:from>
    <xdr:ext cx="235962" cy="170560"/>
    <xdr:sp macro="" textlink="">
      <xdr:nvSpPr>
        <xdr:cNvPr id="282" name="Text Box 133"/>
        <xdr:cNvSpPr txBox="1">
          <a:spLocks noChangeArrowheads="1"/>
        </xdr:cNvSpPr>
      </xdr:nvSpPr>
      <xdr:spPr bwMode="auto">
        <a:xfrm>
          <a:off x="1314450" y="5542597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2</xdr:col>
      <xdr:colOff>47625</xdr:colOff>
      <xdr:row>382</xdr:row>
      <xdr:rowOff>0</xdr:rowOff>
    </xdr:from>
    <xdr:ext cx="235962" cy="170560"/>
    <xdr:sp macro="" textlink="">
      <xdr:nvSpPr>
        <xdr:cNvPr id="283" name="Text Box 133"/>
        <xdr:cNvSpPr txBox="1">
          <a:spLocks noChangeArrowheads="1"/>
        </xdr:cNvSpPr>
      </xdr:nvSpPr>
      <xdr:spPr bwMode="auto">
        <a:xfrm>
          <a:off x="1276350" y="5655945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h2=</a:t>
          </a:r>
        </a:p>
      </xdr:txBody>
    </xdr:sp>
    <xdr:clientData/>
  </xdr:oneCellAnchor>
  <xdr:twoCellAnchor>
    <xdr:from>
      <xdr:col>1</xdr:col>
      <xdr:colOff>600075</xdr:colOff>
      <xdr:row>373</xdr:row>
      <xdr:rowOff>0</xdr:rowOff>
    </xdr:from>
    <xdr:to>
      <xdr:col>1</xdr:col>
      <xdr:colOff>600864</xdr:colOff>
      <xdr:row>387</xdr:row>
      <xdr:rowOff>797</xdr:rowOff>
    </xdr:to>
    <xdr:cxnSp macro="">
      <xdr:nvCxnSpPr>
        <xdr:cNvPr id="284" name="Straight Connector 283"/>
        <xdr:cNvCxnSpPr/>
      </xdr:nvCxnSpPr>
      <xdr:spPr bwMode="auto">
        <a:xfrm rot="5400000" flipH="1" flipV="1">
          <a:off x="76196" y="56235604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304801</xdr:colOff>
      <xdr:row>379</xdr:row>
      <xdr:rowOff>9525</xdr:rowOff>
    </xdr:from>
    <xdr:to>
      <xdr:col>1</xdr:col>
      <xdr:colOff>314326</xdr:colOff>
      <xdr:row>387</xdr:row>
      <xdr:rowOff>0</xdr:rowOff>
    </xdr:to>
    <xdr:cxnSp macro="">
      <xdr:nvCxnSpPr>
        <xdr:cNvPr id="285" name="Straight Arrow Connector 284"/>
        <xdr:cNvCxnSpPr/>
      </xdr:nvCxnSpPr>
      <xdr:spPr bwMode="auto">
        <a:xfrm rot="5400000">
          <a:off x="276226" y="56721375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373</xdr:row>
      <xdr:rowOff>9525</xdr:rowOff>
    </xdr:from>
    <xdr:to>
      <xdr:col>2</xdr:col>
      <xdr:colOff>1</xdr:colOff>
      <xdr:row>379</xdr:row>
      <xdr:rowOff>0</xdr:rowOff>
    </xdr:to>
    <xdr:cxnSp macro="">
      <xdr:nvCxnSpPr>
        <xdr:cNvPr id="286" name="Straight Connector 285"/>
        <xdr:cNvCxnSpPr/>
      </xdr:nvCxnSpPr>
      <xdr:spPr bwMode="auto">
        <a:xfrm rot="5400000">
          <a:off x="595313" y="55440263"/>
          <a:ext cx="962025" cy="3048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28575</xdr:colOff>
      <xdr:row>381</xdr:row>
      <xdr:rowOff>9525</xdr:rowOff>
    </xdr:from>
    <xdr:to>
      <xdr:col>4</xdr:col>
      <xdr:colOff>447675</xdr:colOff>
      <xdr:row>387</xdr:row>
      <xdr:rowOff>28575</xdr:rowOff>
    </xdr:to>
    <xdr:cxnSp macro="">
      <xdr:nvCxnSpPr>
        <xdr:cNvPr id="287" name="Straight Connector 286"/>
        <xdr:cNvCxnSpPr/>
      </xdr:nvCxnSpPr>
      <xdr:spPr bwMode="auto">
        <a:xfrm rot="16200000" flipH="1">
          <a:off x="2200275" y="56692800"/>
          <a:ext cx="990600" cy="419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304801</xdr:colOff>
      <xdr:row>386</xdr:row>
      <xdr:rowOff>152400</xdr:rowOff>
    </xdr:from>
    <xdr:to>
      <xdr:col>1</xdr:col>
      <xdr:colOff>600076</xdr:colOff>
      <xdr:row>387</xdr:row>
      <xdr:rowOff>9525</xdr:rowOff>
    </xdr:to>
    <xdr:cxnSp macro="">
      <xdr:nvCxnSpPr>
        <xdr:cNvPr id="288" name="Straight Connector 287"/>
        <xdr:cNvCxnSpPr/>
      </xdr:nvCxnSpPr>
      <xdr:spPr bwMode="auto">
        <a:xfrm rot="10800000" flipV="1">
          <a:off x="304801" y="57359550"/>
          <a:ext cx="90487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379</xdr:row>
      <xdr:rowOff>0</xdr:rowOff>
    </xdr:from>
    <xdr:to>
      <xdr:col>1</xdr:col>
      <xdr:colOff>590551</xdr:colOff>
      <xdr:row>379</xdr:row>
      <xdr:rowOff>1588</xdr:rowOff>
    </xdr:to>
    <xdr:cxnSp macro="">
      <xdr:nvCxnSpPr>
        <xdr:cNvPr id="289" name="Straight Connector 288"/>
        <xdr:cNvCxnSpPr/>
      </xdr:nvCxnSpPr>
      <xdr:spPr bwMode="auto">
        <a:xfrm rot="10800000">
          <a:off x="923926" y="56073675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3</xdr:col>
      <xdr:colOff>123828</xdr:colOff>
      <xdr:row>373</xdr:row>
      <xdr:rowOff>9527</xdr:rowOff>
    </xdr:from>
    <xdr:to>
      <xdr:col>3</xdr:col>
      <xdr:colOff>132559</xdr:colOff>
      <xdr:row>386</xdr:row>
      <xdr:rowOff>153198</xdr:rowOff>
    </xdr:to>
    <xdr:cxnSp macro="">
      <xdr:nvCxnSpPr>
        <xdr:cNvPr id="290" name="Straight Connector 289"/>
        <xdr:cNvCxnSpPr/>
      </xdr:nvCxnSpPr>
      <xdr:spPr bwMode="auto">
        <a:xfrm rot="16200000" flipV="1">
          <a:off x="842171" y="56231634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385</xdr:row>
      <xdr:rowOff>142875</xdr:rowOff>
    </xdr:from>
    <xdr:to>
      <xdr:col>4</xdr:col>
      <xdr:colOff>352426</xdr:colOff>
      <xdr:row>385</xdr:row>
      <xdr:rowOff>144463</xdr:rowOff>
    </xdr:to>
    <xdr:cxnSp macro="">
      <xdr:nvCxnSpPr>
        <xdr:cNvPr id="291" name="Straight Arrow Connector 290"/>
        <xdr:cNvCxnSpPr/>
      </xdr:nvCxnSpPr>
      <xdr:spPr bwMode="auto">
        <a:xfrm rot="10800000">
          <a:off x="2457451" y="57188100"/>
          <a:ext cx="352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</xdr:colOff>
      <xdr:row>383</xdr:row>
      <xdr:rowOff>19050</xdr:rowOff>
    </xdr:from>
    <xdr:to>
      <xdr:col>4</xdr:col>
      <xdr:colOff>171450</xdr:colOff>
      <xdr:row>383</xdr:row>
      <xdr:rowOff>20638</xdr:rowOff>
    </xdr:to>
    <xdr:cxnSp macro="">
      <xdr:nvCxnSpPr>
        <xdr:cNvPr id="292" name="Straight Arrow Connector 291"/>
        <xdr:cNvCxnSpPr/>
      </xdr:nvCxnSpPr>
      <xdr:spPr bwMode="auto">
        <a:xfrm rot="10800000">
          <a:off x="2457452" y="56740425"/>
          <a:ext cx="1714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38100</xdr:colOff>
      <xdr:row>376</xdr:row>
      <xdr:rowOff>85726</xdr:rowOff>
    </xdr:from>
    <xdr:to>
      <xdr:col>1</xdr:col>
      <xdr:colOff>590550</xdr:colOff>
      <xdr:row>376</xdr:row>
      <xdr:rowOff>95250</xdr:rowOff>
    </xdr:to>
    <xdr:cxnSp macro="">
      <xdr:nvCxnSpPr>
        <xdr:cNvPr id="293" name="Straight Arrow Connector 292"/>
        <xdr:cNvCxnSpPr/>
      </xdr:nvCxnSpPr>
      <xdr:spPr bwMode="auto">
        <a:xfrm>
          <a:off x="647700" y="55673626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381</xdr:row>
      <xdr:rowOff>0</xdr:rowOff>
    </xdr:from>
    <xdr:to>
      <xdr:col>2</xdr:col>
      <xdr:colOff>0</xdr:colOff>
      <xdr:row>381</xdr:row>
      <xdr:rowOff>9525</xdr:rowOff>
    </xdr:to>
    <xdr:cxnSp macro="">
      <xdr:nvCxnSpPr>
        <xdr:cNvPr id="294" name="Straight Arrow Connector 293"/>
        <xdr:cNvCxnSpPr/>
      </xdr:nvCxnSpPr>
      <xdr:spPr bwMode="auto">
        <a:xfrm flipV="1">
          <a:off x="933450" y="56397525"/>
          <a:ext cx="2952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304800</xdr:colOff>
      <xdr:row>383</xdr:row>
      <xdr:rowOff>9525</xdr:rowOff>
    </xdr:from>
    <xdr:to>
      <xdr:col>1</xdr:col>
      <xdr:colOff>600075</xdr:colOff>
      <xdr:row>383</xdr:row>
      <xdr:rowOff>11113</xdr:rowOff>
    </xdr:to>
    <xdr:cxnSp macro="">
      <xdr:nvCxnSpPr>
        <xdr:cNvPr id="295" name="Straight Arrow Connector 294"/>
        <xdr:cNvCxnSpPr/>
      </xdr:nvCxnSpPr>
      <xdr:spPr bwMode="auto">
        <a:xfrm>
          <a:off x="914400" y="56730900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386</xdr:row>
      <xdr:rowOff>0</xdr:rowOff>
    </xdr:from>
    <xdr:to>
      <xdr:col>1</xdr:col>
      <xdr:colOff>600075</xdr:colOff>
      <xdr:row>386</xdr:row>
      <xdr:rowOff>1588</xdr:rowOff>
    </xdr:to>
    <xdr:cxnSp macro="">
      <xdr:nvCxnSpPr>
        <xdr:cNvPr id="296" name="Straight Arrow Connector 295"/>
        <xdr:cNvCxnSpPr/>
      </xdr:nvCxnSpPr>
      <xdr:spPr bwMode="auto">
        <a:xfrm>
          <a:off x="933450" y="57207150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600075</xdr:colOff>
      <xdr:row>383</xdr:row>
      <xdr:rowOff>114300</xdr:rowOff>
    </xdr:from>
    <xdr:to>
      <xdr:col>1</xdr:col>
      <xdr:colOff>304800</xdr:colOff>
      <xdr:row>383</xdr:row>
      <xdr:rowOff>114302</xdr:rowOff>
    </xdr:to>
    <xdr:cxnSp macro="">
      <xdr:nvCxnSpPr>
        <xdr:cNvPr id="297" name="Straight Arrow Connector 296"/>
        <xdr:cNvCxnSpPr/>
      </xdr:nvCxnSpPr>
      <xdr:spPr bwMode="auto">
        <a:xfrm>
          <a:off x="600075" y="56835675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386</xdr:row>
      <xdr:rowOff>0</xdr:rowOff>
    </xdr:from>
    <xdr:to>
      <xdr:col>1</xdr:col>
      <xdr:colOff>295275</xdr:colOff>
      <xdr:row>386</xdr:row>
      <xdr:rowOff>1588</xdr:rowOff>
    </xdr:to>
    <xdr:cxnSp macro="">
      <xdr:nvCxnSpPr>
        <xdr:cNvPr id="298" name="Straight Arrow Connector 297"/>
        <xdr:cNvCxnSpPr/>
      </xdr:nvCxnSpPr>
      <xdr:spPr bwMode="auto">
        <a:xfrm>
          <a:off x="419100" y="5720715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104775</xdr:colOff>
      <xdr:row>382</xdr:row>
      <xdr:rowOff>9525</xdr:rowOff>
    </xdr:from>
    <xdr:to>
      <xdr:col>1</xdr:col>
      <xdr:colOff>304800</xdr:colOff>
      <xdr:row>382</xdr:row>
      <xdr:rowOff>11113</xdr:rowOff>
    </xdr:to>
    <xdr:cxnSp macro="">
      <xdr:nvCxnSpPr>
        <xdr:cNvPr id="299" name="Straight Arrow Connector 298"/>
        <xdr:cNvCxnSpPr/>
      </xdr:nvCxnSpPr>
      <xdr:spPr bwMode="auto">
        <a:xfrm>
          <a:off x="714375" y="56568975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419100</xdr:colOff>
      <xdr:row>377</xdr:row>
      <xdr:rowOff>19050</xdr:rowOff>
    </xdr:from>
    <xdr:to>
      <xdr:col>1</xdr:col>
      <xdr:colOff>600075</xdr:colOff>
      <xdr:row>377</xdr:row>
      <xdr:rowOff>20638</xdr:rowOff>
    </xdr:to>
    <xdr:cxnSp macro="">
      <xdr:nvCxnSpPr>
        <xdr:cNvPr id="300" name="Straight Arrow Connector 299"/>
        <xdr:cNvCxnSpPr/>
      </xdr:nvCxnSpPr>
      <xdr:spPr bwMode="auto">
        <a:xfrm>
          <a:off x="1028700" y="55768875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457200</xdr:colOff>
      <xdr:row>376</xdr:row>
      <xdr:rowOff>0</xdr:rowOff>
    </xdr:from>
    <xdr:to>
      <xdr:col>1</xdr:col>
      <xdr:colOff>600075</xdr:colOff>
      <xdr:row>376</xdr:row>
      <xdr:rowOff>1588</xdr:rowOff>
    </xdr:to>
    <xdr:cxnSp macro="">
      <xdr:nvCxnSpPr>
        <xdr:cNvPr id="301" name="Straight Arrow Connector 300"/>
        <xdr:cNvCxnSpPr/>
      </xdr:nvCxnSpPr>
      <xdr:spPr bwMode="auto">
        <a:xfrm>
          <a:off x="1066800" y="55587900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oneCellAnchor>
    <xdr:from>
      <xdr:col>5</xdr:col>
      <xdr:colOff>28575</xdr:colOff>
      <xdr:row>383</xdr:row>
      <xdr:rowOff>9525</xdr:rowOff>
    </xdr:from>
    <xdr:ext cx="235962" cy="170560"/>
    <xdr:sp macro="" textlink="">
      <xdr:nvSpPr>
        <xdr:cNvPr id="302" name="Text Box 133"/>
        <xdr:cNvSpPr txBox="1">
          <a:spLocks noChangeArrowheads="1"/>
        </xdr:cNvSpPr>
      </xdr:nvSpPr>
      <xdr:spPr bwMode="auto">
        <a:xfrm>
          <a:off x="3095625" y="5673090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h3=</a:t>
          </a:r>
        </a:p>
      </xdr:txBody>
    </xdr:sp>
    <xdr:clientData/>
  </xdr:oneCellAnchor>
  <xdr:oneCellAnchor>
    <xdr:from>
      <xdr:col>5</xdr:col>
      <xdr:colOff>38100</xdr:colOff>
      <xdr:row>391</xdr:row>
      <xdr:rowOff>152400</xdr:rowOff>
    </xdr:from>
    <xdr:ext cx="178895" cy="170560"/>
    <xdr:sp macro="" textlink="">
      <xdr:nvSpPr>
        <xdr:cNvPr id="303" name="Text Box 133"/>
        <xdr:cNvSpPr txBox="1">
          <a:spLocks noChangeArrowheads="1"/>
        </xdr:cNvSpPr>
      </xdr:nvSpPr>
      <xdr:spPr bwMode="auto">
        <a:xfrm>
          <a:off x="3105150" y="58169175"/>
          <a:ext cx="17889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5</xdr:col>
      <xdr:colOff>38294</xdr:colOff>
      <xdr:row>389</xdr:row>
      <xdr:rowOff>162703</xdr:rowOff>
    </xdr:from>
    <xdr:ext cx="200311" cy="170560"/>
    <xdr:sp macro="" textlink="">
      <xdr:nvSpPr>
        <xdr:cNvPr id="304" name="Text Box 133"/>
        <xdr:cNvSpPr txBox="1">
          <a:spLocks noChangeArrowheads="1"/>
        </xdr:cNvSpPr>
      </xdr:nvSpPr>
      <xdr:spPr bwMode="auto">
        <a:xfrm>
          <a:off x="3099901" y="61754463"/>
          <a:ext cx="20031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 =</a:t>
          </a:r>
        </a:p>
      </xdr:txBody>
    </xdr:sp>
    <xdr:clientData/>
  </xdr:oneCellAnchor>
  <xdr:twoCellAnchor>
    <xdr:from>
      <xdr:col>1</xdr:col>
      <xdr:colOff>38100</xdr:colOff>
      <xdr:row>380</xdr:row>
      <xdr:rowOff>85726</xdr:rowOff>
    </xdr:from>
    <xdr:to>
      <xdr:col>1</xdr:col>
      <xdr:colOff>590550</xdr:colOff>
      <xdr:row>380</xdr:row>
      <xdr:rowOff>95250</xdr:rowOff>
    </xdr:to>
    <xdr:cxnSp macro="">
      <xdr:nvCxnSpPr>
        <xdr:cNvPr id="305" name="Straight Arrow Connector 304"/>
        <xdr:cNvCxnSpPr/>
      </xdr:nvCxnSpPr>
      <xdr:spPr bwMode="auto">
        <a:xfrm>
          <a:off x="647700" y="56321326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384</xdr:row>
      <xdr:rowOff>76200</xdr:rowOff>
    </xdr:from>
    <xdr:to>
      <xdr:col>2</xdr:col>
      <xdr:colOff>9525</xdr:colOff>
      <xdr:row>384</xdr:row>
      <xdr:rowOff>77788</xdr:rowOff>
    </xdr:to>
    <xdr:cxnSp macro="">
      <xdr:nvCxnSpPr>
        <xdr:cNvPr id="306" name="Straight Arrow Connector 305"/>
        <xdr:cNvCxnSpPr/>
      </xdr:nvCxnSpPr>
      <xdr:spPr bwMode="auto">
        <a:xfrm>
          <a:off x="419100" y="56959500"/>
          <a:ext cx="819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9528</xdr:colOff>
      <xdr:row>384</xdr:row>
      <xdr:rowOff>76199</xdr:rowOff>
    </xdr:from>
    <xdr:to>
      <xdr:col>4</xdr:col>
      <xdr:colOff>400051</xdr:colOff>
      <xdr:row>384</xdr:row>
      <xdr:rowOff>85724</xdr:rowOff>
    </xdr:to>
    <xdr:cxnSp macro="">
      <xdr:nvCxnSpPr>
        <xdr:cNvPr id="307" name="Straight Arrow Connector 306"/>
        <xdr:cNvCxnSpPr/>
      </xdr:nvCxnSpPr>
      <xdr:spPr bwMode="auto">
        <a:xfrm rot="10800000" flipV="1">
          <a:off x="2466978" y="56959499"/>
          <a:ext cx="390523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542925</xdr:colOff>
      <xdr:row>467</xdr:row>
      <xdr:rowOff>104775</xdr:rowOff>
    </xdr:from>
    <xdr:to>
      <xdr:col>7</xdr:col>
      <xdr:colOff>304800</xdr:colOff>
      <xdr:row>469</xdr:row>
      <xdr:rowOff>0</xdr:rowOff>
    </xdr:to>
    <xdr:sp macro="" textlink="">
      <xdr:nvSpPr>
        <xdr:cNvPr id="308" name="Arc 307"/>
        <xdr:cNvSpPr/>
      </xdr:nvSpPr>
      <xdr:spPr bwMode="auto">
        <a:xfrm>
          <a:off x="4248150" y="71123175"/>
          <a:ext cx="371475" cy="219075"/>
        </a:xfrm>
        <a:prstGeom prst="arc">
          <a:avLst>
            <a:gd name="adj1" fmla="val 9384173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561976</xdr:colOff>
      <xdr:row>467</xdr:row>
      <xdr:rowOff>85725</xdr:rowOff>
    </xdr:from>
    <xdr:to>
      <xdr:col>5</xdr:col>
      <xdr:colOff>152400</xdr:colOff>
      <xdr:row>469</xdr:row>
      <xdr:rowOff>0</xdr:rowOff>
    </xdr:to>
    <xdr:sp macro="" textlink="">
      <xdr:nvSpPr>
        <xdr:cNvPr id="309" name="Arc 308"/>
        <xdr:cNvSpPr/>
      </xdr:nvSpPr>
      <xdr:spPr bwMode="auto">
        <a:xfrm flipH="1">
          <a:off x="3019426" y="71104125"/>
          <a:ext cx="200024" cy="238125"/>
        </a:xfrm>
        <a:prstGeom prst="arc">
          <a:avLst>
            <a:gd name="adj1" fmla="val 16200000"/>
            <a:gd name="adj2" fmla="val 509192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9525</xdr:colOff>
      <xdr:row>474</xdr:row>
      <xdr:rowOff>0</xdr:rowOff>
    </xdr:from>
    <xdr:to>
      <xdr:col>7</xdr:col>
      <xdr:colOff>180975</xdr:colOff>
      <xdr:row>474</xdr:row>
      <xdr:rowOff>1588</xdr:rowOff>
    </xdr:to>
    <xdr:cxnSp macro="">
      <xdr:nvCxnSpPr>
        <xdr:cNvPr id="310" name="Straight Connector 309"/>
        <xdr:cNvCxnSpPr/>
      </xdr:nvCxnSpPr>
      <xdr:spPr bwMode="auto">
        <a:xfrm>
          <a:off x="1238250" y="72151875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475</xdr:row>
      <xdr:rowOff>152400</xdr:rowOff>
    </xdr:from>
    <xdr:to>
      <xdr:col>7</xdr:col>
      <xdr:colOff>171450</xdr:colOff>
      <xdr:row>475</xdr:row>
      <xdr:rowOff>153988</xdr:rowOff>
    </xdr:to>
    <xdr:cxnSp macro="">
      <xdr:nvCxnSpPr>
        <xdr:cNvPr id="311" name="Straight Connector 310"/>
        <xdr:cNvCxnSpPr/>
      </xdr:nvCxnSpPr>
      <xdr:spPr bwMode="auto">
        <a:xfrm>
          <a:off x="1228725" y="72466200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608807</xdr:colOff>
      <xdr:row>474</xdr:row>
      <xdr:rowOff>793</xdr:rowOff>
    </xdr:from>
    <xdr:to>
      <xdr:col>2</xdr:col>
      <xdr:colOff>795</xdr:colOff>
      <xdr:row>475</xdr:row>
      <xdr:rowOff>153193</xdr:rowOff>
    </xdr:to>
    <xdr:cxnSp macro="">
      <xdr:nvCxnSpPr>
        <xdr:cNvPr id="312" name="Straight Connector 311"/>
        <xdr:cNvCxnSpPr/>
      </xdr:nvCxnSpPr>
      <xdr:spPr bwMode="auto">
        <a:xfrm rot="5400000">
          <a:off x="1066801" y="72304274"/>
          <a:ext cx="314325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8731</xdr:colOff>
      <xdr:row>476</xdr:row>
      <xdr:rowOff>115097</xdr:rowOff>
    </xdr:from>
    <xdr:to>
      <xdr:col>2</xdr:col>
      <xdr:colOff>10319</xdr:colOff>
      <xdr:row>480</xdr:row>
      <xdr:rowOff>29371</xdr:rowOff>
    </xdr:to>
    <xdr:cxnSp macro="">
      <xdr:nvCxnSpPr>
        <xdr:cNvPr id="314" name="Straight Connector 313"/>
        <xdr:cNvCxnSpPr/>
      </xdr:nvCxnSpPr>
      <xdr:spPr bwMode="auto">
        <a:xfrm rot="5400000">
          <a:off x="957263" y="72871015"/>
          <a:ext cx="561974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219075</xdr:colOff>
      <xdr:row>471</xdr:row>
      <xdr:rowOff>142877</xdr:rowOff>
    </xdr:from>
    <xdr:to>
      <xdr:col>2</xdr:col>
      <xdr:colOff>220663</xdr:colOff>
      <xdr:row>473</xdr:row>
      <xdr:rowOff>133352</xdr:rowOff>
    </xdr:to>
    <xdr:cxnSp macro="">
      <xdr:nvCxnSpPr>
        <xdr:cNvPr id="315" name="Straight Connector 314"/>
        <xdr:cNvCxnSpPr/>
      </xdr:nvCxnSpPr>
      <xdr:spPr bwMode="auto">
        <a:xfrm rot="5400000">
          <a:off x="1291431" y="71965346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314325</xdr:colOff>
      <xdr:row>476</xdr:row>
      <xdr:rowOff>9528</xdr:rowOff>
    </xdr:from>
    <xdr:to>
      <xdr:col>4</xdr:col>
      <xdr:colOff>315913</xdr:colOff>
      <xdr:row>478</xdr:row>
      <xdr:rowOff>3</xdr:rowOff>
    </xdr:to>
    <xdr:cxnSp macro="">
      <xdr:nvCxnSpPr>
        <xdr:cNvPr id="318" name="Straight Connector 317"/>
        <xdr:cNvCxnSpPr/>
      </xdr:nvCxnSpPr>
      <xdr:spPr bwMode="auto">
        <a:xfrm rot="5400000">
          <a:off x="2615406" y="72641622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238125</xdr:colOff>
      <xdr:row>473</xdr:row>
      <xdr:rowOff>0</xdr:rowOff>
    </xdr:from>
    <xdr:to>
      <xdr:col>7</xdr:col>
      <xdr:colOff>171450</xdr:colOff>
      <xdr:row>473</xdr:row>
      <xdr:rowOff>9525</xdr:rowOff>
    </xdr:to>
    <xdr:cxnSp macro="">
      <xdr:nvCxnSpPr>
        <xdr:cNvPr id="319" name="Straight Arrow Connector 318"/>
        <xdr:cNvCxnSpPr/>
      </xdr:nvCxnSpPr>
      <xdr:spPr bwMode="auto">
        <a:xfrm flipV="1">
          <a:off x="1466850" y="71989950"/>
          <a:ext cx="3019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323850</xdr:colOff>
      <xdr:row>477</xdr:row>
      <xdr:rowOff>9525</xdr:rowOff>
    </xdr:from>
    <xdr:to>
      <xdr:col>7</xdr:col>
      <xdr:colOff>180975</xdr:colOff>
      <xdr:row>477</xdr:row>
      <xdr:rowOff>11113</xdr:rowOff>
    </xdr:to>
    <xdr:cxnSp macro="">
      <xdr:nvCxnSpPr>
        <xdr:cNvPr id="320" name="Straight Arrow Connector 319"/>
        <xdr:cNvCxnSpPr/>
      </xdr:nvCxnSpPr>
      <xdr:spPr bwMode="auto">
        <a:xfrm>
          <a:off x="2781300" y="72647175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400050</xdr:colOff>
      <xdr:row>479</xdr:row>
      <xdr:rowOff>85725</xdr:rowOff>
    </xdr:from>
    <xdr:to>
      <xdr:col>7</xdr:col>
      <xdr:colOff>180975</xdr:colOff>
      <xdr:row>479</xdr:row>
      <xdr:rowOff>96838</xdr:rowOff>
    </xdr:to>
    <xdr:cxnSp macro="">
      <xdr:nvCxnSpPr>
        <xdr:cNvPr id="321" name="Straight Arrow Connector 320"/>
        <xdr:cNvCxnSpPr/>
      </xdr:nvCxnSpPr>
      <xdr:spPr bwMode="auto">
        <a:xfrm>
          <a:off x="3467100" y="73047225"/>
          <a:ext cx="1028700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19051</xdr:colOff>
      <xdr:row>479</xdr:row>
      <xdr:rowOff>95250</xdr:rowOff>
    </xdr:from>
    <xdr:to>
      <xdr:col>4</xdr:col>
      <xdr:colOff>85726</xdr:colOff>
      <xdr:row>479</xdr:row>
      <xdr:rowOff>96838</xdr:rowOff>
    </xdr:to>
    <xdr:cxnSp macro="">
      <xdr:nvCxnSpPr>
        <xdr:cNvPr id="322" name="Straight Arrow Connector 321"/>
        <xdr:cNvCxnSpPr/>
      </xdr:nvCxnSpPr>
      <xdr:spPr bwMode="auto">
        <a:xfrm rot="10800000">
          <a:off x="1247776" y="73056750"/>
          <a:ext cx="1295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219075</xdr:colOff>
      <xdr:row>473</xdr:row>
      <xdr:rowOff>152400</xdr:rowOff>
    </xdr:from>
    <xdr:to>
      <xdr:col>7</xdr:col>
      <xdr:colOff>476250</xdr:colOff>
      <xdr:row>473</xdr:row>
      <xdr:rowOff>153988</xdr:rowOff>
    </xdr:to>
    <xdr:cxnSp macro="">
      <xdr:nvCxnSpPr>
        <xdr:cNvPr id="323" name="Straight Connector 322"/>
        <xdr:cNvCxnSpPr/>
      </xdr:nvCxnSpPr>
      <xdr:spPr bwMode="auto">
        <a:xfrm>
          <a:off x="4533900" y="7214235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228600</xdr:colOff>
      <xdr:row>476</xdr:row>
      <xdr:rowOff>0</xdr:rowOff>
    </xdr:from>
    <xdr:to>
      <xdr:col>7</xdr:col>
      <xdr:colOff>485775</xdr:colOff>
      <xdr:row>476</xdr:row>
      <xdr:rowOff>1588</xdr:rowOff>
    </xdr:to>
    <xdr:cxnSp macro="">
      <xdr:nvCxnSpPr>
        <xdr:cNvPr id="324" name="Straight Connector 323"/>
        <xdr:cNvCxnSpPr/>
      </xdr:nvCxnSpPr>
      <xdr:spPr bwMode="auto">
        <a:xfrm>
          <a:off x="4543425" y="7247572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474</xdr:row>
      <xdr:rowOff>19049</xdr:rowOff>
    </xdr:from>
    <xdr:to>
      <xdr:col>7</xdr:col>
      <xdr:colOff>295275</xdr:colOff>
      <xdr:row>476</xdr:row>
      <xdr:rowOff>9524</xdr:rowOff>
    </xdr:to>
    <xdr:cxnSp macro="">
      <xdr:nvCxnSpPr>
        <xdr:cNvPr id="325" name="Straight Arrow Connector 324"/>
        <xdr:cNvCxnSpPr/>
      </xdr:nvCxnSpPr>
      <xdr:spPr bwMode="auto">
        <a:xfrm rot="16200000" flipH="1">
          <a:off x="4448175" y="72323324"/>
          <a:ext cx="314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342900</xdr:colOff>
      <xdr:row>473</xdr:row>
      <xdr:rowOff>133350</xdr:rowOff>
    </xdr:from>
    <xdr:to>
      <xdr:col>2</xdr:col>
      <xdr:colOff>104775</xdr:colOff>
      <xdr:row>476</xdr:row>
      <xdr:rowOff>28575</xdr:rowOff>
    </xdr:to>
    <xdr:sp macro="" textlink="">
      <xdr:nvSpPr>
        <xdr:cNvPr id="326" name="Arc 325"/>
        <xdr:cNvSpPr/>
      </xdr:nvSpPr>
      <xdr:spPr bwMode="auto">
        <a:xfrm>
          <a:off x="952500" y="72123300"/>
          <a:ext cx="381000" cy="381000"/>
        </a:xfrm>
        <a:prstGeom prst="arc">
          <a:avLst>
            <a:gd name="adj1" fmla="val 6868560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504825</xdr:colOff>
      <xdr:row>473</xdr:row>
      <xdr:rowOff>85725</xdr:rowOff>
    </xdr:from>
    <xdr:to>
      <xdr:col>8</xdr:col>
      <xdr:colOff>219075</xdr:colOff>
      <xdr:row>475</xdr:row>
      <xdr:rowOff>152400</xdr:rowOff>
    </xdr:to>
    <xdr:sp macro="" textlink="">
      <xdr:nvSpPr>
        <xdr:cNvPr id="327" name="Arc 326"/>
        <xdr:cNvSpPr/>
      </xdr:nvSpPr>
      <xdr:spPr bwMode="auto">
        <a:xfrm flipH="1">
          <a:off x="4819650" y="72075675"/>
          <a:ext cx="323850" cy="390525"/>
        </a:xfrm>
        <a:prstGeom prst="arc">
          <a:avLst>
            <a:gd name="adj1" fmla="val 4531782"/>
            <a:gd name="adj2" fmla="val 17612854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190509</xdr:colOff>
      <xdr:row>377</xdr:row>
      <xdr:rowOff>85724</xdr:rowOff>
    </xdr:from>
    <xdr:to>
      <xdr:col>4</xdr:col>
      <xdr:colOff>219076</xdr:colOff>
      <xdr:row>377</xdr:row>
      <xdr:rowOff>104773</xdr:rowOff>
    </xdr:to>
    <xdr:cxnSp macro="">
      <xdr:nvCxnSpPr>
        <xdr:cNvPr id="328" name="Straight Arrow Connector 327"/>
        <xdr:cNvCxnSpPr/>
      </xdr:nvCxnSpPr>
      <xdr:spPr bwMode="auto">
        <a:xfrm rot="10800000" flipV="1">
          <a:off x="2028834" y="55835549"/>
          <a:ext cx="647692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180974</xdr:colOff>
      <xdr:row>377</xdr:row>
      <xdr:rowOff>95250</xdr:rowOff>
    </xdr:from>
    <xdr:to>
      <xdr:col>3</xdr:col>
      <xdr:colOff>190499</xdr:colOff>
      <xdr:row>379</xdr:row>
      <xdr:rowOff>0</xdr:rowOff>
    </xdr:to>
    <xdr:cxnSp macro="">
      <xdr:nvCxnSpPr>
        <xdr:cNvPr id="329" name="Straight Arrow Connector 328"/>
        <xdr:cNvCxnSpPr/>
      </xdr:nvCxnSpPr>
      <xdr:spPr bwMode="auto">
        <a:xfrm rot="16200000" flipH="1">
          <a:off x="1909762" y="55954612"/>
          <a:ext cx="228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sm" len="sm"/>
          <a:tailEnd type="triangle" w="sm" len="sm"/>
        </a:ln>
        <a:effectLst/>
      </xdr:spPr>
    </xdr:cxnSp>
    <xdr:clientData/>
  </xdr:twoCellAnchor>
  <xdr:twoCellAnchor>
    <xdr:from>
      <xdr:col>4</xdr:col>
      <xdr:colOff>342108</xdr:colOff>
      <xdr:row>470</xdr:row>
      <xdr:rowOff>9528</xdr:rowOff>
    </xdr:from>
    <xdr:to>
      <xdr:col>4</xdr:col>
      <xdr:colOff>342901</xdr:colOff>
      <xdr:row>472</xdr:row>
      <xdr:rowOff>115093</xdr:rowOff>
    </xdr:to>
    <xdr:cxnSp macro="">
      <xdr:nvCxnSpPr>
        <xdr:cNvPr id="330" name="Straight Arrow Connector 329"/>
        <xdr:cNvCxnSpPr/>
      </xdr:nvCxnSpPr>
      <xdr:spPr bwMode="auto">
        <a:xfrm rot="5400000">
          <a:off x="2585247" y="71728014"/>
          <a:ext cx="429415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323850</xdr:colOff>
      <xdr:row>470</xdr:row>
      <xdr:rowOff>152400</xdr:rowOff>
    </xdr:from>
    <xdr:to>
      <xdr:col>7</xdr:col>
      <xdr:colOff>180975</xdr:colOff>
      <xdr:row>470</xdr:row>
      <xdr:rowOff>153988</xdr:rowOff>
    </xdr:to>
    <xdr:cxnSp macro="">
      <xdr:nvCxnSpPr>
        <xdr:cNvPr id="331" name="Straight Arrow Connector 330"/>
        <xdr:cNvCxnSpPr/>
      </xdr:nvCxnSpPr>
      <xdr:spPr bwMode="auto">
        <a:xfrm>
          <a:off x="2781300" y="71656575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190500</xdr:colOff>
      <xdr:row>471</xdr:row>
      <xdr:rowOff>85728</xdr:rowOff>
    </xdr:from>
    <xdr:to>
      <xdr:col>8</xdr:col>
      <xdr:colOff>19052</xdr:colOff>
      <xdr:row>472</xdr:row>
      <xdr:rowOff>9525</xdr:rowOff>
    </xdr:to>
    <xdr:cxnSp macro="">
      <xdr:nvCxnSpPr>
        <xdr:cNvPr id="332" name="Straight Arrow Connector 331"/>
        <xdr:cNvCxnSpPr/>
      </xdr:nvCxnSpPr>
      <xdr:spPr bwMode="auto">
        <a:xfrm rot="10800000" flipV="1">
          <a:off x="4505325" y="71751828"/>
          <a:ext cx="438152" cy="857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323056</xdr:colOff>
      <xdr:row>383</xdr:row>
      <xdr:rowOff>48419</xdr:rowOff>
    </xdr:from>
    <xdr:to>
      <xdr:col>6</xdr:col>
      <xdr:colOff>324644</xdr:colOff>
      <xdr:row>385</xdr:row>
      <xdr:rowOff>48419</xdr:rowOff>
    </xdr:to>
    <xdr:cxnSp macro="">
      <xdr:nvCxnSpPr>
        <xdr:cNvPr id="333" name="Straight Arrow Connector 332"/>
        <xdr:cNvCxnSpPr/>
      </xdr:nvCxnSpPr>
      <xdr:spPr bwMode="auto">
        <a:xfrm rot="5400000">
          <a:off x="3867150" y="56930925"/>
          <a:ext cx="32385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9525</xdr:colOff>
      <xdr:row>477</xdr:row>
      <xdr:rowOff>95250</xdr:rowOff>
    </xdr:from>
    <xdr:to>
      <xdr:col>2</xdr:col>
      <xdr:colOff>276225</xdr:colOff>
      <xdr:row>477</xdr:row>
      <xdr:rowOff>96838</xdr:rowOff>
    </xdr:to>
    <xdr:cxnSp macro="">
      <xdr:nvCxnSpPr>
        <xdr:cNvPr id="334" name="Straight Arrow Connector 333"/>
        <xdr:cNvCxnSpPr/>
      </xdr:nvCxnSpPr>
      <xdr:spPr bwMode="auto">
        <a:xfrm>
          <a:off x="1238250" y="72732900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0</xdr:colOff>
      <xdr:row>883</xdr:row>
      <xdr:rowOff>1</xdr:rowOff>
    </xdr:from>
    <xdr:to>
      <xdr:col>7</xdr:col>
      <xdr:colOff>0</xdr:colOff>
      <xdr:row>883</xdr:row>
      <xdr:rowOff>19050</xdr:rowOff>
    </xdr:to>
    <xdr:cxnSp macro="">
      <xdr:nvCxnSpPr>
        <xdr:cNvPr id="335" name="Straight Connector 334"/>
        <xdr:cNvCxnSpPr/>
      </xdr:nvCxnSpPr>
      <xdr:spPr bwMode="auto">
        <a:xfrm flipV="1">
          <a:off x="2457450" y="93564076"/>
          <a:ext cx="1857375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9527</xdr:colOff>
      <xdr:row>869</xdr:row>
      <xdr:rowOff>9525</xdr:rowOff>
    </xdr:from>
    <xdr:to>
      <xdr:col>7</xdr:col>
      <xdr:colOff>219075</xdr:colOff>
      <xdr:row>869</xdr:row>
      <xdr:rowOff>9529</xdr:rowOff>
    </xdr:to>
    <xdr:cxnSp macro="">
      <xdr:nvCxnSpPr>
        <xdr:cNvPr id="336" name="Straight Connector 335"/>
        <xdr:cNvCxnSpPr/>
      </xdr:nvCxnSpPr>
      <xdr:spPr bwMode="auto">
        <a:xfrm rot="10800000" flipV="1">
          <a:off x="4324352" y="91306650"/>
          <a:ext cx="209548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133350</xdr:colOff>
      <xdr:row>885</xdr:row>
      <xdr:rowOff>0</xdr:rowOff>
    </xdr:from>
    <xdr:to>
      <xdr:col>7</xdr:col>
      <xdr:colOff>504825</xdr:colOff>
      <xdr:row>885</xdr:row>
      <xdr:rowOff>1588</xdr:rowOff>
    </xdr:to>
    <xdr:cxnSp macro="">
      <xdr:nvCxnSpPr>
        <xdr:cNvPr id="337" name="Straight Connector 336"/>
        <xdr:cNvCxnSpPr/>
      </xdr:nvCxnSpPr>
      <xdr:spPr bwMode="auto">
        <a:xfrm>
          <a:off x="1971675" y="93887925"/>
          <a:ext cx="2847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505621</xdr:colOff>
      <xdr:row>882</xdr:row>
      <xdr:rowOff>134145</xdr:rowOff>
    </xdr:from>
    <xdr:to>
      <xdr:col>7</xdr:col>
      <xdr:colOff>514353</xdr:colOff>
      <xdr:row>885</xdr:row>
      <xdr:rowOff>0</xdr:rowOff>
    </xdr:to>
    <xdr:cxnSp macro="">
      <xdr:nvCxnSpPr>
        <xdr:cNvPr id="338" name="Straight Connector 337"/>
        <xdr:cNvCxnSpPr/>
      </xdr:nvCxnSpPr>
      <xdr:spPr bwMode="auto">
        <a:xfrm rot="16200000" flipV="1">
          <a:off x="4648997" y="93707744"/>
          <a:ext cx="351630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</xdr:colOff>
      <xdr:row>869</xdr:row>
      <xdr:rowOff>19050</xdr:rowOff>
    </xdr:from>
    <xdr:to>
      <xdr:col>7</xdr:col>
      <xdr:colOff>8734</xdr:colOff>
      <xdr:row>883</xdr:row>
      <xdr:rowOff>796</xdr:rowOff>
    </xdr:to>
    <xdr:cxnSp macro="">
      <xdr:nvCxnSpPr>
        <xdr:cNvPr id="339" name="Straight Connector 338"/>
        <xdr:cNvCxnSpPr/>
      </xdr:nvCxnSpPr>
      <xdr:spPr bwMode="auto">
        <a:xfrm rot="16200000" flipV="1">
          <a:off x="3194846" y="92436157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132562</xdr:colOff>
      <xdr:row>883</xdr:row>
      <xdr:rowOff>1</xdr:rowOff>
    </xdr:from>
    <xdr:to>
      <xdr:col>3</xdr:col>
      <xdr:colOff>133353</xdr:colOff>
      <xdr:row>885</xdr:row>
      <xdr:rowOff>796</xdr:rowOff>
    </xdr:to>
    <xdr:cxnSp macro="">
      <xdr:nvCxnSpPr>
        <xdr:cNvPr id="340" name="Straight Connector 339"/>
        <xdr:cNvCxnSpPr/>
      </xdr:nvCxnSpPr>
      <xdr:spPr bwMode="auto">
        <a:xfrm rot="5400000" flipH="1" flipV="1">
          <a:off x="1808960" y="93726003"/>
          <a:ext cx="324645" cy="79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8736</xdr:colOff>
      <xdr:row>869</xdr:row>
      <xdr:rowOff>1</xdr:rowOff>
    </xdr:from>
    <xdr:to>
      <xdr:col>4</xdr:col>
      <xdr:colOff>9525</xdr:colOff>
      <xdr:row>883</xdr:row>
      <xdr:rowOff>798</xdr:rowOff>
    </xdr:to>
    <xdr:cxnSp macro="">
      <xdr:nvCxnSpPr>
        <xdr:cNvPr id="341" name="Straight Connector 340"/>
        <xdr:cNvCxnSpPr/>
      </xdr:nvCxnSpPr>
      <xdr:spPr bwMode="auto">
        <a:xfrm rot="5400000" flipH="1" flipV="1">
          <a:off x="1332707" y="92430605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868</xdr:row>
      <xdr:rowOff>152400</xdr:rowOff>
    </xdr:from>
    <xdr:to>
      <xdr:col>4</xdr:col>
      <xdr:colOff>0</xdr:colOff>
      <xdr:row>869</xdr:row>
      <xdr:rowOff>0</xdr:rowOff>
    </xdr:to>
    <xdr:cxnSp macro="">
      <xdr:nvCxnSpPr>
        <xdr:cNvPr id="342" name="Straight Connector 341"/>
        <xdr:cNvCxnSpPr/>
      </xdr:nvCxnSpPr>
      <xdr:spPr bwMode="auto">
        <a:xfrm rot="10800000">
          <a:off x="2209800" y="91287600"/>
          <a:ext cx="2476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219075</xdr:colOff>
      <xdr:row>869</xdr:row>
      <xdr:rowOff>19049</xdr:rowOff>
    </xdr:from>
    <xdr:to>
      <xdr:col>7</xdr:col>
      <xdr:colOff>514350</xdr:colOff>
      <xdr:row>883</xdr:row>
      <xdr:rowOff>9524</xdr:rowOff>
    </xdr:to>
    <xdr:cxnSp macro="">
      <xdr:nvCxnSpPr>
        <xdr:cNvPr id="343" name="Straight Connector 342"/>
        <xdr:cNvCxnSpPr/>
      </xdr:nvCxnSpPr>
      <xdr:spPr bwMode="auto">
        <a:xfrm rot="16200000" flipH="1">
          <a:off x="3552825" y="92297249"/>
          <a:ext cx="225742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133351</xdr:colOff>
      <xdr:row>868</xdr:row>
      <xdr:rowOff>152399</xdr:rowOff>
    </xdr:from>
    <xdr:to>
      <xdr:col>3</xdr:col>
      <xdr:colOff>361954</xdr:colOff>
      <xdr:row>883</xdr:row>
      <xdr:rowOff>3</xdr:rowOff>
    </xdr:to>
    <xdr:cxnSp macro="">
      <xdr:nvCxnSpPr>
        <xdr:cNvPr id="344" name="Straight Connector 343"/>
        <xdr:cNvCxnSpPr/>
      </xdr:nvCxnSpPr>
      <xdr:spPr bwMode="auto">
        <a:xfrm rot="5400000">
          <a:off x="947738" y="92311537"/>
          <a:ext cx="2276479" cy="22860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419100</xdr:colOff>
      <xdr:row>869</xdr:row>
      <xdr:rowOff>0</xdr:rowOff>
    </xdr:from>
    <xdr:to>
      <xdr:col>8</xdr:col>
      <xdr:colOff>542925</xdr:colOff>
      <xdr:row>869</xdr:row>
      <xdr:rowOff>1588</xdr:rowOff>
    </xdr:to>
    <xdr:cxnSp macro="">
      <xdr:nvCxnSpPr>
        <xdr:cNvPr id="345" name="Straight Connector 344"/>
        <xdr:cNvCxnSpPr/>
      </xdr:nvCxnSpPr>
      <xdr:spPr bwMode="auto">
        <a:xfrm>
          <a:off x="4733925" y="91297125"/>
          <a:ext cx="733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590550</xdr:colOff>
      <xdr:row>883</xdr:row>
      <xdr:rowOff>9525</xdr:rowOff>
    </xdr:from>
    <xdr:to>
      <xdr:col>8</xdr:col>
      <xdr:colOff>252705</xdr:colOff>
      <xdr:row>883</xdr:row>
      <xdr:rowOff>9719</xdr:rowOff>
    </xdr:to>
    <xdr:cxnSp macro="">
      <xdr:nvCxnSpPr>
        <xdr:cNvPr id="346" name="Straight Connector 345"/>
        <xdr:cNvCxnSpPr/>
      </xdr:nvCxnSpPr>
      <xdr:spPr bwMode="auto">
        <a:xfrm>
          <a:off x="4876800" y="135760214"/>
          <a:ext cx="274476" cy="1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609794</xdr:colOff>
      <xdr:row>885</xdr:row>
      <xdr:rowOff>9331</xdr:rowOff>
    </xdr:from>
    <xdr:to>
      <xdr:col>8</xdr:col>
      <xdr:colOff>242985</xdr:colOff>
      <xdr:row>885</xdr:row>
      <xdr:rowOff>9719</xdr:rowOff>
    </xdr:to>
    <xdr:cxnSp macro="">
      <xdr:nvCxnSpPr>
        <xdr:cNvPr id="347" name="Straight Connector 346"/>
        <xdr:cNvCxnSpPr/>
      </xdr:nvCxnSpPr>
      <xdr:spPr bwMode="auto">
        <a:xfrm>
          <a:off x="4896044" y="136090479"/>
          <a:ext cx="245512" cy="3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75407</xdr:colOff>
      <xdr:row>869</xdr:row>
      <xdr:rowOff>10318</xdr:rowOff>
    </xdr:from>
    <xdr:to>
      <xdr:col>8</xdr:col>
      <xdr:colOff>76995</xdr:colOff>
      <xdr:row>883</xdr:row>
      <xdr:rowOff>793</xdr:rowOff>
    </xdr:to>
    <xdr:cxnSp macro="">
      <xdr:nvCxnSpPr>
        <xdr:cNvPr id="348" name="Straight Arrow Connector 347"/>
        <xdr:cNvCxnSpPr/>
      </xdr:nvCxnSpPr>
      <xdr:spPr bwMode="auto">
        <a:xfrm rot="5400000">
          <a:off x="3871913" y="92435362"/>
          <a:ext cx="2257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75601</xdr:colOff>
      <xdr:row>883</xdr:row>
      <xdr:rowOff>10127</xdr:rowOff>
    </xdr:from>
    <xdr:to>
      <xdr:col>8</xdr:col>
      <xdr:colOff>77189</xdr:colOff>
      <xdr:row>885</xdr:row>
      <xdr:rowOff>10127</xdr:rowOff>
    </xdr:to>
    <xdr:cxnSp macro="">
      <xdr:nvCxnSpPr>
        <xdr:cNvPr id="349" name="Straight Arrow Connector 348"/>
        <xdr:cNvCxnSpPr/>
      </xdr:nvCxnSpPr>
      <xdr:spPr bwMode="auto">
        <a:xfrm rot="5400000">
          <a:off x="4809736" y="135925252"/>
          <a:ext cx="330459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142081</xdr:colOff>
      <xdr:row>885</xdr:row>
      <xdr:rowOff>47625</xdr:rowOff>
    </xdr:from>
    <xdr:to>
      <xdr:col>3</xdr:col>
      <xdr:colOff>142875</xdr:colOff>
      <xdr:row>888</xdr:row>
      <xdr:rowOff>153194</xdr:rowOff>
    </xdr:to>
    <xdr:cxnSp macro="">
      <xdr:nvCxnSpPr>
        <xdr:cNvPr id="350" name="Straight Connector 349"/>
        <xdr:cNvCxnSpPr/>
      </xdr:nvCxnSpPr>
      <xdr:spPr bwMode="auto">
        <a:xfrm rot="5400000">
          <a:off x="1685131" y="94230825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513556</xdr:colOff>
      <xdr:row>885</xdr:row>
      <xdr:rowOff>66675</xdr:rowOff>
    </xdr:from>
    <xdr:to>
      <xdr:col>7</xdr:col>
      <xdr:colOff>514350</xdr:colOff>
      <xdr:row>889</xdr:row>
      <xdr:rowOff>10319</xdr:rowOff>
    </xdr:to>
    <xdr:cxnSp macro="">
      <xdr:nvCxnSpPr>
        <xdr:cNvPr id="351" name="Straight Connector 350"/>
        <xdr:cNvCxnSpPr/>
      </xdr:nvCxnSpPr>
      <xdr:spPr bwMode="auto">
        <a:xfrm rot="5400000">
          <a:off x="4533106" y="94249875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885</xdr:row>
      <xdr:rowOff>38100</xdr:rowOff>
    </xdr:from>
    <xdr:to>
      <xdr:col>3</xdr:col>
      <xdr:colOff>600869</xdr:colOff>
      <xdr:row>887</xdr:row>
      <xdr:rowOff>19050</xdr:rowOff>
    </xdr:to>
    <xdr:cxnSp macro="">
      <xdr:nvCxnSpPr>
        <xdr:cNvPr id="352" name="Straight Connector 351"/>
        <xdr:cNvCxnSpPr/>
      </xdr:nvCxnSpPr>
      <xdr:spPr bwMode="auto">
        <a:xfrm rot="5400000">
          <a:off x="2286397" y="94078028"/>
          <a:ext cx="30480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885</xdr:row>
      <xdr:rowOff>9527</xdr:rowOff>
    </xdr:from>
    <xdr:to>
      <xdr:col>7</xdr:col>
      <xdr:colOff>10319</xdr:colOff>
      <xdr:row>887</xdr:row>
      <xdr:rowOff>9527</xdr:rowOff>
    </xdr:to>
    <xdr:cxnSp macro="">
      <xdr:nvCxnSpPr>
        <xdr:cNvPr id="353" name="Straight Connector 352"/>
        <xdr:cNvCxnSpPr/>
      </xdr:nvCxnSpPr>
      <xdr:spPr bwMode="auto">
        <a:xfrm rot="5400000">
          <a:off x="4162822" y="94058980"/>
          <a:ext cx="32385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456811</xdr:colOff>
      <xdr:row>882</xdr:row>
      <xdr:rowOff>152402</xdr:rowOff>
    </xdr:from>
    <xdr:to>
      <xdr:col>3</xdr:col>
      <xdr:colOff>114300</xdr:colOff>
      <xdr:row>882</xdr:row>
      <xdr:rowOff>155510</xdr:rowOff>
    </xdr:to>
    <xdr:cxnSp macro="">
      <xdr:nvCxnSpPr>
        <xdr:cNvPr id="354" name="Straight Connector 353"/>
        <xdr:cNvCxnSpPr/>
      </xdr:nvCxnSpPr>
      <xdr:spPr bwMode="auto">
        <a:xfrm flipV="1">
          <a:off x="1681454" y="135737861"/>
          <a:ext cx="269810" cy="310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417934</xdr:colOff>
      <xdr:row>868</xdr:row>
      <xdr:rowOff>152400</xdr:rowOff>
    </xdr:from>
    <xdr:to>
      <xdr:col>3</xdr:col>
      <xdr:colOff>266700</xdr:colOff>
      <xdr:row>868</xdr:row>
      <xdr:rowOff>155510</xdr:rowOff>
    </xdr:to>
    <xdr:cxnSp macro="">
      <xdr:nvCxnSpPr>
        <xdr:cNvPr id="355" name="Straight Connector 354"/>
        <xdr:cNvCxnSpPr/>
      </xdr:nvCxnSpPr>
      <xdr:spPr bwMode="auto">
        <a:xfrm flipV="1">
          <a:off x="1642577" y="133424645"/>
          <a:ext cx="461087" cy="311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142875</xdr:colOff>
      <xdr:row>886</xdr:row>
      <xdr:rowOff>9525</xdr:rowOff>
    </xdr:from>
    <xdr:to>
      <xdr:col>3</xdr:col>
      <xdr:colOff>600075</xdr:colOff>
      <xdr:row>886</xdr:row>
      <xdr:rowOff>11113</xdr:rowOff>
    </xdr:to>
    <xdr:cxnSp macro="">
      <xdr:nvCxnSpPr>
        <xdr:cNvPr id="356" name="Straight Arrow Connector 355"/>
        <xdr:cNvCxnSpPr/>
      </xdr:nvCxnSpPr>
      <xdr:spPr bwMode="auto">
        <a:xfrm>
          <a:off x="1981200" y="94059375"/>
          <a:ext cx="457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19050</xdr:colOff>
      <xdr:row>886</xdr:row>
      <xdr:rowOff>0</xdr:rowOff>
    </xdr:from>
    <xdr:to>
      <xdr:col>7</xdr:col>
      <xdr:colOff>504825</xdr:colOff>
      <xdr:row>886</xdr:row>
      <xdr:rowOff>1588</xdr:rowOff>
    </xdr:to>
    <xdr:cxnSp macro="">
      <xdr:nvCxnSpPr>
        <xdr:cNvPr id="357" name="Straight Arrow Connector 356"/>
        <xdr:cNvCxnSpPr/>
      </xdr:nvCxnSpPr>
      <xdr:spPr bwMode="auto">
        <a:xfrm>
          <a:off x="4333875" y="9404985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600075</xdr:colOff>
      <xdr:row>886</xdr:row>
      <xdr:rowOff>9525</xdr:rowOff>
    </xdr:from>
    <xdr:to>
      <xdr:col>7</xdr:col>
      <xdr:colOff>0</xdr:colOff>
      <xdr:row>886</xdr:row>
      <xdr:rowOff>9526</xdr:rowOff>
    </xdr:to>
    <xdr:cxnSp macro="">
      <xdr:nvCxnSpPr>
        <xdr:cNvPr id="358" name="Straight Arrow Connector 357"/>
        <xdr:cNvCxnSpPr/>
      </xdr:nvCxnSpPr>
      <xdr:spPr bwMode="auto">
        <a:xfrm>
          <a:off x="2438400" y="94059375"/>
          <a:ext cx="18764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123825</xdr:colOff>
      <xdr:row>887</xdr:row>
      <xdr:rowOff>152400</xdr:rowOff>
    </xdr:from>
    <xdr:to>
      <xdr:col>7</xdr:col>
      <xdr:colOff>514350</xdr:colOff>
      <xdr:row>888</xdr:row>
      <xdr:rowOff>9525</xdr:rowOff>
    </xdr:to>
    <xdr:cxnSp macro="">
      <xdr:nvCxnSpPr>
        <xdr:cNvPr id="359" name="Straight Arrow Connector 358"/>
        <xdr:cNvCxnSpPr/>
      </xdr:nvCxnSpPr>
      <xdr:spPr bwMode="auto">
        <a:xfrm flipV="1">
          <a:off x="1962150" y="94364175"/>
          <a:ext cx="286702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124619</xdr:colOff>
      <xdr:row>874</xdr:row>
      <xdr:rowOff>152400</xdr:rowOff>
    </xdr:from>
    <xdr:to>
      <xdr:col>3</xdr:col>
      <xdr:colOff>123825</xdr:colOff>
      <xdr:row>875</xdr:row>
      <xdr:rowOff>0</xdr:rowOff>
    </xdr:to>
    <xdr:cxnSp macro="">
      <xdr:nvCxnSpPr>
        <xdr:cNvPr id="360" name="Straight Connector 359"/>
        <xdr:cNvCxnSpPr/>
      </xdr:nvCxnSpPr>
      <xdr:spPr bwMode="auto">
        <a:xfrm>
          <a:off x="1353344" y="92259150"/>
          <a:ext cx="60880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419100</xdr:colOff>
      <xdr:row>876</xdr:row>
      <xdr:rowOff>152400</xdr:rowOff>
    </xdr:from>
    <xdr:to>
      <xdr:col>6</xdr:col>
      <xdr:colOff>161925</xdr:colOff>
      <xdr:row>877</xdr:row>
      <xdr:rowOff>9525</xdr:rowOff>
    </xdr:to>
    <xdr:cxnSp macro="">
      <xdr:nvCxnSpPr>
        <xdr:cNvPr id="361" name="Straight Connector 360"/>
        <xdr:cNvCxnSpPr/>
      </xdr:nvCxnSpPr>
      <xdr:spPr bwMode="auto">
        <a:xfrm>
          <a:off x="2876550" y="92583000"/>
          <a:ext cx="9906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161925</xdr:colOff>
      <xdr:row>874</xdr:row>
      <xdr:rowOff>47625</xdr:rowOff>
    </xdr:from>
    <xdr:to>
      <xdr:col>2</xdr:col>
      <xdr:colOff>238125</xdr:colOff>
      <xdr:row>874</xdr:row>
      <xdr:rowOff>133350</xdr:rowOff>
    </xdr:to>
    <xdr:sp macro="" textlink="">
      <xdr:nvSpPr>
        <xdr:cNvPr id="362" name="Flowchart: Merge 361"/>
        <xdr:cNvSpPr/>
      </xdr:nvSpPr>
      <xdr:spPr bwMode="auto">
        <a:xfrm>
          <a:off x="1390650" y="92154375"/>
          <a:ext cx="76200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180975</xdr:colOff>
      <xdr:row>876</xdr:row>
      <xdr:rowOff>66675</xdr:rowOff>
    </xdr:from>
    <xdr:to>
      <xdr:col>5</xdr:col>
      <xdr:colOff>304800</xdr:colOff>
      <xdr:row>877</xdr:row>
      <xdr:rowOff>9525</xdr:rowOff>
    </xdr:to>
    <xdr:sp macro="" textlink="">
      <xdr:nvSpPr>
        <xdr:cNvPr id="363" name="Flowchart: Merge 362"/>
        <xdr:cNvSpPr/>
      </xdr:nvSpPr>
      <xdr:spPr bwMode="auto">
        <a:xfrm>
          <a:off x="3248025" y="92497275"/>
          <a:ext cx="123825" cy="10477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47626</xdr:colOff>
      <xdr:row>868</xdr:row>
      <xdr:rowOff>152399</xdr:rowOff>
    </xdr:from>
    <xdr:to>
      <xdr:col>3</xdr:col>
      <xdr:colOff>66676</xdr:colOff>
      <xdr:row>874</xdr:row>
      <xdr:rowOff>161924</xdr:rowOff>
    </xdr:to>
    <xdr:cxnSp macro="">
      <xdr:nvCxnSpPr>
        <xdr:cNvPr id="364" name="Straight Arrow Connector 363"/>
        <xdr:cNvCxnSpPr/>
      </xdr:nvCxnSpPr>
      <xdr:spPr bwMode="auto">
        <a:xfrm rot="5400000">
          <a:off x="1404938" y="91768612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28576</xdr:colOff>
      <xdr:row>875</xdr:row>
      <xdr:rowOff>9525</xdr:rowOff>
    </xdr:from>
    <xdr:to>
      <xdr:col>3</xdr:col>
      <xdr:colOff>38101</xdr:colOff>
      <xdr:row>883</xdr:row>
      <xdr:rowOff>0</xdr:rowOff>
    </xdr:to>
    <xdr:cxnSp macro="">
      <xdr:nvCxnSpPr>
        <xdr:cNvPr id="365" name="Straight Arrow Connector 364"/>
        <xdr:cNvCxnSpPr/>
      </xdr:nvCxnSpPr>
      <xdr:spPr bwMode="auto">
        <a:xfrm rot="5400000">
          <a:off x="1228726" y="92916375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285751</xdr:colOff>
      <xdr:row>877</xdr:row>
      <xdr:rowOff>2</xdr:rowOff>
    </xdr:from>
    <xdr:to>
      <xdr:col>5</xdr:col>
      <xdr:colOff>304801</xdr:colOff>
      <xdr:row>883</xdr:row>
      <xdr:rowOff>9527</xdr:rowOff>
    </xdr:to>
    <xdr:cxnSp macro="">
      <xdr:nvCxnSpPr>
        <xdr:cNvPr id="366" name="Straight Arrow Connector 365"/>
        <xdr:cNvCxnSpPr/>
      </xdr:nvCxnSpPr>
      <xdr:spPr bwMode="auto">
        <a:xfrm rot="5400000">
          <a:off x="2871788" y="93073540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85725</xdr:colOff>
      <xdr:row>871</xdr:row>
      <xdr:rowOff>0</xdr:rowOff>
    </xdr:from>
    <xdr:ext cx="235962" cy="170560"/>
    <xdr:sp macro="" textlink="">
      <xdr:nvSpPr>
        <xdr:cNvPr id="367" name="Text Box 133"/>
        <xdr:cNvSpPr txBox="1">
          <a:spLocks noChangeArrowheads="1"/>
        </xdr:cNvSpPr>
      </xdr:nvSpPr>
      <xdr:spPr bwMode="auto">
        <a:xfrm>
          <a:off x="1314450" y="9162097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2</xdr:col>
      <xdr:colOff>47625</xdr:colOff>
      <xdr:row>878</xdr:row>
      <xdr:rowOff>0</xdr:rowOff>
    </xdr:from>
    <xdr:ext cx="235962" cy="170560"/>
    <xdr:sp macro="" textlink="">
      <xdr:nvSpPr>
        <xdr:cNvPr id="368" name="Text Box 133"/>
        <xdr:cNvSpPr txBox="1">
          <a:spLocks noChangeArrowheads="1"/>
        </xdr:cNvSpPr>
      </xdr:nvSpPr>
      <xdr:spPr bwMode="auto">
        <a:xfrm>
          <a:off x="1276350" y="9275445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h2=</a:t>
          </a:r>
        </a:p>
      </xdr:txBody>
    </xdr:sp>
    <xdr:clientData/>
  </xdr:oneCellAnchor>
  <xdr:twoCellAnchor>
    <xdr:from>
      <xdr:col>1</xdr:col>
      <xdr:colOff>600075</xdr:colOff>
      <xdr:row>869</xdr:row>
      <xdr:rowOff>0</xdr:rowOff>
    </xdr:from>
    <xdr:to>
      <xdr:col>1</xdr:col>
      <xdr:colOff>600864</xdr:colOff>
      <xdr:row>883</xdr:row>
      <xdr:rowOff>797</xdr:rowOff>
    </xdr:to>
    <xdr:cxnSp macro="">
      <xdr:nvCxnSpPr>
        <xdr:cNvPr id="369" name="Straight Connector 368"/>
        <xdr:cNvCxnSpPr/>
      </xdr:nvCxnSpPr>
      <xdr:spPr bwMode="auto">
        <a:xfrm rot="5400000" flipH="1" flipV="1">
          <a:off x="76196" y="92430604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304801</xdr:colOff>
      <xdr:row>875</xdr:row>
      <xdr:rowOff>9525</xdr:rowOff>
    </xdr:from>
    <xdr:to>
      <xdr:col>1</xdr:col>
      <xdr:colOff>314326</xdr:colOff>
      <xdr:row>883</xdr:row>
      <xdr:rowOff>0</xdr:rowOff>
    </xdr:to>
    <xdr:cxnSp macro="">
      <xdr:nvCxnSpPr>
        <xdr:cNvPr id="370" name="Straight Arrow Connector 369"/>
        <xdr:cNvCxnSpPr/>
      </xdr:nvCxnSpPr>
      <xdr:spPr bwMode="auto">
        <a:xfrm rot="5400000">
          <a:off x="276226" y="92916375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869</xdr:row>
      <xdr:rowOff>9525</xdr:rowOff>
    </xdr:from>
    <xdr:to>
      <xdr:col>2</xdr:col>
      <xdr:colOff>1</xdr:colOff>
      <xdr:row>875</xdr:row>
      <xdr:rowOff>0</xdr:rowOff>
    </xdr:to>
    <xdr:cxnSp macro="">
      <xdr:nvCxnSpPr>
        <xdr:cNvPr id="371" name="Straight Connector 370"/>
        <xdr:cNvCxnSpPr/>
      </xdr:nvCxnSpPr>
      <xdr:spPr bwMode="auto">
        <a:xfrm rot="5400000">
          <a:off x="595313" y="91635263"/>
          <a:ext cx="962025" cy="3048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28575</xdr:colOff>
      <xdr:row>877</xdr:row>
      <xdr:rowOff>9525</xdr:rowOff>
    </xdr:from>
    <xdr:to>
      <xdr:col>4</xdr:col>
      <xdr:colOff>447675</xdr:colOff>
      <xdr:row>883</xdr:row>
      <xdr:rowOff>28575</xdr:rowOff>
    </xdr:to>
    <xdr:cxnSp macro="">
      <xdr:nvCxnSpPr>
        <xdr:cNvPr id="372" name="Straight Connector 371"/>
        <xdr:cNvCxnSpPr/>
      </xdr:nvCxnSpPr>
      <xdr:spPr bwMode="auto">
        <a:xfrm rot="16200000" flipH="1">
          <a:off x="2200275" y="92887800"/>
          <a:ext cx="990600" cy="419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304801</xdr:colOff>
      <xdr:row>882</xdr:row>
      <xdr:rowOff>152400</xdr:rowOff>
    </xdr:from>
    <xdr:to>
      <xdr:col>1</xdr:col>
      <xdr:colOff>600076</xdr:colOff>
      <xdr:row>883</xdr:row>
      <xdr:rowOff>9525</xdr:rowOff>
    </xdr:to>
    <xdr:cxnSp macro="">
      <xdr:nvCxnSpPr>
        <xdr:cNvPr id="373" name="Straight Connector 372"/>
        <xdr:cNvCxnSpPr/>
      </xdr:nvCxnSpPr>
      <xdr:spPr bwMode="auto">
        <a:xfrm rot="10800000" flipV="1">
          <a:off x="304801" y="93554550"/>
          <a:ext cx="90487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875</xdr:row>
      <xdr:rowOff>0</xdr:rowOff>
    </xdr:from>
    <xdr:to>
      <xdr:col>1</xdr:col>
      <xdr:colOff>590551</xdr:colOff>
      <xdr:row>875</xdr:row>
      <xdr:rowOff>1588</xdr:rowOff>
    </xdr:to>
    <xdr:cxnSp macro="">
      <xdr:nvCxnSpPr>
        <xdr:cNvPr id="374" name="Straight Connector 373"/>
        <xdr:cNvCxnSpPr/>
      </xdr:nvCxnSpPr>
      <xdr:spPr bwMode="auto">
        <a:xfrm rot="10800000">
          <a:off x="923926" y="92268675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3</xdr:col>
      <xdr:colOff>123828</xdr:colOff>
      <xdr:row>869</xdr:row>
      <xdr:rowOff>9527</xdr:rowOff>
    </xdr:from>
    <xdr:to>
      <xdr:col>3</xdr:col>
      <xdr:colOff>132559</xdr:colOff>
      <xdr:row>882</xdr:row>
      <xdr:rowOff>153198</xdr:rowOff>
    </xdr:to>
    <xdr:cxnSp macro="">
      <xdr:nvCxnSpPr>
        <xdr:cNvPr id="375" name="Straight Connector 374"/>
        <xdr:cNvCxnSpPr/>
      </xdr:nvCxnSpPr>
      <xdr:spPr bwMode="auto">
        <a:xfrm rot="16200000" flipV="1">
          <a:off x="842171" y="92426634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881</xdr:row>
      <xdr:rowOff>142875</xdr:rowOff>
    </xdr:from>
    <xdr:to>
      <xdr:col>4</xdr:col>
      <xdr:colOff>352426</xdr:colOff>
      <xdr:row>881</xdr:row>
      <xdr:rowOff>144463</xdr:rowOff>
    </xdr:to>
    <xdr:cxnSp macro="">
      <xdr:nvCxnSpPr>
        <xdr:cNvPr id="376" name="Straight Arrow Connector 375"/>
        <xdr:cNvCxnSpPr/>
      </xdr:nvCxnSpPr>
      <xdr:spPr bwMode="auto">
        <a:xfrm rot="10800000">
          <a:off x="2457451" y="93383100"/>
          <a:ext cx="352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</xdr:colOff>
      <xdr:row>879</xdr:row>
      <xdr:rowOff>19050</xdr:rowOff>
    </xdr:from>
    <xdr:to>
      <xdr:col>4</xdr:col>
      <xdr:colOff>171450</xdr:colOff>
      <xdr:row>879</xdr:row>
      <xdr:rowOff>20638</xdr:rowOff>
    </xdr:to>
    <xdr:cxnSp macro="">
      <xdr:nvCxnSpPr>
        <xdr:cNvPr id="377" name="Straight Arrow Connector 376"/>
        <xdr:cNvCxnSpPr/>
      </xdr:nvCxnSpPr>
      <xdr:spPr bwMode="auto">
        <a:xfrm rot="10800000">
          <a:off x="2457452" y="92935425"/>
          <a:ext cx="1714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38100</xdr:colOff>
      <xdr:row>872</xdr:row>
      <xdr:rowOff>85726</xdr:rowOff>
    </xdr:from>
    <xdr:to>
      <xdr:col>1</xdr:col>
      <xdr:colOff>590550</xdr:colOff>
      <xdr:row>872</xdr:row>
      <xdr:rowOff>95250</xdr:rowOff>
    </xdr:to>
    <xdr:cxnSp macro="">
      <xdr:nvCxnSpPr>
        <xdr:cNvPr id="378" name="Straight Arrow Connector 377"/>
        <xdr:cNvCxnSpPr/>
      </xdr:nvCxnSpPr>
      <xdr:spPr bwMode="auto">
        <a:xfrm>
          <a:off x="647700" y="91868626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877</xdr:row>
      <xdr:rowOff>0</xdr:rowOff>
    </xdr:from>
    <xdr:to>
      <xdr:col>2</xdr:col>
      <xdr:colOff>0</xdr:colOff>
      <xdr:row>877</xdr:row>
      <xdr:rowOff>9525</xdr:rowOff>
    </xdr:to>
    <xdr:cxnSp macro="">
      <xdr:nvCxnSpPr>
        <xdr:cNvPr id="379" name="Straight Arrow Connector 378"/>
        <xdr:cNvCxnSpPr/>
      </xdr:nvCxnSpPr>
      <xdr:spPr bwMode="auto">
        <a:xfrm flipV="1">
          <a:off x="933450" y="92592525"/>
          <a:ext cx="2952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304800</xdr:colOff>
      <xdr:row>879</xdr:row>
      <xdr:rowOff>9525</xdr:rowOff>
    </xdr:from>
    <xdr:to>
      <xdr:col>1</xdr:col>
      <xdr:colOff>600075</xdr:colOff>
      <xdr:row>879</xdr:row>
      <xdr:rowOff>11113</xdr:rowOff>
    </xdr:to>
    <xdr:cxnSp macro="">
      <xdr:nvCxnSpPr>
        <xdr:cNvPr id="380" name="Straight Arrow Connector 379"/>
        <xdr:cNvCxnSpPr/>
      </xdr:nvCxnSpPr>
      <xdr:spPr bwMode="auto">
        <a:xfrm>
          <a:off x="914400" y="92925900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882</xdr:row>
      <xdr:rowOff>0</xdr:rowOff>
    </xdr:from>
    <xdr:to>
      <xdr:col>1</xdr:col>
      <xdr:colOff>600075</xdr:colOff>
      <xdr:row>882</xdr:row>
      <xdr:rowOff>1588</xdr:rowOff>
    </xdr:to>
    <xdr:cxnSp macro="">
      <xdr:nvCxnSpPr>
        <xdr:cNvPr id="381" name="Straight Arrow Connector 380"/>
        <xdr:cNvCxnSpPr/>
      </xdr:nvCxnSpPr>
      <xdr:spPr bwMode="auto">
        <a:xfrm>
          <a:off x="933450" y="93402150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600075</xdr:colOff>
      <xdr:row>879</xdr:row>
      <xdr:rowOff>114300</xdr:rowOff>
    </xdr:from>
    <xdr:to>
      <xdr:col>1</xdr:col>
      <xdr:colOff>304800</xdr:colOff>
      <xdr:row>879</xdr:row>
      <xdr:rowOff>114302</xdr:rowOff>
    </xdr:to>
    <xdr:cxnSp macro="">
      <xdr:nvCxnSpPr>
        <xdr:cNvPr id="382" name="Straight Arrow Connector 381"/>
        <xdr:cNvCxnSpPr/>
      </xdr:nvCxnSpPr>
      <xdr:spPr bwMode="auto">
        <a:xfrm>
          <a:off x="600075" y="93030675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882</xdr:row>
      <xdr:rowOff>0</xdr:rowOff>
    </xdr:from>
    <xdr:to>
      <xdr:col>1</xdr:col>
      <xdr:colOff>295275</xdr:colOff>
      <xdr:row>882</xdr:row>
      <xdr:rowOff>1588</xdr:rowOff>
    </xdr:to>
    <xdr:cxnSp macro="">
      <xdr:nvCxnSpPr>
        <xdr:cNvPr id="383" name="Straight Arrow Connector 382"/>
        <xdr:cNvCxnSpPr/>
      </xdr:nvCxnSpPr>
      <xdr:spPr bwMode="auto">
        <a:xfrm>
          <a:off x="419100" y="9340215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104775</xdr:colOff>
      <xdr:row>878</xdr:row>
      <xdr:rowOff>9525</xdr:rowOff>
    </xdr:from>
    <xdr:to>
      <xdr:col>1</xdr:col>
      <xdr:colOff>304800</xdr:colOff>
      <xdr:row>878</xdr:row>
      <xdr:rowOff>11113</xdr:rowOff>
    </xdr:to>
    <xdr:cxnSp macro="">
      <xdr:nvCxnSpPr>
        <xdr:cNvPr id="384" name="Straight Arrow Connector 383"/>
        <xdr:cNvCxnSpPr/>
      </xdr:nvCxnSpPr>
      <xdr:spPr bwMode="auto">
        <a:xfrm>
          <a:off x="714375" y="92763975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389942</xdr:colOff>
      <xdr:row>873</xdr:row>
      <xdr:rowOff>155121</xdr:rowOff>
    </xdr:from>
    <xdr:to>
      <xdr:col>1</xdr:col>
      <xdr:colOff>570917</xdr:colOff>
      <xdr:row>873</xdr:row>
      <xdr:rowOff>156709</xdr:rowOff>
    </xdr:to>
    <xdr:cxnSp macro="">
      <xdr:nvCxnSpPr>
        <xdr:cNvPr id="385" name="Straight Arrow Connector 384"/>
        <xdr:cNvCxnSpPr/>
      </xdr:nvCxnSpPr>
      <xdr:spPr bwMode="auto">
        <a:xfrm>
          <a:off x="1002263" y="134253514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457200</xdr:colOff>
      <xdr:row>872</xdr:row>
      <xdr:rowOff>0</xdr:rowOff>
    </xdr:from>
    <xdr:to>
      <xdr:col>1</xdr:col>
      <xdr:colOff>600075</xdr:colOff>
      <xdr:row>872</xdr:row>
      <xdr:rowOff>1588</xdr:rowOff>
    </xdr:to>
    <xdr:cxnSp macro="">
      <xdr:nvCxnSpPr>
        <xdr:cNvPr id="386" name="Straight Arrow Connector 385"/>
        <xdr:cNvCxnSpPr/>
      </xdr:nvCxnSpPr>
      <xdr:spPr bwMode="auto">
        <a:xfrm>
          <a:off x="1066800" y="91782900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oneCellAnchor>
    <xdr:from>
      <xdr:col>5</xdr:col>
      <xdr:colOff>28575</xdr:colOff>
      <xdr:row>879</xdr:row>
      <xdr:rowOff>9525</xdr:rowOff>
    </xdr:from>
    <xdr:ext cx="235962" cy="170560"/>
    <xdr:sp macro="" textlink="">
      <xdr:nvSpPr>
        <xdr:cNvPr id="387" name="Text Box 133"/>
        <xdr:cNvSpPr txBox="1">
          <a:spLocks noChangeArrowheads="1"/>
        </xdr:cNvSpPr>
      </xdr:nvSpPr>
      <xdr:spPr bwMode="auto">
        <a:xfrm>
          <a:off x="3095625" y="9292590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h3=</a:t>
          </a:r>
        </a:p>
      </xdr:txBody>
    </xdr:sp>
    <xdr:clientData/>
  </xdr:oneCellAnchor>
  <xdr:oneCellAnchor>
    <xdr:from>
      <xdr:col>5</xdr:col>
      <xdr:colOff>38100</xdr:colOff>
      <xdr:row>887</xdr:row>
      <xdr:rowOff>152400</xdr:rowOff>
    </xdr:from>
    <xdr:ext cx="178895" cy="170560"/>
    <xdr:sp macro="" textlink="">
      <xdr:nvSpPr>
        <xdr:cNvPr id="388" name="Text Box 133"/>
        <xdr:cNvSpPr txBox="1">
          <a:spLocks noChangeArrowheads="1"/>
        </xdr:cNvSpPr>
      </xdr:nvSpPr>
      <xdr:spPr bwMode="auto">
        <a:xfrm>
          <a:off x="3105150" y="94364175"/>
          <a:ext cx="17889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5</xdr:col>
      <xdr:colOff>28575</xdr:colOff>
      <xdr:row>885</xdr:row>
      <xdr:rowOff>162703</xdr:rowOff>
    </xdr:from>
    <xdr:ext cx="200311" cy="170560"/>
    <xdr:sp macro="" textlink="">
      <xdr:nvSpPr>
        <xdr:cNvPr id="389" name="Text Box 133"/>
        <xdr:cNvSpPr txBox="1">
          <a:spLocks noChangeArrowheads="1"/>
        </xdr:cNvSpPr>
      </xdr:nvSpPr>
      <xdr:spPr bwMode="auto">
        <a:xfrm>
          <a:off x="3090182" y="136243851"/>
          <a:ext cx="20031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 =</a:t>
          </a:r>
        </a:p>
      </xdr:txBody>
    </xdr:sp>
    <xdr:clientData/>
  </xdr:oneCellAnchor>
  <xdr:twoCellAnchor>
    <xdr:from>
      <xdr:col>1</xdr:col>
      <xdr:colOff>38100</xdr:colOff>
      <xdr:row>876</xdr:row>
      <xdr:rowOff>85726</xdr:rowOff>
    </xdr:from>
    <xdr:to>
      <xdr:col>1</xdr:col>
      <xdr:colOff>590550</xdr:colOff>
      <xdr:row>876</xdr:row>
      <xdr:rowOff>95250</xdr:rowOff>
    </xdr:to>
    <xdr:cxnSp macro="">
      <xdr:nvCxnSpPr>
        <xdr:cNvPr id="390" name="Straight Arrow Connector 389"/>
        <xdr:cNvCxnSpPr/>
      </xdr:nvCxnSpPr>
      <xdr:spPr bwMode="auto">
        <a:xfrm>
          <a:off x="647700" y="92516326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880</xdr:row>
      <xdr:rowOff>76200</xdr:rowOff>
    </xdr:from>
    <xdr:to>
      <xdr:col>2</xdr:col>
      <xdr:colOff>9525</xdr:colOff>
      <xdr:row>880</xdr:row>
      <xdr:rowOff>77788</xdr:rowOff>
    </xdr:to>
    <xdr:cxnSp macro="">
      <xdr:nvCxnSpPr>
        <xdr:cNvPr id="391" name="Straight Arrow Connector 390"/>
        <xdr:cNvCxnSpPr/>
      </xdr:nvCxnSpPr>
      <xdr:spPr bwMode="auto">
        <a:xfrm>
          <a:off x="419100" y="93154500"/>
          <a:ext cx="819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9528</xdr:colOff>
      <xdr:row>880</xdr:row>
      <xdr:rowOff>76199</xdr:rowOff>
    </xdr:from>
    <xdr:to>
      <xdr:col>4</xdr:col>
      <xdr:colOff>400051</xdr:colOff>
      <xdr:row>880</xdr:row>
      <xdr:rowOff>85724</xdr:rowOff>
    </xdr:to>
    <xdr:cxnSp macro="">
      <xdr:nvCxnSpPr>
        <xdr:cNvPr id="392" name="Straight Arrow Connector 391"/>
        <xdr:cNvCxnSpPr/>
      </xdr:nvCxnSpPr>
      <xdr:spPr bwMode="auto">
        <a:xfrm rot="10800000" flipV="1">
          <a:off x="2466978" y="93154499"/>
          <a:ext cx="390523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542925</xdr:colOff>
      <xdr:row>963</xdr:row>
      <xdr:rowOff>104775</xdr:rowOff>
    </xdr:from>
    <xdr:to>
      <xdr:col>7</xdr:col>
      <xdr:colOff>304800</xdr:colOff>
      <xdr:row>965</xdr:row>
      <xdr:rowOff>0</xdr:rowOff>
    </xdr:to>
    <xdr:sp macro="" textlink="">
      <xdr:nvSpPr>
        <xdr:cNvPr id="393" name="Arc 392"/>
        <xdr:cNvSpPr/>
      </xdr:nvSpPr>
      <xdr:spPr bwMode="auto">
        <a:xfrm>
          <a:off x="4248150" y="107318175"/>
          <a:ext cx="371475" cy="219075"/>
        </a:xfrm>
        <a:prstGeom prst="arc">
          <a:avLst>
            <a:gd name="adj1" fmla="val 9384173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561976</xdr:colOff>
      <xdr:row>963</xdr:row>
      <xdr:rowOff>85725</xdr:rowOff>
    </xdr:from>
    <xdr:to>
      <xdr:col>5</xdr:col>
      <xdr:colOff>152400</xdr:colOff>
      <xdr:row>965</xdr:row>
      <xdr:rowOff>0</xdr:rowOff>
    </xdr:to>
    <xdr:sp macro="" textlink="">
      <xdr:nvSpPr>
        <xdr:cNvPr id="394" name="Arc 393"/>
        <xdr:cNvSpPr/>
      </xdr:nvSpPr>
      <xdr:spPr bwMode="auto">
        <a:xfrm flipH="1">
          <a:off x="3019426" y="107299125"/>
          <a:ext cx="200024" cy="238125"/>
        </a:xfrm>
        <a:prstGeom prst="arc">
          <a:avLst>
            <a:gd name="adj1" fmla="val 16200000"/>
            <a:gd name="adj2" fmla="val 509192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9525</xdr:colOff>
      <xdr:row>970</xdr:row>
      <xdr:rowOff>0</xdr:rowOff>
    </xdr:from>
    <xdr:to>
      <xdr:col>7</xdr:col>
      <xdr:colOff>180975</xdr:colOff>
      <xdr:row>970</xdr:row>
      <xdr:rowOff>1588</xdr:rowOff>
    </xdr:to>
    <xdr:cxnSp macro="">
      <xdr:nvCxnSpPr>
        <xdr:cNvPr id="395" name="Straight Connector 394"/>
        <xdr:cNvCxnSpPr/>
      </xdr:nvCxnSpPr>
      <xdr:spPr bwMode="auto">
        <a:xfrm>
          <a:off x="1238250" y="108346875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971</xdr:row>
      <xdr:rowOff>152400</xdr:rowOff>
    </xdr:from>
    <xdr:to>
      <xdr:col>7</xdr:col>
      <xdr:colOff>171450</xdr:colOff>
      <xdr:row>971</xdr:row>
      <xdr:rowOff>153988</xdr:rowOff>
    </xdr:to>
    <xdr:cxnSp macro="">
      <xdr:nvCxnSpPr>
        <xdr:cNvPr id="396" name="Straight Connector 395"/>
        <xdr:cNvCxnSpPr/>
      </xdr:nvCxnSpPr>
      <xdr:spPr bwMode="auto">
        <a:xfrm>
          <a:off x="1228725" y="108661200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608807</xdr:colOff>
      <xdr:row>970</xdr:row>
      <xdr:rowOff>793</xdr:rowOff>
    </xdr:from>
    <xdr:to>
      <xdr:col>2</xdr:col>
      <xdr:colOff>795</xdr:colOff>
      <xdr:row>971</xdr:row>
      <xdr:rowOff>153193</xdr:rowOff>
    </xdr:to>
    <xdr:cxnSp macro="">
      <xdr:nvCxnSpPr>
        <xdr:cNvPr id="397" name="Straight Connector 396"/>
        <xdr:cNvCxnSpPr/>
      </xdr:nvCxnSpPr>
      <xdr:spPr bwMode="auto">
        <a:xfrm rot="5400000">
          <a:off x="1066801" y="108499274"/>
          <a:ext cx="314325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8731</xdr:colOff>
      <xdr:row>972</xdr:row>
      <xdr:rowOff>115097</xdr:rowOff>
    </xdr:from>
    <xdr:to>
      <xdr:col>2</xdr:col>
      <xdr:colOff>10319</xdr:colOff>
      <xdr:row>976</xdr:row>
      <xdr:rowOff>29371</xdr:rowOff>
    </xdr:to>
    <xdr:cxnSp macro="">
      <xdr:nvCxnSpPr>
        <xdr:cNvPr id="399" name="Straight Connector 398"/>
        <xdr:cNvCxnSpPr/>
      </xdr:nvCxnSpPr>
      <xdr:spPr bwMode="auto">
        <a:xfrm rot="5400000">
          <a:off x="957263" y="109066015"/>
          <a:ext cx="561974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219075</xdr:colOff>
      <xdr:row>967</xdr:row>
      <xdr:rowOff>142877</xdr:rowOff>
    </xdr:from>
    <xdr:to>
      <xdr:col>2</xdr:col>
      <xdr:colOff>220663</xdr:colOff>
      <xdr:row>969</xdr:row>
      <xdr:rowOff>133352</xdr:rowOff>
    </xdr:to>
    <xdr:cxnSp macro="">
      <xdr:nvCxnSpPr>
        <xdr:cNvPr id="400" name="Straight Connector 399"/>
        <xdr:cNvCxnSpPr/>
      </xdr:nvCxnSpPr>
      <xdr:spPr bwMode="auto">
        <a:xfrm rot="5400000">
          <a:off x="1291431" y="108160346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174949</xdr:colOff>
      <xdr:row>965</xdr:row>
      <xdr:rowOff>155513</xdr:rowOff>
    </xdr:from>
    <xdr:to>
      <xdr:col>7</xdr:col>
      <xdr:colOff>184669</xdr:colOff>
      <xdr:row>977</xdr:row>
      <xdr:rowOff>97198</xdr:rowOff>
    </xdr:to>
    <xdr:cxnSp macro="">
      <xdr:nvCxnSpPr>
        <xdr:cNvPr id="402" name="Straight Connector 401"/>
        <xdr:cNvCxnSpPr/>
      </xdr:nvCxnSpPr>
      <xdr:spPr bwMode="auto">
        <a:xfrm rot="16200000" flipH="1">
          <a:off x="3503839" y="151355169"/>
          <a:ext cx="1924440" cy="9720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314325</xdr:colOff>
      <xdr:row>972</xdr:row>
      <xdr:rowOff>9528</xdr:rowOff>
    </xdr:from>
    <xdr:to>
      <xdr:col>4</xdr:col>
      <xdr:colOff>315913</xdr:colOff>
      <xdr:row>974</xdr:row>
      <xdr:rowOff>3</xdr:rowOff>
    </xdr:to>
    <xdr:cxnSp macro="">
      <xdr:nvCxnSpPr>
        <xdr:cNvPr id="403" name="Straight Connector 402"/>
        <xdr:cNvCxnSpPr/>
      </xdr:nvCxnSpPr>
      <xdr:spPr bwMode="auto">
        <a:xfrm rot="5400000">
          <a:off x="2615406" y="108836622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238125</xdr:colOff>
      <xdr:row>969</xdr:row>
      <xdr:rowOff>0</xdr:rowOff>
    </xdr:from>
    <xdr:to>
      <xdr:col>7</xdr:col>
      <xdr:colOff>171450</xdr:colOff>
      <xdr:row>969</xdr:row>
      <xdr:rowOff>9525</xdr:rowOff>
    </xdr:to>
    <xdr:cxnSp macro="">
      <xdr:nvCxnSpPr>
        <xdr:cNvPr id="404" name="Straight Arrow Connector 403"/>
        <xdr:cNvCxnSpPr/>
      </xdr:nvCxnSpPr>
      <xdr:spPr bwMode="auto">
        <a:xfrm flipV="1">
          <a:off x="1466850" y="108184950"/>
          <a:ext cx="3019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323850</xdr:colOff>
      <xdr:row>973</xdr:row>
      <xdr:rowOff>9525</xdr:rowOff>
    </xdr:from>
    <xdr:to>
      <xdr:col>7</xdr:col>
      <xdr:colOff>180975</xdr:colOff>
      <xdr:row>973</xdr:row>
      <xdr:rowOff>11113</xdr:rowOff>
    </xdr:to>
    <xdr:cxnSp macro="">
      <xdr:nvCxnSpPr>
        <xdr:cNvPr id="405" name="Straight Arrow Connector 404"/>
        <xdr:cNvCxnSpPr/>
      </xdr:nvCxnSpPr>
      <xdr:spPr bwMode="auto">
        <a:xfrm>
          <a:off x="2781300" y="108842175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400050</xdr:colOff>
      <xdr:row>975</xdr:row>
      <xdr:rowOff>85725</xdr:rowOff>
    </xdr:from>
    <xdr:to>
      <xdr:col>7</xdr:col>
      <xdr:colOff>180975</xdr:colOff>
      <xdr:row>975</xdr:row>
      <xdr:rowOff>96838</xdr:rowOff>
    </xdr:to>
    <xdr:cxnSp macro="">
      <xdr:nvCxnSpPr>
        <xdr:cNvPr id="406" name="Straight Arrow Connector 405"/>
        <xdr:cNvCxnSpPr/>
      </xdr:nvCxnSpPr>
      <xdr:spPr bwMode="auto">
        <a:xfrm>
          <a:off x="3467100" y="109242225"/>
          <a:ext cx="1028700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19051</xdr:colOff>
      <xdr:row>975</xdr:row>
      <xdr:rowOff>95250</xdr:rowOff>
    </xdr:from>
    <xdr:to>
      <xdr:col>4</xdr:col>
      <xdr:colOff>85726</xdr:colOff>
      <xdr:row>975</xdr:row>
      <xdr:rowOff>96838</xdr:rowOff>
    </xdr:to>
    <xdr:cxnSp macro="">
      <xdr:nvCxnSpPr>
        <xdr:cNvPr id="407" name="Straight Arrow Connector 406"/>
        <xdr:cNvCxnSpPr/>
      </xdr:nvCxnSpPr>
      <xdr:spPr bwMode="auto">
        <a:xfrm rot="10800000">
          <a:off x="1247776" y="109251750"/>
          <a:ext cx="1295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219075</xdr:colOff>
      <xdr:row>969</xdr:row>
      <xdr:rowOff>152400</xdr:rowOff>
    </xdr:from>
    <xdr:to>
      <xdr:col>7</xdr:col>
      <xdr:colOff>476250</xdr:colOff>
      <xdr:row>969</xdr:row>
      <xdr:rowOff>153988</xdr:rowOff>
    </xdr:to>
    <xdr:cxnSp macro="">
      <xdr:nvCxnSpPr>
        <xdr:cNvPr id="408" name="Straight Connector 407"/>
        <xdr:cNvCxnSpPr/>
      </xdr:nvCxnSpPr>
      <xdr:spPr bwMode="auto">
        <a:xfrm>
          <a:off x="4533900" y="10833735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228600</xdr:colOff>
      <xdr:row>972</xdr:row>
      <xdr:rowOff>0</xdr:rowOff>
    </xdr:from>
    <xdr:to>
      <xdr:col>7</xdr:col>
      <xdr:colOff>485775</xdr:colOff>
      <xdr:row>972</xdr:row>
      <xdr:rowOff>1588</xdr:rowOff>
    </xdr:to>
    <xdr:cxnSp macro="">
      <xdr:nvCxnSpPr>
        <xdr:cNvPr id="409" name="Straight Connector 408"/>
        <xdr:cNvCxnSpPr/>
      </xdr:nvCxnSpPr>
      <xdr:spPr bwMode="auto">
        <a:xfrm>
          <a:off x="4543425" y="10867072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970</xdr:row>
      <xdr:rowOff>19049</xdr:rowOff>
    </xdr:from>
    <xdr:to>
      <xdr:col>7</xdr:col>
      <xdr:colOff>295275</xdr:colOff>
      <xdr:row>972</xdr:row>
      <xdr:rowOff>9524</xdr:rowOff>
    </xdr:to>
    <xdr:cxnSp macro="">
      <xdr:nvCxnSpPr>
        <xdr:cNvPr id="410" name="Straight Arrow Connector 409"/>
        <xdr:cNvCxnSpPr/>
      </xdr:nvCxnSpPr>
      <xdr:spPr bwMode="auto">
        <a:xfrm rot="16200000" flipH="1">
          <a:off x="4448175" y="108518324"/>
          <a:ext cx="314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342900</xdr:colOff>
      <xdr:row>969</xdr:row>
      <xdr:rowOff>133350</xdr:rowOff>
    </xdr:from>
    <xdr:to>
      <xdr:col>2</xdr:col>
      <xdr:colOff>104775</xdr:colOff>
      <xdr:row>972</xdr:row>
      <xdr:rowOff>28575</xdr:rowOff>
    </xdr:to>
    <xdr:sp macro="" textlink="">
      <xdr:nvSpPr>
        <xdr:cNvPr id="411" name="Arc 410"/>
        <xdr:cNvSpPr/>
      </xdr:nvSpPr>
      <xdr:spPr bwMode="auto">
        <a:xfrm>
          <a:off x="952500" y="108318300"/>
          <a:ext cx="381000" cy="381000"/>
        </a:xfrm>
        <a:prstGeom prst="arc">
          <a:avLst>
            <a:gd name="adj1" fmla="val 6868560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504825</xdr:colOff>
      <xdr:row>969</xdr:row>
      <xdr:rowOff>85725</xdr:rowOff>
    </xdr:from>
    <xdr:to>
      <xdr:col>8</xdr:col>
      <xdr:colOff>219075</xdr:colOff>
      <xdr:row>971</xdr:row>
      <xdr:rowOff>152400</xdr:rowOff>
    </xdr:to>
    <xdr:sp macro="" textlink="">
      <xdr:nvSpPr>
        <xdr:cNvPr id="412" name="Arc 411"/>
        <xdr:cNvSpPr/>
      </xdr:nvSpPr>
      <xdr:spPr bwMode="auto">
        <a:xfrm flipH="1">
          <a:off x="4819650" y="108270675"/>
          <a:ext cx="323850" cy="390525"/>
        </a:xfrm>
        <a:prstGeom prst="arc">
          <a:avLst>
            <a:gd name="adj1" fmla="val 4531782"/>
            <a:gd name="adj2" fmla="val 17612854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190509</xdr:colOff>
      <xdr:row>873</xdr:row>
      <xdr:rowOff>85724</xdr:rowOff>
    </xdr:from>
    <xdr:to>
      <xdr:col>4</xdr:col>
      <xdr:colOff>219076</xdr:colOff>
      <xdr:row>873</xdr:row>
      <xdr:rowOff>104773</xdr:rowOff>
    </xdr:to>
    <xdr:cxnSp macro="">
      <xdr:nvCxnSpPr>
        <xdr:cNvPr id="413" name="Straight Arrow Connector 412"/>
        <xdr:cNvCxnSpPr/>
      </xdr:nvCxnSpPr>
      <xdr:spPr bwMode="auto">
        <a:xfrm rot="10800000" flipV="1">
          <a:off x="2028834" y="92030549"/>
          <a:ext cx="647692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180974</xdr:colOff>
      <xdr:row>873</xdr:row>
      <xdr:rowOff>95250</xdr:rowOff>
    </xdr:from>
    <xdr:to>
      <xdr:col>3</xdr:col>
      <xdr:colOff>190499</xdr:colOff>
      <xdr:row>875</xdr:row>
      <xdr:rowOff>0</xdr:rowOff>
    </xdr:to>
    <xdr:cxnSp macro="">
      <xdr:nvCxnSpPr>
        <xdr:cNvPr id="414" name="Straight Arrow Connector 413"/>
        <xdr:cNvCxnSpPr/>
      </xdr:nvCxnSpPr>
      <xdr:spPr bwMode="auto">
        <a:xfrm rot="16200000" flipH="1">
          <a:off x="1909762" y="92149612"/>
          <a:ext cx="228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sm" len="sm"/>
          <a:tailEnd type="triangle" w="sm" len="sm"/>
        </a:ln>
        <a:effectLst/>
      </xdr:spPr>
    </xdr:cxnSp>
    <xdr:clientData/>
  </xdr:twoCellAnchor>
  <xdr:twoCellAnchor>
    <xdr:from>
      <xdr:col>4</xdr:col>
      <xdr:colOff>342108</xdr:colOff>
      <xdr:row>966</xdr:row>
      <xdr:rowOff>9528</xdr:rowOff>
    </xdr:from>
    <xdr:to>
      <xdr:col>4</xdr:col>
      <xdr:colOff>342901</xdr:colOff>
      <xdr:row>968</xdr:row>
      <xdr:rowOff>115093</xdr:rowOff>
    </xdr:to>
    <xdr:cxnSp macro="">
      <xdr:nvCxnSpPr>
        <xdr:cNvPr id="415" name="Straight Arrow Connector 414"/>
        <xdr:cNvCxnSpPr/>
      </xdr:nvCxnSpPr>
      <xdr:spPr bwMode="auto">
        <a:xfrm rot="5400000">
          <a:off x="2585247" y="107923014"/>
          <a:ext cx="429415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323850</xdr:colOff>
      <xdr:row>966</xdr:row>
      <xdr:rowOff>152400</xdr:rowOff>
    </xdr:from>
    <xdr:to>
      <xdr:col>7</xdr:col>
      <xdr:colOff>180975</xdr:colOff>
      <xdr:row>966</xdr:row>
      <xdr:rowOff>153988</xdr:rowOff>
    </xdr:to>
    <xdr:cxnSp macro="">
      <xdr:nvCxnSpPr>
        <xdr:cNvPr id="416" name="Straight Arrow Connector 415"/>
        <xdr:cNvCxnSpPr/>
      </xdr:nvCxnSpPr>
      <xdr:spPr bwMode="auto">
        <a:xfrm>
          <a:off x="2781300" y="107851575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190500</xdr:colOff>
      <xdr:row>967</xdr:row>
      <xdr:rowOff>85728</xdr:rowOff>
    </xdr:from>
    <xdr:to>
      <xdr:col>8</xdr:col>
      <xdr:colOff>19052</xdr:colOff>
      <xdr:row>968</xdr:row>
      <xdr:rowOff>9525</xdr:rowOff>
    </xdr:to>
    <xdr:cxnSp macro="">
      <xdr:nvCxnSpPr>
        <xdr:cNvPr id="417" name="Straight Arrow Connector 416"/>
        <xdr:cNvCxnSpPr/>
      </xdr:nvCxnSpPr>
      <xdr:spPr bwMode="auto">
        <a:xfrm rot="10800000" flipV="1">
          <a:off x="4505325" y="107946828"/>
          <a:ext cx="438152" cy="857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323056</xdr:colOff>
      <xdr:row>879</xdr:row>
      <xdr:rowOff>48419</xdr:rowOff>
    </xdr:from>
    <xdr:to>
      <xdr:col>6</xdr:col>
      <xdr:colOff>324644</xdr:colOff>
      <xdr:row>881</xdr:row>
      <xdr:rowOff>48419</xdr:rowOff>
    </xdr:to>
    <xdr:cxnSp macro="">
      <xdr:nvCxnSpPr>
        <xdr:cNvPr id="418" name="Straight Arrow Connector 417"/>
        <xdr:cNvCxnSpPr/>
      </xdr:nvCxnSpPr>
      <xdr:spPr bwMode="auto">
        <a:xfrm rot="5400000">
          <a:off x="3867150" y="93125925"/>
          <a:ext cx="32385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9525</xdr:colOff>
      <xdr:row>973</xdr:row>
      <xdr:rowOff>95250</xdr:rowOff>
    </xdr:from>
    <xdr:to>
      <xdr:col>2</xdr:col>
      <xdr:colOff>276225</xdr:colOff>
      <xdr:row>973</xdr:row>
      <xdr:rowOff>96838</xdr:rowOff>
    </xdr:to>
    <xdr:cxnSp macro="">
      <xdr:nvCxnSpPr>
        <xdr:cNvPr id="419" name="Straight Arrow Connector 418"/>
        <xdr:cNvCxnSpPr/>
      </xdr:nvCxnSpPr>
      <xdr:spPr bwMode="auto">
        <a:xfrm>
          <a:off x="1238250" y="108927900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0</xdr:colOff>
      <xdr:row>1131</xdr:row>
      <xdr:rowOff>1</xdr:rowOff>
    </xdr:from>
    <xdr:to>
      <xdr:col>7</xdr:col>
      <xdr:colOff>0</xdr:colOff>
      <xdr:row>1131</xdr:row>
      <xdr:rowOff>19050</xdr:rowOff>
    </xdr:to>
    <xdr:cxnSp macro="">
      <xdr:nvCxnSpPr>
        <xdr:cNvPr id="421" name="Straight Connector 420"/>
        <xdr:cNvCxnSpPr/>
      </xdr:nvCxnSpPr>
      <xdr:spPr bwMode="auto">
        <a:xfrm flipV="1">
          <a:off x="2457450" y="129597151"/>
          <a:ext cx="1857375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9527</xdr:colOff>
      <xdr:row>1117</xdr:row>
      <xdr:rowOff>9525</xdr:rowOff>
    </xdr:from>
    <xdr:to>
      <xdr:col>7</xdr:col>
      <xdr:colOff>219075</xdr:colOff>
      <xdr:row>1117</xdr:row>
      <xdr:rowOff>9529</xdr:rowOff>
    </xdr:to>
    <xdr:cxnSp macro="">
      <xdr:nvCxnSpPr>
        <xdr:cNvPr id="422" name="Straight Connector 421"/>
        <xdr:cNvCxnSpPr/>
      </xdr:nvCxnSpPr>
      <xdr:spPr bwMode="auto">
        <a:xfrm rot="10800000" flipV="1">
          <a:off x="4324352" y="127339725"/>
          <a:ext cx="209548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133350</xdr:colOff>
      <xdr:row>1133</xdr:row>
      <xdr:rowOff>0</xdr:rowOff>
    </xdr:from>
    <xdr:to>
      <xdr:col>7</xdr:col>
      <xdr:colOff>504825</xdr:colOff>
      <xdr:row>1133</xdr:row>
      <xdr:rowOff>1588</xdr:rowOff>
    </xdr:to>
    <xdr:cxnSp macro="">
      <xdr:nvCxnSpPr>
        <xdr:cNvPr id="423" name="Straight Connector 422"/>
        <xdr:cNvCxnSpPr/>
      </xdr:nvCxnSpPr>
      <xdr:spPr bwMode="auto">
        <a:xfrm>
          <a:off x="1971675" y="129921000"/>
          <a:ext cx="2847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505621</xdr:colOff>
      <xdr:row>1130</xdr:row>
      <xdr:rowOff>134145</xdr:rowOff>
    </xdr:from>
    <xdr:to>
      <xdr:col>7</xdr:col>
      <xdr:colOff>514353</xdr:colOff>
      <xdr:row>1133</xdr:row>
      <xdr:rowOff>0</xdr:rowOff>
    </xdr:to>
    <xdr:cxnSp macro="">
      <xdr:nvCxnSpPr>
        <xdr:cNvPr id="424" name="Straight Connector 423"/>
        <xdr:cNvCxnSpPr/>
      </xdr:nvCxnSpPr>
      <xdr:spPr bwMode="auto">
        <a:xfrm rot="16200000" flipV="1">
          <a:off x="4648997" y="129740819"/>
          <a:ext cx="351630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</xdr:colOff>
      <xdr:row>1117</xdr:row>
      <xdr:rowOff>19050</xdr:rowOff>
    </xdr:from>
    <xdr:to>
      <xdr:col>7</xdr:col>
      <xdr:colOff>8734</xdr:colOff>
      <xdr:row>1131</xdr:row>
      <xdr:rowOff>796</xdr:rowOff>
    </xdr:to>
    <xdr:cxnSp macro="">
      <xdr:nvCxnSpPr>
        <xdr:cNvPr id="425" name="Straight Connector 424"/>
        <xdr:cNvCxnSpPr/>
      </xdr:nvCxnSpPr>
      <xdr:spPr bwMode="auto">
        <a:xfrm rot="16200000" flipV="1">
          <a:off x="3194846" y="128469232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132562</xdr:colOff>
      <xdr:row>1131</xdr:row>
      <xdr:rowOff>1</xdr:rowOff>
    </xdr:from>
    <xdr:to>
      <xdr:col>3</xdr:col>
      <xdr:colOff>133353</xdr:colOff>
      <xdr:row>1133</xdr:row>
      <xdr:rowOff>796</xdr:rowOff>
    </xdr:to>
    <xdr:cxnSp macro="">
      <xdr:nvCxnSpPr>
        <xdr:cNvPr id="426" name="Straight Connector 425"/>
        <xdr:cNvCxnSpPr/>
      </xdr:nvCxnSpPr>
      <xdr:spPr bwMode="auto">
        <a:xfrm rot="5400000" flipH="1" flipV="1">
          <a:off x="1808960" y="129759078"/>
          <a:ext cx="324645" cy="79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8736</xdr:colOff>
      <xdr:row>1117</xdr:row>
      <xdr:rowOff>1</xdr:rowOff>
    </xdr:from>
    <xdr:to>
      <xdr:col>4</xdr:col>
      <xdr:colOff>9525</xdr:colOff>
      <xdr:row>1131</xdr:row>
      <xdr:rowOff>798</xdr:rowOff>
    </xdr:to>
    <xdr:cxnSp macro="">
      <xdr:nvCxnSpPr>
        <xdr:cNvPr id="427" name="Straight Connector 426"/>
        <xdr:cNvCxnSpPr/>
      </xdr:nvCxnSpPr>
      <xdr:spPr bwMode="auto">
        <a:xfrm rot="5400000" flipH="1" flipV="1">
          <a:off x="1332707" y="128463680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1116</xdr:row>
      <xdr:rowOff>152400</xdr:rowOff>
    </xdr:from>
    <xdr:to>
      <xdr:col>4</xdr:col>
      <xdr:colOff>0</xdr:colOff>
      <xdr:row>1117</xdr:row>
      <xdr:rowOff>0</xdr:rowOff>
    </xdr:to>
    <xdr:cxnSp macro="">
      <xdr:nvCxnSpPr>
        <xdr:cNvPr id="428" name="Straight Connector 427"/>
        <xdr:cNvCxnSpPr/>
      </xdr:nvCxnSpPr>
      <xdr:spPr bwMode="auto">
        <a:xfrm rot="10800000">
          <a:off x="2209800" y="127320675"/>
          <a:ext cx="2476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219075</xdr:colOff>
      <xdr:row>1117</xdr:row>
      <xdr:rowOff>19049</xdr:rowOff>
    </xdr:from>
    <xdr:to>
      <xdr:col>7</xdr:col>
      <xdr:colOff>514350</xdr:colOff>
      <xdr:row>1131</xdr:row>
      <xdr:rowOff>9524</xdr:rowOff>
    </xdr:to>
    <xdr:cxnSp macro="">
      <xdr:nvCxnSpPr>
        <xdr:cNvPr id="429" name="Straight Connector 428"/>
        <xdr:cNvCxnSpPr/>
      </xdr:nvCxnSpPr>
      <xdr:spPr bwMode="auto">
        <a:xfrm rot="16200000" flipH="1">
          <a:off x="3552825" y="128330324"/>
          <a:ext cx="225742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133351</xdr:colOff>
      <xdr:row>1116</xdr:row>
      <xdr:rowOff>152399</xdr:rowOff>
    </xdr:from>
    <xdr:to>
      <xdr:col>3</xdr:col>
      <xdr:colOff>361954</xdr:colOff>
      <xdr:row>1131</xdr:row>
      <xdr:rowOff>3</xdr:rowOff>
    </xdr:to>
    <xdr:cxnSp macro="">
      <xdr:nvCxnSpPr>
        <xdr:cNvPr id="430" name="Straight Connector 429"/>
        <xdr:cNvCxnSpPr/>
      </xdr:nvCxnSpPr>
      <xdr:spPr bwMode="auto">
        <a:xfrm rot="5400000">
          <a:off x="947738" y="128344612"/>
          <a:ext cx="2276479" cy="22860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524847</xdr:colOff>
      <xdr:row>1117</xdr:row>
      <xdr:rowOff>9719</xdr:rowOff>
    </xdr:from>
    <xdr:to>
      <xdr:col>8</xdr:col>
      <xdr:colOff>223546</xdr:colOff>
      <xdr:row>1117</xdr:row>
      <xdr:rowOff>11307</xdr:rowOff>
    </xdr:to>
    <xdr:cxnSp macro="">
      <xdr:nvCxnSpPr>
        <xdr:cNvPr id="431" name="Straight Connector 430"/>
        <xdr:cNvCxnSpPr/>
      </xdr:nvCxnSpPr>
      <xdr:spPr bwMode="auto">
        <a:xfrm>
          <a:off x="4811097" y="170205918"/>
          <a:ext cx="31102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590550</xdr:colOff>
      <xdr:row>1131</xdr:row>
      <xdr:rowOff>9525</xdr:rowOff>
    </xdr:from>
    <xdr:to>
      <xdr:col>8</xdr:col>
      <xdr:colOff>233266</xdr:colOff>
      <xdr:row>1131</xdr:row>
      <xdr:rowOff>9720</xdr:rowOff>
    </xdr:to>
    <xdr:cxnSp macro="">
      <xdr:nvCxnSpPr>
        <xdr:cNvPr id="432" name="Straight Connector 431"/>
        <xdr:cNvCxnSpPr/>
      </xdr:nvCxnSpPr>
      <xdr:spPr bwMode="auto">
        <a:xfrm>
          <a:off x="4876800" y="172518938"/>
          <a:ext cx="255037" cy="19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1133</xdr:row>
      <xdr:rowOff>19050</xdr:rowOff>
    </xdr:from>
    <xdr:to>
      <xdr:col>8</xdr:col>
      <xdr:colOff>272143</xdr:colOff>
      <xdr:row>1133</xdr:row>
      <xdr:rowOff>19439</xdr:rowOff>
    </xdr:to>
    <xdr:cxnSp macro="">
      <xdr:nvCxnSpPr>
        <xdr:cNvPr id="433" name="Straight Connector 432"/>
        <xdr:cNvCxnSpPr/>
      </xdr:nvCxnSpPr>
      <xdr:spPr bwMode="auto">
        <a:xfrm>
          <a:off x="4886325" y="172858922"/>
          <a:ext cx="284389" cy="3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75407</xdr:colOff>
      <xdr:row>1117</xdr:row>
      <xdr:rowOff>10318</xdr:rowOff>
    </xdr:from>
    <xdr:to>
      <xdr:col>8</xdr:col>
      <xdr:colOff>76995</xdr:colOff>
      <xdr:row>1131</xdr:row>
      <xdr:rowOff>793</xdr:rowOff>
    </xdr:to>
    <xdr:cxnSp macro="">
      <xdr:nvCxnSpPr>
        <xdr:cNvPr id="434" name="Straight Arrow Connector 433"/>
        <xdr:cNvCxnSpPr/>
      </xdr:nvCxnSpPr>
      <xdr:spPr bwMode="auto">
        <a:xfrm rot="5400000">
          <a:off x="3871913" y="128468437"/>
          <a:ext cx="2257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75601</xdr:colOff>
      <xdr:row>1131</xdr:row>
      <xdr:rowOff>19847</xdr:rowOff>
    </xdr:from>
    <xdr:to>
      <xdr:col>8</xdr:col>
      <xdr:colOff>77189</xdr:colOff>
      <xdr:row>1133</xdr:row>
      <xdr:rowOff>19847</xdr:rowOff>
    </xdr:to>
    <xdr:cxnSp macro="">
      <xdr:nvCxnSpPr>
        <xdr:cNvPr id="435" name="Straight Arrow Connector 434"/>
        <xdr:cNvCxnSpPr/>
      </xdr:nvCxnSpPr>
      <xdr:spPr bwMode="auto">
        <a:xfrm rot="5400000">
          <a:off x="4809736" y="172693696"/>
          <a:ext cx="330459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142081</xdr:colOff>
      <xdr:row>1133</xdr:row>
      <xdr:rowOff>47625</xdr:rowOff>
    </xdr:from>
    <xdr:to>
      <xdr:col>3</xdr:col>
      <xdr:colOff>142875</xdr:colOff>
      <xdr:row>1136</xdr:row>
      <xdr:rowOff>153194</xdr:rowOff>
    </xdr:to>
    <xdr:cxnSp macro="">
      <xdr:nvCxnSpPr>
        <xdr:cNvPr id="436" name="Straight Connector 435"/>
        <xdr:cNvCxnSpPr/>
      </xdr:nvCxnSpPr>
      <xdr:spPr bwMode="auto">
        <a:xfrm rot="5400000">
          <a:off x="1685131" y="13026390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513556</xdr:colOff>
      <xdr:row>1133</xdr:row>
      <xdr:rowOff>66675</xdr:rowOff>
    </xdr:from>
    <xdr:to>
      <xdr:col>7</xdr:col>
      <xdr:colOff>514350</xdr:colOff>
      <xdr:row>1137</xdr:row>
      <xdr:rowOff>10319</xdr:rowOff>
    </xdr:to>
    <xdr:cxnSp macro="">
      <xdr:nvCxnSpPr>
        <xdr:cNvPr id="437" name="Straight Connector 436"/>
        <xdr:cNvCxnSpPr/>
      </xdr:nvCxnSpPr>
      <xdr:spPr bwMode="auto">
        <a:xfrm rot="5400000">
          <a:off x="4533106" y="13028295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1133</xdr:row>
      <xdr:rowOff>38100</xdr:rowOff>
    </xdr:from>
    <xdr:to>
      <xdr:col>3</xdr:col>
      <xdr:colOff>600869</xdr:colOff>
      <xdr:row>1135</xdr:row>
      <xdr:rowOff>19050</xdr:rowOff>
    </xdr:to>
    <xdr:cxnSp macro="">
      <xdr:nvCxnSpPr>
        <xdr:cNvPr id="438" name="Straight Connector 437"/>
        <xdr:cNvCxnSpPr/>
      </xdr:nvCxnSpPr>
      <xdr:spPr bwMode="auto">
        <a:xfrm rot="5400000">
          <a:off x="2286397" y="130111103"/>
          <a:ext cx="30480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1133</xdr:row>
      <xdr:rowOff>9527</xdr:rowOff>
    </xdr:from>
    <xdr:to>
      <xdr:col>7</xdr:col>
      <xdr:colOff>10319</xdr:colOff>
      <xdr:row>1135</xdr:row>
      <xdr:rowOff>9527</xdr:rowOff>
    </xdr:to>
    <xdr:cxnSp macro="">
      <xdr:nvCxnSpPr>
        <xdr:cNvPr id="439" name="Straight Connector 438"/>
        <xdr:cNvCxnSpPr/>
      </xdr:nvCxnSpPr>
      <xdr:spPr bwMode="auto">
        <a:xfrm rot="5400000">
          <a:off x="4162822" y="130092055"/>
          <a:ext cx="32385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515127</xdr:colOff>
      <xdr:row>1130</xdr:row>
      <xdr:rowOff>152401</xdr:rowOff>
    </xdr:from>
    <xdr:to>
      <xdr:col>3</xdr:col>
      <xdr:colOff>114300</xdr:colOff>
      <xdr:row>1130</xdr:row>
      <xdr:rowOff>155510</xdr:rowOff>
    </xdr:to>
    <xdr:cxnSp macro="">
      <xdr:nvCxnSpPr>
        <xdr:cNvPr id="440" name="Straight Connector 439"/>
        <xdr:cNvCxnSpPr/>
      </xdr:nvCxnSpPr>
      <xdr:spPr bwMode="auto">
        <a:xfrm flipV="1">
          <a:off x="1739770" y="172496585"/>
          <a:ext cx="211494" cy="310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417934</xdr:colOff>
      <xdr:row>1116</xdr:row>
      <xdr:rowOff>152400</xdr:rowOff>
    </xdr:from>
    <xdr:to>
      <xdr:col>3</xdr:col>
      <xdr:colOff>266700</xdr:colOff>
      <xdr:row>1116</xdr:row>
      <xdr:rowOff>155511</xdr:rowOff>
    </xdr:to>
    <xdr:cxnSp macro="">
      <xdr:nvCxnSpPr>
        <xdr:cNvPr id="441" name="Straight Connector 440"/>
        <xdr:cNvCxnSpPr/>
      </xdr:nvCxnSpPr>
      <xdr:spPr bwMode="auto">
        <a:xfrm flipV="1">
          <a:off x="1642577" y="170183369"/>
          <a:ext cx="461087" cy="311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142875</xdr:colOff>
      <xdr:row>1134</xdr:row>
      <xdr:rowOff>9525</xdr:rowOff>
    </xdr:from>
    <xdr:to>
      <xdr:col>3</xdr:col>
      <xdr:colOff>600075</xdr:colOff>
      <xdr:row>1134</xdr:row>
      <xdr:rowOff>11113</xdr:rowOff>
    </xdr:to>
    <xdr:cxnSp macro="">
      <xdr:nvCxnSpPr>
        <xdr:cNvPr id="442" name="Straight Arrow Connector 441"/>
        <xdr:cNvCxnSpPr/>
      </xdr:nvCxnSpPr>
      <xdr:spPr bwMode="auto">
        <a:xfrm>
          <a:off x="1981200" y="130092450"/>
          <a:ext cx="457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19050</xdr:colOff>
      <xdr:row>1134</xdr:row>
      <xdr:rowOff>0</xdr:rowOff>
    </xdr:from>
    <xdr:to>
      <xdr:col>7</xdr:col>
      <xdr:colOff>504825</xdr:colOff>
      <xdr:row>1134</xdr:row>
      <xdr:rowOff>1588</xdr:rowOff>
    </xdr:to>
    <xdr:cxnSp macro="">
      <xdr:nvCxnSpPr>
        <xdr:cNvPr id="443" name="Straight Arrow Connector 442"/>
        <xdr:cNvCxnSpPr/>
      </xdr:nvCxnSpPr>
      <xdr:spPr bwMode="auto">
        <a:xfrm>
          <a:off x="4333875" y="1300829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600075</xdr:colOff>
      <xdr:row>1134</xdr:row>
      <xdr:rowOff>9525</xdr:rowOff>
    </xdr:from>
    <xdr:to>
      <xdr:col>7</xdr:col>
      <xdr:colOff>0</xdr:colOff>
      <xdr:row>1134</xdr:row>
      <xdr:rowOff>9526</xdr:rowOff>
    </xdr:to>
    <xdr:cxnSp macro="">
      <xdr:nvCxnSpPr>
        <xdr:cNvPr id="444" name="Straight Arrow Connector 443"/>
        <xdr:cNvCxnSpPr/>
      </xdr:nvCxnSpPr>
      <xdr:spPr bwMode="auto">
        <a:xfrm>
          <a:off x="2438400" y="130092450"/>
          <a:ext cx="18764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123825</xdr:colOff>
      <xdr:row>1135</xdr:row>
      <xdr:rowOff>152400</xdr:rowOff>
    </xdr:from>
    <xdr:to>
      <xdr:col>7</xdr:col>
      <xdr:colOff>514350</xdr:colOff>
      <xdr:row>1136</xdr:row>
      <xdr:rowOff>9525</xdr:rowOff>
    </xdr:to>
    <xdr:cxnSp macro="">
      <xdr:nvCxnSpPr>
        <xdr:cNvPr id="445" name="Straight Arrow Connector 444"/>
        <xdr:cNvCxnSpPr/>
      </xdr:nvCxnSpPr>
      <xdr:spPr bwMode="auto">
        <a:xfrm flipV="1">
          <a:off x="1962150" y="130397250"/>
          <a:ext cx="286702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124619</xdr:colOff>
      <xdr:row>1122</xdr:row>
      <xdr:rowOff>152400</xdr:rowOff>
    </xdr:from>
    <xdr:to>
      <xdr:col>3</xdr:col>
      <xdr:colOff>123825</xdr:colOff>
      <xdr:row>1123</xdr:row>
      <xdr:rowOff>0</xdr:rowOff>
    </xdr:to>
    <xdr:cxnSp macro="">
      <xdr:nvCxnSpPr>
        <xdr:cNvPr id="446" name="Straight Connector 445"/>
        <xdr:cNvCxnSpPr/>
      </xdr:nvCxnSpPr>
      <xdr:spPr bwMode="auto">
        <a:xfrm>
          <a:off x="1353344" y="128292225"/>
          <a:ext cx="60880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419100</xdr:colOff>
      <xdr:row>1124</xdr:row>
      <xdr:rowOff>152400</xdr:rowOff>
    </xdr:from>
    <xdr:to>
      <xdr:col>6</xdr:col>
      <xdr:colOff>161925</xdr:colOff>
      <xdr:row>1125</xdr:row>
      <xdr:rowOff>9525</xdr:rowOff>
    </xdr:to>
    <xdr:cxnSp macro="">
      <xdr:nvCxnSpPr>
        <xdr:cNvPr id="447" name="Straight Connector 446"/>
        <xdr:cNvCxnSpPr/>
      </xdr:nvCxnSpPr>
      <xdr:spPr bwMode="auto">
        <a:xfrm>
          <a:off x="2876550" y="128616075"/>
          <a:ext cx="9906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161925</xdr:colOff>
      <xdr:row>1122</xdr:row>
      <xdr:rowOff>47625</xdr:rowOff>
    </xdr:from>
    <xdr:to>
      <xdr:col>2</xdr:col>
      <xdr:colOff>238125</xdr:colOff>
      <xdr:row>1122</xdr:row>
      <xdr:rowOff>133350</xdr:rowOff>
    </xdr:to>
    <xdr:sp macro="" textlink="">
      <xdr:nvSpPr>
        <xdr:cNvPr id="448" name="Flowchart: Merge 447"/>
        <xdr:cNvSpPr/>
      </xdr:nvSpPr>
      <xdr:spPr bwMode="auto">
        <a:xfrm>
          <a:off x="1390650" y="128187450"/>
          <a:ext cx="76200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180975</xdr:colOff>
      <xdr:row>1124</xdr:row>
      <xdr:rowOff>66675</xdr:rowOff>
    </xdr:from>
    <xdr:to>
      <xdr:col>5</xdr:col>
      <xdr:colOff>304800</xdr:colOff>
      <xdr:row>1125</xdr:row>
      <xdr:rowOff>9525</xdr:rowOff>
    </xdr:to>
    <xdr:sp macro="" textlink="">
      <xdr:nvSpPr>
        <xdr:cNvPr id="449" name="Flowchart: Merge 448"/>
        <xdr:cNvSpPr/>
      </xdr:nvSpPr>
      <xdr:spPr bwMode="auto">
        <a:xfrm>
          <a:off x="3248025" y="128530350"/>
          <a:ext cx="123825" cy="10477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47626</xdr:colOff>
      <xdr:row>1116</xdr:row>
      <xdr:rowOff>152399</xdr:rowOff>
    </xdr:from>
    <xdr:to>
      <xdr:col>3</xdr:col>
      <xdr:colOff>66676</xdr:colOff>
      <xdr:row>1122</xdr:row>
      <xdr:rowOff>161924</xdr:rowOff>
    </xdr:to>
    <xdr:cxnSp macro="">
      <xdr:nvCxnSpPr>
        <xdr:cNvPr id="450" name="Straight Arrow Connector 449"/>
        <xdr:cNvCxnSpPr/>
      </xdr:nvCxnSpPr>
      <xdr:spPr bwMode="auto">
        <a:xfrm rot="5400000">
          <a:off x="1404938" y="127801687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28576</xdr:colOff>
      <xdr:row>1123</xdr:row>
      <xdr:rowOff>9525</xdr:rowOff>
    </xdr:from>
    <xdr:to>
      <xdr:col>3</xdr:col>
      <xdr:colOff>38101</xdr:colOff>
      <xdr:row>1131</xdr:row>
      <xdr:rowOff>0</xdr:rowOff>
    </xdr:to>
    <xdr:cxnSp macro="">
      <xdr:nvCxnSpPr>
        <xdr:cNvPr id="451" name="Straight Arrow Connector 450"/>
        <xdr:cNvCxnSpPr/>
      </xdr:nvCxnSpPr>
      <xdr:spPr bwMode="auto">
        <a:xfrm rot="5400000">
          <a:off x="1228726" y="12894945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285751</xdr:colOff>
      <xdr:row>1125</xdr:row>
      <xdr:rowOff>2</xdr:rowOff>
    </xdr:from>
    <xdr:to>
      <xdr:col>5</xdr:col>
      <xdr:colOff>304801</xdr:colOff>
      <xdr:row>1131</xdr:row>
      <xdr:rowOff>9527</xdr:rowOff>
    </xdr:to>
    <xdr:cxnSp macro="">
      <xdr:nvCxnSpPr>
        <xdr:cNvPr id="452" name="Straight Arrow Connector 451"/>
        <xdr:cNvCxnSpPr/>
      </xdr:nvCxnSpPr>
      <xdr:spPr bwMode="auto">
        <a:xfrm rot="5400000">
          <a:off x="2871788" y="129106615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85725</xdr:colOff>
      <xdr:row>1119</xdr:row>
      <xdr:rowOff>0</xdr:rowOff>
    </xdr:from>
    <xdr:ext cx="235962" cy="170560"/>
    <xdr:sp macro="" textlink="">
      <xdr:nvSpPr>
        <xdr:cNvPr id="453" name="Text Box 133"/>
        <xdr:cNvSpPr txBox="1">
          <a:spLocks noChangeArrowheads="1"/>
        </xdr:cNvSpPr>
      </xdr:nvSpPr>
      <xdr:spPr bwMode="auto">
        <a:xfrm>
          <a:off x="1314450" y="12765405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2</xdr:col>
      <xdr:colOff>47625</xdr:colOff>
      <xdr:row>1126</xdr:row>
      <xdr:rowOff>0</xdr:rowOff>
    </xdr:from>
    <xdr:ext cx="235962" cy="170560"/>
    <xdr:sp macro="" textlink="">
      <xdr:nvSpPr>
        <xdr:cNvPr id="454" name="Text Box 133"/>
        <xdr:cNvSpPr txBox="1">
          <a:spLocks noChangeArrowheads="1"/>
        </xdr:cNvSpPr>
      </xdr:nvSpPr>
      <xdr:spPr bwMode="auto">
        <a:xfrm>
          <a:off x="1276350" y="12878752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h2=</a:t>
          </a:r>
        </a:p>
      </xdr:txBody>
    </xdr:sp>
    <xdr:clientData/>
  </xdr:oneCellAnchor>
  <xdr:twoCellAnchor>
    <xdr:from>
      <xdr:col>1</xdr:col>
      <xdr:colOff>600075</xdr:colOff>
      <xdr:row>1117</xdr:row>
      <xdr:rowOff>0</xdr:rowOff>
    </xdr:from>
    <xdr:to>
      <xdr:col>1</xdr:col>
      <xdr:colOff>600864</xdr:colOff>
      <xdr:row>1131</xdr:row>
      <xdr:rowOff>797</xdr:rowOff>
    </xdr:to>
    <xdr:cxnSp macro="">
      <xdr:nvCxnSpPr>
        <xdr:cNvPr id="455" name="Straight Connector 454"/>
        <xdr:cNvCxnSpPr/>
      </xdr:nvCxnSpPr>
      <xdr:spPr bwMode="auto">
        <a:xfrm rot="5400000" flipH="1" flipV="1">
          <a:off x="76196" y="128463679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304801</xdr:colOff>
      <xdr:row>1123</xdr:row>
      <xdr:rowOff>9525</xdr:rowOff>
    </xdr:from>
    <xdr:to>
      <xdr:col>1</xdr:col>
      <xdr:colOff>314326</xdr:colOff>
      <xdr:row>1131</xdr:row>
      <xdr:rowOff>0</xdr:rowOff>
    </xdr:to>
    <xdr:cxnSp macro="">
      <xdr:nvCxnSpPr>
        <xdr:cNvPr id="456" name="Straight Arrow Connector 455"/>
        <xdr:cNvCxnSpPr/>
      </xdr:nvCxnSpPr>
      <xdr:spPr bwMode="auto">
        <a:xfrm rot="5400000">
          <a:off x="276226" y="12894945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1117</xdr:row>
      <xdr:rowOff>9525</xdr:rowOff>
    </xdr:from>
    <xdr:to>
      <xdr:col>2</xdr:col>
      <xdr:colOff>1</xdr:colOff>
      <xdr:row>1123</xdr:row>
      <xdr:rowOff>0</xdr:rowOff>
    </xdr:to>
    <xdr:cxnSp macro="">
      <xdr:nvCxnSpPr>
        <xdr:cNvPr id="457" name="Straight Connector 456"/>
        <xdr:cNvCxnSpPr/>
      </xdr:nvCxnSpPr>
      <xdr:spPr bwMode="auto">
        <a:xfrm rot="5400000">
          <a:off x="595313" y="127668338"/>
          <a:ext cx="962025" cy="3048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28575</xdr:colOff>
      <xdr:row>1125</xdr:row>
      <xdr:rowOff>9525</xdr:rowOff>
    </xdr:from>
    <xdr:to>
      <xdr:col>4</xdr:col>
      <xdr:colOff>447675</xdr:colOff>
      <xdr:row>1131</xdr:row>
      <xdr:rowOff>28575</xdr:rowOff>
    </xdr:to>
    <xdr:cxnSp macro="">
      <xdr:nvCxnSpPr>
        <xdr:cNvPr id="458" name="Straight Connector 457"/>
        <xdr:cNvCxnSpPr/>
      </xdr:nvCxnSpPr>
      <xdr:spPr bwMode="auto">
        <a:xfrm rot="16200000" flipH="1">
          <a:off x="2200275" y="128920875"/>
          <a:ext cx="990600" cy="419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304801</xdr:colOff>
      <xdr:row>1130</xdr:row>
      <xdr:rowOff>152400</xdr:rowOff>
    </xdr:from>
    <xdr:to>
      <xdr:col>1</xdr:col>
      <xdr:colOff>600076</xdr:colOff>
      <xdr:row>1131</xdr:row>
      <xdr:rowOff>9525</xdr:rowOff>
    </xdr:to>
    <xdr:cxnSp macro="">
      <xdr:nvCxnSpPr>
        <xdr:cNvPr id="459" name="Straight Connector 458"/>
        <xdr:cNvCxnSpPr/>
      </xdr:nvCxnSpPr>
      <xdr:spPr bwMode="auto">
        <a:xfrm rot="10800000" flipV="1">
          <a:off x="304801" y="129587625"/>
          <a:ext cx="90487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1123</xdr:row>
      <xdr:rowOff>0</xdr:rowOff>
    </xdr:from>
    <xdr:to>
      <xdr:col>1</xdr:col>
      <xdr:colOff>590551</xdr:colOff>
      <xdr:row>1123</xdr:row>
      <xdr:rowOff>1588</xdr:rowOff>
    </xdr:to>
    <xdr:cxnSp macro="">
      <xdr:nvCxnSpPr>
        <xdr:cNvPr id="460" name="Straight Connector 459"/>
        <xdr:cNvCxnSpPr/>
      </xdr:nvCxnSpPr>
      <xdr:spPr bwMode="auto">
        <a:xfrm rot="10800000">
          <a:off x="923926" y="128301750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3</xdr:col>
      <xdr:colOff>123828</xdr:colOff>
      <xdr:row>1117</xdr:row>
      <xdr:rowOff>9527</xdr:rowOff>
    </xdr:from>
    <xdr:to>
      <xdr:col>3</xdr:col>
      <xdr:colOff>132559</xdr:colOff>
      <xdr:row>1130</xdr:row>
      <xdr:rowOff>153198</xdr:rowOff>
    </xdr:to>
    <xdr:cxnSp macro="">
      <xdr:nvCxnSpPr>
        <xdr:cNvPr id="461" name="Straight Connector 460"/>
        <xdr:cNvCxnSpPr/>
      </xdr:nvCxnSpPr>
      <xdr:spPr bwMode="auto">
        <a:xfrm rot="16200000" flipV="1">
          <a:off x="842171" y="128459709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1129</xdr:row>
      <xdr:rowOff>142875</xdr:rowOff>
    </xdr:from>
    <xdr:to>
      <xdr:col>4</xdr:col>
      <xdr:colOff>352426</xdr:colOff>
      <xdr:row>1129</xdr:row>
      <xdr:rowOff>144463</xdr:rowOff>
    </xdr:to>
    <xdr:cxnSp macro="">
      <xdr:nvCxnSpPr>
        <xdr:cNvPr id="462" name="Straight Arrow Connector 461"/>
        <xdr:cNvCxnSpPr/>
      </xdr:nvCxnSpPr>
      <xdr:spPr bwMode="auto">
        <a:xfrm rot="10800000">
          <a:off x="2457451" y="129416175"/>
          <a:ext cx="352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</xdr:colOff>
      <xdr:row>1127</xdr:row>
      <xdr:rowOff>19050</xdr:rowOff>
    </xdr:from>
    <xdr:to>
      <xdr:col>4</xdr:col>
      <xdr:colOff>171450</xdr:colOff>
      <xdr:row>1127</xdr:row>
      <xdr:rowOff>20638</xdr:rowOff>
    </xdr:to>
    <xdr:cxnSp macro="">
      <xdr:nvCxnSpPr>
        <xdr:cNvPr id="463" name="Straight Arrow Connector 462"/>
        <xdr:cNvCxnSpPr/>
      </xdr:nvCxnSpPr>
      <xdr:spPr bwMode="auto">
        <a:xfrm rot="10800000">
          <a:off x="2457452" y="128968500"/>
          <a:ext cx="1714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38100</xdr:colOff>
      <xdr:row>1120</xdr:row>
      <xdr:rowOff>85726</xdr:rowOff>
    </xdr:from>
    <xdr:to>
      <xdr:col>1</xdr:col>
      <xdr:colOff>590550</xdr:colOff>
      <xdr:row>1120</xdr:row>
      <xdr:rowOff>95250</xdr:rowOff>
    </xdr:to>
    <xdr:cxnSp macro="">
      <xdr:nvCxnSpPr>
        <xdr:cNvPr id="464" name="Straight Arrow Connector 463"/>
        <xdr:cNvCxnSpPr/>
      </xdr:nvCxnSpPr>
      <xdr:spPr bwMode="auto">
        <a:xfrm>
          <a:off x="647700" y="12790170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1125</xdr:row>
      <xdr:rowOff>0</xdr:rowOff>
    </xdr:from>
    <xdr:to>
      <xdr:col>2</xdr:col>
      <xdr:colOff>0</xdr:colOff>
      <xdr:row>1125</xdr:row>
      <xdr:rowOff>9525</xdr:rowOff>
    </xdr:to>
    <xdr:cxnSp macro="">
      <xdr:nvCxnSpPr>
        <xdr:cNvPr id="465" name="Straight Arrow Connector 464"/>
        <xdr:cNvCxnSpPr/>
      </xdr:nvCxnSpPr>
      <xdr:spPr bwMode="auto">
        <a:xfrm flipV="1">
          <a:off x="933450" y="128625600"/>
          <a:ext cx="2952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304800</xdr:colOff>
      <xdr:row>1127</xdr:row>
      <xdr:rowOff>9525</xdr:rowOff>
    </xdr:from>
    <xdr:to>
      <xdr:col>1</xdr:col>
      <xdr:colOff>600075</xdr:colOff>
      <xdr:row>1127</xdr:row>
      <xdr:rowOff>11113</xdr:rowOff>
    </xdr:to>
    <xdr:cxnSp macro="">
      <xdr:nvCxnSpPr>
        <xdr:cNvPr id="466" name="Straight Arrow Connector 465"/>
        <xdr:cNvCxnSpPr/>
      </xdr:nvCxnSpPr>
      <xdr:spPr bwMode="auto">
        <a:xfrm>
          <a:off x="914400" y="128958975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1130</xdr:row>
      <xdr:rowOff>0</xdr:rowOff>
    </xdr:from>
    <xdr:to>
      <xdr:col>1</xdr:col>
      <xdr:colOff>600075</xdr:colOff>
      <xdr:row>1130</xdr:row>
      <xdr:rowOff>1588</xdr:rowOff>
    </xdr:to>
    <xdr:cxnSp macro="">
      <xdr:nvCxnSpPr>
        <xdr:cNvPr id="467" name="Straight Arrow Connector 466"/>
        <xdr:cNvCxnSpPr/>
      </xdr:nvCxnSpPr>
      <xdr:spPr bwMode="auto">
        <a:xfrm>
          <a:off x="933450" y="129435225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600075</xdr:colOff>
      <xdr:row>1127</xdr:row>
      <xdr:rowOff>114300</xdr:rowOff>
    </xdr:from>
    <xdr:to>
      <xdr:col>1</xdr:col>
      <xdr:colOff>304800</xdr:colOff>
      <xdr:row>1127</xdr:row>
      <xdr:rowOff>114302</xdr:rowOff>
    </xdr:to>
    <xdr:cxnSp macro="">
      <xdr:nvCxnSpPr>
        <xdr:cNvPr id="468" name="Straight Arrow Connector 467"/>
        <xdr:cNvCxnSpPr/>
      </xdr:nvCxnSpPr>
      <xdr:spPr bwMode="auto">
        <a:xfrm>
          <a:off x="600075" y="129063750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1130</xdr:row>
      <xdr:rowOff>0</xdr:rowOff>
    </xdr:from>
    <xdr:to>
      <xdr:col>1</xdr:col>
      <xdr:colOff>295275</xdr:colOff>
      <xdr:row>1130</xdr:row>
      <xdr:rowOff>1588</xdr:rowOff>
    </xdr:to>
    <xdr:cxnSp macro="">
      <xdr:nvCxnSpPr>
        <xdr:cNvPr id="469" name="Straight Arrow Connector 468"/>
        <xdr:cNvCxnSpPr/>
      </xdr:nvCxnSpPr>
      <xdr:spPr bwMode="auto">
        <a:xfrm>
          <a:off x="419100" y="1294352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104775</xdr:colOff>
      <xdr:row>1126</xdr:row>
      <xdr:rowOff>9525</xdr:rowOff>
    </xdr:from>
    <xdr:to>
      <xdr:col>1</xdr:col>
      <xdr:colOff>304800</xdr:colOff>
      <xdr:row>1126</xdr:row>
      <xdr:rowOff>11113</xdr:rowOff>
    </xdr:to>
    <xdr:cxnSp macro="">
      <xdr:nvCxnSpPr>
        <xdr:cNvPr id="470" name="Straight Arrow Connector 469"/>
        <xdr:cNvCxnSpPr/>
      </xdr:nvCxnSpPr>
      <xdr:spPr bwMode="auto">
        <a:xfrm>
          <a:off x="714375" y="128797050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419100</xdr:colOff>
      <xdr:row>1121</xdr:row>
      <xdr:rowOff>87086</xdr:rowOff>
    </xdr:from>
    <xdr:to>
      <xdr:col>1</xdr:col>
      <xdr:colOff>600075</xdr:colOff>
      <xdr:row>1121</xdr:row>
      <xdr:rowOff>88674</xdr:rowOff>
    </xdr:to>
    <xdr:cxnSp macro="">
      <xdr:nvCxnSpPr>
        <xdr:cNvPr id="471" name="Straight Arrow Connector 470"/>
        <xdr:cNvCxnSpPr/>
      </xdr:nvCxnSpPr>
      <xdr:spPr bwMode="auto">
        <a:xfrm>
          <a:off x="1031421" y="170944203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457200</xdr:colOff>
      <xdr:row>1120</xdr:row>
      <xdr:rowOff>0</xdr:rowOff>
    </xdr:from>
    <xdr:to>
      <xdr:col>1</xdr:col>
      <xdr:colOff>600075</xdr:colOff>
      <xdr:row>1120</xdr:row>
      <xdr:rowOff>1588</xdr:rowOff>
    </xdr:to>
    <xdr:cxnSp macro="">
      <xdr:nvCxnSpPr>
        <xdr:cNvPr id="472" name="Straight Arrow Connector 471"/>
        <xdr:cNvCxnSpPr/>
      </xdr:nvCxnSpPr>
      <xdr:spPr bwMode="auto">
        <a:xfrm>
          <a:off x="1066800" y="127815975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oneCellAnchor>
    <xdr:from>
      <xdr:col>5</xdr:col>
      <xdr:colOff>28575</xdr:colOff>
      <xdr:row>1127</xdr:row>
      <xdr:rowOff>9525</xdr:rowOff>
    </xdr:from>
    <xdr:ext cx="235962" cy="170560"/>
    <xdr:sp macro="" textlink="">
      <xdr:nvSpPr>
        <xdr:cNvPr id="473" name="Text Box 133"/>
        <xdr:cNvSpPr txBox="1">
          <a:spLocks noChangeArrowheads="1"/>
        </xdr:cNvSpPr>
      </xdr:nvSpPr>
      <xdr:spPr bwMode="auto">
        <a:xfrm>
          <a:off x="3095625" y="12895897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h3=</a:t>
          </a:r>
        </a:p>
      </xdr:txBody>
    </xdr:sp>
    <xdr:clientData/>
  </xdr:oneCellAnchor>
  <xdr:oneCellAnchor>
    <xdr:from>
      <xdr:col>5</xdr:col>
      <xdr:colOff>38100</xdr:colOff>
      <xdr:row>1136</xdr:row>
      <xdr:rowOff>16329</xdr:rowOff>
    </xdr:from>
    <xdr:ext cx="178895" cy="170560"/>
    <xdr:sp macro="" textlink="">
      <xdr:nvSpPr>
        <xdr:cNvPr id="474" name="Text Box 133"/>
        <xdr:cNvSpPr txBox="1">
          <a:spLocks noChangeArrowheads="1"/>
        </xdr:cNvSpPr>
      </xdr:nvSpPr>
      <xdr:spPr bwMode="auto">
        <a:xfrm>
          <a:off x="3099707" y="173351890"/>
          <a:ext cx="17889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5</xdr:col>
      <xdr:colOff>67454</xdr:colOff>
      <xdr:row>1134</xdr:row>
      <xdr:rowOff>16911</xdr:rowOff>
    </xdr:from>
    <xdr:ext cx="200311" cy="170560"/>
    <xdr:sp macro="" textlink="">
      <xdr:nvSpPr>
        <xdr:cNvPr id="475" name="Text Box 133"/>
        <xdr:cNvSpPr txBox="1">
          <a:spLocks noChangeArrowheads="1"/>
        </xdr:cNvSpPr>
      </xdr:nvSpPr>
      <xdr:spPr bwMode="auto">
        <a:xfrm>
          <a:off x="3129061" y="173022013"/>
          <a:ext cx="20031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 =</a:t>
          </a:r>
        </a:p>
      </xdr:txBody>
    </xdr:sp>
    <xdr:clientData/>
  </xdr:oneCellAnchor>
  <xdr:twoCellAnchor>
    <xdr:from>
      <xdr:col>1</xdr:col>
      <xdr:colOff>38100</xdr:colOff>
      <xdr:row>1124</xdr:row>
      <xdr:rowOff>85726</xdr:rowOff>
    </xdr:from>
    <xdr:to>
      <xdr:col>1</xdr:col>
      <xdr:colOff>590550</xdr:colOff>
      <xdr:row>1124</xdr:row>
      <xdr:rowOff>95250</xdr:rowOff>
    </xdr:to>
    <xdr:cxnSp macro="">
      <xdr:nvCxnSpPr>
        <xdr:cNvPr id="476" name="Straight Arrow Connector 475"/>
        <xdr:cNvCxnSpPr/>
      </xdr:nvCxnSpPr>
      <xdr:spPr bwMode="auto">
        <a:xfrm>
          <a:off x="647700" y="12854940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1128</xdr:row>
      <xdr:rowOff>76200</xdr:rowOff>
    </xdr:from>
    <xdr:to>
      <xdr:col>2</xdr:col>
      <xdr:colOff>9525</xdr:colOff>
      <xdr:row>1128</xdr:row>
      <xdr:rowOff>77788</xdr:rowOff>
    </xdr:to>
    <xdr:cxnSp macro="">
      <xdr:nvCxnSpPr>
        <xdr:cNvPr id="477" name="Straight Arrow Connector 476"/>
        <xdr:cNvCxnSpPr/>
      </xdr:nvCxnSpPr>
      <xdr:spPr bwMode="auto">
        <a:xfrm>
          <a:off x="419100" y="129187575"/>
          <a:ext cx="819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9528</xdr:colOff>
      <xdr:row>1128</xdr:row>
      <xdr:rowOff>76199</xdr:rowOff>
    </xdr:from>
    <xdr:to>
      <xdr:col>4</xdr:col>
      <xdr:colOff>400051</xdr:colOff>
      <xdr:row>1128</xdr:row>
      <xdr:rowOff>85724</xdr:rowOff>
    </xdr:to>
    <xdr:cxnSp macro="">
      <xdr:nvCxnSpPr>
        <xdr:cNvPr id="478" name="Straight Arrow Connector 477"/>
        <xdr:cNvCxnSpPr/>
      </xdr:nvCxnSpPr>
      <xdr:spPr bwMode="auto">
        <a:xfrm rot="10800000" flipV="1">
          <a:off x="2466978" y="129187574"/>
          <a:ext cx="390523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542925</xdr:colOff>
      <xdr:row>1211</xdr:row>
      <xdr:rowOff>104775</xdr:rowOff>
    </xdr:from>
    <xdr:to>
      <xdr:col>7</xdr:col>
      <xdr:colOff>304800</xdr:colOff>
      <xdr:row>1213</xdr:row>
      <xdr:rowOff>0</xdr:rowOff>
    </xdr:to>
    <xdr:sp macro="" textlink="">
      <xdr:nvSpPr>
        <xdr:cNvPr id="479" name="Arc 478"/>
        <xdr:cNvSpPr/>
      </xdr:nvSpPr>
      <xdr:spPr bwMode="auto">
        <a:xfrm>
          <a:off x="4248150" y="143456025"/>
          <a:ext cx="371475" cy="219075"/>
        </a:xfrm>
        <a:prstGeom prst="arc">
          <a:avLst>
            <a:gd name="adj1" fmla="val 9384173"/>
            <a:gd name="adj2" fmla="val 1492911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561976</xdr:colOff>
      <xdr:row>1211</xdr:row>
      <xdr:rowOff>85725</xdr:rowOff>
    </xdr:from>
    <xdr:to>
      <xdr:col>5</xdr:col>
      <xdr:colOff>152400</xdr:colOff>
      <xdr:row>1213</xdr:row>
      <xdr:rowOff>0</xdr:rowOff>
    </xdr:to>
    <xdr:sp macro="" textlink="">
      <xdr:nvSpPr>
        <xdr:cNvPr id="480" name="Arc 479"/>
        <xdr:cNvSpPr/>
      </xdr:nvSpPr>
      <xdr:spPr bwMode="auto">
        <a:xfrm flipH="1">
          <a:off x="3019426" y="143436975"/>
          <a:ext cx="200024" cy="238125"/>
        </a:xfrm>
        <a:prstGeom prst="arc">
          <a:avLst>
            <a:gd name="adj1" fmla="val 16200000"/>
            <a:gd name="adj2" fmla="val 509192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9525</xdr:colOff>
      <xdr:row>1218</xdr:row>
      <xdr:rowOff>0</xdr:rowOff>
    </xdr:from>
    <xdr:to>
      <xdr:col>7</xdr:col>
      <xdr:colOff>180975</xdr:colOff>
      <xdr:row>1218</xdr:row>
      <xdr:rowOff>1588</xdr:rowOff>
    </xdr:to>
    <xdr:cxnSp macro="">
      <xdr:nvCxnSpPr>
        <xdr:cNvPr id="481" name="Straight Connector 480"/>
        <xdr:cNvCxnSpPr/>
      </xdr:nvCxnSpPr>
      <xdr:spPr bwMode="auto">
        <a:xfrm>
          <a:off x="1238250" y="144484725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1219</xdr:row>
      <xdr:rowOff>152400</xdr:rowOff>
    </xdr:from>
    <xdr:to>
      <xdr:col>7</xdr:col>
      <xdr:colOff>171450</xdr:colOff>
      <xdr:row>1219</xdr:row>
      <xdr:rowOff>153988</xdr:rowOff>
    </xdr:to>
    <xdr:cxnSp macro="">
      <xdr:nvCxnSpPr>
        <xdr:cNvPr id="482" name="Straight Connector 481"/>
        <xdr:cNvCxnSpPr/>
      </xdr:nvCxnSpPr>
      <xdr:spPr bwMode="auto">
        <a:xfrm>
          <a:off x="1228725" y="144799050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608807</xdr:colOff>
      <xdr:row>1218</xdr:row>
      <xdr:rowOff>793</xdr:rowOff>
    </xdr:from>
    <xdr:to>
      <xdr:col>2</xdr:col>
      <xdr:colOff>795</xdr:colOff>
      <xdr:row>1219</xdr:row>
      <xdr:rowOff>153193</xdr:rowOff>
    </xdr:to>
    <xdr:cxnSp macro="">
      <xdr:nvCxnSpPr>
        <xdr:cNvPr id="483" name="Straight Connector 482"/>
        <xdr:cNvCxnSpPr/>
      </xdr:nvCxnSpPr>
      <xdr:spPr bwMode="auto">
        <a:xfrm rot="5400000">
          <a:off x="1066801" y="144637124"/>
          <a:ext cx="314325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8731</xdr:colOff>
      <xdr:row>1220</xdr:row>
      <xdr:rowOff>115097</xdr:rowOff>
    </xdr:from>
    <xdr:to>
      <xdr:col>2</xdr:col>
      <xdr:colOff>10319</xdr:colOff>
      <xdr:row>1224</xdr:row>
      <xdr:rowOff>29371</xdr:rowOff>
    </xdr:to>
    <xdr:cxnSp macro="">
      <xdr:nvCxnSpPr>
        <xdr:cNvPr id="485" name="Straight Connector 484"/>
        <xdr:cNvCxnSpPr/>
      </xdr:nvCxnSpPr>
      <xdr:spPr bwMode="auto">
        <a:xfrm rot="5400000">
          <a:off x="957263" y="145203865"/>
          <a:ext cx="561974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219075</xdr:colOff>
      <xdr:row>1215</xdr:row>
      <xdr:rowOff>142877</xdr:rowOff>
    </xdr:from>
    <xdr:to>
      <xdr:col>2</xdr:col>
      <xdr:colOff>220663</xdr:colOff>
      <xdr:row>1217</xdr:row>
      <xdr:rowOff>133352</xdr:rowOff>
    </xdr:to>
    <xdr:cxnSp macro="">
      <xdr:nvCxnSpPr>
        <xdr:cNvPr id="486" name="Straight Connector 485"/>
        <xdr:cNvCxnSpPr/>
      </xdr:nvCxnSpPr>
      <xdr:spPr bwMode="auto">
        <a:xfrm rot="5400000">
          <a:off x="1291431" y="144298196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184670</xdr:colOff>
      <xdr:row>1213</xdr:row>
      <xdr:rowOff>126350</xdr:rowOff>
    </xdr:from>
    <xdr:to>
      <xdr:col>7</xdr:col>
      <xdr:colOff>194392</xdr:colOff>
      <xdr:row>1224</xdr:row>
      <xdr:rowOff>145793</xdr:rowOff>
    </xdr:to>
    <xdr:cxnSp macro="">
      <xdr:nvCxnSpPr>
        <xdr:cNvPr id="488" name="Straight Connector 487"/>
        <xdr:cNvCxnSpPr/>
      </xdr:nvCxnSpPr>
      <xdr:spPr bwMode="auto">
        <a:xfrm rot="16200000" flipH="1">
          <a:off x="3557296" y="188040994"/>
          <a:ext cx="1836969" cy="9722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314325</xdr:colOff>
      <xdr:row>1220</xdr:row>
      <xdr:rowOff>9528</xdr:rowOff>
    </xdr:from>
    <xdr:to>
      <xdr:col>4</xdr:col>
      <xdr:colOff>315913</xdr:colOff>
      <xdr:row>1222</xdr:row>
      <xdr:rowOff>3</xdr:rowOff>
    </xdr:to>
    <xdr:cxnSp macro="">
      <xdr:nvCxnSpPr>
        <xdr:cNvPr id="489" name="Straight Connector 488"/>
        <xdr:cNvCxnSpPr/>
      </xdr:nvCxnSpPr>
      <xdr:spPr bwMode="auto">
        <a:xfrm rot="5400000">
          <a:off x="2615406" y="144974472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238125</xdr:colOff>
      <xdr:row>1217</xdr:row>
      <xdr:rowOff>0</xdr:rowOff>
    </xdr:from>
    <xdr:to>
      <xdr:col>7</xdr:col>
      <xdr:colOff>171450</xdr:colOff>
      <xdr:row>1217</xdr:row>
      <xdr:rowOff>9525</xdr:rowOff>
    </xdr:to>
    <xdr:cxnSp macro="">
      <xdr:nvCxnSpPr>
        <xdr:cNvPr id="490" name="Straight Arrow Connector 489"/>
        <xdr:cNvCxnSpPr/>
      </xdr:nvCxnSpPr>
      <xdr:spPr bwMode="auto">
        <a:xfrm flipV="1">
          <a:off x="1466850" y="144322800"/>
          <a:ext cx="3019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323850</xdr:colOff>
      <xdr:row>1221</xdr:row>
      <xdr:rowOff>9525</xdr:rowOff>
    </xdr:from>
    <xdr:to>
      <xdr:col>7</xdr:col>
      <xdr:colOff>180975</xdr:colOff>
      <xdr:row>1221</xdr:row>
      <xdr:rowOff>11113</xdr:rowOff>
    </xdr:to>
    <xdr:cxnSp macro="">
      <xdr:nvCxnSpPr>
        <xdr:cNvPr id="491" name="Straight Arrow Connector 490"/>
        <xdr:cNvCxnSpPr/>
      </xdr:nvCxnSpPr>
      <xdr:spPr bwMode="auto">
        <a:xfrm>
          <a:off x="2781300" y="144980025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400050</xdr:colOff>
      <xdr:row>1223</xdr:row>
      <xdr:rowOff>85725</xdr:rowOff>
    </xdr:from>
    <xdr:to>
      <xdr:col>7</xdr:col>
      <xdr:colOff>180975</xdr:colOff>
      <xdr:row>1223</xdr:row>
      <xdr:rowOff>96838</xdr:rowOff>
    </xdr:to>
    <xdr:cxnSp macro="">
      <xdr:nvCxnSpPr>
        <xdr:cNvPr id="492" name="Straight Arrow Connector 491"/>
        <xdr:cNvCxnSpPr/>
      </xdr:nvCxnSpPr>
      <xdr:spPr bwMode="auto">
        <a:xfrm>
          <a:off x="3467100" y="145380075"/>
          <a:ext cx="1028700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19051</xdr:colOff>
      <xdr:row>1223</xdr:row>
      <xdr:rowOff>95250</xdr:rowOff>
    </xdr:from>
    <xdr:to>
      <xdr:col>4</xdr:col>
      <xdr:colOff>85726</xdr:colOff>
      <xdr:row>1223</xdr:row>
      <xdr:rowOff>96838</xdr:rowOff>
    </xdr:to>
    <xdr:cxnSp macro="">
      <xdr:nvCxnSpPr>
        <xdr:cNvPr id="493" name="Straight Arrow Connector 492"/>
        <xdr:cNvCxnSpPr/>
      </xdr:nvCxnSpPr>
      <xdr:spPr bwMode="auto">
        <a:xfrm rot="10800000">
          <a:off x="1247776" y="145389600"/>
          <a:ext cx="1295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219075</xdr:colOff>
      <xdr:row>1217</xdr:row>
      <xdr:rowOff>152400</xdr:rowOff>
    </xdr:from>
    <xdr:to>
      <xdr:col>7</xdr:col>
      <xdr:colOff>476250</xdr:colOff>
      <xdr:row>1217</xdr:row>
      <xdr:rowOff>153988</xdr:rowOff>
    </xdr:to>
    <xdr:cxnSp macro="">
      <xdr:nvCxnSpPr>
        <xdr:cNvPr id="494" name="Straight Connector 493"/>
        <xdr:cNvCxnSpPr/>
      </xdr:nvCxnSpPr>
      <xdr:spPr bwMode="auto">
        <a:xfrm>
          <a:off x="4533900" y="14447520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228600</xdr:colOff>
      <xdr:row>1220</xdr:row>
      <xdr:rowOff>0</xdr:rowOff>
    </xdr:from>
    <xdr:to>
      <xdr:col>7</xdr:col>
      <xdr:colOff>485775</xdr:colOff>
      <xdr:row>1220</xdr:row>
      <xdr:rowOff>1588</xdr:rowOff>
    </xdr:to>
    <xdr:cxnSp macro="">
      <xdr:nvCxnSpPr>
        <xdr:cNvPr id="495" name="Straight Connector 494"/>
        <xdr:cNvCxnSpPr/>
      </xdr:nvCxnSpPr>
      <xdr:spPr bwMode="auto">
        <a:xfrm>
          <a:off x="4543425" y="14480857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1218</xdr:row>
      <xdr:rowOff>19049</xdr:rowOff>
    </xdr:from>
    <xdr:to>
      <xdr:col>7</xdr:col>
      <xdr:colOff>295275</xdr:colOff>
      <xdr:row>1220</xdr:row>
      <xdr:rowOff>9524</xdr:rowOff>
    </xdr:to>
    <xdr:cxnSp macro="">
      <xdr:nvCxnSpPr>
        <xdr:cNvPr id="496" name="Straight Arrow Connector 495"/>
        <xdr:cNvCxnSpPr/>
      </xdr:nvCxnSpPr>
      <xdr:spPr bwMode="auto">
        <a:xfrm rot="16200000" flipH="1">
          <a:off x="4448175" y="144656174"/>
          <a:ext cx="314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342900</xdr:colOff>
      <xdr:row>1217</xdr:row>
      <xdr:rowOff>133350</xdr:rowOff>
    </xdr:from>
    <xdr:to>
      <xdr:col>2</xdr:col>
      <xdr:colOff>104775</xdr:colOff>
      <xdr:row>1220</xdr:row>
      <xdr:rowOff>28575</xdr:rowOff>
    </xdr:to>
    <xdr:sp macro="" textlink="">
      <xdr:nvSpPr>
        <xdr:cNvPr id="497" name="Arc 496"/>
        <xdr:cNvSpPr/>
      </xdr:nvSpPr>
      <xdr:spPr bwMode="auto">
        <a:xfrm>
          <a:off x="952500" y="144456150"/>
          <a:ext cx="381000" cy="381000"/>
        </a:xfrm>
        <a:prstGeom prst="arc">
          <a:avLst>
            <a:gd name="adj1" fmla="val 6868560"/>
            <a:gd name="adj2" fmla="val 1492911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504825</xdr:colOff>
      <xdr:row>1217</xdr:row>
      <xdr:rowOff>85725</xdr:rowOff>
    </xdr:from>
    <xdr:to>
      <xdr:col>8</xdr:col>
      <xdr:colOff>219075</xdr:colOff>
      <xdr:row>1219</xdr:row>
      <xdr:rowOff>152400</xdr:rowOff>
    </xdr:to>
    <xdr:sp macro="" textlink="">
      <xdr:nvSpPr>
        <xdr:cNvPr id="498" name="Arc 497"/>
        <xdr:cNvSpPr/>
      </xdr:nvSpPr>
      <xdr:spPr bwMode="auto">
        <a:xfrm flipH="1">
          <a:off x="4819650" y="144408525"/>
          <a:ext cx="323850" cy="390525"/>
        </a:xfrm>
        <a:prstGeom prst="arc">
          <a:avLst>
            <a:gd name="adj1" fmla="val 4531782"/>
            <a:gd name="adj2" fmla="val 17612854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190509</xdr:colOff>
      <xdr:row>1121</xdr:row>
      <xdr:rowOff>85724</xdr:rowOff>
    </xdr:from>
    <xdr:to>
      <xdr:col>4</xdr:col>
      <xdr:colOff>219076</xdr:colOff>
      <xdr:row>1121</xdr:row>
      <xdr:rowOff>104773</xdr:rowOff>
    </xdr:to>
    <xdr:cxnSp macro="">
      <xdr:nvCxnSpPr>
        <xdr:cNvPr id="499" name="Straight Arrow Connector 498"/>
        <xdr:cNvCxnSpPr/>
      </xdr:nvCxnSpPr>
      <xdr:spPr bwMode="auto">
        <a:xfrm rot="10800000" flipV="1">
          <a:off x="2028834" y="128063624"/>
          <a:ext cx="647692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180974</xdr:colOff>
      <xdr:row>1121</xdr:row>
      <xdr:rowOff>95250</xdr:rowOff>
    </xdr:from>
    <xdr:to>
      <xdr:col>3</xdr:col>
      <xdr:colOff>190499</xdr:colOff>
      <xdr:row>1123</xdr:row>
      <xdr:rowOff>0</xdr:rowOff>
    </xdr:to>
    <xdr:cxnSp macro="">
      <xdr:nvCxnSpPr>
        <xdr:cNvPr id="500" name="Straight Arrow Connector 499"/>
        <xdr:cNvCxnSpPr/>
      </xdr:nvCxnSpPr>
      <xdr:spPr bwMode="auto">
        <a:xfrm rot="16200000" flipH="1">
          <a:off x="1909762" y="128182687"/>
          <a:ext cx="228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sm" len="sm"/>
          <a:tailEnd type="triangle" w="sm" len="sm"/>
        </a:ln>
        <a:effectLst/>
      </xdr:spPr>
    </xdr:cxnSp>
    <xdr:clientData/>
  </xdr:twoCellAnchor>
  <xdr:twoCellAnchor>
    <xdr:from>
      <xdr:col>4</xdr:col>
      <xdr:colOff>342108</xdr:colOff>
      <xdr:row>1214</xdr:row>
      <xdr:rowOff>9528</xdr:rowOff>
    </xdr:from>
    <xdr:to>
      <xdr:col>4</xdr:col>
      <xdr:colOff>342901</xdr:colOff>
      <xdr:row>1216</xdr:row>
      <xdr:rowOff>115093</xdr:rowOff>
    </xdr:to>
    <xdr:cxnSp macro="">
      <xdr:nvCxnSpPr>
        <xdr:cNvPr id="501" name="Straight Arrow Connector 500"/>
        <xdr:cNvCxnSpPr/>
      </xdr:nvCxnSpPr>
      <xdr:spPr bwMode="auto">
        <a:xfrm rot="5400000">
          <a:off x="2585247" y="144060864"/>
          <a:ext cx="429415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323850</xdr:colOff>
      <xdr:row>1214</xdr:row>
      <xdr:rowOff>152400</xdr:rowOff>
    </xdr:from>
    <xdr:to>
      <xdr:col>7</xdr:col>
      <xdr:colOff>180975</xdr:colOff>
      <xdr:row>1214</xdr:row>
      <xdr:rowOff>153988</xdr:rowOff>
    </xdr:to>
    <xdr:cxnSp macro="">
      <xdr:nvCxnSpPr>
        <xdr:cNvPr id="502" name="Straight Arrow Connector 501"/>
        <xdr:cNvCxnSpPr/>
      </xdr:nvCxnSpPr>
      <xdr:spPr bwMode="auto">
        <a:xfrm>
          <a:off x="2781300" y="143989425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190500</xdr:colOff>
      <xdr:row>1215</xdr:row>
      <xdr:rowOff>85728</xdr:rowOff>
    </xdr:from>
    <xdr:to>
      <xdr:col>8</xdr:col>
      <xdr:colOff>19052</xdr:colOff>
      <xdr:row>1216</xdr:row>
      <xdr:rowOff>9525</xdr:rowOff>
    </xdr:to>
    <xdr:cxnSp macro="">
      <xdr:nvCxnSpPr>
        <xdr:cNvPr id="503" name="Straight Arrow Connector 502"/>
        <xdr:cNvCxnSpPr/>
      </xdr:nvCxnSpPr>
      <xdr:spPr bwMode="auto">
        <a:xfrm rot="10800000" flipV="1">
          <a:off x="4505325" y="144084678"/>
          <a:ext cx="438152" cy="857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323056</xdr:colOff>
      <xdr:row>1127</xdr:row>
      <xdr:rowOff>48419</xdr:rowOff>
    </xdr:from>
    <xdr:to>
      <xdr:col>6</xdr:col>
      <xdr:colOff>324644</xdr:colOff>
      <xdr:row>1129</xdr:row>
      <xdr:rowOff>48419</xdr:rowOff>
    </xdr:to>
    <xdr:cxnSp macro="">
      <xdr:nvCxnSpPr>
        <xdr:cNvPr id="504" name="Straight Arrow Connector 503"/>
        <xdr:cNvCxnSpPr/>
      </xdr:nvCxnSpPr>
      <xdr:spPr bwMode="auto">
        <a:xfrm rot="5400000">
          <a:off x="3867150" y="129159000"/>
          <a:ext cx="32385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9525</xdr:colOff>
      <xdr:row>1221</xdr:row>
      <xdr:rowOff>95250</xdr:rowOff>
    </xdr:from>
    <xdr:to>
      <xdr:col>2</xdr:col>
      <xdr:colOff>276225</xdr:colOff>
      <xdr:row>1221</xdr:row>
      <xdr:rowOff>96838</xdr:rowOff>
    </xdr:to>
    <xdr:cxnSp macro="">
      <xdr:nvCxnSpPr>
        <xdr:cNvPr id="505" name="Straight Arrow Connector 504"/>
        <xdr:cNvCxnSpPr/>
      </xdr:nvCxnSpPr>
      <xdr:spPr bwMode="auto">
        <a:xfrm>
          <a:off x="1238250" y="145065750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438150</xdr:colOff>
      <xdr:row>67</xdr:row>
      <xdr:rowOff>152400</xdr:rowOff>
    </xdr:from>
    <xdr:to>
      <xdr:col>4</xdr:col>
      <xdr:colOff>38100</xdr:colOff>
      <xdr:row>67</xdr:row>
      <xdr:rowOff>153988</xdr:rowOff>
    </xdr:to>
    <xdr:cxnSp macro="">
      <xdr:nvCxnSpPr>
        <xdr:cNvPr id="506" name="Straight Connector 505"/>
        <xdr:cNvCxnSpPr/>
      </xdr:nvCxnSpPr>
      <xdr:spPr bwMode="auto">
        <a:xfrm>
          <a:off x="2266950" y="10706100"/>
          <a:ext cx="209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65</xdr:row>
      <xdr:rowOff>0</xdr:rowOff>
    </xdr:from>
    <xdr:to>
      <xdr:col>7</xdr:col>
      <xdr:colOff>0</xdr:colOff>
      <xdr:row>65</xdr:row>
      <xdr:rowOff>1588</xdr:rowOff>
    </xdr:to>
    <xdr:cxnSp macro="">
      <xdr:nvCxnSpPr>
        <xdr:cNvPr id="548" name="Straight Connector 547"/>
        <xdr:cNvCxnSpPr/>
      </xdr:nvCxnSpPr>
      <xdr:spPr bwMode="auto">
        <a:xfrm>
          <a:off x="609600" y="1905000"/>
          <a:ext cx="3657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62</xdr:row>
      <xdr:rowOff>142875</xdr:rowOff>
    </xdr:from>
    <xdr:to>
      <xdr:col>8</xdr:col>
      <xdr:colOff>171450</xdr:colOff>
      <xdr:row>65</xdr:row>
      <xdr:rowOff>1</xdr:rowOff>
    </xdr:to>
    <xdr:cxnSp macro="">
      <xdr:nvCxnSpPr>
        <xdr:cNvPr id="549" name="Straight Connector 548"/>
        <xdr:cNvCxnSpPr/>
      </xdr:nvCxnSpPr>
      <xdr:spPr bwMode="auto">
        <a:xfrm flipV="1">
          <a:off x="4267200" y="1476375"/>
          <a:ext cx="781050" cy="4286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600075</xdr:colOff>
      <xdr:row>64</xdr:row>
      <xdr:rowOff>133350</xdr:rowOff>
    </xdr:from>
    <xdr:to>
      <xdr:col>8</xdr:col>
      <xdr:colOff>200025</xdr:colOff>
      <xdr:row>66</xdr:row>
      <xdr:rowOff>152400</xdr:rowOff>
    </xdr:to>
    <xdr:cxnSp macro="">
      <xdr:nvCxnSpPr>
        <xdr:cNvPr id="550" name="Straight Connector 549"/>
        <xdr:cNvCxnSpPr/>
      </xdr:nvCxnSpPr>
      <xdr:spPr bwMode="auto">
        <a:xfrm rot="10800000" flipV="1">
          <a:off x="4257675" y="1847850"/>
          <a:ext cx="819150" cy="400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600076</xdr:colOff>
      <xdr:row>65</xdr:row>
      <xdr:rowOff>10317</xdr:rowOff>
    </xdr:from>
    <xdr:to>
      <xdr:col>1</xdr:col>
      <xdr:colOff>796</xdr:colOff>
      <xdr:row>68</xdr:row>
      <xdr:rowOff>9527</xdr:rowOff>
    </xdr:to>
    <xdr:cxnSp macro="">
      <xdr:nvCxnSpPr>
        <xdr:cNvPr id="551" name="Straight Connector 550"/>
        <xdr:cNvCxnSpPr/>
      </xdr:nvCxnSpPr>
      <xdr:spPr bwMode="auto">
        <a:xfrm rot="5400000">
          <a:off x="319881" y="2195512"/>
          <a:ext cx="570710" cy="1032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68</xdr:row>
      <xdr:rowOff>9525</xdr:rowOff>
    </xdr:from>
    <xdr:to>
      <xdr:col>1</xdr:col>
      <xdr:colOff>333375</xdr:colOff>
      <xdr:row>68</xdr:row>
      <xdr:rowOff>11113</xdr:rowOff>
    </xdr:to>
    <xdr:cxnSp macro="">
      <xdr:nvCxnSpPr>
        <xdr:cNvPr id="552" name="Straight Connector 551"/>
        <xdr:cNvCxnSpPr/>
      </xdr:nvCxnSpPr>
      <xdr:spPr bwMode="auto">
        <a:xfrm>
          <a:off x="609600" y="2486025"/>
          <a:ext cx="333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323851</xdr:colOff>
      <xdr:row>65</xdr:row>
      <xdr:rowOff>152400</xdr:rowOff>
    </xdr:from>
    <xdr:to>
      <xdr:col>2</xdr:col>
      <xdr:colOff>9525</xdr:colOff>
      <xdr:row>68</xdr:row>
      <xdr:rowOff>19051</xdr:rowOff>
    </xdr:to>
    <xdr:cxnSp macro="">
      <xdr:nvCxnSpPr>
        <xdr:cNvPr id="553" name="Straight Connector 552"/>
        <xdr:cNvCxnSpPr/>
      </xdr:nvCxnSpPr>
      <xdr:spPr bwMode="auto">
        <a:xfrm rot="5400000" flipH="1" flipV="1">
          <a:off x="904875" y="10791826"/>
          <a:ext cx="352426" cy="29527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</xdr:colOff>
      <xdr:row>65</xdr:row>
      <xdr:rowOff>152400</xdr:rowOff>
    </xdr:from>
    <xdr:to>
      <xdr:col>7</xdr:col>
      <xdr:colOff>0</xdr:colOff>
      <xdr:row>66</xdr:row>
      <xdr:rowOff>152400</xdr:rowOff>
    </xdr:to>
    <xdr:cxnSp macro="">
      <xdr:nvCxnSpPr>
        <xdr:cNvPr id="554" name="Straight Connector 553"/>
        <xdr:cNvCxnSpPr/>
      </xdr:nvCxnSpPr>
      <xdr:spPr bwMode="auto">
        <a:xfrm>
          <a:off x="1228725" y="2057400"/>
          <a:ext cx="3038475" cy="1905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180181</xdr:colOff>
      <xdr:row>62</xdr:row>
      <xdr:rowOff>153194</xdr:rowOff>
    </xdr:from>
    <xdr:to>
      <xdr:col>8</xdr:col>
      <xdr:colOff>181769</xdr:colOff>
      <xdr:row>64</xdr:row>
      <xdr:rowOff>153194</xdr:rowOff>
    </xdr:to>
    <xdr:cxnSp macro="">
      <xdr:nvCxnSpPr>
        <xdr:cNvPr id="555" name="Straight Connector 554"/>
        <xdr:cNvCxnSpPr/>
      </xdr:nvCxnSpPr>
      <xdr:spPr bwMode="auto">
        <a:xfrm rot="5400000">
          <a:off x="4867275" y="1676400"/>
          <a:ext cx="3810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238125</xdr:colOff>
      <xdr:row>63</xdr:row>
      <xdr:rowOff>0</xdr:rowOff>
    </xdr:from>
    <xdr:to>
      <xdr:col>8</xdr:col>
      <xdr:colOff>495300</xdr:colOff>
      <xdr:row>63</xdr:row>
      <xdr:rowOff>1588</xdr:rowOff>
    </xdr:to>
    <xdr:cxnSp macro="">
      <xdr:nvCxnSpPr>
        <xdr:cNvPr id="556" name="Straight Connector 555"/>
        <xdr:cNvCxnSpPr/>
      </xdr:nvCxnSpPr>
      <xdr:spPr bwMode="auto">
        <a:xfrm>
          <a:off x="5114925" y="990600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228600</xdr:colOff>
      <xdr:row>65</xdr:row>
      <xdr:rowOff>0</xdr:rowOff>
    </xdr:from>
    <xdr:to>
      <xdr:col>8</xdr:col>
      <xdr:colOff>428625</xdr:colOff>
      <xdr:row>65</xdr:row>
      <xdr:rowOff>1588</xdr:rowOff>
    </xdr:to>
    <xdr:cxnSp macro="">
      <xdr:nvCxnSpPr>
        <xdr:cNvPr id="557" name="Straight Connector 556"/>
        <xdr:cNvCxnSpPr/>
      </xdr:nvCxnSpPr>
      <xdr:spPr bwMode="auto">
        <a:xfrm>
          <a:off x="5105400" y="10610850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275432</xdr:colOff>
      <xdr:row>63</xdr:row>
      <xdr:rowOff>10319</xdr:rowOff>
    </xdr:from>
    <xdr:to>
      <xdr:col>8</xdr:col>
      <xdr:colOff>277020</xdr:colOff>
      <xdr:row>65</xdr:row>
      <xdr:rowOff>794</xdr:rowOff>
    </xdr:to>
    <xdr:cxnSp macro="">
      <xdr:nvCxnSpPr>
        <xdr:cNvPr id="558" name="Straight Arrow Connector 557"/>
        <xdr:cNvCxnSpPr/>
      </xdr:nvCxnSpPr>
      <xdr:spPr bwMode="auto">
        <a:xfrm rot="5400000">
          <a:off x="4995863" y="10072688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8732</xdr:colOff>
      <xdr:row>62</xdr:row>
      <xdr:rowOff>134143</xdr:rowOff>
    </xdr:from>
    <xdr:to>
      <xdr:col>7</xdr:col>
      <xdr:colOff>10320</xdr:colOff>
      <xdr:row>65</xdr:row>
      <xdr:rowOff>793</xdr:rowOff>
    </xdr:to>
    <xdr:cxnSp macro="">
      <xdr:nvCxnSpPr>
        <xdr:cNvPr id="559" name="Straight Arrow Connector 558"/>
        <xdr:cNvCxnSpPr/>
      </xdr:nvCxnSpPr>
      <xdr:spPr bwMode="auto">
        <a:xfrm rot="5400000">
          <a:off x="4057651" y="1685924"/>
          <a:ext cx="438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608807</xdr:colOff>
      <xdr:row>67</xdr:row>
      <xdr:rowOff>19843</xdr:rowOff>
    </xdr:from>
    <xdr:to>
      <xdr:col>7</xdr:col>
      <xdr:colOff>795</xdr:colOff>
      <xdr:row>68</xdr:row>
      <xdr:rowOff>96043</xdr:rowOff>
    </xdr:to>
    <xdr:cxnSp macro="">
      <xdr:nvCxnSpPr>
        <xdr:cNvPr id="560" name="Straight Arrow Connector 559"/>
        <xdr:cNvCxnSpPr/>
      </xdr:nvCxnSpPr>
      <xdr:spPr bwMode="auto">
        <a:xfrm rot="5400000">
          <a:off x="4133851" y="2438399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68</xdr:row>
      <xdr:rowOff>85725</xdr:rowOff>
    </xdr:from>
    <xdr:to>
      <xdr:col>7</xdr:col>
      <xdr:colOff>219075</xdr:colOff>
      <xdr:row>68</xdr:row>
      <xdr:rowOff>87313</xdr:rowOff>
    </xdr:to>
    <xdr:cxnSp macro="">
      <xdr:nvCxnSpPr>
        <xdr:cNvPr id="561" name="Straight Connector 560"/>
        <xdr:cNvCxnSpPr/>
      </xdr:nvCxnSpPr>
      <xdr:spPr bwMode="auto">
        <a:xfrm>
          <a:off x="4267200" y="2562225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447675</xdr:colOff>
      <xdr:row>64</xdr:row>
      <xdr:rowOff>9524</xdr:rowOff>
    </xdr:from>
    <xdr:to>
      <xdr:col>1</xdr:col>
      <xdr:colOff>456406</xdr:colOff>
      <xdr:row>65</xdr:row>
      <xdr:rowOff>10318</xdr:rowOff>
    </xdr:to>
    <xdr:cxnSp macro="">
      <xdr:nvCxnSpPr>
        <xdr:cNvPr id="562" name="Straight Arrow Connector 561"/>
        <xdr:cNvCxnSpPr/>
      </xdr:nvCxnSpPr>
      <xdr:spPr bwMode="auto">
        <a:xfrm rot="16200000" flipH="1">
          <a:off x="980281" y="10535443"/>
          <a:ext cx="162719" cy="87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8731</xdr:colOff>
      <xdr:row>65</xdr:row>
      <xdr:rowOff>143669</xdr:rowOff>
    </xdr:from>
    <xdr:to>
      <xdr:col>2</xdr:col>
      <xdr:colOff>10319</xdr:colOff>
      <xdr:row>67</xdr:row>
      <xdr:rowOff>48419</xdr:rowOff>
    </xdr:to>
    <xdr:cxnSp macro="">
      <xdr:nvCxnSpPr>
        <xdr:cNvPr id="563" name="Straight Arrow Connector 562"/>
        <xdr:cNvCxnSpPr/>
      </xdr:nvCxnSpPr>
      <xdr:spPr bwMode="auto">
        <a:xfrm rot="5400000" flipH="1" flipV="1">
          <a:off x="1085850" y="2190750"/>
          <a:ext cx="285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0</xdr:colOff>
      <xdr:row>67</xdr:row>
      <xdr:rowOff>47625</xdr:rowOff>
    </xdr:from>
    <xdr:to>
      <xdr:col>2</xdr:col>
      <xdr:colOff>219075</xdr:colOff>
      <xdr:row>67</xdr:row>
      <xdr:rowOff>49213</xdr:rowOff>
    </xdr:to>
    <xdr:cxnSp macro="">
      <xdr:nvCxnSpPr>
        <xdr:cNvPr id="564" name="Straight Connector 563"/>
        <xdr:cNvCxnSpPr/>
      </xdr:nvCxnSpPr>
      <xdr:spPr bwMode="auto">
        <a:xfrm>
          <a:off x="1219200" y="10982325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0</xdr:colOff>
      <xdr:row>63</xdr:row>
      <xdr:rowOff>95250</xdr:rowOff>
    </xdr:from>
    <xdr:to>
      <xdr:col>5</xdr:col>
      <xdr:colOff>1588</xdr:colOff>
      <xdr:row>65</xdr:row>
      <xdr:rowOff>0</xdr:rowOff>
    </xdr:to>
    <xdr:cxnSp macro="">
      <xdr:nvCxnSpPr>
        <xdr:cNvPr id="565" name="Straight Arrow Connector 564"/>
        <xdr:cNvCxnSpPr/>
      </xdr:nvCxnSpPr>
      <xdr:spPr bwMode="auto">
        <a:xfrm rot="5400000" flipH="1" flipV="1">
          <a:off x="2905919" y="1761331"/>
          <a:ext cx="285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3</xdr:colOff>
      <xdr:row>66</xdr:row>
      <xdr:rowOff>96045</xdr:rowOff>
    </xdr:from>
    <xdr:to>
      <xdr:col>5</xdr:col>
      <xdr:colOff>797</xdr:colOff>
      <xdr:row>68</xdr:row>
      <xdr:rowOff>47625</xdr:rowOff>
    </xdr:to>
    <xdr:cxnSp macro="">
      <xdr:nvCxnSpPr>
        <xdr:cNvPr id="566" name="Straight Arrow Connector 565"/>
        <xdr:cNvCxnSpPr/>
      </xdr:nvCxnSpPr>
      <xdr:spPr bwMode="auto">
        <a:xfrm rot="5400000" flipH="1" flipV="1">
          <a:off x="2910685" y="10625138"/>
          <a:ext cx="275430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1</xdr:colOff>
      <xdr:row>68</xdr:row>
      <xdr:rowOff>57150</xdr:rowOff>
    </xdr:from>
    <xdr:to>
      <xdr:col>5</xdr:col>
      <xdr:colOff>200026</xdr:colOff>
      <xdr:row>68</xdr:row>
      <xdr:rowOff>58738</xdr:rowOff>
    </xdr:to>
    <xdr:cxnSp macro="">
      <xdr:nvCxnSpPr>
        <xdr:cNvPr id="567" name="Straight Connector 566"/>
        <xdr:cNvCxnSpPr/>
      </xdr:nvCxnSpPr>
      <xdr:spPr bwMode="auto">
        <a:xfrm rot="10800000">
          <a:off x="3048001" y="2533650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447675</xdr:colOff>
      <xdr:row>75</xdr:row>
      <xdr:rowOff>76200</xdr:rowOff>
    </xdr:from>
    <xdr:to>
      <xdr:col>5</xdr:col>
      <xdr:colOff>104775</xdr:colOff>
      <xdr:row>77</xdr:row>
      <xdr:rowOff>38100</xdr:rowOff>
    </xdr:to>
    <xdr:sp macro="" textlink="">
      <xdr:nvSpPr>
        <xdr:cNvPr id="575" name="Oval 1028"/>
        <xdr:cNvSpPr>
          <a:spLocks noChangeArrowheads="1"/>
        </xdr:cNvSpPr>
      </xdr:nvSpPr>
      <xdr:spPr bwMode="auto">
        <a:xfrm>
          <a:off x="2276475" y="117157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409577</xdr:colOff>
      <xdr:row>63</xdr:row>
      <xdr:rowOff>152401</xdr:rowOff>
    </xdr:from>
    <xdr:to>
      <xdr:col>3</xdr:col>
      <xdr:colOff>419102</xdr:colOff>
      <xdr:row>65</xdr:row>
      <xdr:rowOff>3</xdr:rowOff>
    </xdr:to>
    <xdr:cxnSp macro="">
      <xdr:nvCxnSpPr>
        <xdr:cNvPr id="584" name="Straight Arrow Connector 583"/>
        <xdr:cNvCxnSpPr/>
      </xdr:nvCxnSpPr>
      <xdr:spPr bwMode="auto">
        <a:xfrm rot="5400000" flipH="1" flipV="1">
          <a:off x="2157414" y="10139364"/>
          <a:ext cx="171452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3</xdr:col>
      <xdr:colOff>438150</xdr:colOff>
      <xdr:row>66</xdr:row>
      <xdr:rowOff>28575</xdr:rowOff>
    </xdr:from>
    <xdr:to>
      <xdr:col>3</xdr:col>
      <xdr:colOff>438944</xdr:colOff>
      <xdr:row>67</xdr:row>
      <xdr:rowOff>142080</xdr:rowOff>
    </xdr:to>
    <xdr:cxnSp macro="">
      <xdr:nvCxnSpPr>
        <xdr:cNvPr id="585" name="Straight Arrow Connector 584"/>
        <xdr:cNvCxnSpPr/>
      </xdr:nvCxnSpPr>
      <xdr:spPr bwMode="auto">
        <a:xfrm rot="5400000" flipH="1" flipV="1">
          <a:off x="2129632" y="10557668"/>
          <a:ext cx="275430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161925</xdr:colOff>
      <xdr:row>38</xdr:row>
      <xdr:rowOff>180975</xdr:rowOff>
    </xdr:from>
    <xdr:to>
      <xdr:col>5</xdr:col>
      <xdr:colOff>9525</xdr:colOff>
      <xdr:row>38</xdr:row>
      <xdr:rowOff>180975</xdr:rowOff>
    </xdr:to>
    <xdr:sp macro="" textlink="">
      <xdr:nvSpPr>
        <xdr:cNvPr id="591" name="Line 1012"/>
        <xdr:cNvSpPr>
          <a:spLocks noChangeShapeType="1"/>
        </xdr:cNvSpPr>
      </xdr:nvSpPr>
      <xdr:spPr bwMode="auto">
        <a:xfrm>
          <a:off x="2600325" y="573405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408218</xdr:colOff>
      <xdr:row>49</xdr:row>
      <xdr:rowOff>3</xdr:rowOff>
    </xdr:from>
    <xdr:to>
      <xdr:col>0</xdr:col>
      <xdr:colOff>415796</xdr:colOff>
      <xdr:row>50</xdr:row>
      <xdr:rowOff>6</xdr:rowOff>
    </xdr:to>
    <xdr:cxnSp macro="">
      <xdr:nvCxnSpPr>
        <xdr:cNvPr id="593" name="Straight Arrow Connector 592"/>
        <xdr:cNvCxnSpPr/>
      </xdr:nvCxnSpPr>
      <xdr:spPr bwMode="auto">
        <a:xfrm rot="5400000">
          <a:off x="314811" y="9200476"/>
          <a:ext cx="194391" cy="757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cxnSp>
    <xdr:clientData/>
  </xdr:twoCellAnchor>
  <xdr:twoCellAnchor>
    <xdr:from>
      <xdr:col>1</xdr:col>
      <xdr:colOff>0</xdr:colOff>
      <xdr:row>68</xdr:row>
      <xdr:rowOff>38896</xdr:rowOff>
    </xdr:from>
    <xdr:to>
      <xdr:col>1</xdr:col>
      <xdr:colOff>796</xdr:colOff>
      <xdr:row>72</xdr:row>
      <xdr:rowOff>3</xdr:rowOff>
    </xdr:to>
    <xdr:cxnSp macro="">
      <xdr:nvCxnSpPr>
        <xdr:cNvPr id="598" name="Straight Connector 597"/>
        <xdr:cNvCxnSpPr/>
      </xdr:nvCxnSpPr>
      <xdr:spPr bwMode="auto">
        <a:xfrm rot="5400000">
          <a:off x="262732" y="11482389"/>
          <a:ext cx="694532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69</xdr:row>
      <xdr:rowOff>9527</xdr:rowOff>
    </xdr:from>
    <xdr:to>
      <xdr:col>2</xdr:col>
      <xdr:colOff>1588</xdr:colOff>
      <xdr:row>70</xdr:row>
      <xdr:rowOff>76202</xdr:rowOff>
    </xdr:to>
    <xdr:cxnSp macro="">
      <xdr:nvCxnSpPr>
        <xdr:cNvPr id="599" name="Straight Connector 598"/>
        <xdr:cNvCxnSpPr/>
      </xdr:nvCxnSpPr>
      <xdr:spPr bwMode="auto">
        <a:xfrm rot="5400000">
          <a:off x="1091406" y="11395871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69</xdr:row>
      <xdr:rowOff>19053</xdr:rowOff>
    </xdr:from>
    <xdr:to>
      <xdr:col>7</xdr:col>
      <xdr:colOff>11115</xdr:colOff>
      <xdr:row>72</xdr:row>
      <xdr:rowOff>3</xdr:rowOff>
    </xdr:to>
    <xdr:cxnSp macro="">
      <xdr:nvCxnSpPr>
        <xdr:cNvPr id="600" name="Straight Connector 599"/>
        <xdr:cNvCxnSpPr/>
      </xdr:nvCxnSpPr>
      <xdr:spPr bwMode="auto">
        <a:xfrm rot="5400000">
          <a:off x="4001295" y="11553033"/>
          <a:ext cx="552450" cy="159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69</xdr:row>
      <xdr:rowOff>180975</xdr:rowOff>
    </xdr:from>
    <xdr:to>
      <xdr:col>2</xdr:col>
      <xdr:colOff>0</xdr:colOff>
      <xdr:row>69</xdr:row>
      <xdr:rowOff>182563</xdr:rowOff>
    </xdr:to>
    <xdr:cxnSp macro="">
      <xdr:nvCxnSpPr>
        <xdr:cNvPr id="603" name="Straight Arrow Connector 602"/>
        <xdr:cNvCxnSpPr/>
      </xdr:nvCxnSpPr>
      <xdr:spPr bwMode="auto">
        <a:xfrm>
          <a:off x="609600" y="11439525"/>
          <a:ext cx="609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9525</xdr:colOff>
      <xdr:row>69</xdr:row>
      <xdr:rowOff>161925</xdr:rowOff>
    </xdr:from>
    <xdr:to>
      <xdr:col>7</xdr:col>
      <xdr:colOff>38100</xdr:colOff>
      <xdr:row>69</xdr:row>
      <xdr:rowOff>163513</xdr:rowOff>
    </xdr:to>
    <xdr:cxnSp macro="">
      <xdr:nvCxnSpPr>
        <xdr:cNvPr id="605" name="Straight Arrow Connector 604"/>
        <xdr:cNvCxnSpPr/>
      </xdr:nvCxnSpPr>
      <xdr:spPr bwMode="auto">
        <a:xfrm>
          <a:off x="1228725" y="11420475"/>
          <a:ext cx="30765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0</xdr:colOff>
      <xdr:row>60</xdr:row>
      <xdr:rowOff>180973</xdr:rowOff>
    </xdr:from>
    <xdr:to>
      <xdr:col>7</xdr:col>
      <xdr:colOff>2</xdr:colOff>
      <xdr:row>60</xdr:row>
      <xdr:rowOff>180974</xdr:rowOff>
    </xdr:to>
    <xdr:cxnSp macro="">
      <xdr:nvCxnSpPr>
        <xdr:cNvPr id="544" name="Straight Connector 543"/>
        <xdr:cNvCxnSpPr/>
      </xdr:nvCxnSpPr>
      <xdr:spPr bwMode="auto">
        <a:xfrm rot="10800000" flipV="1">
          <a:off x="3048000" y="9544048"/>
          <a:ext cx="1219202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608806</xdr:colOff>
      <xdr:row>60</xdr:row>
      <xdr:rowOff>38894</xdr:rowOff>
    </xdr:from>
    <xdr:to>
      <xdr:col>7</xdr:col>
      <xdr:colOff>794</xdr:colOff>
      <xdr:row>61</xdr:row>
      <xdr:rowOff>172244</xdr:rowOff>
    </xdr:to>
    <xdr:cxnSp macro="">
      <xdr:nvCxnSpPr>
        <xdr:cNvPr id="546" name="Straight Connector 545"/>
        <xdr:cNvCxnSpPr/>
      </xdr:nvCxnSpPr>
      <xdr:spPr bwMode="auto">
        <a:xfrm rot="5400000">
          <a:off x="4105275" y="9563100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447675</xdr:colOff>
      <xdr:row>60</xdr:row>
      <xdr:rowOff>0</xdr:rowOff>
    </xdr:from>
    <xdr:to>
      <xdr:col>3</xdr:col>
      <xdr:colOff>449263</xdr:colOff>
      <xdr:row>61</xdr:row>
      <xdr:rowOff>133350</xdr:rowOff>
    </xdr:to>
    <xdr:cxnSp macro="">
      <xdr:nvCxnSpPr>
        <xdr:cNvPr id="547" name="Straight Connector 546"/>
        <xdr:cNvCxnSpPr/>
      </xdr:nvCxnSpPr>
      <xdr:spPr bwMode="auto">
        <a:xfrm rot="5400000">
          <a:off x="2115344" y="9524206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485775</xdr:colOff>
      <xdr:row>60</xdr:row>
      <xdr:rowOff>47625</xdr:rowOff>
    </xdr:from>
    <xdr:to>
      <xdr:col>1</xdr:col>
      <xdr:colOff>487363</xdr:colOff>
      <xdr:row>61</xdr:row>
      <xdr:rowOff>180975</xdr:rowOff>
    </xdr:to>
    <xdr:cxnSp macro="">
      <xdr:nvCxnSpPr>
        <xdr:cNvPr id="568" name="Straight Connector 567"/>
        <xdr:cNvCxnSpPr/>
      </xdr:nvCxnSpPr>
      <xdr:spPr bwMode="auto">
        <a:xfrm rot="5400000">
          <a:off x="934244" y="995283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9525</xdr:colOff>
      <xdr:row>60</xdr:row>
      <xdr:rowOff>38100</xdr:rowOff>
    </xdr:from>
    <xdr:to>
      <xdr:col>5</xdr:col>
      <xdr:colOff>11113</xdr:colOff>
      <xdr:row>61</xdr:row>
      <xdr:rowOff>171450</xdr:rowOff>
    </xdr:to>
    <xdr:cxnSp macro="">
      <xdr:nvCxnSpPr>
        <xdr:cNvPr id="571" name="Straight Connector 570"/>
        <xdr:cNvCxnSpPr/>
      </xdr:nvCxnSpPr>
      <xdr:spPr bwMode="auto">
        <a:xfrm rot="5400000">
          <a:off x="2896394" y="9562306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485776</xdr:colOff>
      <xdr:row>60</xdr:row>
      <xdr:rowOff>190499</xdr:rowOff>
    </xdr:from>
    <xdr:to>
      <xdr:col>3</xdr:col>
      <xdr:colOff>457203</xdr:colOff>
      <xdr:row>61</xdr:row>
      <xdr:rowOff>9525</xdr:rowOff>
    </xdr:to>
    <xdr:cxnSp macro="">
      <xdr:nvCxnSpPr>
        <xdr:cNvPr id="577" name="Straight Connector 576"/>
        <xdr:cNvCxnSpPr/>
      </xdr:nvCxnSpPr>
      <xdr:spPr bwMode="auto">
        <a:xfrm rot="10800000" flipV="1">
          <a:off x="1095376" y="9934574"/>
          <a:ext cx="1190627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428625</xdr:colOff>
      <xdr:row>60</xdr:row>
      <xdr:rowOff>180975</xdr:rowOff>
    </xdr:from>
    <xdr:to>
      <xdr:col>5</xdr:col>
      <xdr:colOff>9525</xdr:colOff>
      <xdr:row>60</xdr:row>
      <xdr:rowOff>182563</xdr:rowOff>
    </xdr:to>
    <xdr:cxnSp macro="">
      <xdr:nvCxnSpPr>
        <xdr:cNvPr id="579" name="Straight Connector 578"/>
        <xdr:cNvCxnSpPr/>
      </xdr:nvCxnSpPr>
      <xdr:spPr bwMode="auto">
        <a:xfrm rot="10800000">
          <a:off x="2257425" y="9544050"/>
          <a:ext cx="8001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0</xdr:colOff>
      <xdr:row>92</xdr:row>
      <xdr:rowOff>180978</xdr:rowOff>
    </xdr:from>
    <xdr:to>
      <xdr:col>2</xdr:col>
      <xdr:colOff>161928</xdr:colOff>
      <xdr:row>93</xdr:row>
      <xdr:rowOff>0</xdr:rowOff>
    </xdr:to>
    <xdr:cxnSp macro="">
      <xdr:nvCxnSpPr>
        <xdr:cNvPr id="586" name="Straight Connector 585"/>
        <xdr:cNvCxnSpPr/>
      </xdr:nvCxnSpPr>
      <xdr:spPr bwMode="auto">
        <a:xfrm flipV="1">
          <a:off x="609600" y="15821028"/>
          <a:ext cx="771528" cy="952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98</xdr:row>
      <xdr:rowOff>19050</xdr:rowOff>
    </xdr:from>
    <xdr:to>
      <xdr:col>2</xdr:col>
      <xdr:colOff>0</xdr:colOff>
      <xdr:row>98</xdr:row>
      <xdr:rowOff>19051</xdr:rowOff>
    </xdr:to>
    <xdr:cxnSp macro="">
      <xdr:nvCxnSpPr>
        <xdr:cNvPr id="594" name="Straight Arrow Connector 593"/>
        <xdr:cNvCxnSpPr/>
      </xdr:nvCxnSpPr>
      <xdr:spPr bwMode="auto">
        <a:xfrm flipV="1">
          <a:off x="609600" y="16802100"/>
          <a:ext cx="60960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0</xdr:colOff>
      <xdr:row>636</xdr:row>
      <xdr:rowOff>1</xdr:rowOff>
    </xdr:from>
    <xdr:to>
      <xdr:col>7</xdr:col>
      <xdr:colOff>0</xdr:colOff>
      <xdr:row>636</xdr:row>
      <xdr:rowOff>19050</xdr:rowOff>
    </xdr:to>
    <xdr:cxnSp macro="">
      <xdr:nvCxnSpPr>
        <xdr:cNvPr id="602" name="Straight Connector 601"/>
        <xdr:cNvCxnSpPr/>
      </xdr:nvCxnSpPr>
      <xdr:spPr bwMode="auto">
        <a:xfrm flipV="1">
          <a:off x="2438400" y="57454801"/>
          <a:ext cx="1828800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9527</xdr:colOff>
      <xdr:row>622</xdr:row>
      <xdr:rowOff>9525</xdr:rowOff>
    </xdr:from>
    <xdr:to>
      <xdr:col>7</xdr:col>
      <xdr:colOff>219075</xdr:colOff>
      <xdr:row>622</xdr:row>
      <xdr:rowOff>9529</xdr:rowOff>
    </xdr:to>
    <xdr:cxnSp macro="">
      <xdr:nvCxnSpPr>
        <xdr:cNvPr id="604" name="Straight Connector 603"/>
        <xdr:cNvCxnSpPr/>
      </xdr:nvCxnSpPr>
      <xdr:spPr bwMode="auto">
        <a:xfrm rot="10800000" flipV="1">
          <a:off x="4276727" y="55197375"/>
          <a:ext cx="209548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133350</xdr:colOff>
      <xdr:row>638</xdr:row>
      <xdr:rowOff>0</xdr:rowOff>
    </xdr:from>
    <xdr:to>
      <xdr:col>7</xdr:col>
      <xdr:colOff>504825</xdr:colOff>
      <xdr:row>638</xdr:row>
      <xdr:rowOff>1588</xdr:rowOff>
    </xdr:to>
    <xdr:cxnSp macro="">
      <xdr:nvCxnSpPr>
        <xdr:cNvPr id="606" name="Straight Connector 605"/>
        <xdr:cNvCxnSpPr/>
      </xdr:nvCxnSpPr>
      <xdr:spPr bwMode="auto">
        <a:xfrm>
          <a:off x="1962150" y="57778650"/>
          <a:ext cx="28098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505621</xdr:colOff>
      <xdr:row>635</xdr:row>
      <xdr:rowOff>134145</xdr:rowOff>
    </xdr:from>
    <xdr:to>
      <xdr:col>7</xdr:col>
      <xdr:colOff>514353</xdr:colOff>
      <xdr:row>638</xdr:row>
      <xdr:rowOff>0</xdr:rowOff>
    </xdr:to>
    <xdr:cxnSp macro="">
      <xdr:nvCxnSpPr>
        <xdr:cNvPr id="607" name="Straight Connector 606"/>
        <xdr:cNvCxnSpPr/>
      </xdr:nvCxnSpPr>
      <xdr:spPr bwMode="auto">
        <a:xfrm rot="16200000" flipV="1">
          <a:off x="4601372" y="57598469"/>
          <a:ext cx="351630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</xdr:colOff>
      <xdr:row>622</xdr:row>
      <xdr:rowOff>19050</xdr:rowOff>
    </xdr:from>
    <xdr:to>
      <xdr:col>7</xdr:col>
      <xdr:colOff>8734</xdr:colOff>
      <xdr:row>636</xdr:row>
      <xdr:rowOff>796</xdr:rowOff>
    </xdr:to>
    <xdr:cxnSp macro="">
      <xdr:nvCxnSpPr>
        <xdr:cNvPr id="608" name="Straight Connector 607"/>
        <xdr:cNvCxnSpPr/>
      </xdr:nvCxnSpPr>
      <xdr:spPr bwMode="auto">
        <a:xfrm rot="16200000" flipV="1">
          <a:off x="3147221" y="56326882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132562</xdr:colOff>
      <xdr:row>636</xdr:row>
      <xdr:rowOff>1</xdr:rowOff>
    </xdr:from>
    <xdr:to>
      <xdr:col>3</xdr:col>
      <xdr:colOff>133353</xdr:colOff>
      <xdr:row>638</xdr:row>
      <xdr:rowOff>796</xdr:rowOff>
    </xdr:to>
    <xdr:cxnSp macro="">
      <xdr:nvCxnSpPr>
        <xdr:cNvPr id="609" name="Straight Connector 608"/>
        <xdr:cNvCxnSpPr/>
      </xdr:nvCxnSpPr>
      <xdr:spPr bwMode="auto">
        <a:xfrm rot="5400000" flipH="1" flipV="1">
          <a:off x="1799435" y="57616728"/>
          <a:ext cx="324645" cy="79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8736</xdr:colOff>
      <xdr:row>622</xdr:row>
      <xdr:rowOff>1</xdr:rowOff>
    </xdr:from>
    <xdr:to>
      <xdr:col>4</xdr:col>
      <xdr:colOff>9525</xdr:colOff>
      <xdr:row>636</xdr:row>
      <xdr:rowOff>798</xdr:rowOff>
    </xdr:to>
    <xdr:cxnSp macro="">
      <xdr:nvCxnSpPr>
        <xdr:cNvPr id="610" name="Straight Connector 609"/>
        <xdr:cNvCxnSpPr/>
      </xdr:nvCxnSpPr>
      <xdr:spPr bwMode="auto">
        <a:xfrm rot="5400000" flipH="1" flipV="1">
          <a:off x="1313657" y="56321330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621</xdr:row>
      <xdr:rowOff>152400</xdr:rowOff>
    </xdr:from>
    <xdr:to>
      <xdr:col>4</xdr:col>
      <xdr:colOff>0</xdr:colOff>
      <xdr:row>622</xdr:row>
      <xdr:rowOff>0</xdr:rowOff>
    </xdr:to>
    <xdr:cxnSp macro="">
      <xdr:nvCxnSpPr>
        <xdr:cNvPr id="611" name="Straight Connector 610"/>
        <xdr:cNvCxnSpPr/>
      </xdr:nvCxnSpPr>
      <xdr:spPr bwMode="auto">
        <a:xfrm rot="10800000">
          <a:off x="2200275" y="55178325"/>
          <a:ext cx="2381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219075</xdr:colOff>
      <xdr:row>622</xdr:row>
      <xdr:rowOff>19049</xdr:rowOff>
    </xdr:from>
    <xdr:to>
      <xdr:col>7</xdr:col>
      <xdr:colOff>514350</xdr:colOff>
      <xdr:row>636</xdr:row>
      <xdr:rowOff>9524</xdr:rowOff>
    </xdr:to>
    <xdr:cxnSp macro="">
      <xdr:nvCxnSpPr>
        <xdr:cNvPr id="612" name="Straight Connector 611"/>
        <xdr:cNvCxnSpPr/>
      </xdr:nvCxnSpPr>
      <xdr:spPr bwMode="auto">
        <a:xfrm rot="16200000" flipH="1">
          <a:off x="3505200" y="56187974"/>
          <a:ext cx="225742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133351</xdr:colOff>
      <xdr:row>621</xdr:row>
      <xdr:rowOff>152399</xdr:rowOff>
    </xdr:from>
    <xdr:to>
      <xdr:col>3</xdr:col>
      <xdr:colOff>361954</xdr:colOff>
      <xdr:row>636</xdr:row>
      <xdr:rowOff>3</xdr:rowOff>
    </xdr:to>
    <xdr:cxnSp macro="">
      <xdr:nvCxnSpPr>
        <xdr:cNvPr id="613" name="Straight Connector 612"/>
        <xdr:cNvCxnSpPr/>
      </xdr:nvCxnSpPr>
      <xdr:spPr bwMode="auto">
        <a:xfrm rot="5400000">
          <a:off x="938213" y="56202262"/>
          <a:ext cx="2276479" cy="22860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573444</xdr:colOff>
      <xdr:row>622</xdr:row>
      <xdr:rowOff>9719</xdr:rowOff>
    </xdr:from>
    <xdr:to>
      <xdr:col>8</xdr:col>
      <xdr:colOff>252705</xdr:colOff>
      <xdr:row>622</xdr:row>
      <xdr:rowOff>11307</xdr:rowOff>
    </xdr:to>
    <xdr:cxnSp macro="">
      <xdr:nvCxnSpPr>
        <xdr:cNvPr id="614" name="Straight Connector 613"/>
        <xdr:cNvCxnSpPr/>
      </xdr:nvCxnSpPr>
      <xdr:spPr bwMode="auto">
        <a:xfrm>
          <a:off x="4859694" y="96727347"/>
          <a:ext cx="291582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590550</xdr:colOff>
      <xdr:row>636</xdr:row>
      <xdr:rowOff>9525</xdr:rowOff>
    </xdr:from>
    <xdr:to>
      <xdr:col>8</xdr:col>
      <xdr:colOff>223546</xdr:colOff>
      <xdr:row>636</xdr:row>
      <xdr:rowOff>9719</xdr:rowOff>
    </xdr:to>
    <xdr:cxnSp macro="">
      <xdr:nvCxnSpPr>
        <xdr:cNvPr id="615" name="Straight Connector 614"/>
        <xdr:cNvCxnSpPr/>
      </xdr:nvCxnSpPr>
      <xdr:spPr bwMode="auto">
        <a:xfrm>
          <a:off x="4876800" y="99040367"/>
          <a:ext cx="245317" cy="1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638</xdr:row>
      <xdr:rowOff>19050</xdr:rowOff>
    </xdr:from>
    <xdr:to>
      <xdr:col>8</xdr:col>
      <xdr:colOff>281863</xdr:colOff>
      <xdr:row>638</xdr:row>
      <xdr:rowOff>19439</xdr:rowOff>
    </xdr:to>
    <xdr:cxnSp macro="">
      <xdr:nvCxnSpPr>
        <xdr:cNvPr id="616" name="Straight Connector 615"/>
        <xdr:cNvCxnSpPr/>
      </xdr:nvCxnSpPr>
      <xdr:spPr bwMode="auto">
        <a:xfrm>
          <a:off x="4886325" y="99380351"/>
          <a:ext cx="294109" cy="3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75407</xdr:colOff>
      <xdr:row>622</xdr:row>
      <xdr:rowOff>10318</xdr:rowOff>
    </xdr:from>
    <xdr:to>
      <xdr:col>8</xdr:col>
      <xdr:colOff>76995</xdr:colOff>
      <xdr:row>636</xdr:row>
      <xdr:rowOff>793</xdr:rowOff>
    </xdr:to>
    <xdr:cxnSp macro="">
      <xdr:nvCxnSpPr>
        <xdr:cNvPr id="617" name="Straight Arrow Connector 616"/>
        <xdr:cNvCxnSpPr/>
      </xdr:nvCxnSpPr>
      <xdr:spPr bwMode="auto">
        <a:xfrm rot="5400000">
          <a:off x="3824288" y="56326087"/>
          <a:ext cx="2257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75600</xdr:colOff>
      <xdr:row>636</xdr:row>
      <xdr:rowOff>10126</xdr:rowOff>
    </xdr:from>
    <xdr:to>
      <xdr:col>8</xdr:col>
      <xdr:colOff>77188</xdr:colOff>
      <xdr:row>638</xdr:row>
      <xdr:rowOff>10125</xdr:rowOff>
    </xdr:to>
    <xdr:cxnSp macro="">
      <xdr:nvCxnSpPr>
        <xdr:cNvPr id="618" name="Straight Arrow Connector 617"/>
        <xdr:cNvCxnSpPr/>
      </xdr:nvCxnSpPr>
      <xdr:spPr bwMode="auto">
        <a:xfrm rot="5400000">
          <a:off x="4809735" y="98544485"/>
          <a:ext cx="330459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142081</xdr:colOff>
      <xdr:row>638</xdr:row>
      <xdr:rowOff>47625</xdr:rowOff>
    </xdr:from>
    <xdr:to>
      <xdr:col>3</xdr:col>
      <xdr:colOff>142875</xdr:colOff>
      <xdr:row>641</xdr:row>
      <xdr:rowOff>153194</xdr:rowOff>
    </xdr:to>
    <xdr:cxnSp macro="">
      <xdr:nvCxnSpPr>
        <xdr:cNvPr id="619" name="Straight Connector 618"/>
        <xdr:cNvCxnSpPr/>
      </xdr:nvCxnSpPr>
      <xdr:spPr bwMode="auto">
        <a:xfrm rot="5400000">
          <a:off x="1675606" y="5812155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513556</xdr:colOff>
      <xdr:row>638</xdr:row>
      <xdr:rowOff>66675</xdr:rowOff>
    </xdr:from>
    <xdr:to>
      <xdr:col>7</xdr:col>
      <xdr:colOff>514350</xdr:colOff>
      <xdr:row>642</xdr:row>
      <xdr:rowOff>10319</xdr:rowOff>
    </xdr:to>
    <xdr:cxnSp macro="">
      <xdr:nvCxnSpPr>
        <xdr:cNvPr id="620" name="Straight Connector 619"/>
        <xdr:cNvCxnSpPr/>
      </xdr:nvCxnSpPr>
      <xdr:spPr bwMode="auto">
        <a:xfrm rot="5400000">
          <a:off x="4485481" y="5814060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638</xdr:row>
      <xdr:rowOff>38100</xdr:rowOff>
    </xdr:from>
    <xdr:to>
      <xdr:col>3</xdr:col>
      <xdr:colOff>600869</xdr:colOff>
      <xdr:row>640</xdr:row>
      <xdr:rowOff>19050</xdr:rowOff>
    </xdr:to>
    <xdr:cxnSp macro="">
      <xdr:nvCxnSpPr>
        <xdr:cNvPr id="621" name="Straight Connector 620"/>
        <xdr:cNvCxnSpPr/>
      </xdr:nvCxnSpPr>
      <xdr:spPr bwMode="auto">
        <a:xfrm rot="5400000">
          <a:off x="2276872" y="57968753"/>
          <a:ext cx="30480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638</xdr:row>
      <xdr:rowOff>9527</xdr:rowOff>
    </xdr:from>
    <xdr:to>
      <xdr:col>7</xdr:col>
      <xdr:colOff>10319</xdr:colOff>
      <xdr:row>640</xdr:row>
      <xdr:rowOff>9527</xdr:rowOff>
    </xdr:to>
    <xdr:cxnSp macro="">
      <xdr:nvCxnSpPr>
        <xdr:cNvPr id="622" name="Straight Connector 621"/>
        <xdr:cNvCxnSpPr/>
      </xdr:nvCxnSpPr>
      <xdr:spPr bwMode="auto">
        <a:xfrm rot="5400000">
          <a:off x="4115197" y="57949705"/>
          <a:ext cx="32385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485969</xdr:colOff>
      <xdr:row>635</xdr:row>
      <xdr:rowOff>152401</xdr:rowOff>
    </xdr:from>
    <xdr:to>
      <xdr:col>3</xdr:col>
      <xdr:colOff>114300</xdr:colOff>
      <xdr:row>636</xdr:row>
      <xdr:rowOff>0</xdr:rowOff>
    </xdr:to>
    <xdr:cxnSp macro="">
      <xdr:nvCxnSpPr>
        <xdr:cNvPr id="623" name="Straight Connector 622"/>
        <xdr:cNvCxnSpPr/>
      </xdr:nvCxnSpPr>
      <xdr:spPr bwMode="auto">
        <a:xfrm flipV="1">
          <a:off x="1710612" y="99018013"/>
          <a:ext cx="240652" cy="1282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417934</xdr:colOff>
      <xdr:row>621</xdr:row>
      <xdr:rowOff>152400</xdr:rowOff>
    </xdr:from>
    <xdr:to>
      <xdr:col>3</xdr:col>
      <xdr:colOff>266700</xdr:colOff>
      <xdr:row>622</xdr:row>
      <xdr:rowOff>0</xdr:rowOff>
    </xdr:to>
    <xdr:cxnSp macro="">
      <xdr:nvCxnSpPr>
        <xdr:cNvPr id="624" name="Straight Connector 623"/>
        <xdr:cNvCxnSpPr/>
      </xdr:nvCxnSpPr>
      <xdr:spPr bwMode="auto">
        <a:xfrm flipV="1">
          <a:off x="1642577" y="96704798"/>
          <a:ext cx="461087" cy="1283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142875</xdr:colOff>
      <xdr:row>639</xdr:row>
      <xdr:rowOff>9525</xdr:rowOff>
    </xdr:from>
    <xdr:to>
      <xdr:col>3</xdr:col>
      <xdr:colOff>600075</xdr:colOff>
      <xdr:row>639</xdr:row>
      <xdr:rowOff>11113</xdr:rowOff>
    </xdr:to>
    <xdr:cxnSp macro="">
      <xdr:nvCxnSpPr>
        <xdr:cNvPr id="625" name="Straight Arrow Connector 624"/>
        <xdr:cNvCxnSpPr/>
      </xdr:nvCxnSpPr>
      <xdr:spPr bwMode="auto">
        <a:xfrm>
          <a:off x="1971675" y="57950100"/>
          <a:ext cx="457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19050</xdr:colOff>
      <xdr:row>639</xdr:row>
      <xdr:rowOff>0</xdr:rowOff>
    </xdr:from>
    <xdr:to>
      <xdr:col>7</xdr:col>
      <xdr:colOff>504825</xdr:colOff>
      <xdr:row>639</xdr:row>
      <xdr:rowOff>1588</xdr:rowOff>
    </xdr:to>
    <xdr:cxnSp macro="">
      <xdr:nvCxnSpPr>
        <xdr:cNvPr id="626" name="Straight Arrow Connector 625"/>
        <xdr:cNvCxnSpPr/>
      </xdr:nvCxnSpPr>
      <xdr:spPr bwMode="auto">
        <a:xfrm>
          <a:off x="4286250" y="5794057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600075</xdr:colOff>
      <xdr:row>639</xdr:row>
      <xdr:rowOff>9525</xdr:rowOff>
    </xdr:from>
    <xdr:to>
      <xdr:col>7</xdr:col>
      <xdr:colOff>0</xdr:colOff>
      <xdr:row>639</xdr:row>
      <xdr:rowOff>9526</xdr:rowOff>
    </xdr:to>
    <xdr:cxnSp macro="">
      <xdr:nvCxnSpPr>
        <xdr:cNvPr id="627" name="Straight Arrow Connector 626"/>
        <xdr:cNvCxnSpPr/>
      </xdr:nvCxnSpPr>
      <xdr:spPr bwMode="auto">
        <a:xfrm>
          <a:off x="2428875" y="57950100"/>
          <a:ext cx="18383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123825</xdr:colOff>
      <xdr:row>640</xdr:row>
      <xdr:rowOff>152400</xdr:rowOff>
    </xdr:from>
    <xdr:to>
      <xdr:col>7</xdr:col>
      <xdr:colOff>514350</xdr:colOff>
      <xdr:row>641</xdr:row>
      <xdr:rowOff>9525</xdr:rowOff>
    </xdr:to>
    <xdr:cxnSp macro="">
      <xdr:nvCxnSpPr>
        <xdr:cNvPr id="628" name="Straight Arrow Connector 627"/>
        <xdr:cNvCxnSpPr/>
      </xdr:nvCxnSpPr>
      <xdr:spPr bwMode="auto">
        <a:xfrm flipV="1">
          <a:off x="1952625" y="58254900"/>
          <a:ext cx="282892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124619</xdr:colOff>
      <xdr:row>627</xdr:row>
      <xdr:rowOff>152400</xdr:rowOff>
    </xdr:from>
    <xdr:to>
      <xdr:col>3</xdr:col>
      <xdr:colOff>123825</xdr:colOff>
      <xdr:row>628</xdr:row>
      <xdr:rowOff>0</xdr:rowOff>
    </xdr:to>
    <xdr:cxnSp macro="">
      <xdr:nvCxnSpPr>
        <xdr:cNvPr id="629" name="Straight Connector 628"/>
        <xdr:cNvCxnSpPr/>
      </xdr:nvCxnSpPr>
      <xdr:spPr bwMode="auto">
        <a:xfrm>
          <a:off x="1343819" y="56149875"/>
          <a:ext cx="60880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419100</xdr:colOff>
      <xdr:row>629</xdr:row>
      <xdr:rowOff>152400</xdr:rowOff>
    </xdr:from>
    <xdr:to>
      <xdr:col>6</xdr:col>
      <xdr:colOff>161925</xdr:colOff>
      <xdr:row>630</xdr:row>
      <xdr:rowOff>9525</xdr:rowOff>
    </xdr:to>
    <xdr:cxnSp macro="">
      <xdr:nvCxnSpPr>
        <xdr:cNvPr id="630" name="Straight Connector 629"/>
        <xdr:cNvCxnSpPr/>
      </xdr:nvCxnSpPr>
      <xdr:spPr bwMode="auto">
        <a:xfrm>
          <a:off x="2857500" y="56473725"/>
          <a:ext cx="96202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161925</xdr:colOff>
      <xdr:row>627</xdr:row>
      <xdr:rowOff>47625</xdr:rowOff>
    </xdr:from>
    <xdr:to>
      <xdr:col>2</xdr:col>
      <xdr:colOff>238125</xdr:colOff>
      <xdr:row>627</xdr:row>
      <xdr:rowOff>133350</xdr:rowOff>
    </xdr:to>
    <xdr:sp macro="" textlink="">
      <xdr:nvSpPr>
        <xdr:cNvPr id="631" name="Flowchart: Merge 630"/>
        <xdr:cNvSpPr/>
      </xdr:nvSpPr>
      <xdr:spPr bwMode="auto">
        <a:xfrm>
          <a:off x="1381125" y="56045100"/>
          <a:ext cx="76200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180975</xdr:colOff>
      <xdr:row>629</xdr:row>
      <xdr:rowOff>66675</xdr:rowOff>
    </xdr:from>
    <xdr:to>
      <xdr:col>5</xdr:col>
      <xdr:colOff>304800</xdr:colOff>
      <xdr:row>630</xdr:row>
      <xdr:rowOff>9525</xdr:rowOff>
    </xdr:to>
    <xdr:sp macro="" textlink="">
      <xdr:nvSpPr>
        <xdr:cNvPr id="632" name="Flowchart: Merge 631"/>
        <xdr:cNvSpPr/>
      </xdr:nvSpPr>
      <xdr:spPr bwMode="auto">
        <a:xfrm>
          <a:off x="3228975" y="56388000"/>
          <a:ext cx="123825" cy="10477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47626</xdr:colOff>
      <xdr:row>621</xdr:row>
      <xdr:rowOff>152399</xdr:rowOff>
    </xdr:from>
    <xdr:to>
      <xdr:col>3</xdr:col>
      <xdr:colOff>66676</xdr:colOff>
      <xdr:row>627</xdr:row>
      <xdr:rowOff>161924</xdr:rowOff>
    </xdr:to>
    <xdr:cxnSp macro="">
      <xdr:nvCxnSpPr>
        <xdr:cNvPr id="633" name="Straight Arrow Connector 632"/>
        <xdr:cNvCxnSpPr/>
      </xdr:nvCxnSpPr>
      <xdr:spPr bwMode="auto">
        <a:xfrm rot="5400000">
          <a:off x="1395413" y="55659337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28576</xdr:colOff>
      <xdr:row>628</xdr:row>
      <xdr:rowOff>9525</xdr:rowOff>
    </xdr:from>
    <xdr:to>
      <xdr:col>3</xdr:col>
      <xdr:colOff>38101</xdr:colOff>
      <xdr:row>636</xdr:row>
      <xdr:rowOff>0</xdr:rowOff>
    </xdr:to>
    <xdr:cxnSp macro="">
      <xdr:nvCxnSpPr>
        <xdr:cNvPr id="634" name="Straight Arrow Connector 633"/>
        <xdr:cNvCxnSpPr/>
      </xdr:nvCxnSpPr>
      <xdr:spPr bwMode="auto">
        <a:xfrm rot="5400000">
          <a:off x="1219201" y="5680710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285751</xdr:colOff>
      <xdr:row>630</xdr:row>
      <xdr:rowOff>2</xdr:rowOff>
    </xdr:from>
    <xdr:to>
      <xdr:col>5</xdr:col>
      <xdr:colOff>304801</xdr:colOff>
      <xdr:row>636</xdr:row>
      <xdr:rowOff>9527</xdr:rowOff>
    </xdr:to>
    <xdr:cxnSp macro="">
      <xdr:nvCxnSpPr>
        <xdr:cNvPr id="635" name="Straight Arrow Connector 634"/>
        <xdr:cNvCxnSpPr/>
      </xdr:nvCxnSpPr>
      <xdr:spPr bwMode="auto">
        <a:xfrm rot="5400000">
          <a:off x="2852738" y="56964265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85725</xdr:colOff>
      <xdr:row>624</xdr:row>
      <xdr:rowOff>0</xdr:rowOff>
    </xdr:from>
    <xdr:ext cx="235962" cy="170560"/>
    <xdr:sp macro="" textlink="">
      <xdr:nvSpPr>
        <xdr:cNvPr id="636" name="Text Box 133"/>
        <xdr:cNvSpPr txBox="1">
          <a:spLocks noChangeArrowheads="1"/>
        </xdr:cNvSpPr>
      </xdr:nvSpPr>
      <xdr:spPr bwMode="auto">
        <a:xfrm>
          <a:off x="1304925" y="5551170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2</xdr:col>
      <xdr:colOff>47625</xdr:colOff>
      <xdr:row>631</xdr:row>
      <xdr:rowOff>0</xdr:rowOff>
    </xdr:from>
    <xdr:ext cx="235962" cy="170560"/>
    <xdr:sp macro="" textlink="">
      <xdr:nvSpPr>
        <xdr:cNvPr id="637" name="Text Box 133"/>
        <xdr:cNvSpPr txBox="1">
          <a:spLocks noChangeArrowheads="1"/>
        </xdr:cNvSpPr>
      </xdr:nvSpPr>
      <xdr:spPr bwMode="auto">
        <a:xfrm>
          <a:off x="1266825" y="5664517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h2=</a:t>
          </a:r>
        </a:p>
      </xdr:txBody>
    </xdr:sp>
    <xdr:clientData/>
  </xdr:oneCellAnchor>
  <xdr:twoCellAnchor>
    <xdr:from>
      <xdr:col>1</xdr:col>
      <xdr:colOff>600075</xdr:colOff>
      <xdr:row>622</xdr:row>
      <xdr:rowOff>0</xdr:rowOff>
    </xdr:from>
    <xdr:to>
      <xdr:col>1</xdr:col>
      <xdr:colOff>600864</xdr:colOff>
      <xdr:row>636</xdr:row>
      <xdr:rowOff>797</xdr:rowOff>
    </xdr:to>
    <xdr:cxnSp macro="">
      <xdr:nvCxnSpPr>
        <xdr:cNvPr id="638" name="Straight Connector 637"/>
        <xdr:cNvCxnSpPr/>
      </xdr:nvCxnSpPr>
      <xdr:spPr bwMode="auto">
        <a:xfrm rot="5400000" flipH="1" flipV="1">
          <a:off x="76196" y="56321329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304801</xdr:colOff>
      <xdr:row>628</xdr:row>
      <xdr:rowOff>9525</xdr:rowOff>
    </xdr:from>
    <xdr:to>
      <xdr:col>1</xdr:col>
      <xdr:colOff>314326</xdr:colOff>
      <xdr:row>636</xdr:row>
      <xdr:rowOff>0</xdr:rowOff>
    </xdr:to>
    <xdr:cxnSp macro="">
      <xdr:nvCxnSpPr>
        <xdr:cNvPr id="639" name="Straight Arrow Connector 638"/>
        <xdr:cNvCxnSpPr/>
      </xdr:nvCxnSpPr>
      <xdr:spPr bwMode="auto">
        <a:xfrm rot="5400000">
          <a:off x="276226" y="5680710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622</xdr:row>
      <xdr:rowOff>9525</xdr:rowOff>
    </xdr:from>
    <xdr:to>
      <xdr:col>2</xdr:col>
      <xdr:colOff>1</xdr:colOff>
      <xdr:row>628</xdr:row>
      <xdr:rowOff>0</xdr:rowOff>
    </xdr:to>
    <xdr:cxnSp macro="">
      <xdr:nvCxnSpPr>
        <xdr:cNvPr id="640" name="Straight Connector 639"/>
        <xdr:cNvCxnSpPr/>
      </xdr:nvCxnSpPr>
      <xdr:spPr bwMode="auto">
        <a:xfrm rot="5400000">
          <a:off x="590551" y="55530750"/>
          <a:ext cx="96202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28575</xdr:colOff>
      <xdr:row>630</xdr:row>
      <xdr:rowOff>9525</xdr:rowOff>
    </xdr:from>
    <xdr:to>
      <xdr:col>4</xdr:col>
      <xdr:colOff>447675</xdr:colOff>
      <xdr:row>636</xdr:row>
      <xdr:rowOff>28575</xdr:rowOff>
    </xdr:to>
    <xdr:cxnSp macro="">
      <xdr:nvCxnSpPr>
        <xdr:cNvPr id="641" name="Straight Connector 640"/>
        <xdr:cNvCxnSpPr/>
      </xdr:nvCxnSpPr>
      <xdr:spPr bwMode="auto">
        <a:xfrm rot="16200000" flipH="1">
          <a:off x="2181225" y="56778525"/>
          <a:ext cx="990600" cy="419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304801</xdr:colOff>
      <xdr:row>635</xdr:row>
      <xdr:rowOff>152400</xdr:rowOff>
    </xdr:from>
    <xdr:to>
      <xdr:col>1</xdr:col>
      <xdr:colOff>600076</xdr:colOff>
      <xdr:row>636</xdr:row>
      <xdr:rowOff>9525</xdr:rowOff>
    </xdr:to>
    <xdr:cxnSp macro="">
      <xdr:nvCxnSpPr>
        <xdr:cNvPr id="642" name="Straight Connector 641"/>
        <xdr:cNvCxnSpPr/>
      </xdr:nvCxnSpPr>
      <xdr:spPr bwMode="auto">
        <a:xfrm rot="10800000" flipV="1">
          <a:off x="304801" y="57445275"/>
          <a:ext cx="90487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628</xdr:row>
      <xdr:rowOff>0</xdr:rowOff>
    </xdr:from>
    <xdr:to>
      <xdr:col>1</xdr:col>
      <xdr:colOff>590551</xdr:colOff>
      <xdr:row>628</xdr:row>
      <xdr:rowOff>1588</xdr:rowOff>
    </xdr:to>
    <xdr:cxnSp macro="">
      <xdr:nvCxnSpPr>
        <xdr:cNvPr id="643" name="Straight Connector 642"/>
        <xdr:cNvCxnSpPr/>
      </xdr:nvCxnSpPr>
      <xdr:spPr bwMode="auto">
        <a:xfrm rot="10800000">
          <a:off x="923926" y="56159400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3</xdr:col>
      <xdr:colOff>123828</xdr:colOff>
      <xdr:row>622</xdr:row>
      <xdr:rowOff>9527</xdr:rowOff>
    </xdr:from>
    <xdr:to>
      <xdr:col>3</xdr:col>
      <xdr:colOff>132559</xdr:colOff>
      <xdr:row>635</xdr:row>
      <xdr:rowOff>153198</xdr:rowOff>
    </xdr:to>
    <xdr:cxnSp macro="">
      <xdr:nvCxnSpPr>
        <xdr:cNvPr id="644" name="Straight Connector 643"/>
        <xdr:cNvCxnSpPr/>
      </xdr:nvCxnSpPr>
      <xdr:spPr bwMode="auto">
        <a:xfrm rot="16200000" flipV="1">
          <a:off x="832646" y="56317359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634</xdr:row>
      <xdr:rowOff>142875</xdr:rowOff>
    </xdr:from>
    <xdr:to>
      <xdr:col>4</xdr:col>
      <xdr:colOff>352426</xdr:colOff>
      <xdr:row>634</xdr:row>
      <xdr:rowOff>144463</xdr:rowOff>
    </xdr:to>
    <xdr:cxnSp macro="">
      <xdr:nvCxnSpPr>
        <xdr:cNvPr id="645" name="Straight Arrow Connector 644"/>
        <xdr:cNvCxnSpPr/>
      </xdr:nvCxnSpPr>
      <xdr:spPr bwMode="auto">
        <a:xfrm rot="10800000">
          <a:off x="2438401" y="57273825"/>
          <a:ext cx="352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</xdr:colOff>
      <xdr:row>632</xdr:row>
      <xdr:rowOff>19050</xdr:rowOff>
    </xdr:from>
    <xdr:to>
      <xdr:col>4</xdr:col>
      <xdr:colOff>171450</xdr:colOff>
      <xdr:row>632</xdr:row>
      <xdr:rowOff>20638</xdr:rowOff>
    </xdr:to>
    <xdr:cxnSp macro="">
      <xdr:nvCxnSpPr>
        <xdr:cNvPr id="646" name="Straight Arrow Connector 645"/>
        <xdr:cNvCxnSpPr/>
      </xdr:nvCxnSpPr>
      <xdr:spPr bwMode="auto">
        <a:xfrm rot="10800000">
          <a:off x="2438402" y="56826150"/>
          <a:ext cx="1714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38100</xdr:colOff>
      <xdr:row>625</xdr:row>
      <xdr:rowOff>85726</xdr:rowOff>
    </xdr:from>
    <xdr:to>
      <xdr:col>1</xdr:col>
      <xdr:colOff>590550</xdr:colOff>
      <xdr:row>625</xdr:row>
      <xdr:rowOff>95250</xdr:rowOff>
    </xdr:to>
    <xdr:cxnSp macro="">
      <xdr:nvCxnSpPr>
        <xdr:cNvPr id="647" name="Straight Arrow Connector 646"/>
        <xdr:cNvCxnSpPr/>
      </xdr:nvCxnSpPr>
      <xdr:spPr bwMode="auto">
        <a:xfrm>
          <a:off x="647700" y="5575935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630</xdr:row>
      <xdr:rowOff>0</xdr:rowOff>
    </xdr:from>
    <xdr:to>
      <xdr:col>2</xdr:col>
      <xdr:colOff>0</xdr:colOff>
      <xdr:row>630</xdr:row>
      <xdr:rowOff>9525</xdr:rowOff>
    </xdr:to>
    <xdr:cxnSp macro="">
      <xdr:nvCxnSpPr>
        <xdr:cNvPr id="648" name="Straight Arrow Connector 647"/>
        <xdr:cNvCxnSpPr/>
      </xdr:nvCxnSpPr>
      <xdr:spPr bwMode="auto">
        <a:xfrm flipV="1">
          <a:off x="933450" y="56483250"/>
          <a:ext cx="2857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304800</xdr:colOff>
      <xdr:row>632</xdr:row>
      <xdr:rowOff>9525</xdr:rowOff>
    </xdr:from>
    <xdr:to>
      <xdr:col>1</xdr:col>
      <xdr:colOff>600075</xdr:colOff>
      <xdr:row>632</xdr:row>
      <xdr:rowOff>11113</xdr:rowOff>
    </xdr:to>
    <xdr:cxnSp macro="">
      <xdr:nvCxnSpPr>
        <xdr:cNvPr id="649" name="Straight Arrow Connector 648"/>
        <xdr:cNvCxnSpPr/>
      </xdr:nvCxnSpPr>
      <xdr:spPr bwMode="auto">
        <a:xfrm>
          <a:off x="914400" y="56816625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635</xdr:row>
      <xdr:rowOff>0</xdr:rowOff>
    </xdr:from>
    <xdr:to>
      <xdr:col>1</xdr:col>
      <xdr:colOff>600075</xdr:colOff>
      <xdr:row>635</xdr:row>
      <xdr:rowOff>1588</xdr:rowOff>
    </xdr:to>
    <xdr:cxnSp macro="">
      <xdr:nvCxnSpPr>
        <xdr:cNvPr id="650" name="Straight Arrow Connector 649"/>
        <xdr:cNvCxnSpPr/>
      </xdr:nvCxnSpPr>
      <xdr:spPr bwMode="auto">
        <a:xfrm>
          <a:off x="933450" y="57292875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600075</xdr:colOff>
      <xdr:row>632</xdr:row>
      <xdr:rowOff>114300</xdr:rowOff>
    </xdr:from>
    <xdr:to>
      <xdr:col>1</xdr:col>
      <xdr:colOff>304800</xdr:colOff>
      <xdr:row>632</xdr:row>
      <xdr:rowOff>114302</xdr:rowOff>
    </xdr:to>
    <xdr:cxnSp macro="">
      <xdr:nvCxnSpPr>
        <xdr:cNvPr id="651" name="Straight Arrow Connector 650"/>
        <xdr:cNvCxnSpPr/>
      </xdr:nvCxnSpPr>
      <xdr:spPr bwMode="auto">
        <a:xfrm>
          <a:off x="600075" y="56921400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635</xdr:row>
      <xdr:rowOff>0</xdr:rowOff>
    </xdr:from>
    <xdr:to>
      <xdr:col>1</xdr:col>
      <xdr:colOff>295275</xdr:colOff>
      <xdr:row>635</xdr:row>
      <xdr:rowOff>1588</xdr:rowOff>
    </xdr:to>
    <xdr:cxnSp macro="">
      <xdr:nvCxnSpPr>
        <xdr:cNvPr id="652" name="Straight Arrow Connector 651"/>
        <xdr:cNvCxnSpPr/>
      </xdr:nvCxnSpPr>
      <xdr:spPr bwMode="auto">
        <a:xfrm>
          <a:off x="419100" y="5729287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104775</xdr:colOff>
      <xdr:row>631</xdr:row>
      <xdr:rowOff>9525</xdr:rowOff>
    </xdr:from>
    <xdr:to>
      <xdr:col>1</xdr:col>
      <xdr:colOff>304800</xdr:colOff>
      <xdr:row>631</xdr:row>
      <xdr:rowOff>11113</xdr:rowOff>
    </xdr:to>
    <xdr:cxnSp macro="">
      <xdr:nvCxnSpPr>
        <xdr:cNvPr id="653" name="Straight Arrow Connector 652"/>
        <xdr:cNvCxnSpPr/>
      </xdr:nvCxnSpPr>
      <xdr:spPr bwMode="auto">
        <a:xfrm>
          <a:off x="714375" y="56654700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419100</xdr:colOff>
      <xdr:row>626</xdr:row>
      <xdr:rowOff>19050</xdr:rowOff>
    </xdr:from>
    <xdr:to>
      <xdr:col>1</xdr:col>
      <xdr:colOff>600075</xdr:colOff>
      <xdr:row>626</xdr:row>
      <xdr:rowOff>20638</xdr:rowOff>
    </xdr:to>
    <xdr:cxnSp macro="">
      <xdr:nvCxnSpPr>
        <xdr:cNvPr id="654" name="Straight Arrow Connector 653"/>
        <xdr:cNvCxnSpPr/>
      </xdr:nvCxnSpPr>
      <xdr:spPr bwMode="auto">
        <a:xfrm>
          <a:off x="1028700" y="55854600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457200</xdr:colOff>
      <xdr:row>625</xdr:row>
      <xdr:rowOff>0</xdr:rowOff>
    </xdr:from>
    <xdr:to>
      <xdr:col>1</xdr:col>
      <xdr:colOff>600075</xdr:colOff>
      <xdr:row>625</xdr:row>
      <xdr:rowOff>1588</xdr:rowOff>
    </xdr:to>
    <xdr:cxnSp macro="">
      <xdr:nvCxnSpPr>
        <xdr:cNvPr id="655" name="Straight Arrow Connector 654"/>
        <xdr:cNvCxnSpPr/>
      </xdr:nvCxnSpPr>
      <xdr:spPr bwMode="auto">
        <a:xfrm>
          <a:off x="1066800" y="55673625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oneCellAnchor>
    <xdr:from>
      <xdr:col>5</xdr:col>
      <xdr:colOff>28575</xdr:colOff>
      <xdr:row>632</xdr:row>
      <xdr:rowOff>9525</xdr:rowOff>
    </xdr:from>
    <xdr:ext cx="235962" cy="170560"/>
    <xdr:sp macro="" textlink="">
      <xdr:nvSpPr>
        <xdr:cNvPr id="656" name="Text Box 133"/>
        <xdr:cNvSpPr txBox="1">
          <a:spLocks noChangeArrowheads="1"/>
        </xdr:cNvSpPr>
      </xdr:nvSpPr>
      <xdr:spPr bwMode="auto">
        <a:xfrm>
          <a:off x="3076575" y="5681662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h3=</a:t>
          </a:r>
        </a:p>
      </xdr:txBody>
    </xdr:sp>
    <xdr:clientData/>
  </xdr:oneCellAnchor>
  <xdr:oneCellAnchor>
    <xdr:from>
      <xdr:col>5</xdr:col>
      <xdr:colOff>38100</xdr:colOff>
      <xdr:row>640</xdr:row>
      <xdr:rowOff>152400</xdr:rowOff>
    </xdr:from>
    <xdr:ext cx="178895" cy="170560"/>
    <xdr:sp macro="" textlink="">
      <xdr:nvSpPr>
        <xdr:cNvPr id="657" name="Text Box 133"/>
        <xdr:cNvSpPr txBox="1">
          <a:spLocks noChangeArrowheads="1"/>
        </xdr:cNvSpPr>
      </xdr:nvSpPr>
      <xdr:spPr bwMode="auto">
        <a:xfrm>
          <a:off x="3086100" y="58254900"/>
          <a:ext cx="17889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5</xdr:col>
      <xdr:colOff>28575</xdr:colOff>
      <xdr:row>639</xdr:row>
      <xdr:rowOff>7193</xdr:rowOff>
    </xdr:from>
    <xdr:ext cx="200311" cy="170560"/>
    <xdr:sp macro="" textlink="">
      <xdr:nvSpPr>
        <xdr:cNvPr id="658" name="Text Box 133"/>
        <xdr:cNvSpPr txBox="1">
          <a:spLocks noChangeArrowheads="1"/>
        </xdr:cNvSpPr>
      </xdr:nvSpPr>
      <xdr:spPr bwMode="auto">
        <a:xfrm>
          <a:off x="3090182" y="98872805"/>
          <a:ext cx="20031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 =</a:t>
          </a:r>
        </a:p>
      </xdr:txBody>
    </xdr:sp>
    <xdr:clientData/>
  </xdr:oneCellAnchor>
  <xdr:twoCellAnchor>
    <xdr:from>
      <xdr:col>1</xdr:col>
      <xdr:colOff>38100</xdr:colOff>
      <xdr:row>629</xdr:row>
      <xdr:rowOff>85726</xdr:rowOff>
    </xdr:from>
    <xdr:to>
      <xdr:col>1</xdr:col>
      <xdr:colOff>590550</xdr:colOff>
      <xdr:row>629</xdr:row>
      <xdr:rowOff>95250</xdr:rowOff>
    </xdr:to>
    <xdr:cxnSp macro="">
      <xdr:nvCxnSpPr>
        <xdr:cNvPr id="659" name="Straight Arrow Connector 658"/>
        <xdr:cNvCxnSpPr/>
      </xdr:nvCxnSpPr>
      <xdr:spPr bwMode="auto">
        <a:xfrm>
          <a:off x="647700" y="5640705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633</xdr:row>
      <xdr:rowOff>76200</xdr:rowOff>
    </xdr:from>
    <xdr:to>
      <xdr:col>2</xdr:col>
      <xdr:colOff>9525</xdr:colOff>
      <xdr:row>633</xdr:row>
      <xdr:rowOff>77788</xdr:rowOff>
    </xdr:to>
    <xdr:cxnSp macro="">
      <xdr:nvCxnSpPr>
        <xdr:cNvPr id="660" name="Straight Arrow Connector 659"/>
        <xdr:cNvCxnSpPr/>
      </xdr:nvCxnSpPr>
      <xdr:spPr bwMode="auto">
        <a:xfrm>
          <a:off x="419100" y="57045225"/>
          <a:ext cx="8096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9528</xdr:colOff>
      <xdr:row>633</xdr:row>
      <xdr:rowOff>76199</xdr:rowOff>
    </xdr:from>
    <xdr:to>
      <xdr:col>4</xdr:col>
      <xdr:colOff>400051</xdr:colOff>
      <xdr:row>633</xdr:row>
      <xdr:rowOff>85724</xdr:rowOff>
    </xdr:to>
    <xdr:cxnSp macro="">
      <xdr:nvCxnSpPr>
        <xdr:cNvPr id="661" name="Straight Arrow Connector 660"/>
        <xdr:cNvCxnSpPr/>
      </xdr:nvCxnSpPr>
      <xdr:spPr bwMode="auto">
        <a:xfrm rot="10800000" flipV="1">
          <a:off x="2447928" y="57045224"/>
          <a:ext cx="390523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542925</xdr:colOff>
      <xdr:row>716</xdr:row>
      <xdr:rowOff>104775</xdr:rowOff>
    </xdr:from>
    <xdr:to>
      <xdr:col>7</xdr:col>
      <xdr:colOff>304800</xdr:colOff>
      <xdr:row>718</xdr:row>
      <xdr:rowOff>0</xdr:rowOff>
    </xdr:to>
    <xdr:sp macro="" textlink="">
      <xdr:nvSpPr>
        <xdr:cNvPr id="662" name="Arc 661"/>
        <xdr:cNvSpPr/>
      </xdr:nvSpPr>
      <xdr:spPr bwMode="auto">
        <a:xfrm>
          <a:off x="4200525" y="71208900"/>
          <a:ext cx="371475" cy="219075"/>
        </a:xfrm>
        <a:prstGeom prst="arc">
          <a:avLst>
            <a:gd name="adj1" fmla="val 9384173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561976</xdr:colOff>
      <xdr:row>716</xdr:row>
      <xdr:rowOff>85725</xdr:rowOff>
    </xdr:from>
    <xdr:to>
      <xdr:col>5</xdr:col>
      <xdr:colOff>152400</xdr:colOff>
      <xdr:row>718</xdr:row>
      <xdr:rowOff>0</xdr:rowOff>
    </xdr:to>
    <xdr:sp macro="" textlink="">
      <xdr:nvSpPr>
        <xdr:cNvPr id="663" name="Arc 662"/>
        <xdr:cNvSpPr/>
      </xdr:nvSpPr>
      <xdr:spPr bwMode="auto">
        <a:xfrm flipH="1">
          <a:off x="3000376" y="71189850"/>
          <a:ext cx="200024" cy="238125"/>
        </a:xfrm>
        <a:prstGeom prst="arc">
          <a:avLst>
            <a:gd name="adj1" fmla="val 16200000"/>
            <a:gd name="adj2" fmla="val 509192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9525</xdr:colOff>
      <xdr:row>723</xdr:row>
      <xdr:rowOff>0</xdr:rowOff>
    </xdr:from>
    <xdr:to>
      <xdr:col>7</xdr:col>
      <xdr:colOff>180975</xdr:colOff>
      <xdr:row>723</xdr:row>
      <xdr:rowOff>1588</xdr:rowOff>
    </xdr:to>
    <xdr:cxnSp macro="">
      <xdr:nvCxnSpPr>
        <xdr:cNvPr id="664" name="Straight Connector 663"/>
        <xdr:cNvCxnSpPr/>
      </xdr:nvCxnSpPr>
      <xdr:spPr bwMode="auto">
        <a:xfrm>
          <a:off x="1228725" y="72237600"/>
          <a:ext cx="32194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724</xdr:row>
      <xdr:rowOff>152400</xdr:rowOff>
    </xdr:from>
    <xdr:to>
      <xdr:col>7</xdr:col>
      <xdr:colOff>171450</xdr:colOff>
      <xdr:row>724</xdr:row>
      <xdr:rowOff>153988</xdr:rowOff>
    </xdr:to>
    <xdr:cxnSp macro="">
      <xdr:nvCxnSpPr>
        <xdr:cNvPr id="665" name="Straight Connector 664"/>
        <xdr:cNvCxnSpPr/>
      </xdr:nvCxnSpPr>
      <xdr:spPr bwMode="auto">
        <a:xfrm>
          <a:off x="1219200" y="72551925"/>
          <a:ext cx="32194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608807</xdr:colOff>
      <xdr:row>723</xdr:row>
      <xdr:rowOff>793</xdr:rowOff>
    </xdr:from>
    <xdr:to>
      <xdr:col>2</xdr:col>
      <xdr:colOff>795</xdr:colOff>
      <xdr:row>724</xdr:row>
      <xdr:rowOff>153193</xdr:rowOff>
    </xdr:to>
    <xdr:cxnSp macro="">
      <xdr:nvCxnSpPr>
        <xdr:cNvPr id="666" name="Straight Connector 665"/>
        <xdr:cNvCxnSpPr/>
      </xdr:nvCxnSpPr>
      <xdr:spPr bwMode="auto">
        <a:xfrm rot="5400000">
          <a:off x="1062038" y="72394762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8731</xdr:colOff>
      <xdr:row>725</xdr:row>
      <xdr:rowOff>115097</xdr:rowOff>
    </xdr:from>
    <xdr:to>
      <xdr:col>2</xdr:col>
      <xdr:colOff>10319</xdr:colOff>
      <xdr:row>729</xdr:row>
      <xdr:rowOff>29371</xdr:rowOff>
    </xdr:to>
    <xdr:cxnSp macro="">
      <xdr:nvCxnSpPr>
        <xdr:cNvPr id="668" name="Straight Connector 667"/>
        <xdr:cNvCxnSpPr/>
      </xdr:nvCxnSpPr>
      <xdr:spPr bwMode="auto">
        <a:xfrm rot="5400000">
          <a:off x="947738" y="72956740"/>
          <a:ext cx="561974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219075</xdr:colOff>
      <xdr:row>720</xdr:row>
      <xdr:rowOff>142877</xdr:rowOff>
    </xdr:from>
    <xdr:to>
      <xdr:col>2</xdr:col>
      <xdr:colOff>220663</xdr:colOff>
      <xdr:row>722</xdr:row>
      <xdr:rowOff>133352</xdr:rowOff>
    </xdr:to>
    <xdr:cxnSp macro="">
      <xdr:nvCxnSpPr>
        <xdr:cNvPr id="669" name="Straight Connector 668"/>
        <xdr:cNvCxnSpPr/>
      </xdr:nvCxnSpPr>
      <xdr:spPr bwMode="auto">
        <a:xfrm rot="5400000">
          <a:off x="1281906" y="72051071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314325</xdr:colOff>
      <xdr:row>725</xdr:row>
      <xdr:rowOff>9528</xdr:rowOff>
    </xdr:from>
    <xdr:to>
      <xdr:col>4</xdr:col>
      <xdr:colOff>315913</xdr:colOff>
      <xdr:row>727</xdr:row>
      <xdr:rowOff>3</xdr:rowOff>
    </xdr:to>
    <xdr:cxnSp macro="">
      <xdr:nvCxnSpPr>
        <xdr:cNvPr id="672" name="Straight Connector 671"/>
        <xdr:cNvCxnSpPr/>
      </xdr:nvCxnSpPr>
      <xdr:spPr bwMode="auto">
        <a:xfrm rot="5400000">
          <a:off x="2596356" y="72727347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238125</xdr:colOff>
      <xdr:row>722</xdr:row>
      <xdr:rowOff>0</xdr:rowOff>
    </xdr:from>
    <xdr:to>
      <xdr:col>7</xdr:col>
      <xdr:colOff>171450</xdr:colOff>
      <xdr:row>722</xdr:row>
      <xdr:rowOff>9525</xdr:rowOff>
    </xdr:to>
    <xdr:cxnSp macro="">
      <xdr:nvCxnSpPr>
        <xdr:cNvPr id="673" name="Straight Arrow Connector 672"/>
        <xdr:cNvCxnSpPr/>
      </xdr:nvCxnSpPr>
      <xdr:spPr bwMode="auto">
        <a:xfrm flipV="1">
          <a:off x="1457325" y="72075675"/>
          <a:ext cx="2981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323850</xdr:colOff>
      <xdr:row>726</xdr:row>
      <xdr:rowOff>9525</xdr:rowOff>
    </xdr:from>
    <xdr:to>
      <xdr:col>7</xdr:col>
      <xdr:colOff>180975</xdr:colOff>
      <xdr:row>726</xdr:row>
      <xdr:rowOff>11113</xdr:rowOff>
    </xdr:to>
    <xdr:cxnSp macro="">
      <xdr:nvCxnSpPr>
        <xdr:cNvPr id="674" name="Straight Arrow Connector 673"/>
        <xdr:cNvCxnSpPr/>
      </xdr:nvCxnSpPr>
      <xdr:spPr bwMode="auto">
        <a:xfrm>
          <a:off x="2762250" y="72732900"/>
          <a:ext cx="1685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400050</xdr:colOff>
      <xdr:row>728</xdr:row>
      <xdr:rowOff>85725</xdr:rowOff>
    </xdr:from>
    <xdr:to>
      <xdr:col>7</xdr:col>
      <xdr:colOff>180975</xdr:colOff>
      <xdr:row>728</xdr:row>
      <xdr:rowOff>96838</xdr:rowOff>
    </xdr:to>
    <xdr:cxnSp macro="">
      <xdr:nvCxnSpPr>
        <xdr:cNvPr id="675" name="Straight Arrow Connector 674"/>
        <xdr:cNvCxnSpPr/>
      </xdr:nvCxnSpPr>
      <xdr:spPr bwMode="auto">
        <a:xfrm>
          <a:off x="3448050" y="73132950"/>
          <a:ext cx="1000125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19051</xdr:colOff>
      <xdr:row>728</xdr:row>
      <xdr:rowOff>95250</xdr:rowOff>
    </xdr:from>
    <xdr:to>
      <xdr:col>4</xdr:col>
      <xdr:colOff>85726</xdr:colOff>
      <xdr:row>728</xdr:row>
      <xdr:rowOff>96838</xdr:rowOff>
    </xdr:to>
    <xdr:cxnSp macro="">
      <xdr:nvCxnSpPr>
        <xdr:cNvPr id="676" name="Straight Arrow Connector 675"/>
        <xdr:cNvCxnSpPr/>
      </xdr:nvCxnSpPr>
      <xdr:spPr bwMode="auto">
        <a:xfrm rot="10800000">
          <a:off x="1238251" y="73142475"/>
          <a:ext cx="1285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219075</xdr:colOff>
      <xdr:row>722</xdr:row>
      <xdr:rowOff>152400</xdr:rowOff>
    </xdr:from>
    <xdr:to>
      <xdr:col>7</xdr:col>
      <xdr:colOff>476250</xdr:colOff>
      <xdr:row>722</xdr:row>
      <xdr:rowOff>153988</xdr:rowOff>
    </xdr:to>
    <xdr:cxnSp macro="">
      <xdr:nvCxnSpPr>
        <xdr:cNvPr id="677" name="Straight Connector 676"/>
        <xdr:cNvCxnSpPr/>
      </xdr:nvCxnSpPr>
      <xdr:spPr bwMode="auto">
        <a:xfrm>
          <a:off x="4486275" y="7222807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228600</xdr:colOff>
      <xdr:row>725</xdr:row>
      <xdr:rowOff>0</xdr:rowOff>
    </xdr:from>
    <xdr:to>
      <xdr:col>7</xdr:col>
      <xdr:colOff>485775</xdr:colOff>
      <xdr:row>725</xdr:row>
      <xdr:rowOff>1588</xdr:rowOff>
    </xdr:to>
    <xdr:cxnSp macro="">
      <xdr:nvCxnSpPr>
        <xdr:cNvPr id="678" name="Straight Connector 677"/>
        <xdr:cNvCxnSpPr/>
      </xdr:nvCxnSpPr>
      <xdr:spPr bwMode="auto">
        <a:xfrm>
          <a:off x="4495800" y="7256145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723</xdr:row>
      <xdr:rowOff>19049</xdr:rowOff>
    </xdr:from>
    <xdr:to>
      <xdr:col>7</xdr:col>
      <xdr:colOff>295275</xdr:colOff>
      <xdr:row>725</xdr:row>
      <xdr:rowOff>9524</xdr:rowOff>
    </xdr:to>
    <xdr:cxnSp macro="">
      <xdr:nvCxnSpPr>
        <xdr:cNvPr id="679" name="Straight Arrow Connector 678"/>
        <xdr:cNvCxnSpPr/>
      </xdr:nvCxnSpPr>
      <xdr:spPr bwMode="auto">
        <a:xfrm rot="16200000" flipH="1">
          <a:off x="4400550" y="72409049"/>
          <a:ext cx="314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342900</xdr:colOff>
      <xdr:row>722</xdr:row>
      <xdr:rowOff>133350</xdr:rowOff>
    </xdr:from>
    <xdr:to>
      <xdr:col>2</xdr:col>
      <xdr:colOff>104775</xdr:colOff>
      <xdr:row>725</xdr:row>
      <xdr:rowOff>28575</xdr:rowOff>
    </xdr:to>
    <xdr:sp macro="" textlink="">
      <xdr:nvSpPr>
        <xdr:cNvPr id="680" name="Arc 679"/>
        <xdr:cNvSpPr/>
      </xdr:nvSpPr>
      <xdr:spPr bwMode="auto">
        <a:xfrm>
          <a:off x="952500" y="72209025"/>
          <a:ext cx="371475" cy="381000"/>
        </a:xfrm>
        <a:prstGeom prst="arc">
          <a:avLst>
            <a:gd name="adj1" fmla="val 6868560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504825</xdr:colOff>
      <xdr:row>722</xdr:row>
      <xdr:rowOff>85725</xdr:rowOff>
    </xdr:from>
    <xdr:to>
      <xdr:col>8</xdr:col>
      <xdr:colOff>219075</xdr:colOff>
      <xdr:row>724</xdr:row>
      <xdr:rowOff>152400</xdr:rowOff>
    </xdr:to>
    <xdr:sp macro="" textlink="">
      <xdr:nvSpPr>
        <xdr:cNvPr id="681" name="Arc 680"/>
        <xdr:cNvSpPr/>
      </xdr:nvSpPr>
      <xdr:spPr bwMode="auto">
        <a:xfrm flipH="1">
          <a:off x="4772025" y="72161400"/>
          <a:ext cx="323850" cy="390525"/>
        </a:xfrm>
        <a:prstGeom prst="arc">
          <a:avLst>
            <a:gd name="adj1" fmla="val 4531782"/>
            <a:gd name="adj2" fmla="val 17612854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190509</xdr:colOff>
      <xdr:row>626</xdr:row>
      <xdr:rowOff>85724</xdr:rowOff>
    </xdr:from>
    <xdr:to>
      <xdr:col>4</xdr:col>
      <xdr:colOff>219076</xdr:colOff>
      <xdr:row>626</xdr:row>
      <xdr:rowOff>104773</xdr:rowOff>
    </xdr:to>
    <xdr:cxnSp macro="">
      <xdr:nvCxnSpPr>
        <xdr:cNvPr id="682" name="Straight Arrow Connector 681"/>
        <xdr:cNvCxnSpPr/>
      </xdr:nvCxnSpPr>
      <xdr:spPr bwMode="auto">
        <a:xfrm rot="10800000" flipV="1">
          <a:off x="2019309" y="55921274"/>
          <a:ext cx="6381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180974</xdr:colOff>
      <xdr:row>626</xdr:row>
      <xdr:rowOff>95250</xdr:rowOff>
    </xdr:from>
    <xdr:to>
      <xdr:col>3</xdr:col>
      <xdr:colOff>190499</xdr:colOff>
      <xdr:row>628</xdr:row>
      <xdr:rowOff>0</xdr:rowOff>
    </xdr:to>
    <xdr:cxnSp macro="">
      <xdr:nvCxnSpPr>
        <xdr:cNvPr id="683" name="Straight Arrow Connector 682"/>
        <xdr:cNvCxnSpPr/>
      </xdr:nvCxnSpPr>
      <xdr:spPr bwMode="auto">
        <a:xfrm rot="16200000" flipH="1">
          <a:off x="1900237" y="56040337"/>
          <a:ext cx="228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sm" len="sm"/>
          <a:tailEnd type="triangle" w="sm" len="sm"/>
        </a:ln>
        <a:effectLst/>
      </xdr:spPr>
    </xdr:cxnSp>
    <xdr:clientData/>
  </xdr:twoCellAnchor>
  <xdr:twoCellAnchor>
    <xdr:from>
      <xdr:col>4</xdr:col>
      <xdr:colOff>342108</xdr:colOff>
      <xdr:row>719</xdr:row>
      <xdr:rowOff>9528</xdr:rowOff>
    </xdr:from>
    <xdr:to>
      <xdr:col>4</xdr:col>
      <xdr:colOff>342901</xdr:colOff>
      <xdr:row>721</xdr:row>
      <xdr:rowOff>115093</xdr:rowOff>
    </xdr:to>
    <xdr:cxnSp macro="">
      <xdr:nvCxnSpPr>
        <xdr:cNvPr id="684" name="Straight Arrow Connector 683"/>
        <xdr:cNvCxnSpPr/>
      </xdr:nvCxnSpPr>
      <xdr:spPr bwMode="auto">
        <a:xfrm rot="5400000">
          <a:off x="2566197" y="71813739"/>
          <a:ext cx="429415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323850</xdr:colOff>
      <xdr:row>719</xdr:row>
      <xdr:rowOff>152400</xdr:rowOff>
    </xdr:from>
    <xdr:to>
      <xdr:col>7</xdr:col>
      <xdr:colOff>180975</xdr:colOff>
      <xdr:row>719</xdr:row>
      <xdr:rowOff>153988</xdr:rowOff>
    </xdr:to>
    <xdr:cxnSp macro="">
      <xdr:nvCxnSpPr>
        <xdr:cNvPr id="685" name="Straight Arrow Connector 684"/>
        <xdr:cNvCxnSpPr/>
      </xdr:nvCxnSpPr>
      <xdr:spPr bwMode="auto">
        <a:xfrm>
          <a:off x="2762250" y="71742300"/>
          <a:ext cx="1685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190500</xdr:colOff>
      <xdr:row>720</xdr:row>
      <xdr:rowOff>85728</xdr:rowOff>
    </xdr:from>
    <xdr:to>
      <xdr:col>8</xdr:col>
      <xdr:colOff>19052</xdr:colOff>
      <xdr:row>721</xdr:row>
      <xdr:rowOff>9525</xdr:rowOff>
    </xdr:to>
    <xdr:cxnSp macro="">
      <xdr:nvCxnSpPr>
        <xdr:cNvPr id="686" name="Straight Arrow Connector 685"/>
        <xdr:cNvCxnSpPr/>
      </xdr:nvCxnSpPr>
      <xdr:spPr bwMode="auto">
        <a:xfrm rot="10800000" flipV="1">
          <a:off x="4457700" y="71837553"/>
          <a:ext cx="438152" cy="857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323056</xdr:colOff>
      <xdr:row>632</xdr:row>
      <xdr:rowOff>48419</xdr:rowOff>
    </xdr:from>
    <xdr:to>
      <xdr:col>6</xdr:col>
      <xdr:colOff>324644</xdr:colOff>
      <xdr:row>634</xdr:row>
      <xdr:rowOff>48419</xdr:rowOff>
    </xdr:to>
    <xdr:cxnSp macro="">
      <xdr:nvCxnSpPr>
        <xdr:cNvPr id="687" name="Straight Arrow Connector 686"/>
        <xdr:cNvCxnSpPr/>
      </xdr:nvCxnSpPr>
      <xdr:spPr bwMode="auto">
        <a:xfrm rot="5400000">
          <a:off x="3819525" y="57016650"/>
          <a:ext cx="32385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9525</xdr:colOff>
      <xdr:row>726</xdr:row>
      <xdr:rowOff>95250</xdr:rowOff>
    </xdr:from>
    <xdr:to>
      <xdr:col>2</xdr:col>
      <xdr:colOff>276225</xdr:colOff>
      <xdr:row>726</xdr:row>
      <xdr:rowOff>96838</xdr:rowOff>
    </xdr:to>
    <xdr:cxnSp macro="">
      <xdr:nvCxnSpPr>
        <xdr:cNvPr id="688" name="Straight Arrow Connector 687"/>
        <xdr:cNvCxnSpPr/>
      </xdr:nvCxnSpPr>
      <xdr:spPr bwMode="auto">
        <a:xfrm>
          <a:off x="1228725" y="72818625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298385</xdr:colOff>
      <xdr:row>43</xdr:row>
      <xdr:rowOff>172034</xdr:rowOff>
    </xdr:from>
    <xdr:to>
      <xdr:col>5</xdr:col>
      <xdr:colOff>460310</xdr:colOff>
      <xdr:row>44</xdr:row>
      <xdr:rowOff>114884</xdr:rowOff>
    </xdr:to>
    <xdr:sp macro="" textlink="">
      <xdr:nvSpPr>
        <xdr:cNvPr id="699" name="Line 2153"/>
        <xdr:cNvSpPr>
          <a:spLocks noChangeShapeType="1"/>
        </xdr:cNvSpPr>
      </xdr:nvSpPr>
      <xdr:spPr bwMode="auto">
        <a:xfrm flipH="1">
          <a:off x="3359992" y="8112774"/>
          <a:ext cx="161925" cy="13723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323850</xdr:colOff>
      <xdr:row>64</xdr:row>
      <xdr:rowOff>152400</xdr:rowOff>
    </xdr:from>
    <xdr:to>
      <xdr:col>0</xdr:col>
      <xdr:colOff>581025</xdr:colOff>
      <xdr:row>66</xdr:row>
      <xdr:rowOff>794</xdr:rowOff>
    </xdr:to>
    <xdr:grpSp>
      <xdr:nvGrpSpPr>
        <xdr:cNvPr id="694" name="Group 693"/>
        <xdr:cNvGrpSpPr/>
      </xdr:nvGrpSpPr>
      <xdr:grpSpPr>
        <a:xfrm>
          <a:off x="323850" y="11306175"/>
          <a:ext cx="257175" cy="172244"/>
          <a:chOff x="314325" y="124721144"/>
          <a:chExt cx="257175" cy="172244"/>
        </a:xfrm>
      </xdr:grpSpPr>
      <xdr:cxnSp macro="">
        <xdr:nvCxnSpPr>
          <xdr:cNvPr id="696" name="Straight Connector 695"/>
          <xdr:cNvCxnSpPr/>
        </xdr:nvCxnSpPr>
        <xdr:spPr bwMode="auto">
          <a:xfrm>
            <a:off x="314325" y="124891800"/>
            <a:ext cx="238125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697" name="Straight Connector 696"/>
          <xdr:cNvCxnSpPr/>
        </xdr:nvCxnSpPr>
        <xdr:spPr bwMode="auto">
          <a:xfrm>
            <a:off x="323850" y="124739400"/>
            <a:ext cx="24765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700" name="Straight Arrow Connector 699"/>
          <xdr:cNvCxnSpPr/>
        </xdr:nvCxnSpPr>
        <xdr:spPr bwMode="auto">
          <a:xfrm rot="5400000">
            <a:off x="414338" y="124801313"/>
            <a:ext cx="161925" cy="1588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triangle" w="sm" len="sm"/>
            <a:tailEnd type="triangle" w="sm" len="sm"/>
          </a:ln>
          <a:effectLst/>
        </xdr:spPr>
      </xdr:cxnSp>
    </xdr:grpSp>
    <xdr:clientData/>
  </xdr:twoCellAnchor>
  <xdr:twoCellAnchor>
    <xdr:from>
      <xdr:col>1</xdr:col>
      <xdr:colOff>0</xdr:colOff>
      <xdr:row>60</xdr:row>
      <xdr:rowOff>47625</xdr:rowOff>
    </xdr:from>
    <xdr:to>
      <xdr:col>1</xdr:col>
      <xdr:colOff>1588</xdr:colOff>
      <xdr:row>61</xdr:row>
      <xdr:rowOff>180975</xdr:rowOff>
    </xdr:to>
    <xdr:cxnSp macro="">
      <xdr:nvCxnSpPr>
        <xdr:cNvPr id="702" name="Straight Connector 701"/>
        <xdr:cNvCxnSpPr/>
      </xdr:nvCxnSpPr>
      <xdr:spPr bwMode="auto">
        <a:xfrm rot="5400000">
          <a:off x="448469" y="995283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590551</xdr:colOff>
      <xdr:row>60</xdr:row>
      <xdr:rowOff>180975</xdr:rowOff>
    </xdr:from>
    <xdr:to>
      <xdr:col>1</xdr:col>
      <xdr:colOff>485775</xdr:colOff>
      <xdr:row>61</xdr:row>
      <xdr:rowOff>1</xdr:rowOff>
    </xdr:to>
    <xdr:cxnSp macro="">
      <xdr:nvCxnSpPr>
        <xdr:cNvPr id="704" name="Straight Connector 703"/>
        <xdr:cNvCxnSpPr/>
      </xdr:nvCxnSpPr>
      <xdr:spPr bwMode="auto">
        <a:xfrm rot="10800000" flipV="1">
          <a:off x="590551" y="9925050"/>
          <a:ext cx="504824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600075</xdr:colOff>
      <xdr:row>71</xdr:row>
      <xdr:rowOff>171450</xdr:rowOff>
    </xdr:from>
    <xdr:to>
      <xdr:col>6</xdr:col>
      <xdr:colOff>600075</xdr:colOff>
      <xdr:row>71</xdr:row>
      <xdr:rowOff>173038</xdr:rowOff>
    </xdr:to>
    <xdr:cxnSp macro="">
      <xdr:nvCxnSpPr>
        <xdr:cNvPr id="708" name="Straight Arrow Connector 707"/>
        <xdr:cNvCxnSpPr/>
      </xdr:nvCxnSpPr>
      <xdr:spPr bwMode="auto">
        <a:xfrm>
          <a:off x="600075" y="11811000"/>
          <a:ext cx="3657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9</xdr:col>
      <xdr:colOff>9525</xdr:colOff>
      <xdr:row>83</xdr:row>
      <xdr:rowOff>0</xdr:rowOff>
    </xdr:from>
    <xdr:ext cx="123825" cy="180975"/>
    <xdr:sp macro="" textlink="">
      <xdr:nvSpPr>
        <xdr:cNvPr id="777" name="Text Box 62"/>
        <xdr:cNvSpPr txBox="1">
          <a:spLocks noChangeArrowheads="1"/>
        </xdr:cNvSpPr>
      </xdr:nvSpPr>
      <xdr:spPr bwMode="auto">
        <a:xfrm>
          <a:off x="5495925" y="139255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9525</xdr:colOff>
      <xdr:row>76</xdr:row>
      <xdr:rowOff>161925</xdr:rowOff>
    </xdr:from>
    <xdr:to>
      <xdr:col>2</xdr:col>
      <xdr:colOff>9525</xdr:colOff>
      <xdr:row>79</xdr:row>
      <xdr:rowOff>19050</xdr:rowOff>
    </xdr:to>
    <xdr:sp macro="" textlink="">
      <xdr:nvSpPr>
        <xdr:cNvPr id="778" name="Line 92"/>
        <xdr:cNvSpPr>
          <a:spLocks noChangeShapeType="1"/>
        </xdr:cNvSpPr>
      </xdr:nvSpPr>
      <xdr:spPr bwMode="auto">
        <a:xfrm>
          <a:off x="1228725" y="12753975"/>
          <a:ext cx="0" cy="428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19050</xdr:colOff>
      <xdr:row>79</xdr:row>
      <xdr:rowOff>28573</xdr:rowOff>
    </xdr:from>
    <xdr:to>
      <xdr:col>8</xdr:col>
      <xdr:colOff>171450</xdr:colOff>
      <xdr:row>80</xdr:row>
      <xdr:rowOff>152399</xdr:rowOff>
    </xdr:to>
    <xdr:sp macro="" textlink="">
      <xdr:nvSpPr>
        <xdr:cNvPr id="779" name="Line 93"/>
        <xdr:cNvSpPr>
          <a:spLocks noChangeShapeType="1"/>
        </xdr:cNvSpPr>
      </xdr:nvSpPr>
      <xdr:spPr bwMode="auto">
        <a:xfrm flipH="1" flipV="1">
          <a:off x="1238250" y="13192123"/>
          <a:ext cx="3810000" cy="31432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200025</xdr:colOff>
      <xdr:row>76</xdr:row>
      <xdr:rowOff>133350</xdr:rowOff>
    </xdr:from>
    <xdr:to>
      <xdr:col>2</xdr:col>
      <xdr:colOff>200025</xdr:colOff>
      <xdr:row>78</xdr:row>
      <xdr:rowOff>28575</xdr:rowOff>
    </xdr:to>
    <xdr:sp macro="" textlink="">
      <xdr:nvSpPr>
        <xdr:cNvPr id="780" name="Line 94"/>
        <xdr:cNvSpPr>
          <a:spLocks noChangeShapeType="1"/>
        </xdr:cNvSpPr>
      </xdr:nvSpPr>
      <xdr:spPr bwMode="auto">
        <a:xfrm flipV="1">
          <a:off x="1419225" y="12725400"/>
          <a:ext cx="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219074</xdr:colOff>
      <xdr:row>78</xdr:row>
      <xdr:rowOff>19049</xdr:rowOff>
    </xdr:from>
    <xdr:to>
      <xdr:col>8</xdr:col>
      <xdr:colOff>161921</xdr:colOff>
      <xdr:row>79</xdr:row>
      <xdr:rowOff>133348</xdr:rowOff>
    </xdr:to>
    <xdr:sp macro="" textlink="">
      <xdr:nvSpPr>
        <xdr:cNvPr id="786" name="Line 100"/>
        <xdr:cNvSpPr>
          <a:spLocks noChangeShapeType="1"/>
        </xdr:cNvSpPr>
      </xdr:nvSpPr>
      <xdr:spPr bwMode="auto">
        <a:xfrm flipH="1" flipV="1">
          <a:off x="1438274" y="12992099"/>
          <a:ext cx="3600447" cy="30479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161925</xdr:colOff>
      <xdr:row>79</xdr:row>
      <xdr:rowOff>123825</xdr:rowOff>
    </xdr:from>
    <xdr:to>
      <xdr:col>8</xdr:col>
      <xdr:colOff>161925</xdr:colOff>
      <xdr:row>88</xdr:row>
      <xdr:rowOff>123825</xdr:rowOff>
    </xdr:to>
    <xdr:sp macro="" textlink="">
      <xdr:nvSpPr>
        <xdr:cNvPr id="787" name="Line 101"/>
        <xdr:cNvSpPr>
          <a:spLocks noChangeShapeType="1"/>
        </xdr:cNvSpPr>
      </xdr:nvSpPr>
      <xdr:spPr bwMode="auto">
        <a:xfrm flipH="1">
          <a:off x="5038725" y="12658725"/>
          <a:ext cx="0" cy="1714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87</xdr:row>
      <xdr:rowOff>123822</xdr:rowOff>
    </xdr:from>
    <xdr:to>
      <xdr:col>8</xdr:col>
      <xdr:colOff>161925</xdr:colOff>
      <xdr:row>90</xdr:row>
      <xdr:rowOff>47624</xdr:rowOff>
    </xdr:to>
    <xdr:sp macro="" textlink="">
      <xdr:nvSpPr>
        <xdr:cNvPr id="788" name="Line 102"/>
        <xdr:cNvSpPr>
          <a:spLocks noChangeShapeType="1"/>
        </xdr:cNvSpPr>
      </xdr:nvSpPr>
      <xdr:spPr bwMode="auto">
        <a:xfrm flipV="1">
          <a:off x="1219200" y="14182722"/>
          <a:ext cx="3819525" cy="49530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90</xdr:row>
      <xdr:rowOff>66675</xdr:rowOff>
    </xdr:from>
    <xdr:to>
      <xdr:col>2</xdr:col>
      <xdr:colOff>0</xdr:colOff>
      <xdr:row>92</xdr:row>
      <xdr:rowOff>161925</xdr:rowOff>
    </xdr:to>
    <xdr:sp macro="" textlink="">
      <xdr:nvSpPr>
        <xdr:cNvPr id="789" name="Line 103"/>
        <xdr:cNvSpPr>
          <a:spLocks noChangeShapeType="1"/>
        </xdr:cNvSpPr>
      </xdr:nvSpPr>
      <xdr:spPr bwMode="auto">
        <a:xfrm>
          <a:off x="1219200" y="14697075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171450</xdr:colOff>
      <xdr:row>91</xdr:row>
      <xdr:rowOff>0</xdr:rowOff>
    </xdr:from>
    <xdr:to>
      <xdr:col>2</xdr:col>
      <xdr:colOff>171450</xdr:colOff>
      <xdr:row>92</xdr:row>
      <xdr:rowOff>180975</xdr:rowOff>
    </xdr:to>
    <xdr:sp macro="" textlink="">
      <xdr:nvSpPr>
        <xdr:cNvPr id="790" name="Line 104"/>
        <xdr:cNvSpPr>
          <a:spLocks noChangeShapeType="1"/>
        </xdr:cNvSpPr>
      </xdr:nvSpPr>
      <xdr:spPr bwMode="auto">
        <a:xfrm>
          <a:off x="1390650" y="14820900"/>
          <a:ext cx="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171449</xdr:colOff>
      <xdr:row>88</xdr:row>
      <xdr:rowOff>123825</xdr:rowOff>
    </xdr:from>
    <xdr:to>
      <xdr:col>8</xdr:col>
      <xdr:colOff>180973</xdr:colOff>
      <xdr:row>91</xdr:row>
      <xdr:rowOff>9525</xdr:rowOff>
    </xdr:to>
    <xdr:sp macro="" textlink="">
      <xdr:nvSpPr>
        <xdr:cNvPr id="791" name="Line 105"/>
        <xdr:cNvSpPr>
          <a:spLocks noChangeShapeType="1"/>
        </xdr:cNvSpPr>
      </xdr:nvSpPr>
      <xdr:spPr bwMode="auto">
        <a:xfrm flipH="1">
          <a:off x="1390649" y="14373225"/>
          <a:ext cx="3667124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73</xdr:row>
      <xdr:rowOff>95250</xdr:rowOff>
    </xdr:from>
    <xdr:to>
      <xdr:col>2</xdr:col>
      <xdr:colOff>428625</xdr:colOff>
      <xdr:row>75</xdr:row>
      <xdr:rowOff>85725</xdr:rowOff>
    </xdr:to>
    <xdr:sp macro="" textlink="">
      <xdr:nvSpPr>
        <xdr:cNvPr id="795" name="Oval 112"/>
        <xdr:cNvSpPr>
          <a:spLocks noChangeArrowheads="1"/>
        </xdr:cNvSpPr>
      </xdr:nvSpPr>
      <xdr:spPr bwMode="auto">
        <a:xfrm>
          <a:off x="1381125" y="12115800"/>
          <a:ext cx="266700" cy="3714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152400</xdr:colOff>
      <xdr:row>93</xdr:row>
      <xdr:rowOff>57150</xdr:rowOff>
    </xdr:from>
    <xdr:to>
      <xdr:col>2</xdr:col>
      <xdr:colOff>419100</xdr:colOff>
      <xdr:row>95</xdr:row>
      <xdr:rowOff>66675</xdr:rowOff>
    </xdr:to>
    <xdr:sp macro="" textlink="">
      <xdr:nvSpPr>
        <xdr:cNvPr id="796" name="Oval 114"/>
        <xdr:cNvSpPr>
          <a:spLocks noChangeArrowheads="1"/>
        </xdr:cNvSpPr>
      </xdr:nvSpPr>
      <xdr:spPr bwMode="auto">
        <a:xfrm>
          <a:off x="1371600" y="15887700"/>
          <a:ext cx="266700" cy="3905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228600</xdr:colOff>
      <xdr:row>91</xdr:row>
      <xdr:rowOff>123825</xdr:rowOff>
    </xdr:from>
    <xdr:to>
      <xdr:col>2</xdr:col>
      <xdr:colOff>228600</xdr:colOff>
      <xdr:row>93</xdr:row>
      <xdr:rowOff>9525</xdr:rowOff>
    </xdr:to>
    <xdr:sp macro="" textlink="">
      <xdr:nvSpPr>
        <xdr:cNvPr id="797" name="Line 115"/>
        <xdr:cNvSpPr>
          <a:spLocks noChangeShapeType="1"/>
        </xdr:cNvSpPr>
      </xdr:nvSpPr>
      <xdr:spPr bwMode="auto">
        <a:xfrm>
          <a:off x="1447800" y="1494472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4</xdr:col>
      <xdr:colOff>0</xdr:colOff>
      <xdr:row>75</xdr:row>
      <xdr:rowOff>28575</xdr:rowOff>
    </xdr:from>
    <xdr:to>
      <xdr:col>4</xdr:col>
      <xdr:colOff>0</xdr:colOff>
      <xdr:row>77</xdr:row>
      <xdr:rowOff>142875</xdr:rowOff>
    </xdr:to>
    <xdr:sp macro="" textlink="">
      <xdr:nvSpPr>
        <xdr:cNvPr id="798" name="Line 116"/>
        <xdr:cNvSpPr>
          <a:spLocks noChangeShapeType="1"/>
        </xdr:cNvSpPr>
      </xdr:nvSpPr>
      <xdr:spPr bwMode="auto">
        <a:xfrm flipV="1">
          <a:off x="2438400" y="12430125"/>
          <a:ext cx="0" cy="4953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4</xdr:col>
      <xdr:colOff>9525</xdr:colOff>
      <xdr:row>90</xdr:row>
      <xdr:rowOff>95250</xdr:rowOff>
    </xdr:from>
    <xdr:to>
      <xdr:col>4</xdr:col>
      <xdr:colOff>9525</xdr:colOff>
      <xdr:row>93</xdr:row>
      <xdr:rowOff>19050</xdr:rowOff>
    </xdr:to>
    <xdr:sp macro="" textlink="">
      <xdr:nvSpPr>
        <xdr:cNvPr id="799" name="Line 117"/>
        <xdr:cNvSpPr>
          <a:spLocks noChangeShapeType="1"/>
        </xdr:cNvSpPr>
      </xdr:nvSpPr>
      <xdr:spPr bwMode="auto">
        <a:xfrm flipH="1">
          <a:off x="2447925" y="15354300"/>
          <a:ext cx="0" cy="4953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</xdr:col>
      <xdr:colOff>447675</xdr:colOff>
      <xdr:row>73</xdr:row>
      <xdr:rowOff>123825</xdr:rowOff>
    </xdr:from>
    <xdr:to>
      <xdr:col>4</xdr:col>
      <xdr:colOff>104775</xdr:colOff>
      <xdr:row>75</xdr:row>
      <xdr:rowOff>114300</xdr:rowOff>
    </xdr:to>
    <xdr:sp macro="" textlink="">
      <xdr:nvSpPr>
        <xdr:cNvPr id="800" name="Oval 118"/>
        <xdr:cNvSpPr>
          <a:spLocks noChangeArrowheads="1"/>
        </xdr:cNvSpPr>
      </xdr:nvSpPr>
      <xdr:spPr bwMode="auto">
        <a:xfrm>
          <a:off x="2276475" y="12144375"/>
          <a:ext cx="266700" cy="3714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</xdr:col>
      <xdr:colOff>447675</xdr:colOff>
      <xdr:row>92</xdr:row>
      <xdr:rowOff>152400</xdr:rowOff>
    </xdr:from>
    <xdr:to>
      <xdr:col>4</xdr:col>
      <xdr:colOff>104775</xdr:colOff>
      <xdr:row>94</xdr:row>
      <xdr:rowOff>114300</xdr:rowOff>
    </xdr:to>
    <xdr:sp macro="" textlink="">
      <xdr:nvSpPr>
        <xdr:cNvPr id="801" name="Oval 119"/>
        <xdr:cNvSpPr>
          <a:spLocks noChangeArrowheads="1"/>
        </xdr:cNvSpPr>
      </xdr:nvSpPr>
      <xdr:spPr bwMode="auto">
        <a:xfrm>
          <a:off x="2276475" y="157924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 editAs="oneCell">
    <xdr:from>
      <xdr:col>7</xdr:col>
      <xdr:colOff>533400</xdr:colOff>
      <xdr:row>97</xdr:row>
      <xdr:rowOff>123825</xdr:rowOff>
    </xdr:from>
    <xdr:to>
      <xdr:col>8</xdr:col>
      <xdr:colOff>0</xdr:colOff>
      <xdr:row>98</xdr:row>
      <xdr:rowOff>104775</xdr:rowOff>
    </xdr:to>
    <xdr:sp macro="" textlink="">
      <xdr:nvSpPr>
        <xdr:cNvPr id="804" name="Text Box 130"/>
        <xdr:cNvSpPr txBox="1">
          <a:spLocks noChangeArrowheads="1"/>
        </xdr:cNvSpPr>
      </xdr:nvSpPr>
      <xdr:spPr bwMode="auto">
        <a:xfrm>
          <a:off x="10896600" y="15735300"/>
          <a:ext cx="7620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285750</xdr:colOff>
      <xdr:row>96</xdr:row>
      <xdr:rowOff>171450</xdr:rowOff>
    </xdr:from>
    <xdr:ext cx="123825" cy="180975"/>
    <xdr:sp macro="" textlink="">
      <xdr:nvSpPr>
        <xdr:cNvPr id="805" name="Text Box 131"/>
        <xdr:cNvSpPr txBox="1">
          <a:spLocks noChangeArrowheads="1"/>
        </xdr:cNvSpPr>
      </xdr:nvSpPr>
      <xdr:spPr bwMode="auto">
        <a:xfrm>
          <a:off x="2114550" y="165735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</xdr:col>
      <xdr:colOff>400050</xdr:colOff>
      <xdr:row>83</xdr:row>
      <xdr:rowOff>0</xdr:rowOff>
    </xdr:from>
    <xdr:ext cx="123825" cy="180975"/>
    <xdr:sp macro="" textlink="">
      <xdr:nvSpPr>
        <xdr:cNvPr id="806" name="Text Box 132"/>
        <xdr:cNvSpPr txBox="1">
          <a:spLocks noChangeArrowheads="1"/>
        </xdr:cNvSpPr>
      </xdr:nvSpPr>
      <xdr:spPr bwMode="auto">
        <a:xfrm>
          <a:off x="3448050" y="139255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4</xdr:col>
      <xdr:colOff>28575</xdr:colOff>
      <xdr:row>83</xdr:row>
      <xdr:rowOff>9525</xdr:rowOff>
    </xdr:from>
    <xdr:ext cx="123825" cy="180975"/>
    <xdr:sp macro="" textlink="">
      <xdr:nvSpPr>
        <xdr:cNvPr id="807" name="Text Box 133"/>
        <xdr:cNvSpPr txBox="1">
          <a:spLocks noChangeArrowheads="1"/>
        </xdr:cNvSpPr>
      </xdr:nvSpPr>
      <xdr:spPr bwMode="auto">
        <a:xfrm>
          <a:off x="2466975" y="139350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295275</xdr:colOff>
      <xdr:row>80</xdr:row>
      <xdr:rowOff>142875</xdr:rowOff>
    </xdr:from>
    <xdr:to>
      <xdr:col>8</xdr:col>
      <xdr:colOff>295275</xdr:colOff>
      <xdr:row>87</xdr:row>
      <xdr:rowOff>142875</xdr:rowOff>
    </xdr:to>
    <xdr:sp macro="" textlink="">
      <xdr:nvSpPr>
        <xdr:cNvPr id="808" name="Line 134"/>
        <xdr:cNvSpPr>
          <a:spLocks noChangeShapeType="1"/>
        </xdr:cNvSpPr>
      </xdr:nvSpPr>
      <xdr:spPr bwMode="auto">
        <a:xfrm>
          <a:off x="5172075" y="12868275"/>
          <a:ext cx="0" cy="1333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8</xdr:col>
      <xdr:colOff>295275</xdr:colOff>
      <xdr:row>87</xdr:row>
      <xdr:rowOff>142875</xdr:rowOff>
    </xdr:from>
    <xdr:to>
      <xdr:col>8</xdr:col>
      <xdr:colOff>295275</xdr:colOff>
      <xdr:row>88</xdr:row>
      <xdr:rowOff>142875</xdr:rowOff>
    </xdr:to>
    <xdr:sp macro="" textlink="">
      <xdr:nvSpPr>
        <xdr:cNvPr id="809" name="Line 135"/>
        <xdr:cNvSpPr>
          <a:spLocks noChangeShapeType="1"/>
        </xdr:cNvSpPr>
      </xdr:nvSpPr>
      <xdr:spPr bwMode="auto">
        <a:xfrm>
          <a:off x="5172075" y="142017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8</xdr:col>
      <xdr:colOff>295275</xdr:colOff>
      <xdr:row>79</xdr:row>
      <xdr:rowOff>142875</xdr:rowOff>
    </xdr:from>
    <xdr:to>
      <xdr:col>8</xdr:col>
      <xdr:colOff>295275</xdr:colOff>
      <xdr:row>80</xdr:row>
      <xdr:rowOff>142875</xdr:rowOff>
    </xdr:to>
    <xdr:sp macro="" textlink="">
      <xdr:nvSpPr>
        <xdr:cNvPr id="810" name="Line 136"/>
        <xdr:cNvSpPr>
          <a:spLocks noChangeShapeType="1"/>
        </xdr:cNvSpPr>
      </xdr:nvSpPr>
      <xdr:spPr bwMode="auto">
        <a:xfrm flipV="1">
          <a:off x="5172075" y="126777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8</xdr:col>
      <xdr:colOff>228600</xdr:colOff>
      <xdr:row>79</xdr:row>
      <xdr:rowOff>142875</xdr:rowOff>
    </xdr:from>
    <xdr:to>
      <xdr:col>8</xdr:col>
      <xdr:colOff>371475</xdr:colOff>
      <xdr:row>79</xdr:row>
      <xdr:rowOff>142875</xdr:rowOff>
    </xdr:to>
    <xdr:sp macro="" textlink="">
      <xdr:nvSpPr>
        <xdr:cNvPr id="811" name="Line 137"/>
        <xdr:cNvSpPr>
          <a:spLocks noChangeShapeType="1"/>
        </xdr:cNvSpPr>
      </xdr:nvSpPr>
      <xdr:spPr bwMode="auto">
        <a:xfrm>
          <a:off x="5105400" y="126777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219075</xdr:colOff>
      <xdr:row>80</xdr:row>
      <xdr:rowOff>142875</xdr:rowOff>
    </xdr:from>
    <xdr:to>
      <xdr:col>8</xdr:col>
      <xdr:colOff>333375</xdr:colOff>
      <xdr:row>80</xdr:row>
      <xdr:rowOff>142875</xdr:rowOff>
    </xdr:to>
    <xdr:sp macro="" textlink="">
      <xdr:nvSpPr>
        <xdr:cNvPr id="812" name="Line 138"/>
        <xdr:cNvSpPr>
          <a:spLocks noChangeShapeType="1"/>
        </xdr:cNvSpPr>
      </xdr:nvSpPr>
      <xdr:spPr bwMode="auto">
        <a:xfrm>
          <a:off x="5095875" y="128682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247650</xdr:colOff>
      <xdr:row>88</xdr:row>
      <xdr:rowOff>161925</xdr:rowOff>
    </xdr:from>
    <xdr:to>
      <xdr:col>8</xdr:col>
      <xdr:colOff>371475</xdr:colOff>
      <xdr:row>88</xdr:row>
      <xdr:rowOff>161925</xdr:rowOff>
    </xdr:to>
    <xdr:sp macro="" textlink="">
      <xdr:nvSpPr>
        <xdr:cNvPr id="813" name="Line 139"/>
        <xdr:cNvSpPr>
          <a:spLocks noChangeShapeType="1"/>
        </xdr:cNvSpPr>
      </xdr:nvSpPr>
      <xdr:spPr bwMode="auto">
        <a:xfrm>
          <a:off x="5124450" y="14411325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257175</xdr:colOff>
      <xdr:row>87</xdr:row>
      <xdr:rowOff>123825</xdr:rowOff>
    </xdr:from>
    <xdr:to>
      <xdr:col>8</xdr:col>
      <xdr:colOff>361950</xdr:colOff>
      <xdr:row>87</xdr:row>
      <xdr:rowOff>123825</xdr:rowOff>
    </xdr:to>
    <xdr:sp macro="" textlink="">
      <xdr:nvSpPr>
        <xdr:cNvPr id="814" name="Line 140"/>
        <xdr:cNvSpPr>
          <a:spLocks noChangeShapeType="1"/>
        </xdr:cNvSpPr>
      </xdr:nvSpPr>
      <xdr:spPr bwMode="auto">
        <a:xfrm>
          <a:off x="5133975" y="141827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542925</xdr:colOff>
      <xdr:row>77</xdr:row>
      <xdr:rowOff>85725</xdr:rowOff>
    </xdr:from>
    <xdr:to>
      <xdr:col>6</xdr:col>
      <xdr:colOff>542925</xdr:colOff>
      <xdr:row>79</xdr:row>
      <xdr:rowOff>19050</xdr:rowOff>
    </xdr:to>
    <xdr:sp macro="" textlink="">
      <xdr:nvSpPr>
        <xdr:cNvPr id="815" name="Line 1024"/>
        <xdr:cNvSpPr>
          <a:spLocks noChangeShapeType="1"/>
        </xdr:cNvSpPr>
      </xdr:nvSpPr>
      <xdr:spPr bwMode="auto">
        <a:xfrm>
          <a:off x="4200525" y="122396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6</xdr:col>
      <xdr:colOff>600075</xdr:colOff>
      <xdr:row>89</xdr:row>
      <xdr:rowOff>66675</xdr:rowOff>
    </xdr:from>
    <xdr:to>
      <xdr:col>6</xdr:col>
      <xdr:colOff>600075</xdr:colOff>
      <xdr:row>91</xdr:row>
      <xdr:rowOff>9525</xdr:rowOff>
    </xdr:to>
    <xdr:sp macro="" textlink="">
      <xdr:nvSpPr>
        <xdr:cNvPr id="816" name="Line 1025"/>
        <xdr:cNvSpPr>
          <a:spLocks noChangeShapeType="1"/>
        </xdr:cNvSpPr>
      </xdr:nvSpPr>
      <xdr:spPr bwMode="auto">
        <a:xfrm>
          <a:off x="4257675" y="150780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8</xdr:col>
      <xdr:colOff>114300</xdr:colOff>
      <xdr:row>76</xdr:row>
      <xdr:rowOff>133350</xdr:rowOff>
    </xdr:from>
    <xdr:to>
      <xdr:col>8</xdr:col>
      <xdr:colOff>114300</xdr:colOff>
      <xdr:row>79</xdr:row>
      <xdr:rowOff>9525</xdr:rowOff>
    </xdr:to>
    <xdr:sp macro="" textlink="">
      <xdr:nvSpPr>
        <xdr:cNvPr id="817" name="Line 1026"/>
        <xdr:cNvSpPr>
          <a:spLocks noChangeShapeType="1"/>
        </xdr:cNvSpPr>
      </xdr:nvSpPr>
      <xdr:spPr bwMode="auto">
        <a:xfrm flipV="1">
          <a:off x="4991100" y="12725400"/>
          <a:ext cx="0" cy="44767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8</xdr:col>
      <xdr:colOff>123825</xdr:colOff>
      <xdr:row>89</xdr:row>
      <xdr:rowOff>9525</xdr:rowOff>
    </xdr:from>
    <xdr:to>
      <xdr:col>8</xdr:col>
      <xdr:colOff>123825</xdr:colOff>
      <xdr:row>91</xdr:row>
      <xdr:rowOff>171450</xdr:rowOff>
    </xdr:to>
    <xdr:sp macro="" textlink="">
      <xdr:nvSpPr>
        <xdr:cNvPr id="818" name="Line 1027"/>
        <xdr:cNvSpPr>
          <a:spLocks noChangeShapeType="1"/>
        </xdr:cNvSpPr>
      </xdr:nvSpPr>
      <xdr:spPr bwMode="auto">
        <a:xfrm>
          <a:off x="5000625" y="14449425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6</xdr:col>
      <xdr:colOff>390525</xdr:colOff>
      <xdr:row>75</xdr:row>
      <xdr:rowOff>66675</xdr:rowOff>
    </xdr:from>
    <xdr:to>
      <xdr:col>7</xdr:col>
      <xdr:colOff>47625</xdr:colOff>
      <xdr:row>77</xdr:row>
      <xdr:rowOff>57150</xdr:rowOff>
    </xdr:to>
    <xdr:sp macro="" textlink="">
      <xdr:nvSpPr>
        <xdr:cNvPr id="819" name="Oval 1028"/>
        <xdr:cNvSpPr>
          <a:spLocks noChangeArrowheads="1"/>
        </xdr:cNvSpPr>
      </xdr:nvSpPr>
      <xdr:spPr bwMode="auto">
        <a:xfrm>
          <a:off x="4048125" y="118681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485775</xdr:colOff>
      <xdr:row>91</xdr:row>
      <xdr:rowOff>95250</xdr:rowOff>
    </xdr:from>
    <xdr:to>
      <xdr:col>7</xdr:col>
      <xdr:colOff>142875</xdr:colOff>
      <xdr:row>93</xdr:row>
      <xdr:rowOff>57150</xdr:rowOff>
    </xdr:to>
    <xdr:sp macro="" textlink="">
      <xdr:nvSpPr>
        <xdr:cNvPr id="820" name="Oval 1029"/>
        <xdr:cNvSpPr>
          <a:spLocks noChangeArrowheads="1"/>
        </xdr:cNvSpPr>
      </xdr:nvSpPr>
      <xdr:spPr bwMode="auto">
        <a:xfrm>
          <a:off x="4143375" y="154876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561975</xdr:colOff>
      <xdr:row>74</xdr:row>
      <xdr:rowOff>104774</xdr:rowOff>
    </xdr:from>
    <xdr:to>
      <xdr:col>8</xdr:col>
      <xdr:colOff>219075</xdr:colOff>
      <xdr:row>76</xdr:row>
      <xdr:rowOff>95249</xdr:rowOff>
    </xdr:to>
    <xdr:sp macro="" textlink="">
      <xdr:nvSpPr>
        <xdr:cNvPr id="821" name="Oval 1030"/>
        <xdr:cNvSpPr>
          <a:spLocks noChangeArrowheads="1"/>
        </xdr:cNvSpPr>
      </xdr:nvSpPr>
      <xdr:spPr bwMode="auto">
        <a:xfrm>
          <a:off x="4829175" y="11744324"/>
          <a:ext cx="266700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561975</xdr:colOff>
      <xdr:row>91</xdr:row>
      <xdr:rowOff>133350</xdr:rowOff>
    </xdr:from>
    <xdr:to>
      <xdr:col>8</xdr:col>
      <xdr:colOff>219075</xdr:colOff>
      <xdr:row>93</xdr:row>
      <xdr:rowOff>95250</xdr:rowOff>
    </xdr:to>
    <xdr:sp macro="" textlink="">
      <xdr:nvSpPr>
        <xdr:cNvPr id="822" name="Oval 1031"/>
        <xdr:cNvSpPr>
          <a:spLocks noChangeArrowheads="1"/>
        </xdr:cNvSpPr>
      </xdr:nvSpPr>
      <xdr:spPr bwMode="auto">
        <a:xfrm>
          <a:off x="4829175" y="1558290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7</xdr:col>
      <xdr:colOff>590550</xdr:colOff>
      <xdr:row>85</xdr:row>
      <xdr:rowOff>0</xdr:rowOff>
    </xdr:from>
    <xdr:to>
      <xdr:col>8</xdr:col>
      <xdr:colOff>28575</xdr:colOff>
      <xdr:row>85</xdr:row>
      <xdr:rowOff>171450</xdr:rowOff>
    </xdr:to>
    <xdr:sp macro="" textlink="">
      <xdr:nvSpPr>
        <xdr:cNvPr id="826" name="Text Box 1052"/>
        <xdr:cNvSpPr txBox="1">
          <a:spLocks noChangeArrowheads="1"/>
        </xdr:cNvSpPr>
      </xdr:nvSpPr>
      <xdr:spPr bwMode="auto">
        <a:xfrm>
          <a:off x="10953750" y="13706475"/>
          <a:ext cx="4762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590550</xdr:colOff>
      <xdr:row>85</xdr:row>
      <xdr:rowOff>0</xdr:rowOff>
    </xdr:from>
    <xdr:to>
      <xdr:col>8</xdr:col>
      <xdr:colOff>28575</xdr:colOff>
      <xdr:row>85</xdr:row>
      <xdr:rowOff>171450</xdr:rowOff>
    </xdr:to>
    <xdr:sp macro="" textlink="">
      <xdr:nvSpPr>
        <xdr:cNvPr id="827" name="Text Box 1053"/>
        <xdr:cNvSpPr txBox="1">
          <a:spLocks noChangeArrowheads="1"/>
        </xdr:cNvSpPr>
      </xdr:nvSpPr>
      <xdr:spPr bwMode="auto">
        <a:xfrm>
          <a:off x="10953750" y="13706475"/>
          <a:ext cx="47625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7</xdr:col>
      <xdr:colOff>381000</xdr:colOff>
      <xdr:row>83</xdr:row>
      <xdr:rowOff>19050</xdr:rowOff>
    </xdr:from>
    <xdr:ext cx="123825" cy="180975"/>
    <xdr:sp macro="" textlink="">
      <xdr:nvSpPr>
        <xdr:cNvPr id="829" name="Text Box 4302"/>
        <xdr:cNvSpPr txBox="1">
          <a:spLocks noChangeArrowheads="1"/>
        </xdr:cNvSpPr>
      </xdr:nvSpPr>
      <xdr:spPr bwMode="auto">
        <a:xfrm>
          <a:off x="4648200" y="139446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7</xdr:col>
      <xdr:colOff>9525</xdr:colOff>
      <xdr:row>96</xdr:row>
      <xdr:rowOff>9525</xdr:rowOff>
    </xdr:from>
    <xdr:to>
      <xdr:col>8</xdr:col>
      <xdr:colOff>219075</xdr:colOff>
      <xdr:row>96</xdr:row>
      <xdr:rowOff>19050</xdr:rowOff>
    </xdr:to>
    <xdr:cxnSp macro="">
      <xdr:nvCxnSpPr>
        <xdr:cNvPr id="830" name="Straight Arrow Connector 829"/>
        <xdr:cNvCxnSpPr/>
      </xdr:nvCxnSpPr>
      <xdr:spPr bwMode="auto">
        <a:xfrm>
          <a:off x="4276725" y="16411575"/>
          <a:ext cx="8191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9529</xdr:colOff>
      <xdr:row>97</xdr:row>
      <xdr:rowOff>9527</xdr:rowOff>
    </xdr:from>
    <xdr:to>
      <xdr:col>2</xdr:col>
      <xdr:colOff>9531</xdr:colOff>
      <xdr:row>99</xdr:row>
      <xdr:rowOff>133348</xdr:rowOff>
    </xdr:to>
    <xdr:cxnSp macro="">
      <xdr:nvCxnSpPr>
        <xdr:cNvPr id="831" name="Straight Connector 830"/>
        <xdr:cNvCxnSpPr/>
      </xdr:nvCxnSpPr>
      <xdr:spPr bwMode="auto">
        <a:xfrm rot="16200000" flipH="1">
          <a:off x="976319" y="16854487"/>
          <a:ext cx="504821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219074</xdr:colOff>
      <xdr:row>95</xdr:row>
      <xdr:rowOff>114300</xdr:rowOff>
    </xdr:from>
    <xdr:to>
      <xdr:col>8</xdr:col>
      <xdr:colOff>219077</xdr:colOff>
      <xdr:row>99</xdr:row>
      <xdr:rowOff>85728</xdr:rowOff>
    </xdr:to>
    <xdr:cxnSp macro="">
      <xdr:nvCxnSpPr>
        <xdr:cNvPr id="832" name="Straight Connector 831"/>
        <xdr:cNvCxnSpPr/>
      </xdr:nvCxnSpPr>
      <xdr:spPr bwMode="auto">
        <a:xfrm rot="16200000" flipH="1">
          <a:off x="4729162" y="16692562"/>
          <a:ext cx="733428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</xdr:colOff>
      <xdr:row>99</xdr:row>
      <xdr:rowOff>2</xdr:rowOff>
    </xdr:from>
    <xdr:to>
      <xdr:col>8</xdr:col>
      <xdr:colOff>209550</xdr:colOff>
      <xdr:row>99</xdr:row>
      <xdr:rowOff>9525</xdr:rowOff>
    </xdr:to>
    <xdr:cxnSp macro="">
      <xdr:nvCxnSpPr>
        <xdr:cNvPr id="833" name="Straight Arrow Connector 832"/>
        <xdr:cNvCxnSpPr/>
      </xdr:nvCxnSpPr>
      <xdr:spPr bwMode="auto">
        <a:xfrm flipV="1">
          <a:off x="1228725" y="16973552"/>
          <a:ext cx="3857625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0</xdr:colOff>
      <xdr:row>98</xdr:row>
      <xdr:rowOff>9526</xdr:rowOff>
    </xdr:from>
    <xdr:to>
      <xdr:col>8</xdr:col>
      <xdr:colOff>219075</xdr:colOff>
      <xdr:row>98</xdr:row>
      <xdr:rowOff>19050</xdr:rowOff>
    </xdr:to>
    <xdr:cxnSp macro="">
      <xdr:nvCxnSpPr>
        <xdr:cNvPr id="834" name="Straight Arrow Connector 833"/>
        <xdr:cNvCxnSpPr>
          <a:stCxn id="114" idx="3"/>
        </xdr:cNvCxnSpPr>
      </xdr:nvCxnSpPr>
      <xdr:spPr bwMode="auto">
        <a:xfrm flipV="1">
          <a:off x="2438400" y="16792576"/>
          <a:ext cx="2657475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5</xdr:colOff>
      <xdr:row>97</xdr:row>
      <xdr:rowOff>3</xdr:rowOff>
    </xdr:from>
    <xdr:to>
      <xdr:col>4</xdr:col>
      <xdr:colOff>7</xdr:colOff>
      <xdr:row>98</xdr:row>
      <xdr:rowOff>142882</xdr:rowOff>
    </xdr:to>
    <xdr:cxnSp macro="">
      <xdr:nvCxnSpPr>
        <xdr:cNvPr id="835" name="Straight Connector 834"/>
        <xdr:cNvCxnSpPr/>
      </xdr:nvCxnSpPr>
      <xdr:spPr bwMode="auto">
        <a:xfrm rot="16200000" flipH="1">
          <a:off x="2271716" y="16759242"/>
          <a:ext cx="333379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</xdr:colOff>
      <xdr:row>98</xdr:row>
      <xdr:rowOff>19050</xdr:rowOff>
    </xdr:from>
    <xdr:to>
      <xdr:col>4</xdr:col>
      <xdr:colOff>0</xdr:colOff>
      <xdr:row>98</xdr:row>
      <xdr:rowOff>20638</xdr:rowOff>
    </xdr:to>
    <xdr:cxnSp macro="">
      <xdr:nvCxnSpPr>
        <xdr:cNvPr id="836" name="Straight Arrow Connector 835"/>
        <xdr:cNvCxnSpPr>
          <a:endCxn id="114" idx="3"/>
        </xdr:cNvCxnSpPr>
      </xdr:nvCxnSpPr>
      <xdr:spPr bwMode="auto">
        <a:xfrm>
          <a:off x="1228725" y="16802100"/>
          <a:ext cx="12096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504825</xdr:colOff>
      <xdr:row>91</xdr:row>
      <xdr:rowOff>161925</xdr:rowOff>
    </xdr:from>
    <xdr:to>
      <xdr:col>5</xdr:col>
      <xdr:colOff>161925</xdr:colOff>
      <xdr:row>93</xdr:row>
      <xdr:rowOff>123825</xdr:rowOff>
    </xdr:to>
    <xdr:sp macro="" textlink="">
      <xdr:nvSpPr>
        <xdr:cNvPr id="838" name="Oval 1028"/>
        <xdr:cNvSpPr>
          <a:spLocks noChangeArrowheads="1"/>
        </xdr:cNvSpPr>
      </xdr:nvSpPr>
      <xdr:spPr bwMode="auto">
        <a:xfrm>
          <a:off x="2943225" y="1561147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590552</xdr:colOff>
      <xdr:row>80</xdr:row>
      <xdr:rowOff>123827</xdr:rowOff>
    </xdr:from>
    <xdr:to>
      <xdr:col>6</xdr:col>
      <xdr:colOff>600076</xdr:colOff>
      <xdr:row>88</xdr:row>
      <xdr:rowOff>38104</xdr:rowOff>
    </xdr:to>
    <xdr:cxnSp macro="">
      <xdr:nvCxnSpPr>
        <xdr:cNvPr id="839" name="Straight Arrow Connector 838"/>
        <xdr:cNvCxnSpPr/>
      </xdr:nvCxnSpPr>
      <xdr:spPr bwMode="auto">
        <a:xfrm rot="5400000">
          <a:off x="3533775" y="14192254"/>
          <a:ext cx="1438277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599281</xdr:colOff>
      <xdr:row>77</xdr:row>
      <xdr:rowOff>38894</xdr:rowOff>
    </xdr:from>
    <xdr:to>
      <xdr:col>4</xdr:col>
      <xdr:colOff>600869</xdr:colOff>
      <xdr:row>78</xdr:row>
      <xdr:rowOff>38894</xdr:rowOff>
    </xdr:to>
    <xdr:cxnSp macro="">
      <xdr:nvCxnSpPr>
        <xdr:cNvPr id="840" name="Straight Connector 839"/>
        <xdr:cNvCxnSpPr/>
      </xdr:nvCxnSpPr>
      <xdr:spPr bwMode="auto">
        <a:xfrm rot="5400000" flipH="1" flipV="1">
          <a:off x="2943225" y="12858750"/>
          <a:ext cx="1905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600076</xdr:colOff>
      <xdr:row>90</xdr:row>
      <xdr:rowOff>104775</xdr:rowOff>
    </xdr:from>
    <xdr:to>
      <xdr:col>5</xdr:col>
      <xdr:colOff>1</xdr:colOff>
      <xdr:row>92</xdr:row>
      <xdr:rowOff>0</xdr:rowOff>
    </xdr:to>
    <xdr:cxnSp macro="">
      <xdr:nvCxnSpPr>
        <xdr:cNvPr id="841" name="Straight Connector 840"/>
        <xdr:cNvCxnSpPr/>
      </xdr:nvCxnSpPr>
      <xdr:spPr bwMode="auto">
        <a:xfrm rot="16200000" flipV="1">
          <a:off x="9001126" y="14897100"/>
          <a:ext cx="2762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9526</xdr:colOff>
      <xdr:row>95</xdr:row>
      <xdr:rowOff>28578</xdr:rowOff>
    </xdr:from>
    <xdr:to>
      <xdr:col>7</xdr:col>
      <xdr:colOff>19050</xdr:colOff>
      <xdr:row>96</xdr:row>
      <xdr:rowOff>152404</xdr:rowOff>
    </xdr:to>
    <xdr:cxnSp macro="">
      <xdr:nvCxnSpPr>
        <xdr:cNvPr id="842" name="Straight Connector 841"/>
        <xdr:cNvCxnSpPr/>
      </xdr:nvCxnSpPr>
      <xdr:spPr bwMode="auto">
        <a:xfrm rot="5400000">
          <a:off x="4124325" y="16392529"/>
          <a:ext cx="314326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599282</xdr:colOff>
      <xdr:row>95</xdr:row>
      <xdr:rowOff>794</xdr:rowOff>
    </xdr:from>
    <xdr:to>
      <xdr:col>4</xdr:col>
      <xdr:colOff>600870</xdr:colOff>
      <xdr:row>96</xdr:row>
      <xdr:rowOff>105569</xdr:rowOff>
    </xdr:to>
    <xdr:cxnSp macro="">
      <xdr:nvCxnSpPr>
        <xdr:cNvPr id="843" name="Straight Connector 842"/>
        <xdr:cNvCxnSpPr/>
      </xdr:nvCxnSpPr>
      <xdr:spPr bwMode="auto">
        <a:xfrm rot="5400000">
          <a:off x="2890838" y="16359188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0</xdr:colOff>
      <xdr:row>96</xdr:row>
      <xdr:rowOff>0</xdr:rowOff>
    </xdr:from>
    <xdr:to>
      <xdr:col>7</xdr:col>
      <xdr:colOff>9525</xdr:colOff>
      <xdr:row>96</xdr:row>
      <xdr:rowOff>1588</xdr:rowOff>
    </xdr:to>
    <xdr:cxnSp macro="">
      <xdr:nvCxnSpPr>
        <xdr:cNvPr id="844" name="Straight Arrow Connector 843"/>
        <xdr:cNvCxnSpPr/>
      </xdr:nvCxnSpPr>
      <xdr:spPr bwMode="auto">
        <a:xfrm>
          <a:off x="3048000" y="16402050"/>
          <a:ext cx="12287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265907</xdr:colOff>
      <xdr:row>75</xdr:row>
      <xdr:rowOff>124620</xdr:rowOff>
    </xdr:from>
    <xdr:to>
      <xdr:col>2</xdr:col>
      <xdr:colOff>267495</xdr:colOff>
      <xdr:row>77</xdr:row>
      <xdr:rowOff>162720</xdr:rowOff>
    </xdr:to>
    <xdr:cxnSp macro="">
      <xdr:nvCxnSpPr>
        <xdr:cNvPr id="845" name="Straight Connector 844"/>
        <xdr:cNvCxnSpPr/>
      </xdr:nvCxnSpPr>
      <xdr:spPr bwMode="auto">
        <a:xfrm rot="5400000">
          <a:off x="1276351" y="12734926"/>
          <a:ext cx="4191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lg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600075</xdr:colOff>
      <xdr:row>80</xdr:row>
      <xdr:rowOff>19050</xdr:rowOff>
    </xdr:from>
    <xdr:to>
      <xdr:col>5</xdr:col>
      <xdr:colOff>9525</xdr:colOff>
      <xdr:row>88</xdr:row>
      <xdr:rowOff>161924</xdr:rowOff>
    </xdr:to>
    <xdr:cxnSp macro="">
      <xdr:nvCxnSpPr>
        <xdr:cNvPr id="848" name="Straight Arrow Connector 847"/>
        <xdr:cNvCxnSpPr/>
      </xdr:nvCxnSpPr>
      <xdr:spPr bwMode="auto">
        <a:xfrm rot="16200000" flipH="1">
          <a:off x="2214563" y="14197012"/>
          <a:ext cx="1666874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9525</xdr:colOff>
      <xdr:row>76</xdr:row>
      <xdr:rowOff>142875</xdr:rowOff>
    </xdr:from>
    <xdr:to>
      <xdr:col>2</xdr:col>
      <xdr:colOff>190500</xdr:colOff>
      <xdr:row>76</xdr:row>
      <xdr:rowOff>142875</xdr:rowOff>
    </xdr:to>
    <xdr:sp macro="" textlink="">
      <xdr:nvSpPr>
        <xdr:cNvPr id="853" name="Line 106"/>
        <xdr:cNvSpPr>
          <a:spLocks noChangeShapeType="1"/>
        </xdr:cNvSpPr>
      </xdr:nvSpPr>
      <xdr:spPr bwMode="auto">
        <a:xfrm>
          <a:off x="1228725" y="1273492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</xdr:colOff>
      <xdr:row>79</xdr:row>
      <xdr:rowOff>47628</xdr:rowOff>
    </xdr:from>
    <xdr:to>
      <xdr:col>2</xdr:col>
      <xdr:colOff>9526</xdr:colOff>
      <xdr:row>90</xdr:row>
      <xdr:rowOff>38105</xdr:rowOff>
    </xdr:to>
    <xdr:cxnSp macro="">
      <xdr:nvCxnSpPr>
        <xdr:cNvPr id="854" name="Straight Arrow Connector 853"/>
        <xdr:cNvCxnSpPr/>
      </xdr:nvCxnSpPr>
      <xdr:spPr bwMode="auto">
        <a:xfrm rot="5400000">
          <a:off x="180977" y="14249406"/>
          <a:ext cx="2085977" cy="95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600075</xdr:colOff>
      <xdr:row>79</xdr:row>
      <xdr:rowOff>152400</xdr:rowOff>
    </xdr:from>
    <xdr:to>
      <xdr:col>3</xdr:col>
      <xdr:colOff>600077</xdr:colOff>
      <xdr:row>89</xdr:row>
      <xdr:rowOff>47628</xdr:rowOff>
    </xdr:to>
    <xdr:cxnSp macro="">
      <xdr:nvCxnSpPr>
        <xdr:cNvPr id="857" name="Straight Arrow Connector 856"/>
        <xdr:cNvCxnSpPr/>
      </xdr:nvCxnSpPr>
      <xdr:spPr bwMode="auto">
        <a:xfrm rot="16200000" flipH="1">
          <a:off x="1528762" y="14216063"/>
          <a:ext cx="1800228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600078</xdr:colOff>
      <xdr:row>76</xdr:row>
      <xdr:rowOff>142875</xdr:rowOff>
    </xdr:from>
    <xdr:to>
      <xdr:col>1</xdr:col>
      <xdr:colOff>9523</xdr:colOff>
      <xdr:row>93</xdr:row>
      <xdr:rowOff>9526</xdr:rowOff>
    </xdr:to>
    <xdr:cxnSp macro="">
      <xdr:nvCxnSpPr>
        <xdr:cNvPr id="876" name="Straight Arrow Connector 875"/>
        <xdr:cNvCxnSpPr/>
      </xdr:nvCxnSpPr>
      <xdr:spPr bwMode="auto">
        <a:xfrm rot="5400000">
          <a:off x="-942975" y="14277978"/>
          <a:ext cx="3105151" cy="190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19050</xdr:colOff>
      <xdr:row>76</xdr:row>
      <xdr:rowOff>142875</xdr:rowOff>
    </xdr:from>
    <xdr:to>
      <xdr:col>2</xdr:col>
      <xdr:colOff>161928</xdr:colOff>
      <xdr:row>76</xdr:row>
      <xdr:rowOff>142878</xdr:rowOff>
    </xdr:to>
    <xdr:cxnSp macro="">
      <xdr:nvCxnSpPr>
        <xdr:cNvPr id="881" name="Straight Connector 880"/>
        <xdr:cNvCxnSpPr/>
      </xdr:nvCxnSpPr>
      <xdr:spPr bwMode="auto">
        <a:xfrm>
          <a:off x="628650" y="12734925"/>
          <a:ext cx="752478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24848</xdr:colOff>
      <xdr:row>49</xdr:row>
      <xdr:rowOff>173934</xdr:rowOff>
    </xdr:from>
    <xdr:to>
      <xdr:col>7</xdr:col>
      <xdr:colOff>24848</xdr:colOff>
      <xdr:row>49</xdr:row>
      <xdr:rowOff>175522</xdr:rowOff>
    </xdr:to>
    <xdr:cxnSp macro="">
      <xdr:nvCxnSpPr>
        <xdr:cNvPr id="877" name="Straight Connector 876"/>
        <xdr:cNvCxnSpPr/>
      </xdr:nvCxnSpPr>
      <xdr:spPr bwMode="auto">
        <a:xfrm>
          <a:off x="637761" y="9152282"/>
          <a:ext cx="3677478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24848</xdr:colOff>
      <xdr:row>48</xdr:row>
      <xdr:rowOff>10353</xdr:rowOff>
    </xdr:from>
    <xdr:to>
      <xdr:col>8</xdr:col>
      <xdr:colOff>196298</xdr:colOff>
      <xdr:row>49</xdr:row>
      <xdr:rowOff>173935</xdr:rowOff>
    </xdr:to>
    <xdr:cxnSp macro="">
      <xdr:nvCxnSpPr>
        <xdr:cNvPr id="878" name="Straight Connector 877"/>
        <xdr:cNvCxnSpPr/>
      </xdr:nvCxnSpPr>
      <xdr:spPr bwMode="auto">
        <a:xfrm flipV="1">
          <a:off x="4315239" y="8798201"/>
          <a:ext cx="784363" cy="354082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12010</xdr:colOff>
      <xdr:row>49</xdr:row>
      <xdr:rowOff>141632</xdr:rowOff>
    </xdr:from>
    <xdr:to>
      <xdr:col>8</xdr:col>
      <xdr:colOff>224873</xdr:colOff>
      <xdr:row>51</xdr:row>
      <xdr:rowOff>110987</xdr:rowOff>
    </xdr:to>
    <xdr:cxnSp macro="">
      <xdr:nvCxnSpPr>
        <xdr:cNvPr id="879" name="Straight Connector 878"/>
        <xdr:cNvCxnSpPr/>
      </xdr:nvCxnSpPr>
      <xdr:spPr bwMode="auto">
        <a:xfrm rot="10800000" flipV="1">
          <a:off x="4302401" y="9119980"/>
          <a:ext cx="825776" cy="35035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12012</xdr:colOff>
      <xdr:row>49</xdr:row>
      <xdr:rowOff>174950</xdr:rowOff>
    </xdr:from>
    <xdr:to>
      <xdr:col>1</xdr:col>
      <xdr:colOff>19439</xdr:colOff>
      <xdr:row>52</xdr:row>
      <xdr:rowOff>114327</xdr:rowOff>
    </xdr:to>
    <xdr:cxnSp macro="">
      <xdr:nvCxnSpPr>
        <xdr:cNvPr id="880" name="Straight Connector 879"/>
        <xdr:cNvCxnSpPr/>
      </xdr:nvCxnSpPr>
      <xdr:spPr bwMode="auto">
        <a:xfrm rot="5400000">
          <a:off x="366776" y="9539573"/>
          <a:ext cx="522541" cy="7427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24848</xdr:colOff>
      <xdr:row>52</xdr:row>
      <xdr:rowOff>133764</xdr:rowOff>
    </xdr:from>
    <xdr:to>
      <xdr:col>1</xdr:col>
      <xdr:colOff>358223</xdr:colOff>
      <xdr:row>52</xdr:row>
      <xdr:rowOff>135352</xdr:rowOff>
    </xdr:to>
    <xdr:cxnSp macro="">
      <xdr:nvCxnSpPr>
        <xdr:cNvPr id="882" name="Straight Connector 881"/>
        <xdr:cNvCxnSpPr/>
      </xdr:nvCxnSpPr>
      <xdr:spPr bwMode="auto">
        <a:xfrm>
          <a:off x="637761" y="9683612"/>
          <a:ext cx="333375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348699</xdr:colOff>
      <xdr:row>50</xdr:row>
      <xdr:rowOff>135834</xdr:rowOff>
    </xdr:from>
    <xdr:to>
      <xdr:col>2</xdr:col>
      <xdr:colOff>34373</xdr:colOff>
      <xdr:row>52</xdr:row>
      <xdr:rowOff>143290</xdr:rowOff>
    </xdr:to>
    <xdr:cxnSp macro="">
      <xdr:nvCxnSpPr>
        <xdr:cNvPr id="883" name="Straight Connector 882"/>
        <xdr:cNvCxnSpPr/>
      </xdr:nvCxnSpPr>
      <xdr:spPr bwMode="auto">
        <a:xfrm rot="5400000" flipH="1" flipV="1">
          <a:off x="916678" y="9349616"/>
          <a:ext cx="388456" cy="298587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34373</xdr:colOff>
      <xdr:row>50</xdr:row>
      <xdr:rowOff>135834</xdr:rowOff>
    </xdr:from>
    <xdr:to>
      <xdr:col>7</xdr:col>
      <xdr:colOff>24848</xdr:colOff>
      <xdr:row>51</xdr:row>
      <xdr:rowOff>110987</xdr:rowOff>
    </xdr:to>
    <xdr:cxnSp macro="">
      <xdr:nvCxnSpPr>
        <xdr:cNvPr id="884" name="Straight Connector 883"/>
        <xdr:cNvCxnSpPr/>
      </xdr:nvCxnSpPr>
      <xdr:spPr bwMode="auto">
        <a:xfrm>
          <a:off x="1260199" y="9304682"/>
          <a:ext cx="3055040" cy="16565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205029</xdr:colOff>
      <xdr:row>48</xdr:row>
      <xdr:rowOff>20672</xdr:rowOff>
    </xdr:from>
    <xdr:to>
      <xdr:col>8</xdr:col>
      <xdr:colOff>206617</xdr:colOff>
      <xdr:row>49</xdr:row>
      <xdr:rowOff>161476</xdr:rowOff>
    </xdr:to>
    <xdr:cxnSp macro="">
      <xdr:nvCxnSpPr>
        <xdr:cNvPr id="885" name="Straight Connector 884"/>
        <xdr:cNvCxnSpPr/>
      </xdr:nvCxnSpPr>
      <xdr:spPr bwMode="auto">
        <a:xfrm rot="5400000">
          <a:off x="4943475" y="8973378"/>
          <a:ext cx="331304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426218</xdr:colOff>
      <xdr:row>41</xdr:row>
      <xdr:rowOff>19440</xdr:rowOff>
    </xdr:from>
    <xdr:to>
      <xdr:col>1</xdr:col>
      <xdr:colOff>427653</xdr:colOff>
      <xdr:row>49</xdr:row>
      <xdr:rowOff>161516</xdr:rowOff>
    </xdr:to>
    <xdr:cxnSp macro="">
      <xdr:nvCxnSpPr>
        <xdr:cNvPr id="887" name="Straight Connector 886"/>
        <xdr:cNvCxnSpPr/>
      </xdr:nvCxnSpPr>
      <xdr:spPr bwMode="auto">
        <a:xfrm rot="5400000">
          <a:off x="190668" y="8419275"/>
          <a:ext cx="1697178" cy="143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573444</xdr:colOff>
      <xdr:row>36</xdr:row>
      <xdr:rowOff>9718</xdr:rowOff>
    </xdr:from>
    <xdr:to>
      <xdr:col>8</xdr:col>
      <xdr:colOff>194388</xdr:colOff>
      <xdr:row>40</xdr:row>
      <xdr:rowOff>184666</xdr:rowOff>
    </xdr:to>
    <xdr:sp macro="" textlink="">
      <xdr:nvSpPr>
        <xdr:cNvPr id="888" name="Line 1011"/>
        <xdr:cNvSpPr>
          <a:spLocks noChangeShapeType="1"/>
        </xdr:cNvSpPr>
      </xdr:nvSpPr>
      <xdr:spPr bwMode="auto">
        <a:xfrm flipV="1">
          <a:off x="2410408" y="6453672"/>
          <a:ext cx="2682551" cy="952499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324239</xdr:colOff>
      <xdr:row>53</xdr:row>
      <xdr:rowOff>8359</xdr:rowOff>
    </xdr:from>
    <xdr:to>
      <xdr:col>0</xdr:col>
      <xdr:colOff>469835</xdr:colOff>
      <xdr:row>53</xdr:row>
      <xdr:rowOff>8359</xdr:rowOff>
    </xdr:to>
    <xdr:sp macro="" textlink="">
      <xdr:nvSpPr>
        <xdr:cNvPr id="891" name="Line 57"/>
        <xdr:cNvSpPr>
          <a:spLocks noChangeShapeType="1"/>
        </xdr:cNvSpPr>
      </xdr:nvSpPr>
      <xdr:spPr bwMode="auto">
        <a:xfrm>
          <a:off x="324239" y="8961859"/>
          <a:ext cx="1455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238579</xdr:colOff>
      <xdr:row>48</xdr:row>
      <xdr:rowOff>0</xdr:rowOff>
    </xdr:from>
    <xdr:to>
      <xdr:col>8</xdr:col>
      <xdr:colOff>403225</xdr:colOff>
      <xdr:row>48</xdr:row>
      <xdr:rowOff>0</xdr:rowOff>
    </xdr:to>
    <xdr:sp macro="" textlink="">
      <xdr:nvSpPr>
        <xdr:cNvPr id="892" name="Line 58"/>
        <xdr:cNvSpPr>
          <a:spLocks noChangeShapeType="1"/>
        </xdr:cNvSpPr>
      </xdr:nvSpPr>
      <xdr:spPr bwMode="auto">
        <a:xfrm>
          <a:off x="5137150" y="8765268"/>
          <a:ext cx="1646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216742</xdr:colOff>
      <xdr:row>47</xdr:row>
      <xdr:rowOff>192638</xdr:rowOff>
    </xdr:from>
    <xdr:to>
      <xdr:col>6</xdr:col>
      <xdr:colOff>333763</xdr:colOff>
      <xdr:row>47</xdr:row>
      <xdr:rowOff>192638</xdr:rowOff>
    </xdr:to>
    <xdr:sp macro="" textlink="">
      <xdr:nvSpPr>
        <xdr:cNvPr id="893" name="Line 61"/>
        <xdr:cNvSpPr>
          <a:spLocks noChangeShapeType="1"/>
        </xdr:cNvSpPr>
      </xdr:nvSpPr>
      <xdr:spPr bwMode="auto">
        <a:xfrm flipV="1">
          <a:off x="3890671" y="8910929"/>
          <a:ext cx="1170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214994</xdr:colOff>
      <xdr:row>50</xdr:row>
      <xdr:rowOff>22678</xdr:rowOff>
    </xdr:from>
    <xdr:to>
      <xdr:col>8</xdr:col>
      <xdr:colOff>214994</xdr:colOff>
      <xdr:row>53</xdr:row>
      <xdr:rowOff>41729</xdr:rowOff>
    </xdr:to>
    <xdr:sp macro="" textlink="">
      <xdr:nvSpPr>
        <xdr:cNvPr id="895" name="Line 25"/>
        <xdr:cNvSpPr>
          <a:spLocks noChangeShapeType="1"/>
        </xdr:cNvSpPr>
      </xdr:nvSpPr>
      <xdr:spPr bwMode="auto">
        <a:xfrm flipH="1">
          <a:off x="5113565" y="9173482"/>
          <a:ext cx="0" cy="597354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8</xdr:col>
      <xdr:colOff>182790</xdr:colOff>
      <xdr:row>34</xdr:row>
      <xdr:rowOff>88899</xdr:rowOff>
    </xdr:from>
    <xdr:to>
      <xdr:col>8</xdr:col>
      <xdr:colOff>182790</xdr:colOff>
      <xdr:row>35</xdr:row>
      <xdr:rowOff>174624</xdr:rowOff>
    </xdr:to>
    <xdr:sp macro="" textlink="">
      <xdr:nvSpPr>
        <xdr:cNvPr id="896" name="Line 26"/>
        <xdr:cNvSpPr>
          <a:spLocks noChangeShapeType="1"/>
        </xdr:cNvSpPr>
      </xdr:nvSpPr>
      <xdr:spPr bwMode="auto">
        <a:xfrm flipV="1">
          <a:off x="5081361" y="6155417"/>
          <a:ext cx="0" cy="278493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6</xdr:col>
      <xdr:colOff>601889</xdr:colOff>
      <xdr:row>37</xdr:row>
      <xdr:rowOff>45358</xdr:rowOff>
    </xdr:from>
    <xdr:to>
      <xdr:col>6</xdr:col>
      <xdr:colOff>611414</xdr:colOff>
      <xdr:row>52</xdr:row>
      <xdr:rowOff>4990</xdr:rowOff>
    </xdr:to>
    <xdr:sp macro="" textlink="">
      <xdr:nvSpPr>
        <xdr:cNvPr id="899" name="Line 16"/>
        <xdr:cNvSpPr>
          <a:spLocks noChangeShapeType="1"/>
        </xdr:cNvSpPr>
      </xdr:nvSpPr>
      <xdr:spPr bwMode="auto">
        <a:xfrm>
          <a:off x="4275818" y="6690179"/>
          <a:ext cx="9525" cy="285115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6</xdr:col>
      <xdr:colOff>514803</xdr:colOff>
      <xdr:row>34</xdr:row>
      <xdr:rowOff>113911</xdr:rowOff>
    </xdr:from>
    <xdr:to>
      <xdr:col>7</xdr:col>
      <xdr:colOff>171904</xdr:colOff>
      <xdr:row>36</xdr:row>
      <xdr:rowOff>75813</xdr:rowOff>
    </xdr:to>
    <xdr:sp macro="" textlink="">
      <xdr:nvSpPr>
        <xdr:cNvPr id="901" name="Oval 900"/>
        <xdr:cNvSpPr>
          <a:spLocks noChangeArrowheads="1"/>
        </xdr:cNvSpPr>
      </xdr:nvSpPr>
      <xdr:spPr bwMode="auto">
        <a:xfrm>
          <a:off x="4188732" y="6169090"/>
          <a:ext cx="269422" cy="350677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6</xdr:col>
      <xdr:colOff>537092</xdr:colOff>
      <xdr:row>52</xdr:row>
      <xdr:rowOff>120586</xdr:rowOff>
    </xdr:from>
    <xdr:to>
      <xdr:col>7</xdr:col>
      <xdr:colOff>194193</xdr:colOff>
      <xdr:row>54</xdr:row>
      <xdr:rowOff>82486</xdr:rowOff>
    </xdr:to>
    <xdr:sp macro="" textlink="">
      <xdr:nvSpPr>
        <xdr:cNvPr id="902" name="Oval 901"/>
        <xdr:cNvSpPr>
          <a:spLocks noChangeArrowheads="1"/>
        </xdr:cNvSpPr>
      </xdr:nvSpPr>
      <xdr:spPr bwMode="auto">
        <a:xfrm>
          <a:off x="4211021" y="9674744"/>
          <a:ext cx="269422" cy="35067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148318</xdr:colOff>
      <xdr:row>35</xdr:row>
      <xdr:rowOff>104775</xdr:rowOff>
    </xdr:from>
    <xdr:to>
      <xdr:col>5</xdr:col>
      <xdr:colOff>417739</xdr:colOff>
      <xdr:row>37</xdr:row>
      <xdr:rowOff>66676</xdr:rowOff>
    </xdr:to>
    <xdr:sp macro="" textlink="">
      <xdr:nvSpPr>
        <xdr:cNvPr id="903" name="Oval 1018"/>
        <xdr:cNvSpPr>
          <a:spLocks noChangeArrowheads="1"/>
        </xdr:cNvSpPr>
      </xdr:nvSpPr>
      <xdr:spPr bwMode="auto">
        <a:xfrm>
          <a:off x="3209925" y="6364061"/>
          <a:ext cx="269421" cy="34743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5</xdr:col>
      <xdr:colOff>154798</xdr:colOff>
      <xdr:row>52</xdr:row>
      <xdr:rowOff>105424</xdr:rowOff>
    </xdr:from>
    <xdr:to>
      <xdr:col>5</xdr:col>
      <xdr:colOff>424219</xdr:colOff>
      <xdr:row>54</xdr:row>
      <xdr:rowOff>65704</xdr:rowOff>
    </xdr:to>
    <xdr:sp macro="" textlink="">
      <xdr:nvSpPr>
        <xdr:cNvPr id="904" name="Oval 1018"/>
        <xdr:cNvSpPr>
          <a:spLocks noChangeArrowheads="1"/>
        </xdr:cNvSpPr>
      </xdr:nvSpPr>
      <xdr:spPr bwMode="auto">
        <a:xfrm>
          <a:off x="3216405" y="9659582"/>
          <a:ext cx="269421" cy="34905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5</xdr:col>
      <xdr:colOff>290286</xdr:colOff>
      <xdr:row>37</xdr:row>
      <xdr:rowOff>77562</xdr:rowOff>
    </xdr:from>
    <xdr:to>
      <xdr:col>5</xdr:col>
      <xdr:colOff>299811</xdr:colOff>
      <xdr:row>52</xdr:row>
      <xdr:rowOff>56244</xdr:rowOff>
    </xdr:to>
    <xdr:sp macro="" textlink="">
      <xdr:nvSpPr>
        <xdr:cNvPr id="905" name="Line 1016"/>
        <xdr:cNvSpPr>
          <a:spLocks noChangeShapeType="1"/>
        </xdr:cNvSpPr>
      </xdr:nvSpPr>
      <xdr:spPr bwMode="auto">
        <a:xfrm>
          <a:off x="3351893" y="6722383"/>
          <a:ext cx="9525" cy="28702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</xdr:col>
      <xdr:colOff>568325</xdr:colOff>
      <xdr:row>37</xdr:row>
      <xdr:rowOff>65315</xdr:rowOff>
    </xdr:from>
    <xdr:to>
      <xdr:col>3</xdr:col>
      <xdr:colOff>577850</xdr:colOff>
      <xdr:row>52</xdr:row>
      <xdr:rowOff>46265</xdr:rowOff>
    </xdr:to>
    <xdr:sp macro="" textlink="">
      <xdr:nvSpPr>
        <xdr:cNvPr id="906" name="Line 1016"/>
        <xdr:cNvSpPr>
          <a:spLocks noChangeShapeType="1"/>
        </xdr:cNvSpPr>
      </xdr:nvSpPr>
      <xdr:spPr bwMode="auto">
        <a:xfrm>
          <a:off x="2405289" y="6710136"/>
          <a:ext cx="9525" cy="2872468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</xdr:col>
      <xdr:colOff>365579</xdr:colOff>
      <xdr:row>36</xdr:row>
      <xdr:rowOff>84364</xdr:rowOff>
    </xdr:from>
    <xdr:to>
      <xdr:col>4</xdr:col>
      <xdr:colOff>22678</xdr:colOff>
      <xdr:row>38</xdr:row>
      <xdr:rowOff>46265</xdr:rowOff>
    </xdr:to>
    <xdr:sp macro="" textlink="">
      <xdr:nvSpPr>
        <xdr:cNvPr id="907" name="Oval 1018"/>
        <xdr:cNvSpPr>
          <a:spLocks noChangeArrowheads="1"/>
        </xdr:cNvSpPr>
      </xdr:nvSpPr>
      <xdr:spPr bwMode="auto">
        <a:xfrm>
          <a:off x="2202543" y="6536418"/>
          <a:ext cx="269421" cy="34743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</xdr:col>
      <xdr:colOff>530419</xdr:colOff>
      <xdr:row>52</xdr:row>
      <xdr:rowOff>114495</xdr:rowOff>
    </xdr:from>
    <xdr:to>
      <xdr:col>4</xdr:col>
      <xdr:colOff>184797</xdr:colOff>
      <xdr:row>54</xdr:row>
      <xdr:rowOff>74775</xdr:rowOff>
    </xdr:to>
    <xdr:sp macro="" textlink="">
      <xdr:nvSpPr>
        <xdr:cNvPr id="908" name="Oval 1020"/>
        <xdr:cNvSpPr>
          <a:spLocks noChangeArrowheads="1"/>
        </xdr:cNvSpPr>
      </xdr:nvSpPr>
      <xdr:spPr bwMode="auto">
        <a:xfrm>
          <a:off x="2367383" y="9668653"/>
          <a:ext cx="266700" cy="34905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453183</xdr:colOff>
      <xdr:row>37</xdr:row>
      <xdr:rowOff>145403</xdr:rowOff>
    </xdr:from>
    <xdr:to>
      <xdr:col>1</xdr:col>
      <xdr:colOff>453183</xdr:colOff>
      <xdr:row>53</xdr:row>
      <xdr:rowOff>260</xdr:rowOff>
    </xdr:to>
    <xdr:sp macro="" textlink="">
      <xdr:nvSpPr>
        <xdr:cNvPr id="909" name="Line 1017"/>
        <xdr:cNvSpPr>
          <a:spLocks noChangeShapeType="1"/>
        </xdr:cNvSpPr>
      </xdr:nvSpPr>
      <xdr:spPr bwMode="auto">
        <a:xfrm>
          <a:off x="1065504" y="6783745"/>
          <a:ext cx="0" cy="2965061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1</xdr:col>
      <xdr:colOff>417933</xdr:colOff>
      <xdr:row>35</xdr:row>
      <xdr:rowOff>152141</xdr:rowOff>
    </xdr:from>
    <xdr:to>
      <xdr:col>2</xdr:col>
      <xdr:colOff>106912</xdr:colOff>
      <xdr:row>37</xdr:row>
      <xdr:rowOff>114042</xdr:rowOff>
    </xdr:to>
    <xdr:sp macro="" textlink="">
      <xdr:nvSpPr>
        <xdr:cNvPr id="910" name="Oval 1019"/>
        <xdr:cNvSpPr>
          <a:spLocks noChangeArrowheads="1"/>
        </xdr:cNvSpPr>
      </xdr:nvSpPr>
      <xdr:spPr bwMode="auto">
        <a:xfrm>
          <a:off x="1030254" y="6401707"/>
          <a:ext cx="301301" cy="350677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600982</xdr:colOff>
      <xdr:row>54</xdr:row>
      <xdr:rowOff>118271</xdr:rowOff>
    </xdr:from>
    <xdr:to>
      <xdr:col>0</xdr:col>
      <xdr:colOff>601778</xdr:colOff>
      <xdr:row>58</xdr:row>
      <xdr:rowOff>45360</xdr:rowOff>
    </xdr:to>
    <xdr:cxnSp macro="">
      <xdr:nvCxnSpPr>
        <xdr:cNvPr id="912" name="Straight Connector 911"/>
        <xdr:cNvCxnSpPr/>
      </xdr:nvCxnSpPr>
      <xdr:spPr bwMode="auto">
        <a:xfrm rot="5400000">
          <a:off x="252300" y="10388828"/>
          <a:ext cx="698160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236311</xdr:colOff>
      <xdr:row>55</xdr:row>
      <xdr:rowOff>64411</xdr:rowOff>
    </xdr:from>
    <xdr:to>
      <xdr:col>8</xdr:col>
      <xdr:colOff>237901</xdr:colOff>
      <xdr:row>58</xdr:row>
      <xdr:rowOff>45361</xdr:rowOff>
    </xdr:to>
    <xdr:cxnSp macro="">
      <xdr:nvCxnSpPr>
        <xdr:cNvPr id="913" name="Straight Connector 912"/>
        <xdr:cNvCxnSpPr/>
      </xdr:nvCxnSpPr>
      <xdr:spPr bwMode="auto">
        <a:xfrm rot="5400000">
          <a:off x="4856050" y="10457886"/>
          <a:ext cx="559253" cy="159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600982</xdr:colOff>
      <xdr:row>58</xdr:row>
      <xdr:rowOff>1</xdr:rowOff>
    </xdr:from>
    <xdr:to>
      <xdr:col>8</xdr:col>
      <xdr:colOff>238125</xdr:colOff>
      <xdr:row>58</xdr:row>
      <xdr:rowOff>11340</xdr:rowOff>
    </xdr:to>
    <xdr:cxnSp macro="">
      <xdr:nvCxnSpPr>
        <xdr:cNvPr id="914" name="Straight Arrow Connector 913"/>
        <xdr:cNvCxnSpPr/>
      </xdr:nvCxnSpPr>
      <xdr:spPr bwMode="auto">
        <a:xfrm flipV="1">
          <a:off x="600982" y="10692947"/>
          <a:ext cx="4535714" cy="1133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11339</xdr:colOff>
      <xdr:row>55</xdr:row>
      <xdr:rowOff>134261</xdr:rowOff>
    </xdr:from>
    <xdr:to>
      <xdr:col>7</xdr:col>
      <xdr:colOff>12927</xdr:colOff>
      <xdr:row>57</xdr:row>
      <xdr:rowOff>8168</xdr:rowOff>
    </xdr:to>
    <xdr:cxnSp macro="">
      <xdr:nvCxnSpPr>
        <xdr:cNvPr id="917" name="Straight Connector 916"/>
        <xdr:cNvCxnSpPr/>
      </xdr:nvCxnSpPr>
      <xdr:spPr bwMode="auto">
        <a:xfrm rot="5400000">
          <a:off x="4168661" y="10377832"/>
          <a:ext cx="259443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430893</xdr:colOff>
      <xdr:row>56</xdr:row>
      <xdr:rowOff>9532</xdr:rowOff>
    </xdr:from>
    <xdr:to>
      <xdr:col>1</xdr:col>
      <xdr:colOff>432481</xdr:colOff>
      <xdr:row>57</xdr:row>
      <xdr:rowOff>76207</xdr:rowOff>
    </xdr:to>
    <xdr:cxnSp macro="">
      <xdr:nvCxnSpPr>
        <xdr:cNvPr id="918" name="Straight Connector 917"/>
        <xdr:cNvCxnSpPr/>
      </xdr:nvCxnSpPr>
      <xdr:spPr bwMode="auto">
        <a:xfrm rot="5400000">
          <a:off x="914286" y="10445871"/>
          <a:ext cx="259443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13154</xdr:colOff>
      <xdr:row>56</xdr:row>
      <xdr:rowOff>174171</xdr:rowOff>
    </xdr:from>
    <xdr:to>
      <xdr:col>8</xdr:col>
      <xdr:colOff>228600</xdr:colOff>
      <xdr:row>56</xdr:row>
      <xdr:rowOff>185510</xdr:rowOff>
    </xdr:to>
    <xdr:cxnSp macro="">
      <xdr:nvCxnSpPr>
        <xdr:cNvPr id="919" name="Straight Arrow Connector 918"/>
        <xdr:cNvCxnSpPr/>
      </xdr:nvCxnSpPr>
      <xdr:spPr bwMode="auto">
        <a:xfrm>
          <a:off x="4280354" y="9699171"/>
          <a:ext cx="825046" cy="1133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442233</xdr:colOff>
      <xdr:row>56</xdr:row>
      <xdr:rowOff>175985</xdr:rowOff>
    </xdr:from>
    <xdr:to>
      <xdr:col>7</xdr:col>
      <xdr:colOff>11339</xdr:colOff>
      <xdr:row>57</xdr:row>
      <xdr:rowOff>8164</xdr:rowOff>
    </xdr:to>
    <xdr:cxnSp macro="">
      <xdr:nvCxnSpPr>
        <xdr:cNvPr id="922" name="Straight Arrow Connector 921"/>
        <xdr:cNvCxnSpPr/>
      </xdr:nvCxnSpPr>
      <xdr:spPr bwMode="auto">
        <a:xfrm flipV="1">
          <a:off x="1051833" y="9700985"/>
          <a:ext cx="3226706" cy="2267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600982</xdr:colOff>
      <xdr:row>57</xdr:row>
      <xdr:rowOff>-1</xdr:rowOff>
    </xdr:from>
    <xdr:to>
      <xdr:col>1</xdr:col>
      <xdr:colOff>430893</xdr:colOff>
      <xdr:row>57</xdr:row>
      <xdr:rowOff>0</xdr:rowOff>
    </xdr:to>
    <xdr:cxnSp macro="">
      <xdr:nvCxnSpPr>
        <xdr:cNvPr id="925" name="Straight Arrow Connector 924"/>
        <xdr:cNvCxnSpPr/>
      </xdr:nvCxnSpPr>
      <xdr:spPr bwMode="auto">
        <a:xfrm>
          <a:off x="600982" y="10500178"/>
          <a:ext cx="442232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287225</xdr:colOff>
      <xdr:row>33</xdr:row>
      <xdr:rowOff>39801</xdr:rowOff>
    </xdr:from>
    <xdr:to>
      <xdr:col>5</xdr:col>
      <xdr:colOff>288813</xdr:colOff>
      <xdr:row>34</xdr:row>
      <xdr:rowOff>20751</xdr:rowOff>
    </xdr:to>
    <xdr:cxnSp macro="">
      <xdr:nvCxnSpPr>
        <xdr:cNvPr id="928" name="Straight Connector 927"/>
        <xdr:cNvCxnSpPr/>
      </xdr:nvCxnSpPr>
      <xdr:spPr bwMode="auto">
        <a:xfrm rot="5400000" flipH="1" flipV="1">
          <a:off x="3262767" y="6192384"/>
          <a:ext cx="173718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26421</xdr:colOff>
      <xdr:row>33</xdr:row>
      <xdr:rowOff>51140</xdr:rowOff>
    </xdr:from>
    <xdr:to>
      <xdr:col>7</xdr:col>
      <xdr:colOff>28009</xdr:colOff>
      <xdr:row>34</xdr:row>
      <xdr:rowOff>32090</xdr:rowOff>
    </xdr:to>
    <xdr:cxnSp macro="">
      <xdr:nvCxnSpPr>
        <xdr:cNvPr id="929" name="Straight Connector 928"/>
        <xdr:cNvCxnSpPr/>
      </xdr:nvCxnSpPr>
      <xdr:spPr bwMode="auto">
        <a:xfrm rot="5400000" flipH="1" flipV="1">
          <a:off x="4226606" y="6203723"/>
          <a:ext cx="173718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282576</xdr:colOff>
      <xdr:row>33</xdr:row>
      <xdr:rowOff>190955</xdr:rowOff>
    </xdr:from>
    <xdr:to>
      <xdr:col>7</xdr:col>
      <xdr:colOff>22679</xdr:colOff>
      <xdr:row>34</xdr:row>
      <xdr:rowOff>0</xdr:rowOff>
    </xdr:to>
    <xdr:cxnSp macro="">
      <xdr:nvCxnSpPr>
        <xdr:cNvPr id="930" name="Straight Arrow Connector 929"/>
        <xdr:cNvCxnSpPr/>
      </xdr:nvCxnSpPr>
      <xdr:spPr bwMode="auto">
        <a:xfrm>
          <a:off x="3344183" y="6257473"/>
          <a:ext cx="964746" cy="18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11339</xdr:colOff>
      <xdr:row>39</xdr:row>
      <xdr:rowOff>0</xdr:rowOff>
    </xdr:from>
    <xdr:to>
      <xdr:col>5</xdr:col>
      <xdr:colOff>272143</xdr:colOff>
      <xdr:row>39</xdr:row>
      <xdr:rowOff>45719</xdr:rowOff>
    </xdr:to>
    <xdr:sp macro="" textlink="">
      <xdr:nvSpPr>
        <xdr:cNvPr id="932" name="Line 1012"/>
        <xdr:cNvSpPr>
          <a:spLocks noChangeShapeType="1"/>
        </xdr:cNvSpPr>
      </xdr:nvSpPr>
      <xdr:spPr bwMode="auto">
        <a:xfrm>
          <a:off x="3072946" y="7027117"/>
          <a:ext cx="260804" cy="45719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sp>
    <xdr:clientData/>
  </xdr:twoCellAnchor>
  <xdr:twoCellAnchor>
    <xdr:from>
      <xdr:col>8</xdr:col>
      <xdr:colOff>174950</xdr:colOff>
      <xdr:row>25</xdr:row>
      <xdr:rowOff>0</xdr:rowOff>
    </xdr:from>
    <xdr:to>
      <xdr:col>8</xdr:col>
      <xdr:colOff>183811</xdr:colOff>
      <xdr:row>31</xdr:row>
      <xdr:rowOff>130065</xdr:rowOff>
    </xdr:to>
    <xdr:cxnSp macro="">
      <xdr:nvCxnSpPr>
        <xdr:cNvPr id="933" name="Straight Connector 932"/>
        <xdr:cNvCxnSpPr/>
      </xdr:nvCxnSpPr>
      <xdr:spPr bwMode="auto">
        <a:xfrm rot="16200000" flipV="1">
          <a:off x="4429756" y="5279913"/>
          <a:ext cx="1296391" cy="886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5363</xdr:colOff>
      <xdr:row>26</xdr:row>
      <xdr:rowOff>107837</xdr:rowOff>
    </xdr:from>
    <xdr:to>
      <xdr:col>7</xdr:col>
      <xdr:colOff>6951</xdr:colOff>
      <xdr:row>27</xdr:row>
      <xdr:rowOff>88787</xdr:rowOff>
    </xdr:to>
    <xdr:cxnSp macro="">
      <xdr:nvCxnSpPr>
        <xdr:cNvPr id="934" name="Straight Connector 933"/>
        <xdr:cNvCxnSpPr/>
      </xdr:nvCxnSpPr>
      <xdr:spPr bwMode="auto">
        <a:xfrm rot="5400000" flipH="1" flipV="1">
          <a:off x="4204738" y="5802799"/>
          <a:ext cx="17533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427652</xdr:colOff>
      <xdr:row>24</xdr:row>
      <xdr:rowOff>136072</xdr:rowOff>
    </xdr:from>
    <xdr:to>
      <xdr:col>1</xdr:col>
      <xdr:colOff>447095</xdr:colOff>
      <xdr:row>30</xdr:row>
      <xdr:rowOff>29160</xdr:rowOff>
    </xdr:to>
    <xdr:cxnSp macro="">
      <xdr:nvCxnSpPr>
        <xdr:cNvPr id="937" name="Straight Connector 936"/>
        <xdr:cNvCxnSpPr/>
      </xdr:nvCxnSpPr>
      <xdr:spPr bwMode="auto">
        <a:xfrm rot="5400000" flipH="1" flipV="1">
          <a:off x="519987" y="4767359"/>
          <a:ext cx="1059415" cy="1944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602603</xdr:colOff>
      <xdr:row>26</xdr:row>
      <xdr:rowOff>87474</xdr:rowOff>
    </xdr:from>
    <xdr:to>
      <xdr:col>3</xdr:col>
      <xdr:colOff>602604</xdr:colOff>
      <xdr:row>29</xdr:row>
      <xdr:rowOff>116632</xdr:rowOff>
    </xdr:to>
    <xdr:cxnSp macro="">
      <xdr:nvCxnSpPr>
        <xdr:cNvPr id="938" name="Straight Connector 937"/>
        <xdr:cNvCxnSpPr/>
      </xdr:nvCxnSpPr>
      <xdr:spPr bwMode="auto">
        <a:xfrm rot="16200000" flipV="1">
          <a:off x="2133407" y="4893711"/>
          <a:ext cx="612321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10432</xdr:colOff>
      <xdr:row>27</xdr:row>
      <xdr:rowOff>9720</xdr:rowOff>
    </xdr:from>
    <xdr:to>
      <xdr:col>8</xdr:col>
      <xdr:colOff>184669</xdr:colOff>
      <xdr:row>27</xdr:row>
      <xdr:rowOff>20866</xdr:rowOff>
    </xdr:to>
    <xdr:cxnSp macro="">
      <xdr:nvCxnSpPr>
        <xdr:cNvPr id="939" name="Straight Arrow Connector 938"/>
        <xdr:cNvCxnSpPr/>
      </xdr:nvCxnSpPr>
      <xdr:spPr bwMode="auto">
        <a:xfrm flipV="1">
          <a:off x="4296682" y="4704184"/>
          <a:ext cx="786558" cy="1114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588736</xdr:colOff>
      <xdr:row>27</xdr:row>
      <xdr:rowOff>6661</xdr:rowOff>
    </xdr:from>
    <xdr:to>
      <xdr:col>7</xdr:col>
      <xdr:colOff>13322</xdr:colOff>
      <xdr:row>27</xdr:row>
      <xdr:rowOff>9527</xdr:rowOff>
    </xdr:to>
    <xdr:cxnSp macro="">
      <xdr:nvCxnSpPr>
        <xdr:cNvPr id="941" name="Straight Arrow Connector 940"/>
        <xdr:cNvCxnSpPr/>
      </xdr:nvCxnSpPr>
      <xdr:spPr bwMode="auto">
        <a:xfrm flipV="1">
          <a:off x="2427128" y="5681696"/>
          <a:ext cx="1875774" cy="286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407307</xdr:colOff>
      <xdr:row>29</xdr:row>
      <xdr:rowOff>9529</xdr:rowOff>
    </xdr:from>
    <xdr:to>
      <xdr:col>3</xdr:col>
      <xdr:colOff>566171</xdr:colOff>
      <xdr:row>29</xdr:row>
      <xdr:rowOff>13322</xdr:rowOff>
    </xdr:to>
    <xdr:cxnSp macro="">
      <xdr:nvCxnSpPr>
        <xdr:cNvPr id="943" name="Straight Arrow Connector 942"/>
        <xdr:cNvCxnSpPr/>
      </xdr:nvCxnSpPr>
      <xdr:spPr bwMode="auto">
        <a:xfrm>
          <a:off x="1020104" y="5684564"/>
          <a:ext cx="1384459" cy="3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291585</xdr:colOff>
      <xdr:row>30</xdr:row>
      <xdr:rowOff>87478</xdr:rowOff>
    </xdr:from>
    <xdr:to>
      <xdr:col>5</xdr:col>
      <xdr:colOff>291586</xdr:colOff>
      <xdr:row>31</xdr:row>
      <xdr:rowOff>126352</xdr:rowOff>
    </xdr:to>
    <xdr:cxnSp macro="">
      <xdr:nvCxnSpPr>
        <xdr:cNvPr id="945" name="Straight Connector 944"/>
        <xdr:cNvCxnSpPr/>
      </xdr:nvCxnSpPr>
      <xdr:spPr bwMode="auto">
        <a:xfrm rot="16200000" flipV="1">
          <a:off x="3236562" y="5481736"/>
          <a:ext cx="233261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277132</xdr:colOff>
      <xdr:row>31</xdr:row>
      <xdr:rowOff>0</xdr:rowOff>
    </xdr:from>
    <xdr:to>
      <xdr:col>8</xdr:col>
      <xdr:colOff>192768</xdr:colOff>
      <xdr:row>31</xdr:row>
      <xdr:rowOff>7713</xdr:rowOff>
    </xdr:to>
    <xdr:cxnSp macro="">
      <xdr:nvCxnSpPr>
        <xdr:cNvPr id="948" name="Straight Arrow Connector 947"/>
        <xdr:cNvCxnSpPr/>
      </xdr:nvCxnSpPr>
      <xdr:spPr bwMode="auto">
        <a:xfrm flipV="1">
          <a:off x="3338739" y="5295446"/>
          <a:ext cx="1752600" cy="77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573833</xdr:colOff>
      <xdr:row>28</xdr:row>
      <xdr:rowOff>104775</xdr:rowOff>
    </xdr:from>
    <xdr:to>
      <xdr:col>8</xdr:col>
      <xdr:colOff>165619</xdr:colOff>
      <xdr:row>28</xdr:row>
      <xdr:rowOff>114496</xdr:rowOff>
    </xdr:to>
    <xdr:cxnSp macro="">
      <xdr:nvCxnSpPr>
        <xdr:cNvPr id="954" name="Straight Arrow Connector 953"/>
        <xdr:cNvCxnSpPr/>
      </xdr:nvCxnSpPr>
      <xdr:spPr bwMode="auto">
        <a:xfrm>
          <a:off x="2402633" y="4943475"/>
          <a:ext cx="2639786" cy="97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437373</xdr:colOff>
      <xdr:row>25</xdr:row>
      <xdr:rowOff>176343</xdr:rowOff>
    </xdr:from>
    <xdr:to>
      <xdr:col>8</xdr:col>
      <xdr:colOff>201191</xdr:colOff>
      <xdr:row>25</xdr:row>
      <xdr:rowOff>184668</xdr:rowOff>
    </xdr:to>
    <xdr:cxnSp macro="">
      <xdr:nvCxnSpPr>
        <xdr:cNvPr id="958" name="Straight Arrow Connector 957"/>
        <xdr:cNvCxnSpPr/>
      </xdr:nvCxnSpPr>
      <xdr:spPr bwMode="auto">
        <a:xfrm flipV="1">
          <a:off x="1049694" y="4812491"/>
          <a:ext cx="4050068" cy="83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456812</xdr:colOff>
      <xdr:row>44</xdr:row>
      <xdr:rowOff>19437</xdr:rowOff>
    </xdr:from>
    <xdr:to>
      <xdr:col>8</xdr:col>
      <xdr:colOff>194388</xdr:colOff>
      <xdr:row>45</xdr:row>
      <xdr:rowOff>29157</xdr:rowOff>
    </xdr:to>
    <xdr:sp macro="" textlink="">
      <xdr:nvSpPr>
        <xdr:cNvPr id="963" name="Line 24"/>
        <xdr:cNvSpPr>
          <a:spLocks noChangeShapeType="1"/>
        </xdr:cNvSpPr>
      </xdr:nvSpPr>
      <xdr:spPr bwMode="auto">
        <a:xfrm>
          <a:off x="1069133" y="8154565"/>
          <a:ext cx="4023826" cy="204107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1</xdr:col>
      <xdr:colOff>427654</xdr:colOff>
      <xdr:row>41</xdr:row>
      <xdr:rowOff>0</xdr:rowOff>
    </xdr:from>
    <xdr:to>
      <xdr:col>3</xdr:col>
      <xdr:colOff>573444</xdr:colOff>
      <xdr:row>41</xdr:row>
      <xdr:rowOff>9722</xdr:rowOff>
    </xdr:to>
    <xdr:cxnSp macro="">
      <xdr:nvCxnSpPr>
        <xdr:cNvPr id="966" name="Straight Connector 965"/>
        <xdr:cNvCxnSpPr/>
      </xdr:nvCxnSpPr>
      <xdr:spPr bwMode="auto">
        <a:xfrm flipV="1">
          <a:off x="1039975" y="7551964"/>
          <a:ext cx="1370433" cy="9722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168145</xdr:colOff>
      <xdr:row>42</xdr:row>
      <xdr:rowOff>0</xdr:rowOff>
    </xdr:from>
    <xdr:to>
      <xdr:col>7</xdr:col>
      <xdr:colOff>244345</xdr:colOff>
      <xdr:row>42</xdr:row>
      <xdr:rowOff>0</xdr:rowOff>
    </xdr:to>
    <xdr:sp macro="" textlink="">
      <xdr:nvSpPr>
        <xdr:cNvPr id="969" name="Line 28"/>
        <xdr:cNvSpPr>
          <a:spLocks noChangeShapeType="1"/>
        </xdr:cNvSpPr>
      </xdr:nvSpPr>
      <xdr:spPr bwMode="auto">
        <a:xfrm>
          <a:off x="3842074" y="7746352"/>
          <a:ext cx="688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276225</xdr:colOff>
      <xdr:row>41</xdr:row>
      <xdr:rowOff>66675</xdr:rowOff>
    </xdr:from>
    <xdr:to>
      <xdr:col>6</xdr:col>
      <xdr:colOff>352425</xdr:colOff>
      <xdr:row>42</xdr:row>
      <xdr:rowOff>0</xdr:rowOff>
    </xdr:to>
    <xdr:sp macro="" textlink="">
      <xdr:nvSpPr>
        <xdr:cNvPr id="970" name="AutoShape 29"/>
        <xdr:cNvSpPr>
          <a:spLocks noChangeArrowheads="1"/>
        </xdr:cNvSpPr>
      </xdr:nvSpPr>
      <xdr:spPr bwMode="auto">
        <a:xfrm>
          <a:off x="8848725" y="7618639"/>
          <a:ext cx="76200" cy="127713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247650</xdr:colOff>
      <xdr:row>42</xdr:row>
      <xdr:rowOff>28575</xdr:rowOff>
    </xdr:from>
    <xdr:to>
      <xdr:col>6</xdr:col>
      <xdr:colOff>409575</xdr:colOff>
      <xdr:row>42</xdr:row>
      <xdr:rowOff>28575</xdr:rowOff>
    </xdr:to>
    <xdr:sp macro="" textlink="">
      <xdr:nvSpPr>
        <xdr:cNvPr id="971" name="Line 30"/>
        <xdr:cNvSpPr>
          <a:spLocks noChangeShapeType="1"/>
        </xdr:cNvSpPr>
      </xdr:nvSpPr>
      <xdr:spPr bwMode="auto">
        <a:xfrm>
          <a:off x="8820150" y="7774927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295275</xdr:colOff>
      <xdr:row>42</xdr:row>
      <xdr:rowOff>76200</xdr:rowOff>
    </xdr:from>
    <xdr:to>
      <xdr:col>6</xdr:col>
      <xdr:colOff>361950</xdr:colOff>
      <xdr:row>42</xdr:row>
      <xdr:rowOff>76200</xdr:rowOff>
    </xdr:to>
    <xdr:sp macro="" textlink="">
      <xdr:nvSpPr>
        <xdr:cNvPr id="972" name="Line 31"/>
        <xdr:cNvSpPr>
          <a:spLocks noChangeShapeType="1"/>
        </xdr:cNvSpPr>
      </xdr:nvSpPr>
      <xdr:spPr bwMode="auto">
        <a:xfrm>
          <a:off x="8867775" y="7822552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290146</xdr:colOff>
      <xdr:row>41</xdr:row>
      <xdr:rowOff>19442</xdr:rowOff>
    </xdr:from>
    <xdr:to>
      <xdr:col>1</xdr:col>
      <xdr:colOff>291581</xdr:colOff>
      <xdr:row>49</xdr:row>
      <xdr:rowOff>161518</xdr:rowOff>
    </xdr:to>
    <xdr:cxnSp macro="">
      <xdr:nvCxnSpPr>
        <xdr:cNvPr id="973" name="Straight Connector 972"/>
        <xdr:cNvCxnSpPr/>
      </xdr:nvCxnSpPr>
      <xdr:spPr bwMode="auto">
        <a:xfrm rot="5400000">
          <a:off x="54596" y="8419277"/>
          <a:ext cx="1697178" cy="143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cxnSp>
    <xdr:clientData/>
  </xdr:twoCellAnchor>
  <xdr:twoCellAnchor>
    <xdr:from>
      <xdr:col>6</xdr:col>
      <xdr:colOff>300720</xdr:colOff>
      <xdr:row>47</xdr:row>
      <xdr:rowOff>190892</xdr:rowOff>
    </xdr:from>
    <xdr:to>
      <xdr:col>6</xdr:col>
      <xdr:colOff>311020</xdr:colOff>
      <xdr:row>49</xdr:row>
      <xdr:rowOff>184669</xdr:rowOff>
    </xdr:to>
    <xdr:cxnSp macro="">
      <xdr:nvCxnSpPr>
        <xdr:cNvPr id="974" name="Straight Arrow Connector 973"/>
        <xdr:cNvCxnSpPr/>
      </xdr:nvCxnSpPr>
      <xdr:spPr bwMode="auto">
        <a:xfrm rot="16200000" flipV="1">
          <a:off x="3788523" y="9095309"/>
          <a:ext cx="382552" cy="103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0</xdr:col>
      <xdr:colOff>195360</xdr:colOff>
      <xdr:row>51</xdr:row>
      <xdr:rowOff>0</xdr:rowOff>
    </xdr:from>
    <xdr:to>
      <xdr:col>0</xdr:col>
      <xdr:colOff>485775</xdr:colOff>
      <xdr:row>51</xdr:row>
      <xdr:rowOff>1588</xdr:rowOff>
    </xdr:to>
    <xdr:cxnSp macro="">
      <xdr:nvCxnSpPr>
        <xdr:cNvPr id="982" name="Straight Connector 981"/>
        <xdr:cNvCxnSpPr/>
      </xdr:nvCxnSpPr>
      <xdr:spPr bwMode="auto">
        <a:xfrm>
          <a:off x="195360" y="8629650"/>
          <a:ext cx="29041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193594</xdr:colOff>
      <xdr:row>36</xdr:row>
      <xdr:rowOff>10512</xdr:rowOff>
    </xdr:from>
    <xdr:to>
      <xdr:col>8</xdr:col>
      <xdr:colOff>195182</xdr:colOff>
      <xdr:row>48</xdr:row>
      <xdr:rowOff>20231</xdr:rowOff>
    </xdr:to>
    <xdr:cxnSp macro="">
      <xdr:nvCxnSpPr>
        <xdr:cNvPr id="776" name="Straight Connector 775"/>
        <xdr:cNvCxnSpPr>
          <a:stCxn id="888" idx="1"/>
        </xdr:cNvCxnSpPr>
      </xdr:nvCxnSpPr>
      <xdr:spPr bwMode="auto">
        <a:xfrm rot="5400000">
          <a:off x="4009053" y="7234528"/>
          <a:ext cx="2124269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310226</xdr:colOff>
      <xdr:row>36</xdr:row>
      <xdr:rowOff>10512</xdr:rowOff>
    </xdr:from>
    <xdr:to>
      <xdr:col>8</xdr:col>
      <xdr:colOff>311814</xdr:colOff>
      <xdr:row>48</xdr:row>
      <xdr:rowOff>20231</xdr:rowOff>
    </xdr:to>
    <xdr:cxnSp macro="">
      <xdr:nvCxnSpPr>
        <xdr:cNvPr id="784" name="Straight Connector 783"/>
        <xdr:cNvCxnSpPr/>
      </xdr:nvCxnSpPr>
      <xdr:spPr bwMode="auto">
        <a:xfrm rot="5400000">
          <a:off x="4038405" y="7624858"/>
          <a:ext cx="2342372" cy="1588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cxnSp>
    <xdr:clientData/>
  </xdr:twoCellAnchor>
  <xdr:twoCellAnchor>
    <xdr:from>
      <xdr:col>6</xdr:col>
      <xdr:colOff>458430</xdr:colOff>
      <xdr:row>37</xdr:row>
      <xdr:rowOff>19439</xdr:rowOff>
    </xdr:from>
    <xdr:to>
      <xdr:col>6</xdr:col>
      <xdr:colOff>602602</xdr:colOff>
      <xdr:row>37</xdr:row>
      <xdr:rowOff>116633</xdr:rowOff>
    </xdr:to>
    <xdr:sp macro="" textlink="">
      <xdr:nvSpPr>
        <xdr:cNvPr id="785" name="Line 1012"/>
        <xdr:cNvSpPr>
          <a:spLocks noChangeShapeType="1"/>
        </xdr:cNvSpPr>
      </xdr:nvSpPr>
      <xdr:spPr bwMode="auto">
        <a:xfrm>
          <a:off x="4132359" y="6657781"/>
          <a:ext cx="144172" cy="97194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sp>
    <xdr:clientData/>
  </xdr:twoCellAnchor>
  <xdr:twoCellAnchor>
    <xdr:from>
      <xdr:col>0</xdr:col>
      <xdr:colOff>241883</xdr:colOff>
      <xdr:row>41</xdr:row>
      <xdr:rowOff>1424</xdr:rowOff>
    </xdr:from>
    <xdr:to>
      <xdr:col>1</xdr:col>
      <xdr:colOff>365709</xdr:colOff>
      <xdr:row>41</xdr:row>
      <xdr:rowOff>3012</xdr:rowOff>
    </xdr:to>
    <xdr:cxnSp macro="">
      <xdr:nvCxnSpPr>
        <xdr:cNvPr id="792" name="Straight Connector 791"/>
        <xdr:cNvCxnSpPr/>
      </xdr:nvCxnSpPr>
      <xdr:spPr bwMode="auto">
        <a:xfrm>
          <a:off x="241883" y="7417317"/>
          <a:ext cx="73614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200026</xdr:colOff>
      <xdr:row>66</xdr:row>
      <xdr:rowOff>155316</xdr:rowOff>
    </xdr:from>
    <xdr:to>
      <xdr:col>1</xdr:col>
      <xdr:colOff>200026</xdr:colOff>
      <xdr:row>69</xdr:row>
      <xdr:rowOff>66869</xdr:rowOff>
    </xdr:to>
    <xdr:sp macro="" textlink="">
      <xdr:nvSpPr>
        <xdr:cNvPr id="793" name="Line 92"/>
        <xdr:cNvSpPr>
          <a:spLocks noChangeShapeType="1"/>
        </xdr:cNvSpPr>
      </xdr:nvSpPr>
      <xdr:spPr bwMode="auto">
        <a:xfrm>
          <a:off x="812347" y="12314270"/>
          <a:ext cx="0" cy="436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180587</xdr:colOff>
      <xdr:row>51</xdr:row>
      <xdr:rowOff>97000</xdr:rowOff>
    </xdr:from>
    <xdr:to>
      <xdr:col>1</xdr:col>
      <xdr:colOff>180587</xdr:colOff>
      <xdr:row>53</xdr:row>
      <xdr:rowOff>144624</xdr:rowOff>
    </xdr:to>
    <xdr:sp macro="" textlink="">
      <xdr:nvSpPr>
        <xdr:cNvPr id="794" name="Line 92"/>
        <xdr:cNvSpPr>
          <a:spLocks noChangeShapeType="1"/>
        </xdr:cNvSpPr>
      </xdr:nvSpPr>
      <xdr:spPr bwMode="auto">
        <a:xfrm>
          <a:off x="792908" y="9456770"/>
          <a:ext cx="0" cy="436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</xdr:col>
      <xdr:colOff>586078</xdr:colOff>
      <xdr:row>36</xdr:row>
      <xdr:rowOff>19438</xdr:rowOff>
    </xdr:from>
    <xdr:ext cx="175304" cy="170560"/>
    <xdr:sp macro="" textlink="">
      <xdr:nvSpPr>
        <xdr:cNvPr id="766" name="Text Box 1014"/>
        <xdr:cNvSpPr txBox="1">
          <a:spLocks noChangeArrowheads="1"/>
        </xdr:cNvSpPr>
      </xdr:nvSpPr>
      <xdr:spPr bwMode="auto">
        <a:xfrm>
          <a:off x="3647685" y="6463392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oneCellAnchor>
    <xdr:from>
      <xdr:col>4</xdr:col>
      <xdr:colOff>129266</xdr:colOff>
      <xdr:row>38</xdr:row>
      <xdr:rowOff>38876</xdr:rowOff>
    </xdr:from>
    <xdr:ext cx="175304" cy="170560"/>
    <xdr:sp macro="" textlink="">
      <xdr:nvSpPr>
        <xdr:cNvPr id="767" name="Text Box 1014"/>
        <xdr:cNvSpPr txBox="1">
          <a:spLocks noChangeArrowheads="1"/>
        </xdr:cNvSpPr>
      </xdr:nvSpPr>
      <xdr:spPr bwMode="auto">
        <a:xfrm>
          <a:off x="2578552" y="6871606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0</xdr:col>
      <xdr:colOff>311020</xdr:colOff>
      <xdr:row>129</xdr:row>
      <xdr:rowOff>155510</xdr:rowOff>
    </xdr:from>
    <xdr:to>
      <xdr:col>1</xdr:col>
      <xdr:colOff>320741</xdr:colOff>
      <xdr:row>138</xdr:row>
      <xdr:rowOff>29161</xdr:rowOff>
    </xdr:to>
    <xdr:cxnSp macro="">
      <xdr:nvCxnSpPr>
        <xdr:cNvPr id="770" name="Straight Connector 769"/>
        <xdr:cNvCxnSpPr/>
      </xdr:nvCxnSpPr>
      <xdr:spPr bwMode="auto">
        <a:xfrm rot="5400000">
          <a:off x="-58318" y="24298470"/>
          <a:ext cx="1360718" cy="62204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184670</xdr:colOff>
      <xdr:row>469</xdr:row>
      <xdr:rowOff>106916</xdr:rowOff>
    </xdr:from>
    <xdr:to>
      <xdr:col>7</xdr:col>
      <xdr:colOff>194390</xdr:colOff>
      <xdr:row>483</xdr:row>
      <xdr:rowOff>3</xdr:rowOff>
    </xdr:to>
    <xdr:cxnSp macro="">
      <xdr:nvCxnSpPr>
        <xdr:cNvPr id="775" name="Straight Connector 774"/>
        <xdr:cNvCxnSpPr/>
      </xdr:nvCxnSpPr>
      <xdr:spPr bwMode="auto">
        <a:xfrm rot="16200000" flipH="1">
          <a:off x="3372629" y="76627656"/>
          <a:ext cx="2206301" cy="9720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311022</xdr:colOff>
      <xdr:row>379</xdr:row>
      <xdr:rowOff>9721</xdr:rowOff>
    </xdr:from>
    <xdr:to>
      <xdr:col>1</xdr:col>
      <xdr:colOff>320740</xdr:colOff>
      <xdr:row>387</xdr:row>
      <xdr:rowOff>9720</xdr:rowOff>
    </xdr:to>
    <xdr:cxnSp macro="">
      <xdr:nvCxnSpPr>
        <xdr:cNvPr id="782" name="Straight Connector 781"/>
        <xdr:cNvCxnSpPr/>
      </xdr:nvCxnSpPr>
      <xdr:spPr bwMode="auto">
        <a:xfrm rot="5400000">
          <a:off x="-38876" y="60299083"/>
          <a:ext cx="1321836" cy="62203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320741</xdr:colOff>
      <xdr:row>628</xdr:row>
      <xdr:rowOff>0</xdr:rowOff>
    </xdr:from>
    <xdr:to>
      <xdr:col>1</xdr:col>
      <xdr:colOff>320741</xdr:colOff>
      <xdr:row>636</xdr:row>
      <xdr:rowOff>19439</xdr:rowOff>
    </xdr:to>
    <xdr:cxnSp macro="">
      <xdr:nvCxnSpPr>
        <xdr:cNvPr id="769" name="Straight Connector 768"/>
        <xdr:cNvCxnSpPr/>
      </xdr:nvCxnSpPr>
      <xdr:spPr bwMode="auto">
        <a:xfrm rot="5400000">
          <a:off x="-43736" y="97412564"/>
          <a:ext cx="1341275" cy="61232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183875</xdr:colOff>
      <xdr:row>718</xdr:row>
      <xdr:rowOff>127145</xdr:rowOff>
    </xdr:from>
    <xdr:to>
      <xdr:col>7</xdr:col>
      <xdr:colOff>185463</xdr:colOff>
      <xdr:row>730</xdr:row>
      <xdr:rowOff>97987</xdr:rowOff>
    </xdr:to>
    <xdr:cxnSp macro="">
      <xdr:nvCxnSpPr>
        <xdr:cNvPr id="771" name="Straight Connector 770"/>
        <xdr:cNvCxnSpPr/>
      </xdr:nvCxnSpPr>
      <xdr:spPr bwMode="auto">
        <a:xfrm rot="5400000">
          <a:off x="3494120" y="114625599"/>
          <a:ext cx="1953597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lgDash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320740</xdr:colOff>
      <xdr:row>875</xdr:row>
      <xdr:rowOff>0</xdr:rowOff>
    </xdr:from>
    <xdr:to>
      <xdr:col>1</xdr:col>
      <xdr:colOff>301301</xdr:colOff>
      <xdr:row>883</xdr:row>
      <xdr:rowOff>9719</xdr:rowOff>
    </xdr:to>
    <xdr:cxnSp macro="">
      <xdr:nvCxnSpPr>
        <xdr:cNvPr id="773" name="Straight Connector 772"/>
        <xdr:cNvCxnSpPr/>
      </xdr:nvCxnSpPr>
      <xdr:spPr bwMode="auto">
        <a:xfrm rot="5400000">
          <a:off x="-48597" y="134798189"/>
          <a:ext cx="1331556" cy="59288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311021</xdr:colOff>
      <xdr:row>1123</xdr:row>
      <xdr:rowOff>9718</xdr:rowOff>
    </xdr:from>
    <xdr:to>
      <xdr:col>1</xdr:col>
      <xdr:colOff>301302</xdr:colOff>
      <xdr:row>1130</xdr:row>
      <xdr:rowOff>165228</xdr:rowOff>
    </xdr:to>
    <xdr:cxnSp macro="">
      <xdr:nvCxnSpPr>
        <xdr:cNvPr id="764" name="Straight Connector 763"/>
        <xdr:cNvCxnSpPr/>
      </xdr:nvCxnSpPr>
      <xdr:spPr bwMode="auto">
        <a:xfrm rot="5400000">
          <a:off x="-43737" y="171552053"/>
          <a:ext cx="1312117" cy="60260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165229</xdr:colOff>
      <xdr:row>220</xdr:row>
      <xdr:rowOff>136070</xdr:rowOff>
    </xdr:from>
    <xdr:to>
      <xdr:col>7</xdr:col>
      <xdr:colOff>174948</xdr:colOff>
      <xdr:row>232</xdr:row>
      <xdr:rowOff>106912</xdr:rowOff>
    </xdr:to>
    <xdr:cxnSp macro="">
      <xdr:nvCxnSpPr>
        <xdr:cNvPr id="859" name="Straight Connector 858"/>
        <xdr:cNvCxnSpPr/>
      </xdr:nvCxnSpPr>
      <xdr:spPr bwMode="auto">
        <a:xfrm rot="16200000" flipH="1">
          <a:off x="3479540" y="40860305"/>
          <a:ext cx="1953597" cy="9719"/>
        </a:xfrm>
        <a:prstGeom prst="line">
          <a:avLst/>
        </a:prstGeom>
        <a:solidFill>
          <a:srgbClr val="FFFFFF"/>
        </a:solidFill>
        <a:ln w="2857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314325</xdr:colOff>
      <xdr:row>54</xdr:row>
      <xdr:rowOff>114300</xdr:rowOff>
    </xdr:from>
    <xdr:to>
      <xdr:col>1</xdr:col>
      <xdr:colOff>314325</xdr:colOff>
      <xdr:row>55</xdr:row>
      <xdr:rowOff>76200</xdr:rowOff>
    </xdr:to>
    <xdr:sp macro="" textlink="">
      <xdr:nvSpPr>
        <xdr:cNvPr id="765" name="Line 4342"/>
        <xdr:cNvSpPr>
          <a:spLocks noChangeShapeType="1"/>
        </xdr:cNvSpPr>
      </xdr:nvSpPr>
      <xdr:spPr bwMode="auto">
        <a:xfrm>
          <a:off x="923925" y="92583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600075</xdr:colOff>
      <xdr:row>55</xdr:row>
      <xdr:rowOff>0</xdr:rowOff>
    </xdr:from>
    <xdr:to>
      <xdr:col>1</xdr:col>
      <xdr:colOff>314325</xdr:colOff>
      <xdr:row>55</xdr:row>
      <xdr:rowOff>1588</xdr:rowOff>
    </xdr:to>
    <xdr:cxnSp macro="">
      <xdr:nvCxnSpPr>
        <xdr:cNvPr id="772" name="Straight Arrow Connector 771"/>
        <xdr:cNvCxnSpPr/>
      </xdr:nvCxnSpPr>
      <xdr:spPr bwMode="auto">
        <a:xfrm>
          <a:off x="600075" y="9334500"/>
          <a:ext cx="3238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12</xdr:col>
      <xdr:colOff>608810</xdr:colOff>
      <xdr:row>50</xdr:row>
      <xdr:rowOff>9529</xdr:rowOff>
    </xdr:from>
    <xdr:to>
      <xdr:col>13</xdr:col>
      <xdr:colOff>3</xdr:colOff>
      <xdr:row>54</xdr:row>
      <xdr:rowOff>19845</xdr:rowOff>
    </xdr:to>
    <xdr:cxnSp macro="">
      <xdr:nvCxnSpPr>
        <xdr:cNvPr id="667" name="Straight Connector 666"/>
        <xdr:cNvCxnSpPr/>
      </xdr:nvCxnSpPr>
      <xdr:spPr bwMode="auto">
        <a:xfrm rot="5400000">
          <a:off x="9409911" y="8953503"/>
          <a:ext cx="686591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600075</xdr:colOff>
      <xdr:row>50</xdr:row>
      <xdr:rowOff>9525</xdr:rowOff>
    </xdr:from>
    <xdr:to>
      <xdr:col>16</xdr:col>
      <xdr:colOff>9525</xdr:colOff>
      <xdr:row>50</xdr:row>
      <xdr:rowOff>19050</xdr:rowOff>
    </xdr:to>
    <xdr:cxnSp macro="">
      <xdr:nvCxnSpPr>
        <xdr:cNvPr id="670" name="Straight Connector 669"/>
        <xdr:cNvCxnSpPr/>
      </xdr:nvCxnSpPr>
      <xdr:spPr bwMode="auto">
        <a:xfrm>
          <a:off x="7305675" y="8610600"/>
          <a:ext cx="1847850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19050</xdr:colOff>
      <xdr:row>54</xdr:row>
      <xdr:rowOff>9525</xdr:rowOff>
    </xdr:from>
    <xdr:to>
      <xdr:col>14</xdr:col>
      <xdr:colOff>352425</xdr:colOff>
      <xdr:row>54</xdr:row>
      <xdr:rowOff>28578</xdr:rowOff>
    </xdr:to>
    <xdr:cxnSp macro="">
      <xdr:nvCxnSpPr>
        <xdr:cNvPr id="671" name="Straight Connector 670"/>
        <xdr:cNvCxnSpPr/>
      </xdr:nvCxnSpPr>
      <xdr:spPr bwMode="auto">
        <a:xfrm>
          <a:off x="9772650" y="9286875"/>
          <a:ext cx="942975" cy="1905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333375</xdr:colOff>
      <xdr:row>52</xdr:row>
      <xdr:rowOff>9525</xdr:rowOff>
    </xdr:from>
    <xdr:to>
      <xdr:col>15</xdr:col>
      <xdr:colOff>190500</xdr:colOff>
      <xdr:row>54</xdr:row>
      <xdr:rowOff>38100</xdr:rowOff>
    </xdr:to>
    <xdr:cxnSp macro="">
      <xdr:nvCxnSpPr>
        <xdr:cNvPr id="690" name="Straight Connector 689"/>
        <xdr:cNvCxnSpPr/>
      </xdr:nvCxnSpPr>
      <xdr:spPr bwMode="auto">
        <a:xfrm flipV="1">
          <a:off x="8867775" y="8934450"/>
          <a:ext cx="466725" cy="381000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208760</xdr:colOff>
      <xdr:row>46</xdr:row>
      <xdr:rowOff>19055</xdr:rowOff>
    </xdr:from>
    <xdr:to>
      <xdr:col>14</xdr:col>
      <xdr:colOff>209553</xdr:colOff>
      <xdr:row>50</xdr:row>
      <xdr:rowOff>19846</xdr:rowOff>
    </xdr:to>
    <xdr:cxnSp macro="">
      <xdr:nvCxnSpPr>
        <xdr:cNvPr id="691" name="Straight Connector 690"/>
        <xdr:cNvCxnSpPr/>
      </xdr:nvCxnSpPr>
      <xdr:spPr bwMode="auto">
        <a:xfrm rot="5400000">
          <a:off x="10248111" y="8296279"/>
          <a:ext cx="648491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532610</xdr:colOff>
      <xdr:row>52</xdr:row>
      <xdr:rowOff>66682</xdr:rowOff>
    </xdr:from>
    <xdr:to>
      <xdr:col>13</xdr:col>
      <xdr:colOff>533403</xdr:colOff>
      <xdr:row>56</xdr:row>
      <xdr:rowOff>48423</xdr:rowOff>
    </xdr:to>
    <xdr:cxnSp macro="">
      <xdr:nvCxnSpPr>
        <xdr:cNvPr id="692" name="Straight Connector 691"/>
        <xdr:cNvCxnSpPr/>
      </xdr:nvCxnSpPr>
      <xdr:spPr bwMode="auto">
        <a:xfrm rot="5400000">
          <a:off x="9929024" y="9348793"/>
          <a:ext cx="715166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171450</xdr:colOff>
      <xdr:row>52</xdr:row>
      <xdr:rowOff>19050</xdr:rowOff>
    </xdr:from>
    <xdr:to>
      <xdr:col>15</xdr:col>
      <xdr:colOff>600075</xdr:colOff>
      <xdr:row>52</xdr:row>
      <xdr:rowOff>20638</xdr:rowOff>
    </xdr:to>
    <xdr:cxnSp macro="">
      <xdr:nvCxnSpPr>
        <xdr:cNvPr id="693" name="Straight Connector 692"/>
        <xdr:cNvCxnSpPr/>
      </xdr:nvCxnSpPr>
      <xdr:spPr bwMode="auto">
        <a:xfrm>
          <a:off x="8705850" y="8943975"/>
          <a:ext cx="428625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266704</xdr:colOff>
      <xdr:row>55</xdr:row>
      <xdr:rowOff>161932</xdr:rowOff>
    </xdr:from>
    <xdr:to>
      <xdr:col>14</xdr:col>
      <xdr:colOff>276225</xdr:colOff>
      <xdr:row>58</xdr:row>
      <xdr:rowOff>28577</xdr:rowOff>
    </xdr:to>
    <xdr:cxnSp macro="">
      <xdr:nvCxnSpPr>
        <xdr:cNvPr id="695" name="Straight Connector 694"/>
        <xdr:cNvCxnSpPr/>
      </xdr:nvCxnSpPr>
      <xdr:spPr bwMode="auto">
        <a:xfrm rot="16200000" flipH="1">
          <a:off x="10415592" y="9844094"/>
          <a:ext cx="438145" cy="9521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91361</xdr:colOff>
      <xdr:row>50</xdr:row>
      <xdr:rowOff>11858</xdr:rowOff>
    </xdr:from>
    <xdr:to>
      <xdr:col>12</xdr:col>
      <xdr:colOff>443786</xdr:colOff>
      <xdr:row>50</xdr:row>
      <xdr:rowOff>11858</xdr:rowOff>
    </xdr:to>
    <xdr:sp macro="" textlink="">
      <xdr:nvSpPr>
        <xdr:cNvPr id="698" name="Line 39"/>
        <xdr:cNvSpPr>
          <a:spLocks noChangeShapeType="1"/>
        </xdr:cNvSpPr>
      </xdr:nvSpPr>
      <xdr:spPr bwMode="auto">
        <a:xfrm>
          <a:off x="9302036" y="777473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53261</xdr:colOff>
      <xdr:row>51</xdr:row>
      <xdr:rowOff>183308</xdr:rowOff>
    </xdr:from>
    <xdr:to>
      <xdr:col>12</xdr:col>
      <xdr:colOff>405686</xdr:colOff>
      <xdr:row>51</xdr:row>
      <xdr:rowOff>183308</xdr:rowOff>
    </xdr:to>
    <xdr:sp macro="" textlink="">
      <xdr:nvSpPr>
        <xdr:cNvPr id="701" name="Line 39"/>
        <xdr:cNvSpPr>
          <a:spLocks noChangeShapeType="1"/>
        </xdr:cNvSpPr>
      </xdr:nvSpPr>
      <xdr:spPr bwMode="auto">
        <a:xfrm>
          <a:off x="9263936" y="813668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81836</xdr:colOff>
      <xdr:row>54</xdr:row>
      <xdr:rowOff>11858</xdr:rowOff>
    </xdr:from>
    <xdr:to>
      <xdr:col>12</xdr:col>
      <xdr:colOff>434261</xdr:colOff>
      <xdr:row>54</xdr:row>
      <xdr:rowOff>11858</xdr:rowOff>
    </xdr:to>
    <xdr:sp macro="" textlink="">
      <xdr:nvSpPr>
        <xdr:cNvPr id="703" name="Line 39"/>
        <xdr:cNvSpPr>
          <a:spLocks noChangeShapeType="1"/>
        </xdr:cNvSpPr>
      </xdr:nvSpPr>
      <xdr:spPr bwMode="auto">
        <a:xfrm>
          <a:off x="9292511" y="853673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209548</xdr:colOff>
      <xdr:row>53</xdr:row>
      <xdr:rowOff>114300</xdr:rowOff>
    </xdr:from>
    <xdr:to>
      <xdr:col>15</xdr:col>
      <xdr:colOff>219077</xdr:colOff>
      <xdr:row>60</xdr:row>
      <xdr:rowOff>3</xdr:rowOff>
    </xdr:to>
    <xdr:cxnSp macro="">
      <xdr:nvCxnSpPr>
        <xdr:cNvPr id="705" name="Straight Connector 704"/>
        <xdr:cNvCxnSpPr/>
      </xdr:nvCxnSpPr>
      <xdr:spPr bwMode="auto">
        <a:xfrm rot="16200000" flipH="1">
          <a:off x="8748711" y="9805987"/>
          <a:ext cx="1219203" cy="9529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266707</xdr:colOff>
      <xdr:row>56</xdr:row>
      <xdr:rowOff>180974</xdr:rowOff>
    </xdr:from>
    <xdr:to>
      <xdr:col>15</xdr:col>
      <xdr:colOff>219076</xdr:colOff>
      <xdr:row>57</xdr:row>
      <xdr:rowOff>0</xdr:rowOff>
    </xdr:to>
    <xdr:cxnSp macro="">
      <xdr:nvCxnSpPr>
        <xdr:cNvPr id="706" name="Straight Connector 705"/>
        <xdr:cNvCxnSpPr/>
      </xdr:nvCxnSpPr>
      <xdr:spPr bwMode="auto">
        <a:xfrm rot="10800000">
          <a:off x="8801107" y="9839324"/>
          <a:ext cx="561969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13</xdr:col>
      <xdr:colOff>1</xdr:colOff>
      <xdr:row>56</xdr:row>
      <xdr:rowOff>190498</xdr:rowOff>
    </xdr:from>
    <xdr:to>
      <xdr:col>14</xdr:col>
      <xdr:colOff>295276</xdr:colOff>
      <xdr:row>56</xdr:row>
      <xdr:rowOff>190499</xdr:rowOff>
    </xdr:to>
    <xdr:cxnSp macro="">
      <xdr:nvCxnSpPr>
        <xdr:cNvPr id="707" name="Straight Connector 706"/>
        <xdr:cNvCxnSpPr/>
      </xdr:nvCxnSpPr>
      <xdr:spPr bwMode="auto">
        <a:xfrm rot="10800000" flipV="1">
          <a:off x="7924801" y="9848848"/>
          <a:ext cx="90487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12</xdr:col>
      <xdr:colOff>590550</xdr:colOff>
      <xdr:row>59</xdr:row>
      <xdr:rowOff>9524</xdr:rowOff>
    </xdr:from>
    <xdr:to>
      <xdr:col>15</xdr:col>
      <xdr:colOff>228600</xdr:colOff>
      <xdr:row>59</xdr:row>
      <xdr:rowOff>19049</xdr:rowOff>
    </xdr:to>
    <xdr:cxnSp macro="">
      <xdr:nvCxnSpPr>
        <xdr:cNvPr id="709" name="Straight Connector 708"/>
        <xdr:cNvCxnSpPr/>
      </xdr:nvCxnSpPr>
      <xdr:spPr bwMode="auto">
        <a:xfrm rot="10800000" flipV="1">
          <a:off x="7905750" y="10239374"/>
          <a:ext cx="14668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12</xdr:col>
      <xdr:colOff>600074</xdr:colOff>
      <xdr:row>54</xdr:row>
      <xdr:rowOff>57152</xdr:rowOff>
    </xdr:from>
    <xdr:to>
      <xdr:col>13</xdr:col>
      <xdr:colOff>3</xdr:colOff>
      <xdr:row>60</xdr:row>
      <xdr:rowOff>38104</xdr:rowOff>
    </xdr:to>
    <xdr:cxnSp macro="">
      <xdr:nvCxnSpPr>
        <xdr:cNvPr id="710" name="Straight Connector 709"/>
        <xdr:cNvCxnSpPr/>
      </xdr:nvCxnSpPr>
      <xdr:spPr bwMode="auto">
        <a:xfrm rot="16200000" flipH="1">
          <a:off x="9186863" y="9891713"/>
          <a:ext cx="1123952" cy="9529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200025</xdr:colOff>
      <xdr:row>46</xdr:row>
      <xdr:rowOff>9525</xdr:rowOff>
    </xdr:from>
    <xdr:to>
      <xdr:col>15</xdr:col>
      <xdr:colOff>600075</xdr:colOff>
      <xdr:row>46</xdr:row>
      <xdr:rowOff>19050</xdr:rowOff>
    </xdr:to>
    <xdr:cxnSp macro="">
      <xdr:nvCxnSpPr>
        <xdr:cNvPr id="711" name="Straight Connector 710"/>
        <xdr:cNvCxnSpPr/>
      </xdr:nvCxnSpPr>
      <xdr:spPr bwMode="auto">
        <a:xfrm>
          <a:off x="8124825" y="7962900"/>
          <a:ext cx="1009650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322100</xdr:colOff>
      <xdr:row>51</xdr:row>
      <xdr:rowOff>153197</xdr:rowOff>
    </xdr:from>
    <xdr:to>
      <xdr:col>12</xdr:col>
      <xdr:colOff>324645</xdr:colOff>
      <xdr:row>53</xdr:row>
      <xdr:rowOff>161928</xdr:rowOff>
    </xdr:to>
    <xdr:cxnSp macro="">
      <xdr:nvCxnSpPr>
        <xdr:cNvPr id="712" name="Straight Arrow Connector 711"/>
        <xdr:cNvCxnSpPr/>
      </xdr:nvCxnSpPr>
      <xdr:spPr bwMode="auto">
        <a:xfrm rot="5400000">
          <a:off x="6862682" y="9081215"/>
          <a:ext cx="332581" cy="25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12</xdr:col>
      <xdr:colOff>331625</xdr:colOff>
      <xdr:row>50</xdr:row>
      <xdr:rowOff>799</xdr:rowOff>
    </xdr:from>
    <xdr:to>
      <xdr:col>12</xdr:col>
      <xdr:colOff>334170</xdr:colOff>
      <xdr:row>52</xdr:row>
      <xdr:rowOff>5</xdr:rowOff>
    </xdr:to>
    <xdr:cxnSp macro="">
      <xdr:nvCxnSpPr>
        <xdr:cNvPr id="713" name="Straight Arrow Connector 712"/>
        <xdr:cNvCxnSpPr/>
      </xdr:nvCxnSpPr>
      <xdr:spPr bwMode="auto">
        <a:xfrm rot="5400000">
          <a:off x="6876970" y="8762129"/>
          <a:ext cx="323056" cy="25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5</xdr:col>
      <xdr:colOff>9525</xdr:colOff>
      <xdr:row>132</xdr:row>
      <xdr:rowOff>28576</xdr:rowOff>
    </xdr:from>
    <xdr:to>
      <xdr:col>5</xdr:col>
      <xdr:colOff>257175</xdr:colOff>
      <xdr:row>132</xdr:row>
      <xdr:rowOff>31685</xdr:rowOff>
    </xdr:to>
    <xdr:cxnSp macro="">
      <xdr:nvCxnSpPr>
        <xdr:cNvPr id="689" name="Straight Connector 688"/>
        <xdr:cNvCxnSpPr/>
      </xdr:nvCxnSpPr>
      <xdr:spPr bwMode="auto">
        <a:xfrm flipV="1">
          <a:off x="3057525" y="23345776"/>
          <a:ext cx="247650" cy="310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66675</xdr:colOff>
      <xdr:row>132</xdr:row>
      <xdr:rowOff>57150</xdr:rowOff>
    </xdr:from>
    <xdr:to>
      <xdr:col>5</xdr:col>
      <xdr:colOff>209550</xdr:colOff>
      <xdr:row>132</xdr:row>
      <xdr:rowOff>58738</xdr:rowOff>
    </xdr:to>
    <xdr:cxnSp macro="">
      <xdr:nvCxnSpPr>
        <xdr:cNvPr id="714" name="Straight Arrow Connector 713"/>
        <xdr:cNvCxnSpPr/>
      </xdr:nvCxnSpPr>
      <xdr:spPr bwMode="auto">
        <a:xfrm>
          <a:off x="3114675" y="23374350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460223</xdr:colOff>
      <xdr:row>44</xdr:row>
      <xdr:rowOff>104321</xdr:rowOff>
    </xdr:from>
    <xdr:to>
      <xdr:col>16</xdr:col>
      <xdr:colOff>171450</xdr:colOff>
      <xdr:row>54</xdr:row>
      <xdr:rowOff>123825</xdr:rowOff>
    </xdr:to>
    <xdr:sp macro="" textlink="">
      <xdr:nvSpPr>
        <xdr:cNvPr id="724" name="Freeform 723"/>
        <xdr:cNvSpPr/>
      </xdr:nvSpPr>
      <xdr:spPr bwMode="auto">
        <a:xfrm>
          <a:off x="8994623" y="7733846"/>
          <a:ext cx="320827" cy="1667329"/>
        </a:xfrm>
        <a:custGeom>
          <a:avLst/>
          <a:gdLst>
            <a:gd name="connsiteX0" fmla="*/ 158902 w 320827"/>
            <a:gd name="connsiteY0" fmla="*/ 454 h 1667329"/>
            <a:gd name="connsiteX1" fmla="*/ 130327 w 320827"/>
            <a:gd name="connsiteY1" fmla="*/ 9979 h 1667329"/>
            <a:gd name="connsiteX2" fmla="*/ 158902 w 320827"/>
            <a:gd name="connsiteY2" fmla="*/ 200479 h 1667329"/>
            <a:gd name="connsiteX3" fmla="*/ 168427 w 320827"/>
            <a:gd name="connsiteY3" fmla="*/ 419554 h 1667329"/>
            <a:gd name="connsiteX4" fmla="*/ 158902 w 320827"/>
            <a:gd name="connsiteY4" fmla="*/ 610054 h 1667329"/>
            <a:gd name="connsiteX5" fmla="*/ 139852 w 320827"/>
            <a:gd name="connsiteY5" fmla="*/ 638629 h 1667329"/>
            <a:gd name="connsiteX6" fmla="*/ 111277 w 320827"/>
            <a:gd name="connsiteY6" fmla="*/ 648154 h 1667329"/>
            <a:gd name="connsiteX7" fmla="*/ 82702 w 320827"/>
            <a:gd name="connsiteY7" fmla="*/ 667204 h 1667329"/>
            <a:gd name="connsiteX8" fmla="*/ 16027 w 320827"/>
            <a:gd name="connsiteY8" fmla="*/ 714829 h 1667329"/>
            <a:gd name="connsiteX9" fmla="*/ 25552 w 320827"/>
            <a:gd name="connsiteY9" fmla="*/ 752929 h 1667329"/>
            <a:gd name="connsiteX10" fmla="*/ 63652 w 320827"/>
            <a:gd name="connsiteY10" fmla="*/ 771979 h 1667329"/>
            <a:gd name="connsiteX11" fmla="*/ 235102 w 320827"/>
            <a:gd name="connsiteY11" fmla="*/ 781504 h 1667329"/>
            <a:gd name="connsiteX12" fmla="*/ 320827 w 320827"/>
            <a:gd name="connsiteY12" fmla="*/ 791029 h 1667329"/>
            <a:gd name="connsiteX13" fmla="*/ 292252 w 320827"/>
            <a:gd name="connsiteY13" fmla="*/ 810079 h 1667329"/>
            <a:gd name="connsiteX14" fmla="*/ 263677 w 320827"/>
            <a:gd name="connsiteY14" fmla="*/ 819604 h 1667329"/>
            <a:gd name="connsiteX15" fmla="*/ 254152 w 320827"/>
            <a:gd name="connsiteY15" fmla="*/ 848179 h 1667329"/>
            <a:gd name="connsiteX16" fmla="*/ 225577 w 320827"/>
            <a:gd name="connsiteY16" fmla="*/ 867229 h 1667329"/>
            <a:gd name="connsiteX17" fmla="*/ 206527 w 320827"/>
            <a:gd name="connsiteY17" fmla="*/ 895804 h 1667329"/>
            <a:gd name="connsiteX18" fmla="*/ 197002 w 320827"/>
            <a:gd name="connsiteY18" fmla="*/ 924379 h 1667329"/>
            <a:gd name="connsiteX19" fmla="*/ 168427 w 320827"/>
            <a:gd name="connsiteY19" fmla="*/ 943429 h 1667329"/>
            <a:gd name="connsiteX20" fmla="*/ 92227 w 320827"/>
            <a:gd name="connsiteY20" fmla="*/ 1010104 h 1667329"/>
            <a:gd name="connsiteX21" fmla="*/ 63652 w 320827"/>
            <a:gd name="connsiteY21" fmla="*/ 1029154 h 1667329"/>
            <a:gd name="connsiteX22" fmla="*/ 44602 w 320827"/>
            <a:gd name="connsiteY22" fmla="*/ 1057729 h 1667329"/>
            <a:gd name="connsiteX23" fmla="*/ 63652 w 320827"/>
            <a:gd name="connsiteY23" fmla="*/ 1086304 h 1667329"/>
            <a:gd name="connsiteX24" fmla="*/ 130327 w 320827"/>
            <a:gd name="connsiteY24" fmla="*/ 1105354 h 1667329"/>
            <a:gd name="connsiteX25" fmla="*/ 139852 w 320827"/>
            <a:gd name="connsiteY25" fmla="*/ 1133929 h 1667329"/>
            <a:gd name="connsiteX26" fmla="*/ 158902 w 320827"/>
            <a:gd name="connsiteY26" fmla="*/ 1172029 h 1667329"/>
            <a:gd name="connsiteX27" fmla="*/ 168427 w 320827"/>
            <a:gd name="connsiteY27" fmla="*/ 1238704 h 1667329"/>
            <a:gd name="connsiteX28" fmla="*/ 187477 w 320827"/>
            <a:gd name="connsiteY28" fmla="*/ 1667329 h 16673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320827" h="1667329">
              <a:moveTo>
                <a:pt x="158902" y="454"/>
              </a:moveTo>
              <a:cubicBezTo>
                <a:pt x="149377" y="3629"/>
                <a:pt x="131436" y="0"/>
                <a:pt x="130327" y="9979"/>
              </a:cubicBezTo>
              <a:cubicBezTo>
                <a:pt x="115274" y="145456"/>
                <a:pt x="115206" y="134936"/>
                <a:pt x="158902" y="200479"/>
              </a:cubicBezTo>
              <a:cubicBezTo>
                <a:pt x="162077" y="273504"/>
                <a:pt x="168427" y="346460"/>
                <a:pt x="168427" y="419554"/>
              </a:cubicBezTo>
              <a:cubicBezTo>
                <a:pt x="168427" y="483133"/>
                <a:pt x="167125" y="547009"/>
                <a:pt x="158902" y="610054"/>
              </a:cubicBezTo>
              <a:cubicBezTo>
                <a:pt x="157421" y="621405"/>
                <a:pt x="148791" y="631478"/>
                <a:pt x="139852" y="638629"/>
              </a:cubicBezTo>
              <a:cubicBezTo>
                <a:pt x="132012" y="644901"/>
                <a:pt x="120802" y="644979"/>
                <a:pt x="111277" y="648154"/>
              </a:cubicBezTo>
              <a:cubicBezTo>
                <a:pt x="101752" y="654504"/>
                <a:pt x="92017" y="660550"/>
                <a:pt x="82702" y="667204"/>
              </a:cubicBezTo>
              <a:cubicBezTo>
                <a:pt x="0" y="726277"/>
                <a:pt x="83370" y="669934"/>
                <a:pt x="16027" y="714829"/>
              </a:cubicBezTo>
              <a:cubicBezTo>
                <a:pt x="19202" y="727529"/>
                <a:pt x="17171" y="742872"/>
                <a:pt x="25552" y="752929"/>
              </a:cubicBezTo>
              <a:cubicBezTo>
                <a:pt x="34642" y="763837"/>
                <a:pt x="49583" y="770061"/>
                <a:pt x="63652" y="771979"/>
              </a:cubicBezTo>
              <a:cubicBezTo>
                <a:pt x="120365" y="779713"/>
                <a:pt x="178020" y="777276"/>
                <a:pt x="235102" y="781504"/>
              </a:cubicBezTo>
              <a:cubicBezTo>
                <a:pt x="263774" y="783628"/>
                <a:pt x="292252" y="787854"/>
                <a:pt x="320827" y="791029"/>
              </a:cubicBezTo>
              <a:cubicBezTo>
                <a:pt x="311302" y="797379"/>
                <a:pt x="302491" y="804959"/>
                <a:pt x="292252" y="810079"/>
              </a:cubicBezTo>
              <a:cubicBezTo>
                <a:pt x="283272" y="814569"/>
                <a:pt x="270777" y="812504"/>
                <a:pt x="263677" y="819604"/>
              </a:cubicBezTo>
              <a:cubicBezTo>
                <a:pt x="256577" y="826704"/>
                <a:pt x="260424" y="840339"/>
                <a:pt x="254152" y="848179"/>
              </a:cubicBezTo>
              <a:cubicBezTo>
                <a:pt x="247001" y="857118"/>
                <a:pt x="235102" y="860879"/>
                <a:pt x="225577" y="867229"/>
              </a:cubicBezTo>
              <a:cubicBezTo>
                <a:pt x="219227" y="876754"/>
                <a:pt x="211647" y="885565"/>
                <a:pt x="206527" y="895804"/>
              </a:cubicBezTo>
              <a:cubicBezTo>
                <a:pt x="202037" y="904784"/>
                <a:pt x="203274" y="916539"/>
                <a:pt x="197002" y="924379"/>
              </a:cubicBezTo>
              <a:cubicBezTo>
                <a:pt x="189851" y="933318"/>
                <a:pt x="177952" y="937079"/>
                <a:pt x="168427" y="943429"/>
              </a:cubicBezTo>
              <a:cubicBezTo>
                <a:pt x="136677" y="991054"/>
                <a:pt x="158902" y="965654"/>
                <a:pt x="92227" y="1010104"/>
              </a:cubicBezTo>
              <a:lnTo>
                <a:pt x="63652" y="1029154"/>
              </a:lnTo>
              <a:cubicBezTo>
                <a:pt x="57302" y="1038679"/>
                <a:pt x="44602" y="1046281"/>
                <a:pt x="44602" y="1057729"/>
              </a:cubicBezTo>
              <a:cubicBezTo>
                <a:pt x="44602" y="1069177"/>
                <a:pt x="54713" y="1079153"/>
                <a:pt x="63652" y="1086304"/>
              </a:cubicBezTo>
              <a:cubicBezTo>
                <a:pt x="69863" y="1091273"/>
                <a:pt x="127838" y="1104732"/>
                <a:pt x="130327" y="1105354"/>
              </a:cubicBezTo>
              <a:cubicBezTo>
                <a:pt x="133502" y="1114879"/>
                <a:pt x="135897" y="1124701"/>
                <a:pt x="139852" y="1133929"/>
              </a:cubicBezTo>
              <a:cubicBezTo>
                <a:pt x="145445" y="1146980"/>
                <a:pt x="155166" y="1158330"/>
                <a:pt x="158902" y="1172029"/>
              </a:cubicBezTo>
              <a:cubicBezTo>
                <a:pt x="164809" y="1193689"/>
                <a:pt x="164926" y="1216528"/>
                <a:pt x="168427" y="1238704"/>
              </a:cubicBezTo>
              <a:cubicBezTo>
                <a:pt x="204702" y="1468445"/>
                <a:pt x="187477" y="1281579"/>
                <a:pt x="187477" y="1667329"/>
              </a:cubicBez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45</xdr:row>
      <xdr:rowOff>0</xdr:rowOff>
    </xdr:from>
    <xdr:to>
      <xdr:col>4</xdr:col>
      <xdr:colOff>409575</xdr:colOff>
      <xdr:row>45</xdr:row>
      <xdr:rowOff>0</xdr:rowOff>
    </xdr:to>
    <xdr:sp macro="" textlink="">
      <xdr:nvSpPr>
        <xdr:cNvPr id="17" name="Line 28"/>
        <xdr:cNvSpPr>
          <a:spLocks noChangeShapeType="1"/>
        </xdr:cNvSpPr>
      </xdr:nvSpPr>
      <xdr:spPr bwMode="auto">
        <a:xfrm>
          <a:off x="2771775" y="3619500"/>
          <a:ext cx="685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44</xdr:row>
      <xdr:rowOff>66675</xdr:rowOff>
    </xdr:from>
    <xdr:to>
      <xdr:col>3</xdr:col>
      <xdr:colOff>352425</xdr:colOff>
      <xdr:row>45</xdr:row>
      <xdr:rowOff>0</xdr:rowOff>
    </xdr:to>
    <xdr:sp macro="" textlink="">
      <xdr:nvSpPr>
        <xdr:cNvPr id="18" name="AutoShape 29"/>
        <xdr:cNvSpPr>
          <a:spLocks noChangeArrowheads="1"/>
        </xdr:cNvSpPr>
      </xdr:nvSpPr>
      <xdr:spPr bwMode="auto">
        <a:xfrm>
          <a:off x="2714625" y="3495675"/>
          <a:ext cx="76200" cy="123825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247650</xdr:colOff>
      <xdr:row>45</xdr:row>
      <xdr:rowOff>28575</xdr:rowOff>
    </xdr:from>
    <xdr:to>
      <xdr:col>3</xdr:col>
      <xdr:colOff>409575</xdr:colOff>
      <xdr:row>45</xdr:row>
      <xdr:rowOff>28575</xdr:rowOff>
    </xdr:to>
    <xdr:sp macro="" textlink="">
      <xdr:nvSpPr>
        <xdr:cNvPr id="19" name="Line 30"/>
        <xdr:cNvSpPr>
          <a:spLocks noChangeShapeType="1"/>
        </xdr:cNvSpPr>
      </xdr:nvSpPr>
      <xdr:spPr bwMode="auto">
        <a:xfrm>
          <a:off x="2686050" y="36480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295275</xdr:colOff>
      <xdr:row>45</xdr:row>
      <xdr:rowOff>76200</xdr:rowOff>
    </xdr:from>
    <xdr:to>
      <xdr:col>3</xdr:col>
      <xdr:colOff>361950</xdr:colOff>
      <xdr:row>45</xdr:row>
      <xdr:rowOff>76200</xdr:rowOff>
    </xdr:to>
    <xdr:sp macro="" textlink="">
      <xdr:nvSpPr>
        <xdr:cNvPr id="20" name="Line 31"/>
        <xdr:cNvSpPr>
          <a:spLocks noChangeShapeType="1"/>
        </xdr:cNvSpPr>
      </xdr:nvSpPr>
      <xdr:spPr bwMode="auto">
        <a:xfrm>
          <a:off x="2733675" y="369570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62398</xdr:colOff>
      <xdr:row>40</xdr:row>
      <xdr:rowOff>8165</xdr:rowOff>
    </xdr:from>
    <xdr:to>
      <xdr:col>9</xdr:col>
      <xdr:colOff>412101</xdr:colOff>
      <xdr:row>40</xdr:row>
      <xdr:rowOff>8165</xdr:rowOff>
    </xdr:to>
    <xdr:sp macro="" textlink="">
      <xdr:nvSpPr>
        <xdr:cNvPr id="24" name="Line 39"/>
        <xdr:cNvSpPr>
          <a:spLocks noChangeShapeType="1"/>
        </xdr:cNvSpPr>
      </xdr:nvSpPr>
      <xdr:spPr bwMode="auto">
        <a:xfrm>
          <a:off x="5596423" y="6818540"/>
          <a:ext cx="34970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129656</xdr:colOff>
      <xdr:row>54</xdr:row>
      <xdr:rowOff>0</xdr:rowOff>
    </xdr:from>
    <xdr:to>
      <xdr:col>9</xdr:col>
      <xdr:colOff>386831</xdr:colOff>
      <xdr:row>54</xdr:row>
      <xdr:rowOff>0</xdr:rowOff>
    </xdr:to>
    <xdr:sp macro="" textlink="">
      <xdr:nvSpPr>
        <xdr:cNvPr id="25" name="Line 41"/>
        <xdr:cNvSpPr>
          <a:spLocks noChangeShapeType="1"/>
        </xdr:cNvSpPr>
      </xdr:nvSpPr>
      <xdr:spPr bwMode="auto">
        <a:xfrm>
          <a:off x="5689146" y="9670791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466725</xdr:colOff>
      <xdr:row>34</xdr:row>
      <xdr:rowOff>9525</xdr:rowOff>
    </xdr:from>
    <xdr:ext cx="123825" cy="180975"/>
    <xdr:sp macro="" textlink="">
      <xdr:nvSpPr>
        <xdr:cNvPr id="26" name="Text Box 45"/>
        <xdr:cNvSpPr txBox="1">
          <a:spLocks noChangeArrowheads="1"/>
        </xdr:cNvSpPr>
      </xdr:nvSpPr>
      <xdr:spPr bwMode="auto">
        <a:xfrm>
          <a:off x="2305050" y="52959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9</xdr:col>
      <xdr:colOff>447675</xdr:colOff>
      <xdr:row>43</xdr:row>
      <xdr:rowOff>0</xdr:rowOff>
    </xdr:from>
    <xdr:ext cx="123825" cy="180975"/>
    <xdr:sp macro="" textlink="">
      <xdr:nvSpPr>
        <xdr:cNvPr id="27" name="Text Box 46"/>
        <xdr:cNvSpPr txBox="1">
          <a:spLocks noChangeArrowheads="1"/>
        </xdr:cNvSpPr>
      </xdr:nvSpPr>
      <xdr:spPr bwMode="auto">
        <a:xfrm>
          <a:off x="5324475" y="127063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600075</xdr:colOff>
      <xdr:row>43</xdr:row>
      <xdr:rowOff>0</xdr:rowOff>
    </xdr:from>
    <xdr:ext cx="123825" cy="180975"/>
    <xdr:sp macro="" textlink="">
      <xdr:nvSpPr>
        <xdr:cNvPr id="35" name="Text Box 59"/>
        <xdr:cNvSpPr txBox="1">
          <a:spLocks noChangeArrowheads="1"/>
        </xdr:cNvSpPr>
      </xdr:nvSpPr>
      <xdr:spPr bwMode="auto">
        <a:xfrm>
          <a:off x="1209675" y="24765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438150</xdr:colOff>
      <xdr:row>64</xdr:row>
      <xdr:rowOff>0</xdr:rowOff>
    </xdr:from>
    <xdr:ext cx="123825" cy="180975"/>
    <xdr:sp macro="" textlink="">
      <xdr:nvSpPr>
        <xdr:cNvPr id="38" name="Text Box 62"/>
        <xdr:cNvSpPr txBox="1">
          <a:spLocks noChangeArrowheads="1"/>
        </xdr:cNvSpPr>
      </xdr:nvSpPr>
      <xdr:spPr bwMode="auto">
        <a:xfrm>
          <a:off x="1047750" y="40005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181751</xdr:colOff>
      <xdr:row>52</xdr:row>
      <xdr:rowOff>97000</xdr:rowOff>
    </xdr:from>
    <xdr:to>
      <xdr:col>3</xdr:col>
      <xdr:colOff>68034</xdr:colOff>
      <xdr:row>53</xdr:row>
      <xdr:rowOff>116633</xdr:rowOff>
    </xdr:to>
    <xdr:sp macro="" textlink="">
      <xdr:nvSpPr>
        <xdr:cNvPr id="39" name="Line 63"/>
        <xdr:cNvSpPr>
          <a:spLocks noChangeShapeType="1"/>
        </xdr:cNvSpPr>
      </xdr:nvSpPr>
      <xdr:spPr bwMode="auto">
        <a:xfrm flipH="1" flipV="1">
          <a:off x="1416113" y="9379015"/>
          <a:ext cx="498605" cy="21402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133350</xdr:colOff>
      <xdr:row>49</xdr:row>
      <xdr:rowOff>105941</xdr:rowOff>
    </xdr:from>
    <xdr:to>
      <xdr:col>2</xdr:col>
      <xdr:colOff>133350</xdr:colOff>
      <xdr:row>50</xdr:row>
      <xdr:rowOff>134516</xdr:rowOff>
    </xdr:to>
    <xdr:sp macro="" textlink="">
      <xdr:nvSpPr>
        <xdr:cNvPr id="40" name="Line 64"/>
        <xdr:cNvSpPr>
          <a:spLocks noChangeShapeType="1"/>
        </xdr:cNvSpPr>
      </xdr:nvSpPr>
      <xdr:spPr bwMode="auto">
        <a:xfrm flipH="1">
          <a:off x="1367712" y="8804793"/>
          <a:ext cx="0" cy="22296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oneCellAnchor>
    <xdr:from>
      <xdr:col>9</xdr:col>
      <xdr:colOff>447675</xdr:colOff>
      <xdr:row>50</xdr:row>
      <xdr:rowOff>180975</xdr:rowOff>
    </xdr:from>
    <xdr:ext cx="123825" cy="180975"/>
    <xdr:sp macro="" textlink="">
      <xdr:nvSpPr>
        <xdr:cNvPr id="45" name="Text Box 69"/>
        <xdr:cNvSpPr txBox="1">
          <a:spLocks noChangeArrowheads="1"/>
        </xdr:cNvSpPr>
      </xdr:nvSpPr>
      <xdr:spPr bwMode="auto">
        <a:xfrm>
          <a:off x="5372100" y="75628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0</xdr:col>
      <xdr:colOff>571500</xdr:colOff>
      <xdr:row>53</xdr:row>
      <xdr:rowOff>114300</xdr:rowOff>
    </xdr:from>
    <xdr:to>
      <xdr:col>1</xdr:col>
      <xdr:colOff>219075</xdr:colOff>
      <xdr:row>55</xdr:row>
      <xdr:rowOff>66675</xdr:rowOff>
    </xdr:to>
    <xdr:sp macro="" textlink="">
      <xdr:nvSpPr>
        <xdr:cNvPr id="50" name="Oval 49"/>
        <xdr:cNvSpPr>
          <a:spLocks noChangeArrowheads="1"/>
        </xdr:cNvSpPr>
      </xdr:nvSpPr>
      <xdr:spPr bwMode="auto">
        <a:xfrm>
          <a:off x="1181100" y="8067675"/>
          <a:ext cx="266700" cy="3333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600075</xdr:colOff>
      <xdr:row>30</xdr:row>
      <xdr:rowOff>152400</xdr:rowOff>
    </xdr:from>
    <xdr:to>
      <xdr:col>1</xdr:col>
      <xdr:colOff>247650</xdr:colOff>
      <xdr:row>32</xdr:row>
      <xdr:rowOff>85725</xdr:rowOff>
    </xdr:to>
    <xdr:sp macro="" textlink="">
      <xdr:nvSpPr>
        <xdr:cNvPr id="51" name="Oval 50"/>
        <xdr:cNvSpPr>
          <a:spLocks noChangeArrowheads="1"/>
        </xdr:cNvSpPr>
      </xdr:nvSpPr>
      <xdr:spPr bwMode="auto">
        <a:xfrm>
          <a:off x="1209675" y="4676775"/>
          <a:ext cx="266700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</xdr:col>
      <xdr:colOff>533400</xdr:colOff>
      <xdr:row>53</xdr:row>
      <xdr:rowOff>104775</xdr:rowOff>
    </xdr:from>
    <xdr:to>
      <xdr:col>2</xdr:col>
      <xdr:colOff>190500</xdr:colOff>
      <xdr:row>55</xdr:row>
      <xdr:rowOff>66675</xdr:rowOff>
    </xdr:to>
    <xdr:sp macro="" textlink="">
      <xdr:nvSpPr>
        <xdr:cNvPr id="52" name="Oval 51"/>
        <xdr:cNvSpPr>
          <a:spLocks noChangeArrowheads="1"/>
        </xdr:cNvSpPr>
      </xdr:nvSpPr>
      <xdr:spPr bwMode="auto">
        <a:xfrm>
          <a:off x="1762125" y="80581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</xdr:col>
      <xdr:colOff>590550</xdr:colOff>
      <xdr:row>31</xdr:row>
      <xdr:rowOff>85725</xdr:rowOff>
    </xdr:from>
    <xdr:to>
      <xdr:col>2</xdr:col>
      <xdr:colOff>247650</xdr:colOff>
      <xdr:row>33</xdr:row>
      <xdr:rowOff>47625</xdr:rowOff>
    </xdr:to>
    <xdr:sp macro="" textlink="">
      <xdr:nvSpPr>
        <xdr:cNvPr id="53" name="Oval 52"/>
        <xdr:cNvSpPr>
          <a:spLocks noChangeArrowheads="1"/>
        </xdr:cNvSpPr>
      </xdr:nvSpPr>
      <xdr:spPr bwMode="auto">
        <a:xfrm>
          <a:off x="1819275" y="499110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</xdr:col>
      <xdr:colOff>200608</xdr:colOff>
      <xdr:row>57</xdr:row>
      <xdr:rowOff>95638</xdr:rowOff>
    </xdr:from>
    <xdr:to>
      <xdr:col>2</xdr:col>
      <xdr:colOff>200608</xdr:colOff>
      <xdr:row>58</xdr:row>
      <xdr:rowOff>86113</xdr:rowOff>
    </xdr:to>
    <xdr:sp macro="" textlink="">
      <xdr:nvSpPr>
        <xdr:cNvPr id="54" name="Line 79"/>
        <xdr:cNvSpPr>
          <a:spLocks noChangeShapeType="1"/>
        </xdr:cNvSpPr>
      </xdr:nvSpPr>
      <xdr:spPr bwMode="auto">
        <a:xfrm>
          <a:off x="1434970" y="10349592"/>
          <a:ext cx="0" cy="18486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306938</xdr:colOff>
      <xdr:row>57</xdr:row>
      <xdr:rowOff>123825</xdr:rowOff>
    </xdr:from>
    <xdr:to>
      <xdr:col>8</xdr:col>
      <xdr:colOff>306938</xdr:colOff>
      <xdr:row>58</xdr:row>
      <xdr:rowOff>85725</xdr:rowOff>
    </xdr:to>
    <xdr:sp macro="" textlink="">
      <xdr:nvSpPr>
        <xdr:cNvPr id="56" name="Line 81"/>
        <xdr:cNvSpPr>
          <a:spLocks noChangeShapeType="1"/>
        </xdr:cNvSpPr>
      </xdr:nvSpPr>
      <xdr:spPr bwMode="auto">
        <a:xfrm>
          <a:off x="5254106" y="10377779"/>
          <a:ext cx="0" cy="1562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17495</xdr:colOff>
      <xdr:row>57</xdr:row>
      <xdr:rowOff>163092</xdr:rowOff>
    </xdr:from>
    <xdr:to>
      <xdr:col>9</xdr:col>
      <xdr:colOff>17495</xdr:colOff>
      <xdr:row>58</xdr:row>
      <xdr:rowOff>105942</xdr:rowOff>
    </xdr:to>
    <xdr:sp macro="" textlink="">
      <xdr:nvSpPr>
        <xdr:cNvPr id="57" name="Line 82"/>
        <xdr:cNvSpPr>
          <a:spLocks noChangeShapeType="1"/>
        </xdr:cNvSpPr>
      </xdr:nvSpPr>
      <xdr:spPr bwMode="auto">
        <a:xfrm>
          <a:off x="5576985" y="10417046"/>
          <a:ext cx="0" cy="13723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229767</xdr:colOff>
      <xdr:row>57</xdr:row>
      <xdr:rowOff>193999</xdr:rowOff>
    </xdr:from>
    <xdr:to>
      <xdr:col>2</xdr:col>
      <xdr:colOff>191472</xdr:colOff>
      <xdr:row>57</xdr:row>
      <xdr:rowOff>193999</xdr:rowOff>
    </xdr:to>
    <xdr:sp macro="" textlink="">
      <xdr:nvSpPr>
        <xdr:cNvPr id="58" name="Line 83"/>
        <xdr:cNvSpPr>
          <a:spLocks noChangeShapeType="1"/>
        </xdr:cNvSpPr>
      </xdr:nvSpPr>
      <xdr:spPr bwMode="auto">
        <a:xfrm>
          <a:off x="842088" y="10447953"/>
          <a:ext cx="583746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1</xdr:col>
      <xdr:colOff>590550</xdr:colOff>
      <xdr:row>57</xdr:row>
      <xdr:rowOff>0</xdr:rowOff>
    </xdr:from>
    <xdr:ext cx="123825" cy="180975"/>
    <xdr:sp macro="" textlink="">
      <xdr:nvSpPr>
        <xdr:cNvPr id="61" name="Text Box 86"/>
        <xdr:cNvSpPr txBox="1">
          <a:spLocks noChangeArrowheads="1"/>
        </xdr:cNvSpPr>
      </xdr:nvSpPr>
      <xdr:spPr bwMode="auto">
        <a:xfrm>
          <a:off x="1809750" y="55245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</xdr:col>
      <xdr:colOff>361950</xdr:colOff>
      <xdr:row>57</xdr:row>
      <xdr:rowOff>0</xdr:rowOff>
    </xdr:from>
    <xdr:ext cx="123825" cy="180975"/>
    <xdr:sp macro="" textlink="">
      <xdr:nvSpPr>
        <xdr:cNvPr id="62" name="Text Box 87"/>
        <xdr:cNvSpPr txBox="1">
          <a:spLocks noChangeArrowheads="1"/>
        </xdr:cNvSpPr>
      </xdr:nvSpPr>
      <xdr:spPr bwMode="auto">
        <a:xfrm>
          <a:off x="3409950" y="54864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8</xdr:col>
      <xdr:colOff>571500</xdr:colOff>
      <xdr:row>57</xdr:row>
      <xdr:rowOff>0</xdr:rowOff>
    </xdr:from>
    <xdr:ext cx="123825" cy="180975"/>
    <xdr:sp macro="" textlink="">
      <xdr:nvSpPr>
        <xdr:cNvPr id="63" name="Text Box 88"/>
        <xdr:cNvSpPr txBox="1">
          <a:spLocks noChangeArrowheads="1"/>
        </xdr:cNvSpPr>
      </xdr:nvSpPr>
      <xdr:spPr bwMode="auto">
        <a:xfrm>
          <a:off x="4838700" y="55245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133350</xdr:colOff>
      <xdr:row>27</xdr:row>
      <xdr:rowOff>114300</xdr:rowOff>
    </xdr:from>
    <xdr:to>
      <xdr:col>2</xdr:col>
      <xdr:colOff>133350</xdr:colOff>
      <xdr:row>28</xdr:row>
      <xdr:rowOff>85725</xdr:rowOff>
    </xdr:to>
    <xdr:sp macro="" textlink="">
      <xdr:nvSpPr>
        <xdr:cNvPr id="65" name="Line 90"/>
        <xdr:cNvSpPr>
          <a:spLocks noChangeShapeType="1"/>
        </xdr:cNvSpPr>
      </xdr:nvSpPr>
      <xdr:spPr bwMode="auto">
        <a:xfrm flipV="1">
          <a:off x="1962150" y="12573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161925</xdr:colOff>
      <xdr:row>28</xdr:row>
      <xdr:rowOff>9525</xdr:rowOff>
    </xdr:from>
    <xdr:to>
      <xdr:col>2</xdr:col>
      <xdr:colOff>133350</xdr:colOff>
      <xdr:row>28</xdr:row>
      <xdr:rowOff>9525</xdr:rowOff>
    </xdr:to>
    <xdr:sp macro="" textlink="">
      <xdr:nvSpPr>
        <xdr:cNvPr id="66" name="Line 91"/>
        <xdr:cNvSpPr>
          <a:spLocks noChangeShapeType="1"/>
        </xdr:cNvSpPr>
      </xdr:nvSpPr>
      <xdr:spPr bwMode="auto">
        <a:xfrm>
          <a:off x="1390650" y="453390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201774</xdr:colOff>
      <xdr:row>35</xdr:row>
      <xdr:rowOff>35379</xdr:rowOff>
    </xdr:from>
    <xdr:to>
      <xdr:col>3</xdr:col>
      <xdr:colOff>46652</xdr:colOff>
      <xdr:row>35</xdr:row>
      <xdr:rowOff>35379</xdr:rowOff>
    </xdr:to>
    <xdr:sp macro="" textlink="">
      <xdr:nvSpPr>
        <xdr:cNvPr id="68" name="Line 1012"/>
        <xdr:cNvSpPr>
          <a:spLocks noChangeShapeType="1"/>
        </xdr:cNvSpPr>
      </xdr:nvSpPr>
      <xdr:spPr bwMode="auto">
        <a:xfrm>
          <a:off x="1436136" y="6012802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7</xdr:col>
      <xdr:colOff>333375</xdr:colOff>
      <xdr:row>39</xdr:row>
      <xdr:rowOff>0</xdr:rowOff>
    </xdr:from>
    <xdr:ext cx="123825" cy="180975"/>
    <xdr:sp macro="" textlink="">
      <xdr:nvSpPr>
        <xdr:cNvPr id="69" name="Text Box 1013"/>
        <xdr:cNvSpPr txBox="1">
          <a:spLocks noChangeArrowheads="1"/>
        </xdr:cNvSpPr>
      </xdr:nvSpPr>
      <xdr:spPr bwMode="auto">
        <a:xfrm>
          <a:off x="5210175" y="24765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333375</xdr:colOff>
      <xdr:row>39</xdr:row>
      <xdr:rowOff>0</xdr:rowOff>
    </xdr:from>
    <xdr:ext cx="123825" cy="180975"/>
    <xdr:sp macro="" textlink="">
      <xdr:nvSpPr>
        <xdr:cNvPr id="70" name="Text Box 1014"/>
        <xdr:cNvSpPr txBox="1">
          <a:spLocks noChangeArrowheads="1"/>
        </xdr:cNvSpPr>
      </xdr:nvSpPr>
      <xdr:spPr bwMode="auto">
        <a:xfrm>
          <a:off x="5210175" y="24765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539750</xdr:colOff>
      <xdr:row>33</xdr:row>
      <xdr:rowOff>111125</xdr:rowOff>
    </xdr:from>
    <xdr:to>
      <xdr:col>6</xdr:col>
      <xdr:colOff>196850</xdr:colOff>
      <xdr:row>35</xdr:row>
      <xdr:rowOff>73025</xdr:rowOff>
    </xdr:to>
    <xdr:sp macro="" textlink="">
      <xdr:nvSpPr>
        <xdr:cNvPr id="73" name="Oval 1018"/>
        <xdr:cNvSpPr>
          <a:spLocks noChangeArrowheads="1"/>
        </xdr:cNvSpPr>
      </xdr:nvSpPr>
      <xdr:spPr bwMode="auto">
        <a:xfrm>
          <a:off x="9150350" y="547052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146050</xdr:colOff>
      <xdr:row>36</xdr:row>
      <xdr:rowOff>98425</xdr:rowOff>
    </xdr:from>
    <xdr:to>
      <xdr:col>8</xdr:col>
      <xdr:colOff>412750</xdr:colOff>
      <xdr:row>38</xdr:row>
      <xdr:rowOff>60325</xdr:rowOff>
    </xdr:to>
    <xdr:sp macro="" textlink="">
      <xdr:nvSpPr>
        <xdr:cNvPr id="74" name="Oval 1019"/>
        <xdr:cNvSpPr>
          <a:spLocks noChangeArrowheads="1"/>
        </xdr:cNvSpPr>
      </xdr:nvSpPr>
      <xdr:spPr bwMode="auto">
        <a:xfrm>
          <a:off x="5073650" y="621982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5</xdr:col>
      <xdr:colOff>542925</xdr:colOff>
      <xdr:row>54</xdr:row>
      <xdr:rowOff>95250</xdr:rowOff>
    </xdr:from>
    <xdr:to>
      <xdr:col>6</xdr:col>
      <xdr:colOff>200025</xdr:colOff>
      <xdr:row>56</xdr:row>
      <xdr:rowOff>57150</xdr:rowOff>
    </xdr:to>
    <xdr:sp macro="" textlink="">
      <xdr:nvSpPr>
        <xdr:cNvPr id="75" name="Oval 1020"/>
        <xdr:cNvSpPr>
          <a:spLocks noChangeArrowheads="1"/>
        </xdr:cNvSpPr>
      </xdr:nvSpPr>
      <xdr:spPr bwMode="auto">
        <a:xfrm>
          <a:off x="3609975" y="9572625"/>
          <a:ext cx="295275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590549</xdr:colOff>
      <xdr:row>52</xdr:row>
      <xdr:rowOff>150197</xdr:rowOff>
    </xdr:from>
    <xdr:to>
      <xdr:col>8</xdr:col>
      <xdr:colOff>244928</xdr:colOff>
      <xdr:row>54</xdr:row>
      <xdr:rowOff>93047</xdr:rowOff>
    </xdr:to>
    <xdr:sp macro="" textlink="">
      <xdr:nvSpPr>
        <xdr:cNvPr id="76" name="Oval 1021"/>
        <xdr:cNvSpPr>
          <a:spLocks noChangeArrowheads="1"/>
        </xdr:cNvSpPr>
      </xdr:nvSpPr>
      <xdr:spPr bwMode="auto">
        <a:xfrm>
          <a:off x="4925396" y="9432212"/>
          <a:ext cx="266700" cy="3316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oneCellAnchor>
    <xdr:from>
      <xdr:col>3</xdr:col>
      <xdr:colOff>314325</xdr:colOff>
      <xdr:row>27</xdr:row>
      <xdr:rowOff>0</xdr:rowOff>
    </xdr:from>
    <xdr:ext cx="123825" cy="180975"/>
    <xdr:sp macro="" textlink="">
      <xdr:nvSpPr>
        <xdr:cNvPr id="80" name="Text Box 1039"/>
        <xdr:cNvSpPr txBox="1">
          <a:spLocks noChangeArrowheads="1"/>
        </xdr:cNvSpPr>
      </xdr:nvSpPr>
      <xdr:spPr bwMode="auto">
        <a:xfrm>
          <a:off x="2771775" y="45243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4</xdr:col>
      <xdr:colOff>359424</xdr:colOff>
      <xdr:row>40</xdr:row>
      <xdr:rowOff>174754</xdr:rowOff>
    </xdr:from>
    <xdr:ext cx="123825" cy="180975"/>
    <xdr:sp macro="" textlink="">
      <xdr:nvSpPr>
        <xdr:cNvPr id="82" name="Text Box 1043"/>
        <xdr:cNvSpPr txBox="1">
          <a:spLocks noChangeArrowheads="1"/>
        </xdr:cNvSpPr>
      </xdr:nvSpPr>
      <xdr:spPr bwMode="auto">
        <a:xfrm>
          <a:off x="2828148" y="7124116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4</xdr:col>
      <xdr:colOff>17496</xdr:colOff>
      <xdr:row>36</xdr:row>
      <xdr:rowOff>184669</xdr:rowOff>
    </xdr:from>
    <xdr:to>
      <xdr:col>4</xdr:col>
      <xdr:colOff>301302</xdr:colOff>
      <xdr:row>37</xdr:row>
      <xdr:rowOff>95637</xdr:rowOff>
    </xdr:to>
    <xdr:sp macro="" textlink="">
      <xdr:nvSpPr>
        <xdr:cNvPr id="83" name="Line 2153"/>
        <xdr:cNvSpPr>
          <a:spLocks noChangeShapeType="1"/>
        </xdr:cNvSpPr>
      </xdr:nvSpPr>
      <xdr:spPr bwMode="auto">
        <a:xfrm flipH="1">
          <a:off x="2486220" y="6356480"/>
          <a:ext cx="283806" cy="1053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oneCellAnchor>
    <xdr:from>
      <xdr:col>6</xdr:col>
      <xdr:colOff>304800</xdr:colOff>
      <xdr:row>43</xdr:row>
      <xdr:rowOff>0</xdr:rowOff>
    </xdr:from>
    <xdr:ext cx="123825" cy="180975"/>
    <xdr:sp macro="" textlink="">
      <xdr:nvSpPr>
        <xdr:cNvPr id="84" name="Text Box 2154"/>
        <xdr:cNvSpPr txBox="1">
          <a:spLocks noChangeArrowheads="1"/>
        </xdr:cNvSpPr>
      </xdr:nvSpPr>
      <xdr:spPr bwMode="auto">
        <a:xfrm>
          <a:off x="3962400" y="20955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342900</xdr:colOff>
      <xdr:row>53</xdr:row>
      <xdr:rowOff>57150</xdr:rowOff>
    </xdr:from>
    <xdr:to>
      <xdr:col>8</xdr:col>
      <xdr:colOff>342900</xdr:colOff>
      <xdr:row>54</xdr:row>
      <xdr:rowOff>19050</xdr:rowOff>
    </xdr:to>
    <xdr:sp macro="" textlink="">
      <xdr:nvSpPr>
        <xdr:cNvPr id="87" name="Line 4342"/>
        <xdr:cNvSpPr>
          <a:spLocks noChangeShapeType="1"/>
        </xdr:cNvSpPr>
      </xdr:nvSpPr>
      <xdr:spPr bwMode="auto">
        <a:xfrm>
          <a:off x="4657725" y="80105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342901</xdr:colOff>
      <xdr:row>53</xdr:row>
      <xdr:rowOff>181752</xdr:rowOff>
    </xdr:from>
    <xdr:to>
      <xdr:col>9</xdr:col>
      <xdr:colOff>9525</xdr:colOff>
      <xdr:row>53</xdr:row>
      <xdr:rowOff>181752</xdr:rowOff>
    </xdr:to>
    <xdr:sp macro="" textlink="">
      <xdr:nvSpPr>
        <xdr:cNvPr id="88" name="Line 4343"/>
        <xdr:cNvSpPr>
          <a:spLocks noChangeShapeType="1"/>
        </xdr:cNvSpPr>
      </xdr:nvSpPr>
      <xdr:spPr bwMode="auto">
        <a:xfrm>
          <a:off x="5290069" y="9658155"/>
          <a:ext cx="278946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114298</xdr:colOff>
      <xdr:row>76</xdr:row>
      <xdr:rowOff>24740</xdr:rowOff>
    </xdr:from>
    <xdr:to>
      <xdr:col>8</xdr:col>
      <xdr:colOff>247401</xdr:colOff>
      <xdr:row>78</xdr:row>
      <xdr:rowOff>28575</xdr:rowOff>
    </xdr:to>
    <xdr:sp macro="" textlink="">
      <xdr:nvSpPr>
        <xdr:cNvPr id="91" name="Line 93"/>
        <xdr:cNvSpPr>
          <a:spLocks noChangeShapeType="1"/>
        </xdr:cNvSpPr>
      </xdr:nvSpPr>
      <xdr:spPr bwMode="auto">
        <a:xfrm flipH="1">
          <a:off x="720434" y="12295909"/>
          <a:ext cx="4437909" cy="3749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20039</xdr:colOff>
      <xdr:row>73</xdr:row>
      <xdr:rowOff>186541</xdr:rowOff>
    </xdr:from>
    <xdr:to>
      <xdr:col>8</xdr:col>
      <xdr:colOff>20039</xdr:colOff>
      <xdr:row>75</xdr:row>
      <xdr:rowOff>58139</xdr:rowOff>
    </xdr:to>
    <xdr:sp macro="" textlink="">
      <xdr:nvSpPr>
        <xdr:cNvPr id="92" name="Line 94"/>
        <xdr:cNvSpPr>
          <a:spLocks noChangeShapeType="1"/>
        </xdr:cNvSpPr>
      </xdr:nvSpPr>
      <xdr:spPr bwMode="auto">
        <a:xfrm flipV="1">
          <a:off x="4944464" y="13331041"/>
          <a:ext cx="0" cy="25259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123824</xdr:colOff>
      <xdr:row>75</xdr:row>
      <xdr:rowOff>104775</xdr:rowOff>
    </xdr:from>
    <xdr:to>
      <xdr:col>8</xdr:col>
      <xdr:colOff>19050</xdr:colOff>
      <xdr:row>77</xdr:row>
      <xdr:rowOff>19051</xdr:rowOff>
    </xdr:to>
    <xdr:sp macro="" textlink="">
      <xdr:nvSpPr>
        <xdr:cNvPr id="98" name="Line 100"/>
        <xdr:cNvSpPr>
          <a:spLocks noChangeShapeType="1"/>
        </xdr:cNvSpPr>
      </xdr:nvSpPr>
      <xdr:spPr bwMode="auto">
        <a:xfrm flipH="1">
          <a:off x="733424" y="13630275"/>
          <a:ext cx="4210051" cy="29527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114300</xdr:colOff>
      <xdr:row>77</xdr:row>
      <xdr:rowOff>19050</xdr:rowOff>
    </xdr:from>
    <xdr:to>
      <xdr:col>1</xdr:col>
      <xdr:colOff>114300</xdr:colOff>
      <xdr:row>86</xdr:row>
      <xdr:rowOff>19050</xdr:rowOff>
    </xdr:to>
    <xdr:sp macro="" textlink="">
      <xdr:nvSpPr>
        <xdr:cNvPr id="99" name="Line 101"/>
        <xdr:cNvSpPr>
          <a:spLocks noChangeShapeType="1"/>
        </xdr:cNvSpPr>
      </xdr:nvSpPr>
      <xdr:spPr bwMode="auto">
        <a:xfrm flipH="1">
          <a:off x="723900" y="12734925"/>
          <a:ext cx="0" cy="1714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123826</xdr:colOff>
      <xdr:row>84</xdr:row>
      <xdr:rowOff>180975</xdr:rowOff>
    </xdr:from>
    <xdr:to>
      <xdr:col>8</xdr:col>
      <xdr:colOff>247402</xdr:colOff>
      <xdr:row>87</xdr:row>
      <xdr:rowOff>24741</xdr:rowOff>
    </xdr:to>
    <xdr:sp macro="" textlink="">
      <xdr:nvSpPr>
        <xdr:cNvPr id="100" name="Line 102"/>
        <xdr:cNvSpPr>
          <a:spLocks noChangeShapeType="1"/>
        </xdr:cNvSpPr>
      </xdr:nvSpPr>
      <xdr:spPr bwMode="auto">
        <a:xfrm>
          <a:off x="729962" y="13936559"/>
          <a:ext cx="4428382" cy="4004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114300</xdr:colOff>
      <xdr:row>85</xdr:row>
      <xdr:rowOff>180974</xdr:rowOff>
    </xdr:from>
    <xdr:to>
      <xdr:col>8</xdr:col>
      <xdr:colOff>12370</xdr:colOff>
      <xdr:row>87</xdr:row>
      <xdr:rowOff>123701</xdr:rowOff>
    </xdr:to>
    <xdr:sp macro="" textlink="">
      <xdr:nvSpPr>
        <xdr:cNvPr id="103" name="Line 105"/>
        <xdr:cNvSpPr>
          <a:spLocks noChangeShapeType="1"/>
        </xdr:cNvSpPr>
      </xdr:nvSpPr>
      <xdr:spPr bwMode="auto">
        <a:xfrm flipH="1" flipV="1">
          <a:off x="720436" y="14122110"/>
          <a:ext cx="4202876" cy="3138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114300</xdr:colOff>
      <xdr:row>74</xdr:row>
      <xdr:rowOff>19050</xdr:rowOff>
    </xdr:from>
    <xdr:to>
      <xdr:col>1</xdr:col>
      <xdr:colOff>114300</xdr:colOff>
      <xdr:row>77</xdr:row>
      <xdr:rowOff>38100</xdr:rowOff>
    </xdr:to>
    <xdr:sp macro="" textlink="">
      <xdr:nvSpPr>
        <xdr:cNvPr id="109" name="Line 111"/>
        <xdr:cNvSpPr>
          <a:spLocks noChangeShapeType="1"/>
        </xdr:cNvSpPr>
      </xdr:nvSpPr>
      <xdr:spPr bwMode="auto">
        <a:xfrm flipH="1">
          <a:off x="723900" y="12163425"/>
          <a:ext cx="0" cy="59055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0</xdr:col>
      <xdr:colOff>561975</xdr:colOff>
      <xdr:row>72</xdr:row>
      <xdr:rowOff>161925</xdr:rowOff>
    </xdr:from>
    <xdr:to>
      <xdr:col>1</xdr:col>
      <xdr:colOff>219075</xdr:colOff>
      <xdr:row>74</xdr:row>
      <xdr:rowOff>123825</xdr:rowOff>
    </xdr:to>
    <xdr:sp macro="" textlink="">
      <xdr:nvSpPr>
        <xdr:cNvPr id="110" name="Oval 112"/>
        <xdr:cNvSpPr>
          <a:spLocks noChangeArrowheads="1"/>
        </xdr:cNvSpPr>
      </xdr:nvSpPr>
      <xdr:spPr bwMode="auto">
        <a:xfrm>
          <a:off x="561975" y="1192530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</xdr:col>
      <xdr:colOff>0</xdr:colOff>
      <xdr:row>87</xdr:row>
      <xdr:rowOff>114300</xdr:rowOff>
    </xdr:from>
    <xdr:to>
      <xdr:col>1</xdr:col>
      <xdr:colOff>266700</xdr:colOff>
      <xdr:row>89</xdr:row>
      <xdr:rowOff>76200</xdr:rowOff>
    </xdr:to>
    <xdr:sp macro="" textlink="">
      <xdr:nvSpPr>
        <xdr:cNvPr id="111" name="Oval 113"/>
        <xdr:cNvSpPr>
          <a:spLocks noChangeArrowheads="1"/>
        </xdr:cNvSpPr>
      </xdr:nvSpPr>
      <xdr:spPr bwMode="auto">
        <a:xfrm>
          <a:off x="609600" y="1473517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114300</xdr:colOff>
      <xdr:row>86</xdr:row>
      <xdr:rowOff>57150</xdr:rowOff>
    </xdr:from>
    <xdr:to>
      <xdr:col>1</xdr:col>
      <xdr:colOff>114300</xdr:colOff>
      <xdr:row>87</xdr:row>
      <xdr:rowOff>133350</xdr:rowOff>
    </xdr:to>
    <xdr:sp macro="" textlink="">
      <xdr:nvSpPr>
        <xdr:cNvPr id="113" name="Line 115"/>
        <xdr:cNvSpPr>
          <a:spLocks noChangeShapeType="1"/>
        </xdr:cNvSpPr>
      </xdr:nvSpPr>
      <xdr:spPr bwMode="auto">
        <a:xfrm>
          <a:off x="723900" y="1448752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</xdr:col>
      <xdr:colOff>133350</xdr:colOff>
      <xdr:row>74</xdr:row>
      <xdr:rowOff>152400</xdr:rowOff>
    </xdr:from>
    <xdr:to>
      <xdr:col>2</xdr:col>
      <xdr:colOff>133350</xdr:colOff>
      <xdr:row>77</xdr:row>
      <xdr:rowOff>47625</xdr:rowOff>
    </xdr:to>
    <xdr:sp macro="" textlink="">
      <xdr:nvSpPr>
        <xdr:cNvPr id="114" name="Line 116"/>
        <xdr:cNvSpPr>
          <a:spLocks noChangeShapeType="1"/>
        </xdr:cNvSpPr>
      </xdr:nvSpPr>
      <xdr:spPr bwMode="auto">
        <a:xfrm flipV="1">
          <a:off x="1362075" y="12296775"/>
          <a:ext cx="0" cy="4667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</xdr:col>
      <xdr:colOff>133350</xdr:colOff>
      <xdr:row>85</xdr:row>
      <xdr:rowOff>123825</xdr:rowOff>
    </xdr:from>
    <xdr:to>
      <xdr:col>2</xdr:col>
      <xdr:colOff>133350</xdr:colOff>
      <xdr:row>88</xdr:row>
      <xdr:rowOff>47625</xdr:rowOff>
    </xdr:to>
    <xdr:sp macro="" textlink="">
      <xdr:nvSpPr>
        <xdr:cNvPr id="115" name="Line 117"/>
        <xdr:cNvSpPr>
          <a:spLocks noChangeShapeType="1"/>
        </xdr:cNvSpPr>
      </xdr:nvSpPr>
      <xdr:spPr bwMode="auto">
        <a:xfrm flipH="1">
          <a:off x="1362075" y="14363700"/>
          <a:ext cx="0" cy="4953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</xdr:col>
      <xdr:colOff>9525</xdr:colOff>
      <xdr:row>73</xdr:row>
      <xdr:rowOff>133350</xdr:rowOff>
    </xdr:from>
    <xdr:to>
      <xdr:col>2</xdr:col>
      <xdr:colOff>276225</xdr:colOff>
      <xdr:row>75</xdr:row>
      <xdr:rowOff>95250</xdr:rowOff>
    </xdr:to>
    <xdr:sp macro="" textlink="">
      <xdr:nvSpPr>
        <xdr:cNvPr id="116" name="Oval 118"/>
        <xdr:cNvSpPr>
          <a:spLocks noChangeArrowheads="1"/>
        </xdr:cNvSpPr>
      </xdr:nvSpPr>
      <xdr:spPr bwMode="auto">
        <a:xfrm>
          <a:off x="1238250" y="1208722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</xdr:col>
      <xdr:colOff>600075</xdr:colOff>
      <xdr:row>87</xdr:row>
      <xdr:rowOff>142875</xdr:rowOff>
    </xdr:from>
    <xdr:to>
      <xdr:col>2</xdr:col>
      <xdr:colOff>247650</xdr:colOff>
      <xdr:row>89</xdr:row>
      <xdr:rowOff>104775</xdr:rowOff>
    </xdr:to>
    <xdr:sp macro="" textlink="">
      <xdr:nvSpPr>
        <xdr:cNvPr id="117" name="Oval 119"/>
        <xdr:cNvSpPr>
          <a:spLocks noChangeArrowheads="1"/>
        </xdr:cNvSpPr>
      </xdr:nvSpPr>
      <xdr:spPr bwMode="auto">
        <a:xfrm>
          <a:off x="1209675" y="147637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</xdr:col>
      <xdr:colOff>142875</xdr:colOff>
      <xdr:row>90</xdr:row>
      <xdr:rowOff>95250</xdr:rowOff>
    </xdr:from>
    <xdr:to>
      <xdr:col>2</xdr:col>
      <xdr:colOff>142875</xdr:colOff>
      <xdr:row>91</xdr:row>
      <xdr:rowOff>57150</xdr:rowOff>
    </xdr:to>
    <xdr:sp macro="" textlink="">
      <xdr:nvSpPr>
        <xdr:cNvPr id="120" name="Line 123"/>
        <xdr:cNvSpPr>
          <a:spLocks noChangeShapeType="1"/>
        </xdr:cNvSpPr>
      </xdr:nvSpPr>
      <xdr:spPr bwMode="auto">
        <a:xfrm>
          <a:off x="1371600" y="152876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6</xdr:col>
      <xdr:colOff>533400</xdr:colOff>
      <xdr:row>91</xdr:row>
      <xdr:rowOff>123825</xdr:rowOff>
    </xdr:from>
    <xdr:to>
      <xdr:col>7</xdr:col>
      <xdr:colOff>0</xdr:colOff>
      <xdr:row>92</xdr:row>
      <xdr:rowOff>133351</xdr:rowOff>
    </xdr:to>
    <xdr:sp macro="" textlink="">
      <xdr:nvSpPr>
        <xdr:cNvPr id="121" name="Text Box 130"/>
        <xdr:cNvSpPr txBox="1">
          <a:spLocks noChangeArrowheads="1"/>
        </xdr:cNvSpPr>
      </xdr:nvSpPr>
      <xdr:spPr bwMode="auto">
        <a:xfrm>
          <a:off x="4191000" y="10029825"/>
          <a:ext cx="76200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0</xdr:col>
      <xdr:colOff>409575</xdr:colOff>
      <xdr:row>85</xdr:row>
      <xdr:rowOff>0</xdr:rowOff>
    </xdr:from>
    <xdr:ext cx="123825" cy="180975"/>
    <xdr:sp macro="" textlink="">
      <xdr:nvSpPr>
        <xdr:cNvPr id="122" name="Text Box 131"/>
        <xdr:cNvSpPr txBox="1">
          <a:spLocks noChangeArrowheads="1"/>
        </xdr:cNvSpPr>
      </xdr:nvSpPr>
      <xdr:spPr bwMode="auto">
        <a:xfrm>
          <a:off x="1019175" y="87630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466725</xdr:colOff>
      <xdr:row>81</xdr:row>
      <xdr:rowOff>0</xdr:rowOff>
    </xdr:from>
    <xdr:ext cx="123825" cy="180975"/>
    <xdr:sp macro="" textlink="">
      <xdr:nvSpPr>
        <xdr:cNvPr id="123" name="Text Box 132"/>
        <xdr:cNvSpPr txBox="1">
          <a:spLocks noChangeArrowheads="1"/>
        </xdr:cNvSpPr>
      </xdr:nvSpPr>
      <xdr:spPr bwMode="auto">
        <a:xfrm>
          <a:off x="1076325" y="111918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409575</xdr:colOff>
      <xdr:row>76</xdr:row>
      <xdr:rowOff>152400</xdr:rowOff>
    </xdr:from>
    <xdr:ext cx="123825" cy="180975"/>
    <xdr:sp macro="" textlink="">
      <xdr:nvSpPr>
        <xdr:cNvPr id="124" name="Text Box 133"/>
        <xdr:cNvSpPr txBox="1">
          <a:spLocks noChangeArrowheads="1"/>
        </xdr:cNvSpPr>
      </xdr:nvSpPr>
      <xdr:spPr bwMode="auto">
        <a:xfrm>
          <a:off x="1019175" y="72009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0</xdr:col>
      <xdr:colOff>581025</xdr:colOff>
      <xdr:row>78</xdr:row>
      <xdr:rowOff>0</xdr:rowOff>
    </xdr:from>
    <xdr:to>
      <xdr:col>0</xdr:col>
      <xdr:colOff>581025</xdr:colOff>
      <xdr:row>85</xdr:row>
      <xdr:rowOff>0</xdr:rowOff>
    </xdr:to>
    <xdr:sp macro="" textlink="">
      <xdr:nvSpPr>
        <xdr:cNvPr id="125" name="Line 134"/>
        <xdr:cNvSpPr>
          <a:spLocks noChangeShapeType="1"/>
        </xdr:cNvSpPr>
      </xdr:nvSpPr>
      <xdr:spPr bwMode="auto">
        <a:xfrm>
          <a:off x="1190625" y="7429500"/>
          <a:ext cx="0" cy="1333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581025</xdr:colOff>
      <xdr:row>85</xdr:row>
      <xdr:rowOff>0</xdr:rowOff>
    </xdr:from>
    <xdr:to>
      <xdr:col>0</xdr:col>
      <xdr:colOff>581025</xdr:colOff>
      <xdr:row>86</xdr:row>
      <xdr:rowOff>0</xdr:rowOff>
    </xdr:to>
    <xdr:sp macro="" textlink="">
      <xdr:nvSpPr>
        <xdr:cNvPr id="126" name="Line 135"/>
        <xdr:cNvSpPr>
          <a:spLocks noChangeShapeType="1"/>
        </xdr:cNvSpPr>
      </xdr:nvSpPr>
      <xdr:spPr bwMode="auto">
        <a:xfrm>
          <a:off x="1190625" y="876300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581025</xdr:colOff>
      <xdr:row>77</xdr:row>
      <xdr:rowOff>0</xdr:rowOff>
    </xdr:from>
    <xdr:to>
      <xdr:col>0</xdr:col>
      <xdr:colOff>581025</xdr:colOff>
      <xdr:row>78</xdr:row>
      <xdr:rowOff>0</xdr:rowOff>
    </xdr:to>
    <xdr:sp macro="" textlink="">
      <xdr:nvSpPr>
        <xdr:cNvPr id="127" name="Line 136"/>
        <xdr:cNvSpPr>
          <a:spLocks noChangeShapeType="1"/>
        </xdr:cNvSpPr>
      </xdr:nvSpPr>
      <xdr:spPr bwMode="auto">
        <a:xfrm flipV="1">
          <a:off x="1190625" y="723900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514350</xdr:colOff>
      <xdr:row>77</xdr:row>
      <xdr:rowOff>0</xdr:rowOff>
    </xdr:from>
    <xdr:to>
      <xdr:col>1</xdr:col>
      <xdr:colOff>47625</xdr:colOff>
      <xdr:row>77</xdr:row>
      <xdr:rowOff>0</xdr:rowOff>
    </xdr:to>
    <xdr:sp macro="" textlink="">
      <xdr:nvSpPr>
        <xdr:cNvPr id="128" name="Line 137"/>
        <xdr:cNvSpPr>
          <a:spLocks noChangeShapeType="1"/>
        </xdr:cNvSpPr>
      </xdr:nvSpPr>
      <xdr:spPr bwMode="auto">
        <a:xfrm>
          <a:off x="1123950" y="72390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504825</xdr:colOff>
      <xdr:row>78</xdr:row>
      <xdr:rowOff>0</xdr:rowOff>
    </xdr:from>
    <xdr:to>
      <xdr:col>1</xdr:col>
      <xdr:colOff>9525</xdr:colOff>
      <xdr:row>78</xdr:row>
      <xdr:rowOff>0</xdr:rowOff>
    </xdr:to>
    <xdr:sp macro="" textlink="">
      <xdr:nvSpPr>
        <xdr:cNvPr id="129" name="Line 138"/>
        <xdr:cNvSpPr>
          <a:spLocks noChangeShapeType="1"/>
        </xdr:cNvSpPr>
      </xdr:nvSpPr>
      <xdr:spPr bwMode="auto">
        <a:xfrm>
          <a:off x="1114425" y="742950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514350</xdr:colOff>
      <xdr:row>86</xdr:row>
      <xdr:rowOff>0</xdr:rowOff>
    </xdr:from>
    <xdr:to>
      <xdr:col>1</xdr:col>
      <xdr:colOff>28575</xdr:colOff>
      <xdr:row>86</xdr:row>
      <xdr:rowOff>0</xdr:rowOff>
    </xdr:to>
    <xdr:sp macro="" textlink="">
      <xdr:nvSpPr>
        <xdr:cNvPr id="130" name="Line 139"/>
        <xdr:cNvSpPr>
          <a:spLocks noChangeShapeType="1"/>
        </xdr:cNvSpPr>
      </xdr:nvSpPr>
      <xdr:spPr bwMode="auto">
        <a:xfrm>
          <a:off x="1123950" y="144303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533400</xdr:colOff>
      <xdr:row>85</xdr:row>
      <xdr:rowOff>0</xdr:rowOff>
    </xdr:from>
    <xdr:to>
      <xdr:col>1</xdr:col>
      <xdr:colOff>28575</xdr:colOff>
      <xdr:row>85</xdr:row>
      <xdr:rowOff>0</xdr:rowOff>
    </xdr:to>
    <xdr:sp macro="" textlink="">
      <xdr:nvSpPr>
        <xdr:cNvPr id="131" name="Line 140"/>
        <xdr:cNvSpPr>
          <a:spLocks noChangeShapeType="1"/>
        </xdr:cNvSpPr>
      </xdr:nvSpPr>
      <xdr:spPr bwMode="auto">
        <a:xfrm>
          <a:off x="1143000" y="876300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1979</xdr:colOff>
      <xdr:row>74</xdr:row>
      <xdr:rowOff>19050</xdr:rowOff>
    </xdr:from>
    <xdr:to>
      <xdr:col>6</xdr:col>
      <xdr:colOff>1979</xdr:colOff>
      <xdr:row>75</xdr:row>
      <xdr:rowOff>142875</xdr:rowOff>
    </xdr:to>
    <xdr:sp macro="" textlink="">
      <xdr:nvSpPr>
        <xdr:cNvPr id="132" name="Line 1024"/>
        <xdr:cNvSpPr>
          <a:spLocks noChangeShapeType="1"/>
        </xdr:cNvSpPr>
      </xdr:nvSpPr>
      <xdr:spPr bwMode="auto">
        <a:xfrm>
          <a:off x="3700648" y="11919115"/>
          <a:ext cx="0" cy="309377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5</xdr:col>
      <xdr:colOff>626176</xdr:colOff>
      <xdr:row>87</xdr:row>
      <xdr:rowOff>19050</xdr:rowOff>
    </xdr:from>
    <xdr:to>
      <xdr:col>5</xdr:col>
      <xdr:colOff>626176</xdr:colOff>
      <xdr:row>88</xdr:row>
      <xdr:rowOff>152400</xdr:rowOff>
    </xdr:to>
    <xdr:sp macro="" textlink="">
      <xdr:nvSpPr>
        <xdr:cNvPr id="133" name="Line 1025"/>
        <xdr:cNvSpPr>
          <a:spLocks noChangeShapeType="1"/>
        </xdr:cNvSpPr>
      </xdr:nvSpPr>
      <xdr:spPr bwMode="auto">
        <a:xfrm>
          <a:off x="3681598" y="14331290"/>
          <a:ext cx="0" cy="318902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7</xdr:col>
      <xdr:colOff>569026</xdr:colOff>
      <xdr:row>72</xdr:row>
      <xdr:rowOff>181857</xdr:rowOff>
    </xdr:from>
    <xdr:to>
      <xdr:col>7</xdr:col>
      <xdr:colOff>569026</xdr:colOff>
      <xdr:row>75</xdr:row>
      <xdr:rowOff>50944</xdr:rowOff>
    </xdr:to>
    <xdr:sp macro="" textlink="">
      <xdr:nvSpPr>
        <xdr:cNvPr id="134" name="Line 1026"/>
        <xdr:cNvSpPr>
          <a:spLocks noChangeShapeType="1"/>
        </xdr:cNvSpPr>
      </xdr:nvSpPr>
      <xdr:spPr bwMode="auto">
        <a:xfrm flipV="1">
          <a:off x="4892734" y="12007840"/>
          <a:ext cx="0" cy="447008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7</xdr:col>
      <xdr:colOff>578551</xdr:colOff>
      <xdr:row>87</xdr:row>
      <xdr:rowOff>77189</xdr:rowOff>
    </xdr:from>
    <xdr:to>
      <xdr:col>7</xdr:col>
      <xdr:colOff>578551</xdr:colOff>
      <xdr:row>90</xdr:row>
      <xdr:rowOff>48614</xdr:rowOff>
    </xdr:to>
    <xdr:sp macro="" textlink="">
      <xdr:nvSpPr>
        <xdr:cNvPr id="135" name="Line 1027"/>
        <xdr:cNvSpPr>
          <a:spLocks noChangeShapeType="1"/>
        </xdr:cNvSpPr>
      </xdr:nvSpPr>
      <xdr:spPr bwMode="auto">
        <a:xfrm>
          <a:off x="4883356" y="14389429"/>
          <a:ext cx="0" cy="528081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5</xdr:col>
      <xdr:colOff>460197</xdr:colOff>
      <xdr:row>72</xdr:row>
      <xdr:rowOff>104775</xdr:rowOff>
    </xdr:from>
    <xdr:to>
      <xdr:col>6</xdr:col>
      <xdr:colOff>107022</xdr:colOff>
      <xdr:row>74</xdr:row>
      <xdr:rowOff>66675</xdr:rowOff>
    </xdr:to>
    <xdr:sp macro="" textlink="">
      <xdr:nvSpPr>
        <xdr:cNvPr id="136" name="Oval 1028"/>
        <xdr:cNvSpPr>
          <a:spLocks noChangeArrowheads="1"/>
        </xdr:cNvSpPr>
      </xdr:nvSpPr>
      <xdr:spPr bwMode="auto">
        <a:xfrm>
          <a:off x="3531742" y="11930758"/>
          <a:ext cx="288960" cy="347181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505815</xdr:colOff>
      <xdr:row>87</xdr:row>
      <xdr:rowOff>123825</xdr:rowOff>
    </xdr:from>
    <xdr:to>
      <xdr:col>6</xdr:col>
      <xdr:colOff>125804</xdr:colOff>
      <xdr:row>89</xdr:row>
      <xdr:rowOff>85725</xdr:rowOff>
    </xdr:to>
    <xdr:sp macro="" textlink="">
      <xdr:nvSpPr>
        <xdr:cNvPr id="137" name="Oval 1029"/>
        <xdr:cNvSpPr>
          <a:spLocks noChangeArrowheads="1"/>
        </xdr:cNvSpPr>
      </xdr:nvSpPr>
      <xdr:spPr bwMode="auto">
        <a:xfrm>
          <a:off x="3561237" y="14436065"/>
          <a:ext cx="263236" cy="333004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429615</xdr:colOff>
      <xdr:row>71</xdr:row>
      <xdr:rowOff>155637</xdr:rowOff>
    </xdr:from>
    <xdr:to>
      <xdr:col>8</xdr:col>
      <xdr:colOff>86714</xdr:colOff>
      <xdr:row>73</xdr:row>
      <xdr:rowOff>136586</xdr:rowOff>
    </xdr:to>
    <xdr:sp macro="" textlink="">
      <xdr:nvSpPr>
        <xdr:cNvPr id="138" name="Oval 1030"/>
        <xdr:cNvSpPr>
          <a:spLocks noChangeArrowheads="1"/>
        </xdr:cNvSpPr>
      </xdr:nvSpPr>
      <xdr:spPr bwMode="auto">
        <a:xfrm>
          <a:off x="4753323" y="11788980"/>
          <a:ext cx="267127" cy="36623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7</xdr:col>
      <xdr:colOff>448665</xdr:colOff>
      <xdr:row>89</xdr:row>
      <xdr:rowOff>58139</xdr:rowOff>
    </xdr:from>
    <xdr:to>
      <xdr:col>8</xdr:col>
      <xdr:colOff>105764</xdr:colOff>
      <xdr:row>91</xdr:row>
      <xdr:rowOff>20039</xdr:rowOff>
    </xdr:to>
    <xdr:sp macro="" textlink="">
      <xdr:nvSpPr>
        <xdr:cNvPr id="139" name="Oval 1031"/>
        <xdr:cNvSpPr>
          <a:spLocks noChangeArrowheads="1"/>
        </xdr:cNvSpPr>
      </xdr:nvSpPr>
      <xdr:spPr bwMode="auto">
        <a:xfrm>
          <a:off x="4753470" y="14741483"/>
          <a:ext cx="263236" cy="333004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11</xdr:col>
      <xdr:colOff>41095</xdr:colOff>
      <xdr:row>76</xdr:row>
      <xdr:rowOff>33588</xdr:rowOff>
    </xdr:from>
    <xdr:to>
      <xdr:col>11</xdr:col>
      <xdr:colOff>410858</xdr:colOff>
      <xdr:row>76</xdr:row>
      <xdr:rowOff>33588</xdr:rowOff>
    </xdr:to>
    <xdr:sp macro="" textlink="">
      <xdr:nvSpPr>
        <xdr:cNvPr id="140" name="Line 1045"/>
        <xdr:cNvSpPr>
          <a:spLocks noChangeShapeType="1"/>
        </xdr:cNvSpPr>
      </xdr:nvSpPr>
      <xdr:spPr bwMode="auto">
        <a:xfrm flipV="1">
          <a:off x="6184720" y="13673388"/>
          <a:ext cx="3697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46258</xdr:colOff>
      <xdr:row>86</xdr:row>
      <xdr:rowOff>151223</xdr:rowOff>
    </xdr:from>
    <xdr:to>
      <xdr:col>11</xdr:col>
      <xdr:colOff>211807</xdr:colOff>
      <xdr:row>86</xdr:row>
      <xdr:rowOff>151223</xdr:rowOff>
    </xdr:to>
    <xdr:sp macro="" textlink="">
      <xdr:nvSpPr>
        <xdr:cNvPr id="141" name="Line 1046"/>
        <xdr:cNvSpPr>
          <a:spLocks noChangeShapeType="1"/>
        </xdr:cNvSpPr>
      </xdr:nvSpPr>
      <xdr:spPr bwMode="auto">
        <a:xfrm>
          <a:off x="6200050" y="14674172"/>
          <a:ext cx="1655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64074</xdr:colOff>
      <xdr:row>76</xdr:row>
      <xdr:rowOff>51950</xdr:rowOff>
    </xdr:from>
    <xdr:to>
      <xdr:col>11</xdr:col>
      <xdr:colOff>64074</xdr:colOff>
      <xdr:row>86</xdr:row>
      <xdr:rowOff>118625</xdr:rowOff>
    </xdr:to>
    <xdr:sp macro="" textlink="">
      <xdr:nvSpPr>
        <xdr:cNvPr id="142" name="Line 1047"/>
        <xdr:cNvSpPr>
          <a:spLocks noChangeShapeType="1"/>
        </xdr:cNvSpPr>
      </xdr:nvSpPr>
      <xdr:spPr bwMode="auto">
        <a:xfrm>
          <a:off x="6217866" y="12648495"/>
          <a:ext cx="0" cy="1993079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1979</xdr:colOff>
      <xdr:row>77</xdr:row>
      <xdr:rowOff>9525</xdr:rowOff>
    </xdr:from>
    <xdr:to>
      <xdr:col>6</xdr:col>
      <xdr:colOff>1979</xdr:colOff>
      <xdr:row>86</xdr:row>
      <xdr:rowOff>19050</xdr:rowOff>
    </xdr:to>
    <xdr:sp macro="" textlink="">
      <xdr:nvSpPr>
        <xdr:cNvPr id="145" name="Line 1050"/>
        <xdr:cNvSpPr>
          <a:spLocks noChangeShapeType="1"/>
        </xdr:cNvSpPr>
      </xdr:nvSpPr>
      <xdr:spPr bwMode="auto">
        <a:xfrm>
          <a:off x="3700648" y="12466246"/>
          <a:ext cx="0" cy="1679492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 editAs="oneCell">
    <xdr:from>
      <xdr:col>7</xdr:col>
      <xdr:colOff>590550</xdr:colOff>
      <xdr:row>81</xdr:row>
      <xdr:rowOff>0</xdr:rowOff>
    </xdr:from>
    <xdr:to>
      <xdr:col>8</xdr:col>
      <xdr:colOff>65685</xdr:colOff>
      <xdr:row>82</xdr:row>
      <xdr:rowOff>9525</xdr:rowOff>
    </xdr:to>
    <xdr:sp macro="" textlink="">
      <xdr:nvSpPr>
        <xdr:cNvPr id="147" name="Text Box 1052"/>
        <xdr:cNvSpPr txBox="1">
          <a:spLocks noChangeArrowheads="1"/>
        </xdr:cNvSpPr>
      </xdr:nvSpPr>
      <xdr:spPr bwMode="auto">
        <a:xfrm>
          <a:off x="3638550" y="8001000"/>
          <a:ext cx="7620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590550</xdr:colOff>
      <xdr:row>81</xdr:row>
      <xdr:rowOff>0</xdr:rowOff>
    </xdr:from>
    <xdr:to>
      <xdr:col>8</xdr:col>
      <xdr:colOff>65685</xdr:colOff>
      <xdr:row>82</xdr:row>
      <xdr:rowOff>9525</xdr:rowOff>
    </xdr:to>
    <xdr:sp macro="" textlink="">
      <xdr:nvSpPr>
        <xdr:cNvPr id="148" name="Text Box 1053"/>
        <xdr:cNvSpPr txBox="1">
          <a:spLocks noChangeArrowheads="1"/>
        </xdr:cNvSpPr>
      </xdr:nvSpPr>
      <xdr:spPr bwMode="auto">
        <a:xfrm>
          <a:off x="3638550" y="8001000"/>
          <a:ext cx="7620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4</xdr:col>
      <xdr:colOff>406853</xdr:colOff>
      <xdr:row>81</xdr:row>
      <xdr:rowOff>0</xdr:rowOff>
    </xdr:from>
    <xdr:ext cx="123825" cy="180975"/>
    <xdr:sp macro="" textlink="">
      <xdr:nvSpPr>
        <xdr:cNvPr id="150" name="Text Box 4302"/>
        <xdr:cNvSpPr txBox="1">
          <a:spLocks noChangeArrowheads="1"/>
        </xdr:cNvSpPr>
      </xdr:nvSpPr>
      <xdr:spPr bwMode="auto">
        <a:xfrm>
          <a:off x="2856139" y="13198929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6</xdr:col>
      <xdr:colOff>3175</xdr:colOff>
      <xdr:row>26</xdr:row>
      <xdr:rowOff>184151</xdr:rowOff>
    </xdr:from>
    <xdr:to>
      <xdr:col>8</xdr:col>
      <xdr:colOff>317500</xdr:colOff>
      <xdr:row>27</xdr:row>
      <xdr:rowOff>0</xdr:rowOff>
    </xdr:to>
    <xdr:cxnSp macro="">
      <xdr:nvCxnSpPr>
        <xdr:cNvPr id="151" name="Straight Arrow Connector 150"/>
        <xdr:cNvCxnSpPr/>
      </xdr:nvCxnSpPr>
      <xdr:spPr bwMode="auto">
        <a:xfrm>
          <a:off x="3711575" y="4400551"/>
          <a:ext cx="1533525" cy="63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281862</xdr:colOff>
      <xdr:row>33</xdr:row>
      <xdr:rowOff>184668</xdr:rowOff>
    </xdr:from>
    <xdr:to>
      <xdr:col>1</xdr:col>
      <xdr:colOff>143264</xdr:colOff>
      <xdr:row>33</xdr:row>
      <xdr:rowOff>186062</xdr:rowOff>
    </xdr:to>
    <xdr:cxnSp macro="">
      <xdr:nvCxnSpPr>
        <xdr:cNvPr id="152" name="Straight Connector 151"/>
        <xdr:cNvCxnSpPr/>
      </xdr:nvCxnSpPr>
      <xdr:spPr bwMode="auto">
        <a:xfrm>
          <a:off x="281862" y="5773316"/>
          <a:ext cx="473723" cy="139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66675</xdr:colOff>
      <xdr:row>90</xdr:row>
      <xdr:rowOff>171450</xdr:rowOff>
    </xdr:from>
    <xdr:to>
      <xdr:col>2</xdr:col>
      <xdr:colOff>152400</xdr:colOff>
      <xdr:row>90</xdr:row>
      <xdr:rowOff>180975</xdr:rowOff>
    </xdr:to>
    <xdr:cxnSp macro="">
      <xdr:nvCxnSpPr>
        <xdr:cNvPr id="154" name="Straight Arrow Connector 153"/>
        <xdr:cNvCxnSpPr/>
      </xdr:nvCxnSpPr>
      <xdr:spPr bwMode="auto">
        <a:xfrm flipV="1">
          <a:off x="676275" y="15363825"/>
          <a:ext cx="7048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57150</xdr:colOff>
      <xdr:row>90</xdr:row>
      <xdr:rowOff>38893</xdr:rowOff>
    </xdr:from>
    <xdr:to>
      <xdr:col>1</xdr:col>
      <xdr:colOff>67472</xdr:colOff>
      <xdr:row>93</xdr:row>
      <xdr:rowOff>142875</xdr:rowOff>
    </xdr:to>
    <xdr:cxnSp macro="">
      <xdr:nvCxnSpPr>
        <xdr:cNvPr id="155" name="Straight Connector 154"/>
        <xdr:cNvCxnSpPr/>
      </xdr:nvCxnSpPr>
      <xdr:spPr bwMode="auto">
        <a:xfrm rot="5400000">
          <a:off x="334170" y="15563848"/>
          <a:ext cx="675482" cy="1032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250546</xdr:colOff>
      <xdr:row>90</xdr:row>
      <xdr:rowOff>164575</xdr:rowOff>
    </xdr:from>
    <xdr:to>
      <xdr:col>8</xdr:col>
      <xdr:colOff>257177</xdr:colOff>
      <xdr:row>93</xdr:row>
      <xdr:rowOff>123825</xdr:rowOff>
    </xdr:to>
    <xdr:cxnSp macro="">
      <xdr:nvCxnSpPr>
        <xdr:cNvPr id="156" name="Straight Connector 155"/>
        <xdr:cNvCxnSpPr/>
      </xdr:nvCxnSpPr>
      <xdr:spPr bwMode="auto">
        <a:xfrm rot="16200000" flipH="1">
          <a:off x="4912912" y="15619009"/>
          <a:ext cx="530750" cy="66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74221</xdr:colOff>
      <xdr:row>92</xdr:row>
      <xdr:rowOff>173182</xdr:rowOff>
    </xdr:from>
    <xdr:to>
      <xdr:col>8</xdr:col>
      <xdr:colOff>257175</xdr:colOff>
      <xdr:row>92</xdr:row>
      <xdr:rowOff>180975</xdr:rowOff>
    </xdr:to>
    <xdr:cxnSp macro="">
      <xdr:nvCxnSpPr>
        <xdr:cNvPr id="157" name="Straight Arrow Connector 156"/>
        <xdr:cNvCxnSpPr/>
      </xdr:nvCxnSpPr>
      <xdr:spPr bwMode="auto">
        <a:xfrm>
          <a:off x="683821" y="15746557"/>
          <a:ext cx="4497779" cy="7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74221</xdr:colOff>
      <xdr:row>92</xdr:row>
      <xdr:rowOff>9526</xdr:rowOff>
    </xdr:from>
    <xdr:to>
      <xdr:col>6</xdr:col>
      <xdr:colOff>49604</xdr:colOff>
      <xdr:row>92</xdr:row>
      <xdr:rowOff>24740</xdr:rowOff>
    </xdr:to>
    <xdr:cxnSp macro="">
      <xdr:nvCxnSpPr>
        <xdr:cNvPr id="158" name="Straight Arrow Connector 157"/>
        <xdr:cNvCxnSpPr/>
      </xdr:nvCxnSpPr>
      <xdr:spPr bwMode="auto">
        <a:xfrm flipV="1">
          <a:off x="680357" y="15249526"/>
          <a:ext cx="3067916" cy="152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21031</xdr:colOff>
      <xdr:row>90</xdr:row>
      <xdr:rowOff>182707</xdr:rowOff>
    </xdr:from>
    <xdr:to>
      <xdr:col>6</xdr:col>
      <xdr:colOff>21033</xdr:colOff>
      <xdr:row>92</xdr:row>
      <xdr:rowOff>140034</xdr:rowOff>
    </xdr:to>
    <xdr:cxnSp macro="">
      <xdr:nvCxnSpPr>
        <xdr:cNvPr id="159" name="Straight Connector 158"/>
        <xdr:cNvCxnSpPr/>
      </xdr:nvCxnSpPr>
      <xdr:spPr bwMode="auto">
        <a:xfrm rot="16200000" flipH="1">
          <a:off x="3555485" y="15215818"/>
          <a:ext cx="328431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630877</xdr:colOff>
      <xdr:row>91</xdr:row>
      <xdr:rowOff>180975</xdr:rowOff>
    </xdr:from>
    <xdr:to>
      <xdr:col>8</xdr:col>
      <xdr:colOff>257175</xdr:colOff>
      <xdr:row>92</xdr:row>
      <xdr:rowOff>12370</xdr:rowOff>
    </xdr:to>
    <xdr:cxnSp macro="">
      <xdr:nvCxnSpPr>
        <xdr:cNvPr id="160" name="Straight Arrow Connector 159"/>
        <xdr:cNvCxnSpPr/>
      </xdr:nvCxnSpPr>
      <xdr:spPr bwMode="auto">
        <a:xfrm flipV="1">
          <a:off x="3697927" y="15563850"/>
          <a:ext cx="1483673" cy="2189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15147</xdr:colOff>
      <xdr:row>57</xdr:row>
      <xdr:rowOff>125398</xdr:rowOff>
    </xdr:from>
    <xdr:to>
      <xdr:col>9</xdr:col>
      <xdr:colOff>16735</xdr:colOff>
      <xdr:row>61</xdr:row>
      <xdr:rowOff>125397</xdr:rowOff>
    </xdr:to>
    <xdr:cxnSp macro="">
      <xdr:nvCxnSpPr>
        <xdr:cNvPr id="161" name="Straight Connector 160"/>
        <xdr:cNvCxnSpPr/>
      </xdr:nvCxnSpPr>
      <xdr:spPr bwMode="auto">
        <a:xfrm rot="5400000">
          <a:off x="5168966" y="10554479"/>
          <a:ext cx="761999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200608</xdr:colOff>
      <xdr:row>60</xdr:row>
      <xdr:rowOff>0</xdr:rowOff>
    </xdr:from>
    <xdr:to>
      <xdr:col>9</xdr:col>
      <xdr:colOff>0</xdr:colOff>
      <xdr:row>60</xdr:row>
      <xdr:rowOff>9721</xdr:rowOff>
    </xdr:to>
    <xdr:cxnSp macro="">
      <xdr:nvCxnSpPr>
        <xdr:cNvPr id="163" name="Straight Arrow Connector 162"/>
        <xdr:cNvCxnSpPr/>
      </xdr:nvCxnSpPr>
      <xdr:spPr bwMode="auto">
        <a:xfrm flipV="1">
          <a:off x="810208" y="10620375"/>
          <a:ext cx="4723817" cy="97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9525</xdr:colOff>
      <xdr:row>27</xdr:row>
      <xdr:rowOff>98428</xdr:rowOff>
    </xdr:from>
    <xdr:to>
      <xdr:col>6</xdr:col>
      <xdr:colOff>9529</xdr:colOff>
      <xdr:row>29</xdr:row>
      <xdr:rowOff>19050</xdr:rowOff>
    </xdr:to>
    <xdr:cxnSp macro="">
      <xdr:nvCxnSpPr>
        <xdr:cNvPr id="166" name="Straight Connector 165"/>
        <xdr:cNvCxnSpPr/>
      </xdr:nvCxnSpPr>
      <xdr:spPr bwMode="auto">
        <a:xfrm rot="5400000" flipH="1" flipV="1">
          <a:off x="3563941" y="4583112"/>
          <a:ext cx="301622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181170</xdr:colOff>
      <xdr:row>25</xdr:row>
      <xdr:rowOff>184670</xdr:rowOff>
    </xdr:from>
    <xdr:to>
      <xdr:col>8</xdr:col>
      <xdr:colOff>281863</xdr:colOff>
      <xdr:row>26</xdr:row>
      <xdr:rowOff>0</xdr:rowOff>
    </xdr:to>
    <xdr:cxnSp macro="">
      <xdr:nvCxnSpPr>
        <xdr:cNvPr id="168" name="Straight Arrow Connector 167"/>
        <xdr:cNvCxnSpPr/>
      </xdr:nvCxnSpPr>
      <xdr:spPr bwMode="auto">
        <a:xfrm>
          <a:off x="793491" y="4218216"/>
          <a:ext cx="4435540" cy="971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133350</xdr:colOff>
      <xdr:row>52</xdr:row>
      <xdr:rowOff>0</xdr:rowOff>
    </xdr:from>
    <xdr:to>
      <xdr:col>10</xdr:col>
      <xdr:colOff>9525</xdr:colOff>
      <xdr:row>52</xdr:row>
      <xdr:rowOff>1</xdr:rowOff>
    </xdr:to>
    <xdr:cxnSp macro="">
      <xdr:nvCxnSpPr>
        <xdr:cNvPr id="169" name="Straight Connector 168"/>
        <xdr:cNvCxnSpPr/>
      </xdr:nvCxnSpPr>
      <xdr:spPr bwMode="auto">
        <a:xfrm flipV="1">
          <a:off x="5057775" y="7762875"/>
          <a:ext cx="48577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388775</xdr:colOff>
      <xdr:row>52</xdr:row>
      <xdr:rowOff>795</xdr:rowOff>
    </xdr:from>
    <xdr:to>
      <xdr:col>9</xdr:col>
      <xdr:colOff>391320</xdr:colOff>
      <xdr:row>54</xdr:row>
      <xdr:rowOff>1</xdr:rowOff>
    </xdr:to>
    <xdr:cxnSp macro="">
      <xdr:nvCxnSpPr>
        <xdr:cNvPr id="170" name="Straight Arrow Connector 169"/>
        <xdr:cNvCxnSpPr/>
      </xdr:nvCxnSpPr>
      <xdr:spPr bwMode="auto">
        <a:xfrm rot="5400000">
          <a:off x="5755547" y="9475528"/>
          <a:ext cx="387982" cy="25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0</xdr:col>
      <xdr:colOff>95250</xdr:colOff>
      <xdr:row>48</xdr:row>
      <xdr:rowOff>190498</xdr:rowOff>
    </xdr:from>
    <xdr:to>
      <xdr:col>0</xdr:col>
      <xdr:colOff>552450</xdr:colOff>
      <xdr:row>48</xdr:row>
      <xdr:rowOff>190499</xdr:rowOff>
    </xdr:to>
    <xdr:cxnSp macro="">
      <xdr:nvCxnSpPr>
        <xdr:cNvPr id="171" name="Straight Connector 170"/>
        <xdr:cNvCxnSpPr/>
      </xdr:nvCxnSpPr>
      <xdr:spPr bwMode="auto">
        <a:xfrm rot="10800000" flipV="1">
          <a:off x="95250" y="7191373"/>
          <a:ext cx="106680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</xdr:colOff>
      <xdr:row>131</xdr:row>
      <xdr:rowOff>0</xdr:rowOff>
    </xdr:from>
    <xdr:to>
      <xdr:col>7</xdr:col>
      <xdr:colOff>0</xdr:colOff>
      <xdr:row>131</xdr:row>
      <xdr:rowOff>2</xdr:rowOff>
    </xdr:to>
    <xdr:cxnSp macro="">
      <xdr:nvCxnSpPr>
        <xdr:cNvPr id="175" name="Straight Connector 174"/>
        <xdr:cNvCxnSpPr/>
      </xdr:nvCxnSpPr>
      <xdr:spPr bwMode="auto">
        <a:xfrm>
          <a:off x="2466975" y="23221950"/>
          <a:ext cx="1847850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9527</xdr:colOff>
      <xdr:row>117</xdr:row>
      <xdr:rowOff>9525</xdr:rowOff>
    </xdr:from>
    <xdr:to>
      <xdr:col>7</xdr:col>
      <xdr:colOff>219075</xdr:colOff>
      <xdr:row>117</xdr:row>
      <xdr:rowOff>9529</xdr:rowOff>
    </xdr:to>
    <xdr:cxnSp macro="">
      <xdr:nvCxnSpPr>
        <xdr:cNvPr id="177" name="Straight Connector 176"/>
        <xdr:cNvCxnSpPr/>
      </xdr:nvCxnSpPr>
      <xdr:spPr bwMode="auto">
        <a:xfrm rot="10800000" flipV="1">
          <a:off x="4276727" y="20621625"/>
          <a:ext cx="209548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133350</xdr:colOff>
      <xdr:row>133</xdr:row>
      <xdr:rowOff>0</xdr:rowOff>
    </xdr:from>
    <xdr:to>
      <xdr:col>7</xdr:col>
      <xdr:colOff>504825</xdr:colOff>
      <xdr:row>133</xdr:row>
      <xdr:rowOff>1588</xdr:rowOff>
    </xdr:to>
    <xdr:cxnSp macro="">
      <xdr:nvCxnSpPr>
        <xdr:cNvPr id="180" name="Straight Connector 179"/>
        <xdr:cNvCxnSpPr/>
      </xdr:nvCxnSpPr>
      <xdr:spPr bwMode="auto">
        <a:xfrm>
          <a:off x="742950" y="23202900"/>
          <a:ext cx="402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505621</xdr:colOff>
      <xdr:row>130</xdr:row>
      <xdr:rowOff>134145</xdr:rowOff>
    </xdr:from>
    <xdr:to>
      <xdr:col>7</xdr:col>
      <xdr:colOff>514353</xdr:colOff>
      <xdr:row>133</xdr:row>
      <xdr:rowOff>0</xdr:rowOff>
    </xdr:to>
    <xdr:cxnSp macro="">
      <xdr:nvCxnSpPr>
        <xdr:cNvPr id="186" name="Straight Connector 185"/>
        <xdr:cNvCxnSpPr/>
      </xdr:nvCxnSpPr>
      <xdr:spPr bwMode="auto">
        <a:xfrm rot="16200000" flipV="1">
          <a:off x="4601372" y="23022719"/>
          <a:ext cx="351630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</xdr:colOff>
      <xdr:row>117</xdr:row>
      <xdr:rowOff>19050</xdr:rowOff>
    </xdr:from>
    <xdr:to>
      <xdr:col>7</xdr:col>
      <xdr:colOff>8734</xdr:colOff>
      <xdr:row>131</xdr:row>
      <xdr:rowOff>796</xdr:rowOff>
    </xdr:to>
    <xdr:cxnSp macro="">
      <xdr:nvCxnSpPr>
        <xdr:cNvPr id="193" name="Straight Connector 192"/>
        <xdr:cNvCxnSpPr/>
      </xdr:nvCxnSpPr>
      <xdr:spPr bwMode="auto">
        <a:xfrm rot="16200000" flipV="1">
          <a:off x="3147221" y="21751132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132562</xdr:colOff>
      <xdr:row>131</xdr:row>
      <xdr:rowOff>1</xdr:rowOff>
    </xdr:from>
    <xdr:to>
      <xdr:col>3</xdr:col>
      <xdr:colOff>133353</xdr:colOff>
      <xdr:row>133</xdr:row>
      <xdr:rowOff>796</xdr:rowOff>
    </xdr:to>
    <xdr:cxnSp macro="">
      <xdr:nvCxnSpPr>
        <xdr:cNvPr id="194" name="Straight Connector 193"/>
        <xdr:cNvCxnSpPr/>
      </xdr:nvCxnSpPr>
      <xdr:spPr bwMode="auto">
        <a:xfrm rot="5400000" flipH="1" flipV="1">
          <a:off x="580235" y="23040978"/>
          <a:ext cx="324645" cy="79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8736</xdr:colOff>
      <xdr:row>117</xdr:row>
      <xdr:rowOff>1</xdr:rowOff>
    </xdr:from>
    <xdr:to>
      <xdr:col>4</xdr:col>
      <xdr:colOff>9525</xdr:colOff>
      <xdr:row>131</xdr:row>
      <xdr:rowOff>798</xdr:rowOff>
    </xdr:to>
    <xdr:cxnSp macro="">
      <xdr:nvCxnSpPr>
        <xdr:cNvPr id="196" name="Straight Connector 195"/>
        <xdr:cNvCxnSpPr/>
      </xdr:nvCxnSpPr>
      <xdr:spPr bwMode="auto">
        <a:xfrm rot="5400000" flipH="1" flipV="1">
          <a:off x="94457" y="21745580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116</xdr:row>
      <xdr:rowOff>152400</xdr:rowOff>
    </xdr:from>
    <xdr:to>
      <xdr:col>4</xdr:col>
      <xdr:colOff>0</xdr:colOff>
      <xdr:row>117</xdr:row>
      <xdr:rowOff>0</xdr:rowOff>
    </xdr:to>
    <xdr:cxnSp macro="">
      <xdr:nvCxnSpPr>
        <xdr:cNvPr id="198" name="Straight Connector 197"/>
        <xdr:cNvCxnSpPr/>
      </xdr:nvCxnSpPr>
      <xdr:spPr bwMode="auto">
        <a:xfrm rot="10800000">
          <a:off x="981075" y="20602575"/>
          <a:ext cx="2381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219075</xdr:colOff>
      <xdr:row>117</xdr:row>
      <xdr:rowOff>19049</xdr:rowOff>
    </xdr:from>
    <xdr:to>
      <xdr:col>7</xdr:col>
      <xdr:colOff>514350</xdr:colOff>
      <xdr:row>131</xdr:row>
      <xdr:rowOff>9524</xdr:rowOff>
    </xdr:to>
    <xdr:cxnSp macro="">
      <xdr:nvCxnSpPr>
        <xdr:cNvPr id="201" name="Straight Connector 200"/>
        <xdr:cNvCxnSpPr/>
      </xdr:nvCxnSpPr>
      <xdr:spPr bwMode="auto">
        <a:xfrm rot="16200000" flipH="1">
          <a:off x="3505200" y="21612224"/>
          <a:ext cx="225742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133351</xdr:colOff>
      <xdr:row>116</xdr:row>
      <xdr:rowOff>152399</xdr:rowOff>
    </xdr:from>
    <xdr:to>
      <xdr:col>3</xdr:col>
      <xdr:colOff>361954</xdr:colOff>
      <xdr:row>131</xdr:row>
      <xdr:rowOff>3</xdr:rowOff>
    </xdr:to>
    <xdr:cxnSp macro="">
      <xdr:nvCxnSpPr>
        <xdr:cNvPr id="203" name="Straight Connector 202"/>
        <xdr:cNvCxnSpPr/>
      </xdr:nvCxnSpPr>
      <xdr:spPr bwMode="auto">
        <a:xfrm rot="5400000">
          <a:off x="938213" y="21626512"/>
          <a:ext cx="2276479" cy="22860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495300</xdr:colOff>
      <xdr:row>117</xdr:row>
      <xdr:rowOff>19050</xdr:rowOff>
    </xdr:from>
    <xdr:to>
      <xdr:col>8</xdr:col>
      <xdr:colOff>285750</xdr:colOff>
      <xdr:row>117</xdr:row>
      <xdr:rowOff>20638</xdr:rowOff>
    </xdr:to>
    <xdr:cxnSp macro="">
      <xdr:nvCxnSpPr>
        <xdr:cNvPr id="208" name="Straight Connector 207"/>
        <xdr:cNvCxnSpPr/>
      </xdr:nvCxnSpPr>
      <xdr:spPr bwMode="auto">
        <a:xfrm>
          <a:off x="4810125" y="19945350"/>
          <a:ext cx="4000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590550</xdr:colOff>
      <xdr:row>131</xdr:row>
      <xdr:rowOff>9525</xdr:rowOff>
    </xdr:from>
    <xdr:to>
      <xdr:col>8</xdr:col>
      <xdr:colOff>238125</xdr:colOff>
      <xdr:row>131</xdr:row>
      <xdr:rowOff>9526</xdr:rowOff>
    </xdr:to>
    <xdr:cxnSp macro="">
      <xdr:nvCxnSpPr>
        <xdr:cNvPr id="209" name="Straight Connector 208"/>
        <xdr:cNvCxnSpPr/>
      </xdr:nvCxnSpPr>
      <xdr:spPr bwMode="auto">
        <a:xfrm flipV="1">
          <a:off x="4905375" y="22202775"/>
          <a:ext cx="25717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133</xdr:row>
      <xdr:rowOff>19050</xdr:rowOff>
    </xdr:from>
    <xdr:to>
      <xdr:col>8</xdr:col>
      <xdr:colOff>238125</xdr:colOff>
      <xdr:row>133</xdr:row>
      <xdr:rowOff>28575</xdr:rowOff>
    </xdr:to>
    <xdr:cxnSp macro="">
      <xdr:nvCxnSpPr>
        <xdr:cNvPr id="212" name="Straight Connector 211"/>
        <xdr:cNvCxnSpPr/>
      </xdr:nvCxnSpPr>
      <xdr:spPr bwMode="auto">
        <a:xfrm>
          <a:off x="4914900" y="22536150"/>
          <a:ext cx="2476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75407</xdr:colOff>
      <xdr:row>117</xdr:row>
      <xdr:rowOff>10318</xdr:rowOff>
    </xdr:from>
    <xdr:to>
      <xdr:col>8</xdr:col>
      <xdr:colOff>76995</xdr:colOff>
      <xdr:row>131</xdr:row>
      <xdr:rowOff>793</xdr:rowOff>
    </xdr:to>
    <xdr:cxnSp macro="">
      <xdr:nvCxnSpPr>
        <xdr:cNvPr id="214" name="Straight Arrow Connector 213"/>
        <xdr:cNvCxnSpPr/>
      </xdr:nvCxnSpPr>
      <xdr:spPr bwMode="auto">
        <a:xfrm rot="5400000">
          <a:off x="3824288" y="21750337"/>
          <a:ext cx="2257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65881</xdr:colOff>
      <xdr:row>131</xdr:row>
      <xdr:rowOff>29369</xdr:rowOff>
    </xdr:from>
    <xdr:to>
      <xdr:col>8</xdr:col>
      <xdr:colOff>67469</xdr:colOff>
      <xdr:row>133</xdr:row>
      <xdr:rowOff>29369</xdr:rowOff>
    </xdr:to>
    <xdr:cxnSp macro="">
      <xdr:nvCxnSpPr>
        <xdr:cNvPr id="216" name="Straight Arrow Connector 215"/>
        <xdr:cNvCxnSpPr/>
      </xdr:nvCxnSpPr>
      <xdr:spPr bwMode="auto">
        <a:xfrm rot="5400000">
          <a:off x="4829175" y="22383750"/>
          <a:ext cx="3238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142081</xdr:colOff>
      <xdr:row>133</xdr:row>
      <xdr:rowOff>47625</xdr:rowOff>
    </xdr:from>
    <xdr:to>
      <xdr:col>3</xdr:col>
      <xdr:colOff>142875</xdr:colOff>
      <xdr:row>136</xdr:row>
      <xdr:rowOff>153194</xdr:rowOff>
    </xdr:to>
    <xdr:cxnSp macro="">
      <xdr:nvCxnSpPr>
        <xdr:cNvPr id="218" name="Straight Connector 217"/>
        <xdr:cNvCxnSpPr/>
      </xdr:nvCxnSpPr>
      <xdr:spPr bwMode="auto">
        <a:xfrm rot="5400000">
          <a:off x="456406" y="2354580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513556</xdr:colOff>
      <xdr:row>133</xdr:row>
      <xdr:rowOff>66675</xdr:rowOff>
    </xdr:from>
    <xdr:to>
      <xdr:col>7</xdr:col>
      <xdr:colOff>514350</xdr:colOff>
      <xdr:row>137</xdr:row>
      <xdr:rowOff>10319</xdr:rowOff>
    </xdr:to>
    <xdr:cxnSp macro="">
      <xdr:nvCxnSpPr>
        <xdr:cNvPr id="222" name="Straight Connector 221"/>
        <xdr:cNvCxnSpPr/>
      </xdr:nvCxnSpPr>
      <xdr:spPr bwMode="auto">
        <a:xfrm rot="5400000">
          <a:off x="4485481" y="2356485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133</xdr:row>
      <xdr:rowOff>38100</xdr:rowOff>
    </xdr:from>
    <xdr:to>
      <xdr:col>3</xdr:col>
      <xdr:colOff>600869</xdr:colOff>
      <xdr:row>135</xdr:row>
      <xdr:rowOff>19050</xdr:rowOff>
    </xdr:to>
    <xdr:cxnSp macro="">
      <xdr:nvCxnSpPr>
        <xdr:cNvPr id="224" name="Straight Connector 223"/>
        <xdr:cNvCxnSpPr/>
      </xdr:nvCxnSpPr>
      <xdr:spPr bwMode="auto">
        <a:xfrm rot="5400000">
          <a:off x="1057672" y="23393003"/>
          <a:ext cx="30480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133</xdr:row>
      <xdr:rowOff>9527</xdr:rowOff>
    </xdr:from>
    <xdr:to>
      <xdr:col>7</xdr:col>
      <xdr:colOff>10319</xdr:colOff>
      <xdr:row>135</xdr:row>
      <xdr:rowOff>9527</xdr:rowOff>
    </xdr:to>
    <xdr:cxnSp macro="">
      <xdr:nvCxnSpPr>
        <xdr:cNvPr id="225" name="Straight Connector 224"/>
        <xdr:cNvCxnSpPr/>
      </xdr:nvCxnSpPr>
      <xdr:spPr bwMode="auto">
        <a:xfrm rot="5400000">
          <a:off x="4115197" y="23373955"/>
          <a:ext cx="32385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533400</xdr:colOff>
      <xdr:row>130</xdr:row>
      <xdr:rowOff>152400</xdr:rowOff>
    </xdr:from>
    <xdr:to>
      <xdr:col>3</xdr:col>
      <xdr:colOff>114300</xdr:colOff>
      <xdr:row>131</xdr:row>
      <xdr:rowOff>0</xdr:rowOff>
    </xdr:to>
    <xdr:cxnSp macro="">
      <xdr:nvCxnSpPr>
        <xdr:cNvPr id="226" name="Straight Connector 225"/>
        <xdr:cNvCxnSpPr/>
      </xdr:nvCxnSpPr>
      <xdr:spPr bwMode="auto">
        <a:xfrm flipV="1">
          <a:off x="1762125" y="22183725"/>
          <a:ext cx="1905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428625</xdr:colOff>
      <xdr:row>116</xdr:row>
      <xdr:rowOff>152400</xdr:rowOff>
    </xdr:from>
    <xdr:to>
      <xdr:col>3</xdr:col>
      <xdr:colOff>266700</xdr:colOff>
      <xdr:row>117</xdr:row>
      <xdr:rowOff>0</xdr:rowOff>
    </xdr:to>
    <xdr:cxnSp macro="">
      <xdr:nvCxnSpPr>
        <xdr:cNvPr id="227" name="Straight Connector 226"/>
        <xdr:cNvCxnSpPr/>
      </xdr:nvCxnSpPr>
      <xdr:spPr bwMode="auto">
        <a:xfrm flipV="1">
          <a:off x="1657350" y="19916775"/>
          <a:ext cx="4476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142875</xdr:colOff>
      <xdr:row>134</xdr:row>
      <xdr:rowOff>9525</xdr:rowOff>
    </xdr:from>
    <xdr:to>
      <xdr:col>3</xdr:col>
      <xdr:colOff>600075</xdr:colOff>
      <xdr:row>134</xdr:row>
      <xdr:rowOff>11113</xdr:rowOff>
    </xdr:to>
    <xdr:cxnSp macro="">
      <xdr:nvCxnSpPr>
        <xdr:cNvPr id="233" name="Straight Arrow Connector 232"/>
        <xdr:cNvCxnSpPr/>
      </xdr:nvCxnSpPr>
      <xdr:spPr bwMode="auto">
        <a:xfrm>
          <a:off x="752475" y="23374350"/>
          <a:ext cx="457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19050</xdr:colOff>
      <xdr:row>134</xdr:row>
      <xdr:rowOff>0</xdr:rowOff>
    </xdr:from>
    <xdr:to>
      <xdr:col>7</xdr:col>
      <xdr:colOff>504825</xdr:colOff>
      <xdr:row>134</xdr:row>
      <xdr:rowOff>1588</xdr:rowOff>
    </xdr:to>
    <xdr:cxnSp macro="">
      <xdr:nvCxnSpPr>
        <xdr:cNvPr id="234" name="Straight Arrow Connector 233"/>
        <xdr:cNvCxnSpPr/>
      </xdr:nvCxnSpPr>
      <xdr:spPr bwMode="auto">
        <a:xfrm>
          <a:off x="4286250" y="233648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600075</xdr:colOff>
      <xdr:row>134</xdr:row>
      <xdr:rowOff>9525</xdr:rowOff>
    </xdr:from>
    <xdr:to>
      <xdr:col>7</xdr:col>
      <xdr:colOff>0</xdr:colOff>
      <xdr:row>134</xdr:row>
      <xdr:rowOff>9526</xdr:rowOff>
    </xdr:to>
    <xdr:cxnSp macro="">
      <xdr:nvCxnSpPr>
        <xdr:cNvPr id="236" name="Straight Arrow Connector 235"/>
        <xdr:cNvCxnSpPr/>
      </xdr:nvCxnSpPr>
      <xdr:spPr bwMode="auto">
        <a:xfrm>
          <a:off x="2428875" y="23374350"/>
          <a:ext cx="18383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123825</xdr:colOff>
      <xdr:row>135</xdr:row>
      <xdr:rowOff>152400</xdr:rowOff>
    </xdr:from>
    <xdr:to>
      <xdr:col>7</xdr:col>
      <xdr:colOff>514350</xdr:colOff>
      <xdr:row>136</xdr:row>
      <xdr:rowOff>9525</xdr:rowOff>
    </xdr:to>
    <xdr:cxnSp macro="">
      <xdr:nvCxnSpPr>
        <xdr:cNvPr id="244" name="Straight Arrow Connector 243"/>
        <xdr:cNvCxnSpPr/>
      </xdr:nvCxnSpPr>
      <xdr:spPr bwMode="auto">
        <a:xfrm flipV="1">
          <a:off x="733425" y="23679150"/>
          <a:ext cx="404812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124619</xdr:colOff>
      <xdr:row>122</xdr:row>
      <xdr:rowOff>152400</xdr:rowOff>
    </xdr:from>
    <xdr:to>
      <xdr:col>3</xdr:col>
      <xdr:colOff>123825</xdr:colOff>
      <xdr:row>123</xdr:row>
      <xdr:rowOff>0</xdr:rowOff>
    </xdr:to>
    <xdr:cxnSp macro="">
      <xdr:nvCxnSpPr>
        <xdr:cNvPr id="247" name="Straight Connector 246"/>
        <xdr:cNvCxnSpPr/>
      </xdr:nvCxnSpPr>
      <xdr:spPr bwMode="auto">
        <a:xfrm>
          <a:off x="124619" y="21574125"/>
          <a:ext cx="60880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419100</xdr:colOff>
      <xdr:row>124</xdr:row>
      <xdr:rowOff>152400</xdr:rowOff>
    </xdr:from>
    <xdr:to>
      <xdr:col>6</xdr:col>
      <xdr:colOff>161925</xdr:colOff>
      <xdr:row>125</xdr:row>
      <xdr:rowOff>9525</xdr:rowOff>
    </xdr:to>
    <xdr:cxnSp macro="">
      <xdr:nvCxnSpPr>
        <xdr:cNvPr id="248" name="Straight Connector 247"/>
        <xdr:cNvCxnSpPr/>
      </xdr:nvCxnSpPr>
      <xdr:spPr bwMode="auto">
        <a:xfrm>
          <a:off x="2857500" y="21897975"/>
          <a:ext cx="96202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161925</xdr:colOff>
      <xdr:row>122</xdr:row>
      <xdr:rowOff>47625</xdr:rowOff>
    </xdr:from>
    <xdr:to>
      <xdr:col>2</xdr:col>
      <xdr:colOff>238125</xdr:colOff>
      <xdr:row>122</xdr:row>
      <xdr:rowOff>133350</xdr:rowOff>
    </xdr:to>
    <xdr:sp macro="" textlink="">
      <xdr:nvSpPr>
        <xdr:cNvPr id="199" name="Flowchart: Merge 198"/>
        <xdr:cNvSpPr/>
      </xdr:nvSpPr>
      <xdr:spPr bwMode="auto">
        <a:xfrm>
          <a:off x="161925" y="21469350"/>
          <a:ext cx="76200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180975</xdr:colOff>
      <xdr:row>124</xdr:row>
      <xdr:rowOff>66675</xdr:rowOff>
    </xdr:from>
    <xdr:to>
      <xdr:col>5</xdr:col>
      <xdr:colOff>304800</xdr:colOff>
      <xdr:row>125</xdr:row>
      <xdr:rowOff>9525</xdr:rowOff>
    </xdr:to>
    <xdr:sp macro="" textlink="">
      <xdr:nvSpPr>
        <xdr:cNvPr id="200" name="Flowchart: Merge 199"/>
        <xdr:cNvSpPr/>
      </xdr:nvSpPr>
      <xdr:spPr bwMode="auto">
        <a:xfrm>
          <a:off x="2009775" y="21812250"/>
          <a:ext cx="123825" cy="10477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47626</xdr:colOff>
      <xdr:row>116</xdr:row>
      <xdr:rowOff>152399</xdr:rowOff>
    </xdr:from>
    <xdr:to>
      <xdr:col>3</xdr:col>
      <xdr:colOff>66676</xdr:colOff>
      <xdr:row>122</xdr:row>
      <xdr:rowOff>161924</xdr:rowOff>
    </xdr:to>
    <xdr:cxnSp macro="">
      <xdr:nvCxnSpPr>
        <xdr:cNvPr id="204" name="Straight Arrow Connector 203"/>
        <xdr:cNvCxnSpPr/>
      </xdr:nvCxnSpPr>
      <xdr:spPr bwMode="auto">
        <a:xfrm rot="5400000">
          <a:off x="176213" y="21083587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28576</xdr:colOff>
      <xdr:row>123</xdr:row>
      <xdr:rowOff>9525</xdr:rowOff>
    </xdr:from>
    <xdr:to>
      <xdr:col>3</xdr:col>
      <xdr:colOff>38101</xdr:colOff>
      <xdr:row>131</xdr:row>
      <xdr:rowOff>0</xdr:rowOff>
    </xdr:to>
    <xdr:cxnSp macro="">
      <xdr:nvCxnSpPr>
        <xdr:cNvPr id="206" name="Straight Arrow Connector 205"/>
        <xdr:cNvCxnSpPr/>
      </xdr:nvCxnSpPr>
      <xdr:spPr bwMode="auto">
        <a:xfrm rot="5400000">
          <a:off x="1" y="2223135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285751</xdr:colOff>
      <xdr:row>125</xdr:row>
      <xdr:rowOff>2</xdr:rowOff>
    </xdr:from>
    <xdr:to>
      <xdr:col>5</xdr:col>
      <xdr:colOff>304801</xdr:colOff>
      <xdr:row>131</xdr:row>
      <xdr:rowOff>9527</xdr:rowOff>
    </xdr:to>
    <xdr:cxnSp macro="">
      <xdr:nvCxnSpPr>
        <xdr:cNvPr id="211" name="Straight Arrow Connector 210"/>
        <xdr:cNvCxnSpPr/>
      </xdr:nvCxnSpPr>
      <xdr:spPr bwMode="auto">
        <a:xfrm rot="5400000">
          <a:off x="1633538" y="22388515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85725</xdr:colOff>
      <xdr:row>119</xdr:row>
      <xdr:rowOff>0</xdr:rowOff>
    </xdr:from>
    <xdr:ext cx="235962" cy="170560"/>
    <xdr:sp macro="" textlink="">
      <xdr:nvSpPr>
        <xdr:cNvPr id="213" name="Text Box 133"/>
        <xdr:cNvSpPr txBox="1">
          <a:spLocks noChangeArrowheads="1"/>
        </xdr:cNvSpPr>
      </xdr:nvSpPr>
      <xdr:spPr bwMode="auto">
        <a:xfrm>
          <a:off x="85725" y="2093595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2</xdr:col>
      <xdr:colOff>47625</xdr:colOff>
      <xdr:row>126</xdr:row>
      <xdr:rowOff>0</xdr:rowOff>
    </xdr:from>
    <xdr:ext cx="235962" cy="170560"/>
    <xdr:sp macro="" textlink="">
      <xdr:nvSpPr>
        <xdr:cNvPr id="215" name="Text Box 133"/>
        <xdr:cNvSpPr txBox="1">
          <a:spLocks noChangeArrowheads="1"/>
        </xdr:cNvSpPr>
      </xdr:nvSpPr>
      <xdr:spPr bwMode="auto">
        <a:xfrm>
          <a:off x="47625" y="2206942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h2=</a:t>
          </a:r>
        </a:p>
      </xdr:txBody>
    </xdr:sp>
    <xdr:clientData/>
  </xdr:oneCellAnchor>
  <xdr:twoCellAnchor>
    <xdr:from>
      <xdr:col>1</xdr:col>
      <xdr:colOff>600075</xdr:colOff>
      <xdr:row>117</xdr:row>
      <xdr:rowOff>0</xdr:rowOff>
    </xdr:from>
    <xdr:to>
      <xdr:col>1</xdr:col>
      <xdr:colOff>600864</xdr:colOff>
      <xdr:row>131</xdr:row>
      <xdr:rowOff>797</xdr:rowOff>
    </xdr:to>
    <xdr:cxnSp macro="">
      <xdr:nvCxnSpPr>
        <xdr:cNvPr id="205" name="Straight Connector 204"/>
        <xdr:cNvCxnSpPr/>
      </xdr:nvCxnSpPr>
      <xdr:spPr bwMode="auto">
        <a:xfrm rot="5400000" flipH="1" flipV="1">
          <a:off x="76196" y="21745579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304801</xdr:colOff>
      <xdr:row>123</xdr:row>
      <xdr:rowOff>9525</xdr:rowOff>
    </xdr:from>
    <xdr:to>
      <xdr:col>1</xdr:col>
      <xdr:colOff>314326</xdr:colOff>
      <xdr:row>131</xdr:row>
      <xdr:rowOff>0</xdr:rowOff>
    </xdr:to>
    <xdr:cxnSp macro="">
      <xdr:nvCxnSpPr>
        <xdr:cNvPr id="207" name="Straight Arrow Connector 206"/>
        <xdr:cNvCxnSpPr/>
      </xdr:nvCxnSpPr>
      <xdr:spPr bwMode="auto">
        <a:xfrm rot="5400000">
          <a:off x="276226" y="2223135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117</xdr:row>
      <xdr:rowOff>9529</xdr:rowOff>
    </xdr:from>
    <xdr:to>
      <xdr:col>1</xdr:col>
      <xdr:colOff>600075</xdr:colOff>
      <xdr:row>123</xdr:row>
      <xdr:rowOff>1</xdr:rowOff>
    </xdr:to>
    <xdr:cxnSp macro="">
      <xdr:nvCxnSpPr>
        <xdr:cNvPr id="217" name="Straight Connector 216"/>
        <xdr:cNvCxnSpPr/>
      </xdr:nvCxnSpPr>
      <xdr:spPr bwMode="auto">
        <a:xfrm rot="5400000">
          <a:off x="585790" y="20273965"/>
          <a:ext cx="962022" cy="28574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323850</xdr:colOff>
      <xdr:row>123</xdr:row>
      <xdr:rowOff>19050</xdr:rowOff>
    </xdr:from>
    <xdr:to>
      <xdr:col>1</xdr:col>
      <xdr:colOff>304800</xdr:colOff>
      <xdr:row>131</xdr:row>
      <xdr:rowOff>19050</xdr:rowOff>
    </xdr:to>
    <xdr:cxnSp macro="">
      <xdr:nvCxnSpPr>
        <xdr:cNvPr id="220" name="Straight Connector 219"/>
        <xdr:cNvCxnSpPr/>
      </xdr:nvCxnSpPr>
      <xdr:spPr bwMode="auto">
        <a:xfrm rot="5400000">
          <a:off x="-28575" y="21955125"/>
          <a:ext cx="1295400" cy="5905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19050</xdr:colOff>
      <xdr:row>124</xdr:row>
      <xdr:rowOff>133350</xdr:rowOff>
    </xdr:from>
    <xdr:to>
      <xdr:col>4</xdr:col>
      <xdr:colOff>438150</xdr:colOff>
      <xdr:row>130</xdr:row>
      <xdr:rowOff>152400</xdr:rowOff>
    </xdr:to>
    <xdr:cxnSp macro="">
      <xdr:nvCxnSpPr>
        <xdr:cNvPr id="223" name="Straight Connector 222"/>
        <xdr:cNvCxnSpPr/>
      </xdr:nvCxnSpPr>
      <xdr:spPr bwMode="auto">
        <a:xfrm rot="16200000" flipH="1">
          <a:off x="2190750" y="22507575"/>
          <a:ext cx="990600" cy="419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304801</xdr:colOff>
      <xdr:row>130</xdr:row>
      <xdr:rowOff>152400</xdr:rowOff>
    </xdr:from>
    <xdr:to>
      <xdr:col>1</xdr:col>
      <xdr:colOff>600076</xdr:colOff>
      <xdr:row>131</xdr:row>
      <xdr:rowOff>9525</xdr:rowOff>
    </xdr:to>
    <xdr:cxnSp macro="">
      <xdr:nvCxnSpPr>
        <xdr:cNvPr id="229" name="Straight Connector 228"/>
        <xdr:cNvCxnSpPr/>
      </xdr:nvCxnSpPr>
      <xdr:spPr bwMode="auto">
        <a:xfrm rot="10800000" flipV="1">
          <a:off x="304801" y="22869525"/>
          <a:ext cx="90487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123</xdr:row>
      <xdr:rowOff>0</xdr:rowOff>
    </xdr:from>
    <xdr:to>
      <xdr:col>1</xdr:col>
      <xdr:colOff>590551</xdr:colOff>
      <xdr:row>123</xdr:row>
      <xdr:rowOff>1588</xdr:rowOff>
    </xdr:to>
    <xdr:cxnSp macro="">
      <xdr:nvCxnSpPr>
        <xdr:cNvPr id="231" name="Straight Connector 230"/>
        <xdr:cNvCxnSpPr/>
      </xdr:nvCxnSpPr>
      <xdr:spPr bwMode="auto">
        <a:xfrm rot="10800000">
          <a:off x="923926" y="21583650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3</xdr:col>
      <xdr:colOff>123828</xdr:colOff>
      <xdr:row>117</xdr:row>
      <xdr:rowOff>9527</xdr:rowOff>
    </xdr:from>
    <xdr:to>
      <xdr:col>3</xdr:col>
      <xdr:colOff>132559</xdr:colOff>
      <xdr:row>130</xdr:row>
      <xdr:rowOff>153198</xdr:rowOff>
    </xdr:to>
    <xdr:cxnSp macro="">
      <xdr:nvCxnSpPr>
        <xdr:cNvPr id="232" name="Straight Connector 231"/>
        <xdr:cNvCxnSpPr/>
      </xdr:nvCxnSpPr>
      <xdr:spPr bwMode="auto">
        <a:xfrm rot="16200000" flipV="1">
          <a:off x="832646" y="21741609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129</xdr:row>
      <xdr:rowOff>142875</xdr:rowOff>
    </xdr:from>
    <xdr:to>
      <xdr:col>4</xdr:col>
      <xdr:colOff>352426</xdr:colOff>
      <xdr:row>129</xdr:row>
      <xdr:rowOff>144463</xdr:rowOff>
    </xdr:to>
    <xdr:cxnSp macro="">
      <xdr:nvCxnSpPr>
        <xdr:cNvPr id="239" name="Straight Arrow Connector 238"/>
        <xdr:cNvCxnSpPr/>
      </xdr:nvCxnSpPr>
      <xdr:spPr bwMode="auto">
        <a:xfrm rot="10800000">
          <a:off x="2438401" y="22698075"/>
          <a:ext cx="352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</xdr:colOff>
      <xdr:row>127</xdr:row>
      <xdr:rowOff>19050</xdr:rowOff>
    </xdr:from>
    <xdr:to>
      <xdr:col>4</xdr:col>
      <xdr:colOff>171450</xdr:colOff>
      <xdr:row>127</xdr:row>
      <xdr:rowOff>20638</xdr:rowOff>
    </xdr:to>
    <xdr:cxnSp macro="">
      <xdr:nvCxnSpPr>
        <xdr:cNvPr id="241" name="Straight Arrow Connector 240"/>
        <xdr:cNvCxnSpPr/>
      </xdr:nvCxnSpPr>
      <xdr:spPr bwMode="auto">
        <a:xfrm rot="10800000">
          <a:off x="2438402" y="22250400"/>
          <a:ext cx="1714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38100</xdr:colOff>
      <xdr:row>120</xdr:row>
      <xdr:rowOff>85726</xdr:rowOff>
    </xdr:from>
    <xdr:to>
      <xdr:col>1</xdr:col>
      <xdr:colOff>590550</xdr:colOff>
      <xdr:row>120</xdr:row>
      <xdr:rowOff>95250</xdr:rowOff>
    </xdr:to>
    <xdr:cxnSp macro="">
      <xdr:nvCxnSpPr>
        <xdr:cNvPr id="243" name="Straight Arrow Connector 242"/>
        <xdr:cNvCxnSpPr/>
      </xdr:nvCxnSpPr>
      <xdr:spPr bwMode="auto">
        <a:xfrm>
          <a:off x="647700" y="2118360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125</xdr:row>
      <xdr:rowOff>0</xdr:rowOff>
    </xdr:from>
    <xdr:to>
      <xdr:col>2</xdr:col>
      <xdr:colOff>0</xdr:colOff>
      <xdr:row>125</xdr:row>
      <xdr:rowOff>9525</xdr:rowOff>
    </xdr:to>
    <xdr:cxnSp macro="">
      <xdr:nvCxnSpPr>
        <xdr:cNvPr id="246" name="Straight Arrow Connector 245"/>
        <xdr:cNvCxnSpPr/>
      </xdr:nvCxnSpPr>
      <xdr:spPr bwMode="auto">
        <a:xfrm flipV="1">
          <a:off x="933450" y="21907500"/>
          <a:ext cx="2857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304800</xdr:colOff>
      <xdr:row>127</xdr:row>
      <xdr:rowOff>9525</xdr:rowOff>
    </xdr:from>
    <xdr:to>
      <xdr:col>1</xdr:col>
      <xdr:colOff>600075</xdr:colOff>
      <xdr:row>127</xdr:row>
      <xdr:rowOff>11113</xdr:rowOff>
    </xdr:to>
    <xdr:cxnSp macro="">
      <xdr:nvCxnSpPr>
        <xdr:cNvPr id="250" name="Straight Arrow Connector 249"/>
        <xdr:cNvCxnSpPr/>
      </xdr:nvCxnSpPr>
      <xdr:spPr bwMode="auto">
        <a:xfrm>
          <a:off x="914400" y="22240875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130</xdr:row>
      <xdr:rowOff>0</xdr:rowOff>
    </xdr:from>
    <xdr:to>
      <xdr:col>1</xdr:col>
      <xdr:colOff>600075</xdr:colOff>
      <xdr:row>130</xdr:row>
      <xdr:rowOff>1588</xdr:rowOff>
    </xdr:to>
    <xdr:cxnSp macro="">
      <xdr:nvCxnSpPr>
        <xdr:cNvPr id="252" name="Straight Arrow Connector 251"/>
        <xdr:cNvCxnSpPr/>
      </xdr:nvCxnSpPr>
      <xdr:spPr bwMode="auto">
        <a:xfrm>
          <a:off x="933450" y="22717125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600075</xdr:colOff>
      <xdr:row>127</xdr:row>
      <xdr:rowOff>114300</xdr:rowOff>
    </xdr:from>
    <xdr:to>
      <xdr:col>1</xdr:col>
      <xdr:colOff>304800</xdr:colOff>
      <xdr:row>127</xdr:row>
      <xdr:rowOff>114302</xdr:rowOff>
    </xdr:to>
    <xdr:cxnSp macro="">
      <xdr:nvCxnSpPr>
        <xdr:cNvPr id="254" name="Straight Arrow Connector 253"/>
        <xdr:cNvCxnSpPr/>
      </xdr:nvCxnSpPr>
      <xdr:spPr bwMode="auto">
        <a:xfrm>
          <a:off x="600075" y="22345650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130</xdr:row>
      <xdr:rowOff>0</xdr:rowOff>
    </xdr:from>
    <xdr:to>
      <xdr:col>1</xdr:col>
      <xdr:colOff>295275</xdr:colOff>
      <xdr:row>130</xdr:row>
      <xdr:rowOff>1588</xdr:rowOff>
    </xdr:to>
    <xdr:cxnSp macro="">
      <xdr:nvCxnSpPr>
        <xdr:cNvPr id="256" name="Straight Arrow Connector 255"/>
        <xdr:cNvCxnSpPr/>
      </xdr:nvCxnSpPr>
      <xdr:spPr bwMode="auto">
        <a:xfrm>
          <a:off x="419100" y="227171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104775</xdr:colOff>
      <xdr:row>126</xdr:row>
      <xdr:rowOff>9525</xdr:rowOff>
    </xdr:from>
    <xdr:to>
      <xdr:col>1</xdr:col>
      <xdr:colOff>304800</xdr:colOff>
      <xdr:row>126</xdr:row>
      <xdr:rowOff>11113</xdr:rowOff>
    </xdr:to>
    <xdr:cxnSp macro="">
      <xdr:nvCxnSpPr>
        <xdr:cNvPr id="258" name="Straight Arrow Connector 257"/>
        <xdr:cNvCxnSpPr/>
      </xdr:nvCxnSpPr>
      <xdr:spPr bwMode="auto">
        <a:xfrm>
          <a:off x="714375" y="22078950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419100</xdr:colOff>
      <xdr:row>122</xdr:row>
      <xdr:rowOff>0</xdr:rowOff>
    </xdr:from>
    <xdr:to>
      <xdr:col>1</xdr:col>
      <xdr:colOff>600075</xdr:colOff>
      <xdr:row>122</xdr:row>
      <xdr:rowOff>1588</xdr:rowOff>
    </xdr:to>
    <xdr:cxnSp macro="">
      <xdr:nvCxnSpPr>
        <xdr:cNvPr id="260" name="Straight Arrow Connector 259"/>
        <xdr:cNvCxnSpPr/>
      </xdr:nvCxnSpPr>
      <xdr:spPr bwMode="auto">
        <a:xfrm>
          <a:off x="1028700" y="20735925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457200</xdr:colOff>
      <xdr:row>120</xdr:row>
      <xdr:rowOff>0</xdr:rowOff>
    </xdr:from>
    <xdr:to>
      <xdr:col>1</xdr:col>
      <xdr:colOff>600075</xdr:colOff>
      <xdr:row>120</xdr:row>
      <xdr:rowOff>1588</xdr:rowOff>
    </xdr:to>
    <xdr:cxnSp macro="">
      <xdr:nvCxnSpPr>
        <xdr:cNvPr id="262" name="Straight Arrow Connector 261"/>
        <xdr:cNvCxnSpPr/>
      </xdr:nvCxnSpPr>
      <xdr:spPr bwMode="auto">
        <a:xfrm>
          <a:off x="1066800" y="21097875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oneCellAnchor>
    <xdr:from>
      <xdr:col>5</xdr:col>
      <xdr:colOff>28575</xdr:colOff>
      <xdr:row>127</xdr:row>
      <xdr:rowOff>9525</xdr:rowOff>
    </xdr:from>
    <xdr:ext cx="235962" cy="170560"/>
    <xdr:sp macro="" textlink="">
      <xdr:nvSpPr>
        <xdr:cNvPr id="228" name="Text Box 133"/>
        <xdr:cNvSpPr txBox="1">
          <a:spLocks noChangeArrowheads="1"/>
        </xdr:cNvSpPr>
      </xdr:nvSpPr>
      <xdr:spPr bwMode="auto">
        <a:xfrm>
          <a:off x="3076575" y="2224087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h3=</a:t>
          </a:r>
        </a:p>
      </xdr:txBody>
    </xdr:sp>
    <xdr:clientData/>
  </xdr:oneCellAnchor>
  <xdr:oneCellAnchor>
    <xdr:from>
      <xdr:col>5</xdr:col>
      <xdr:colOff>38100</xdr:colOff>
      <xdr:row>135</xdr:row>
      <xdr:rowOff>152400</xdr:rowOff>
    </xdr:from>
    <xdr:ext cx="178895" cy="170560"/>
    <xdr:sp macro="" textlink="">
      <xdr:nvSpPr>
        <xdr:cNvPr id="230" name="Text Box 133"/>
        <xdr:cNvSpPr txBox="1">
          <a:spLocks noChangeArrowheads="1"/>
        </xdr:cNvSpPr>
      </xdr:nvSpPr>
      <xdr:spPr bwMode="auto">
        <a:xfrm>
          <a:off x="3086100" y="23679150"/>
          <a:ext cx="17889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5</xdr:col>
      <xdr:colOff>38100</xdr:colOff>
      <xdr:row>133</xdr:row>
      <xdr:rowOff>152400</xdr:rowOff>
    </xdr:from>
    <xdr:ext cx="200311" cy="170560"/>
    <xdr:sp macro="" textlink="">
      <xdr:nvSpPr>
        <xdr:cNvPr id="235" name="Text Box 133"/>
        <xdr:cNvSpPr txBox="1">
          <a:spLocks noChangeArrowheads="1"/>
        </xdr:cNvSpPr>
      </xdr:nvSpPr>
      <xdr:spPr bwMode="auto">
        <a:xfrm>
          <a:off x="3105150" y="22669500"/>
          <a:ext cx="20031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 =</a:t>
          </a:r>
        </a:p>
      </xdr:txBody>
    </xdr:sp>
    <xdr:clientData/>
  </xdr:oneCellAnchor>
  <xdr:twoCellAnchor>
    <xdr:from>
      <xdr:col>1</xdr:col>
      <xdr:colOff>38100</xdr:colOff>
      <xdr:row>124</xdr:row>
      <xdr:rowOff>85726</xdr:rowOff>
    </xdr:from>
    <xdr:to>
      <xdr:col>1</xdr:col>
      <xdr:colOff>590550</xdr:colOff>
      <xdr:row>124</xdr:row>
      <xdr:rowOff>95250</xdr:rowOff>
    </xdr:to>
    <xdr:cxnSp macro="">
      <xdr:nvCxnSpPr>
        <xdr:cNvPr id="238" name="Straight Arrow Connector 237"/>
        <xdr:cNvCxnSpPr/>
      </xdr:nvCxnSpPr>
      <xdr:spPr bwMode="auto">
        <a:xfrm>
          <a:off x="647700" y="2183130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128</xdr:row>
      <xdr:rowOff>76200</xdr:rowOff>
    </xdr:from>
    <xdr:to>
      <xdr:col>2</xdr:col>
      <xdr:colOff>9525</xdr:colOff>
      <xdr:row>128</xdr:row>
      <xdr:rowOff>77788</xdr:rowOff>
    </xdr:to>
    <xdr:cxnSp macro="">
      <xdr:nvCxnSpPr>
        <xdr:cNvPr id="240" name="Straight Arrow Connector 239"/>
        <xdr:cNvCxnSpPr/>
      </xdr:nvCxnSpPr>
      <xdr:spPr bwMode="auto">
        <a:xfrm>
          <a:off x="419100" y="22469475"/>
          <a:ext cx="8096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9528</xdr:colOff>
      <xdr:row>128</xdr:row>
      <xdr:rowOff>76199</xdr:rowOff>
    </xdr:from>
    <xdr:to>
      <xdr:col>4</xdr:col>
      <xdr:colOff>400051</xdr:colOff>
      <xdr:row>128</xdr:row>
      <xdr:rowOff>85724</xdr:rowOff>
    </xdr:to>
    <xdr:cxnSp macro="">
      <xdr:nvCxnSpPr>
        <xdr:cNvPr id="251" name="Straight Arrow Connector 250"/>
        <xdr:cNvCxnSpPr/>
      </xdr:nvCxnSpPr>
      <xdr:spPr bwMode="auto">
        <a:xfrm rot="10800000" flipV="1">
          <a:off x="2447928" y="22469474"/>
          <a:ext cx="390523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542925</xdr:colOff>
      <xdr:row>212</xdr:row>
      <xdr:rowOff>104775</xdr:rowOff>
    </xdr:from>
    <xdr:to>
      <xdr:col>7</xdr:col>
      <xdr:colOff>304800</xdr:colOff>
      <xdr:row>214</xdr:row>
      <xdr:rowOff>0</xdr:rowOff>
    </xdr:to>
    <xdr:sp macro="" textlink="">
      <xdr:nvSpPr>
        <xdr:cNvPr id="237" name="Arc 236"/>
        <xdr:cNvSpPr/>
      </xdr:nvSpPr>
      <xdr:spPr bwMode="auto">
        <a:xfrm>
          <a:off x="4200525" y="40738425"/>
          <a:ext cx="371475" cy="381000"/>
        </a:xfrm>
        <a:prstGeom prst="arc">
          <a:avLst>
            <a:gd name="adj1" fmla="val 9384173"/>
            <a:gd name="adj2" fmla="val 1492911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561976</xdr:colOff>
      <xdr:row>212</xdr:row>
      <xdr:rowOff>85725</xdr:rowOff>
    </xdr:from>
    <xdr:to>
      <xdr:col>5</xdr:col>
      <xdr:colOff>152400</xdr:colOff>
      <xdr:row>214</xdr:row>
      <xdr:rowOff>0</xdr:rowOff>
    </xdr:to>
    <xdr:sp macro="" textlink="">
      <xdr:nvSpPr>
        <xdr:cNvPr id="242" name="Arc 241"/>
        <xdr:cNvSpPr/>
      </xdr:nvSpPr>
      <xdr:spPr bwMode="auto">
        <a:xfrm flipH="1">
          <a:off x="3000376" y="40719375"/>
          <a:ext cx="200024" cy="371475"/>
        </a:xfrm>
        <a:prstGeom prst="arc">
          <a:avLst>
            <a:gd name="adj1" fmla="val 16200000"/>
            <a:gd name="adj2" fmla="val 509192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9525</xdr:colOff>
      <xdr:row>219</xdr:row>
      <xdr:rowOff>0</xdr:rowOff>
    </xdr:from>
    <xdr:to>
      <xdr:col>7</xdr:col>
      <xdr:colOff>180975</xdr:colOff>
      <xdr:row>219</xdr:row>
      <xdr:rowOff>1588</xdr:rowOff>
    </xdr:to>
    <xdr:cxnSp macro="">
      <xdr:nvCxnSpPr>
        <xdr:cNvPr id="249" name="Straight Connector 248"/>
        <xdr:cNvCxnSpPr/>
      </xdr:nvCxnSpPr>
      <xdr:spPr bwMode="auto">
        <a:xfrm>
          <a:off x="3057525" y="42090975"/>
          <a:ext cx="20002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220</xdr:row>
      <xdr:rowOff>152400</xdr:rowOff>
    </xdr:from>
    <xdr:to>
      <xdr:col>7</xdr:col>
      <xdr:colOff>171450</xdr:colOff>
      <xdr:row>220</xdr:row>
      <xdr:rowOff>153988</xdr:rowOff>
    </xdr:to>
    <xdr:cxnSp macro="">
      <xdr:nvCxnSpPr>
        <xdr:cNvPr id="253" name="Straight Connector 252"/>
        <xdr:cNvCxnSpPr/>
      </xdr:nvCxnSpPr>
      <xdr:spPr bwMode="auto">
        <a:xfrm>
          <a:off x="3048000" y="42405300"/>
          <a:ext cx="20002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608807</xdr:colOff>
      <xdr:row>219</xdr:row>
      <xdr:rowOff>793</xdr:rowOff>
    </xdr:from>
    <xdr:to>
      <xdr:col>2</xdr:col>
      <xdr:colOff>795</xdr:colOff>
      <xdr:row>220</xdr:row>
      <xdr:rowOff>153193</xdr:rowOff>
    </xdr:to>
    <xdr:cxnSp macro="">
      <xdr:nvCxnSpPr>
        <xdr:cNvPr id="257" name="Straight Connector 256"/>
        <xdr:cNvCxnSpPr/>
      </xdr:nvCxnSpPr>
      <xdr:spPr bwMode="auto">
        <a:xfrm rot="5400000">
          <a:off x="2890838" y="42248137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8731</xdr:colOff>
      <xdr:row>221</xdr:row>
      <xdr:rowOff>115097</xdr:rowOff>
    </xdr:from>
    <xdr:to>
      <xdr:col>2</xdr:col>
      <xdr:colOff>10319</xdr:colOff>
      <xdr:row>225</xdr:row>
      <xdr:rowOff>29371</xdr:rowOff>
    </xdr:to>
    <xdr:cxnSp macro="">
      <xdr:nvCxnSpPr>
        <xdr:cNvPr id="261" name="Straight Connector 260"/>
        <xdr:cNvCxnSpPr/>
      </xdr:nvCxnSpPr>
      <xdr:spPr bwMode="auto">
        <a:xfrm rot="5400000">
          <a:off x="957263" y="37066540"/>
          <a:ext cx="561974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219075</xdr:colOff>
      <xdr:row>216</xdr:row>
      <xdr:rowOff>142877</xdr:rowOff>
    </xdr:from>
    <xdr:to>
      <xdr:col>2</xdr:col>
      <xdr:colOff>220663</xdr:colOff>
      <xdr:row>218</xdr:row>
      <xdr:rowOff>133352</xdr:rowOff>
    </xdr:to>
    <xdr:cxnSp macro="">
      <xdr:nvCxnSpPr>
        <xdr:cNvPr id="263" name="Straight Connector 262"/>
        <xdr:cNvCxnSpPr/>
      </xdr:nvCxnSpPr>
      <xdr:spPr bwMode="auto">
        <a:xfrm rot="5400000">
          <a:off x="3110706" y="42228296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314325</xdr:colOff>
      <xdr:row>221</xdr:row>
      <xdr:rowOff>9528</xdr:rowOff>
    </xdr:from>
    <xdr:to>
      <xdr:col>4</xdr:col>
      <xdr:colOff>315913</xdr:colOff>
      <xdr:row>223</xdr:row>
      <xdr:rowOff>3</xdr:rowOff>
    </xdr:to>
    <xdr:cxnSp macro="">
      <xdr:nvCxnSpPr>
        <xdr:cNvPr id="266" name="Straight Connector 265"/>
        <xdr:cNvCxnSpPr/>
      </xdr:nvCxnSpPr>
      <xdr:spPr bwMode="auto">
        <a:xfrm rot="5400000">
          <a:off x="3815556" y="42904572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238125</xdr:colOff>
      <xdr:row>218</xdr:row>
      <xdr:rowOff>0</xdr:rowOff>
    </xdr:from>
    <xdr:to>
      <xdr:col>7</xdr:col>
      <xdr:colOff>171450</xdr:colOff>
      <xdr:row>218</xdr:row>
      <xdr:rowOff>9525</xdr:rowOff>
    </xdr:to>
    <xdr:cxnSp macro="">
      <xdr:nvCxnSpPr>
        <xdr:cNvPr id="268" name="Straight Arrow Connector 267"/>
        <xdr:cNvCxnSpPr/>
      </xdr:nvCxnSpPr>
      <xdr:spPr bwMode="auto">
        <a:xfrm flipV="1">
          <a:off x="3286125" y="42252900"/>
          <a:ext cx="17621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323850</xdr:colOff>
      <xdr:row>222</xdr:row>
      <xdr:rowOff>9525</xdr:rowOff>
    </xdr:from>
    <xdr:to>
      <xdr:col>7</xdr:col>
      <xdr:colOff>180975</xdr:colOff>
      <xdr:row>222</xdr:row>
      <xdr:rowOff>11113</xdr:rowOff>
    </xdr:to>
    <xdr:cxnSp macro="">
      <xdr:nvCxnSpPr>
        <xdr:cNvPr id="270" name="Straight Arrow Connector 269"/>
        <xdr:cNvCxnSpPr/>
      </xdr:nvCxnSpPr>
      <xdr:spPr bwMode="auto">
        <a:xfrm>
          <a:off x="3981450" y="42910125"/>
          <a:ext cx="1076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400050</xdr:colOff>
      <xdr:row>224</xdr:row>
      <xdr:rowOff>85725</xdr:rowOff>
    </xdr:from>
    <xdr:to>
      <xdr:col>7</xdr:col>
      <xdr:colOff>180975</xdr:colOff>
      <xdr:row>224</xdr:row>
      <xdr:rowOff>96838</xdr:rowOff>
    </xdr:to>
    <xdr:cxnSp macro="">
      <xdr:nvCxnSpPr>
        <xdr:cNvPr id="273" name="Straight Arrow Connector 272"/>
        <xdr:cNvCxnSpPr/>
      </xdr:nvCxnSpPr>
      <xdr:spPr bwMode="auto">
        <a:xfrm>
          <a:off x="17678400" y="42986325"/>
          <a:ext cx="1000125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19051</xdr:colOff>
      <xdr:row>224</xdr:row>
      <xdr:rowOff>95250</xdr:rowOff>
    </xdr:from>
    <xdr:to>
      <xdr:col>4</xdr:col>
      <xdr:colOff>85726</xdr:colOff>
      <xdr:row>224</xdr:row>
      <xdr:rowOff>96838</xdr:rowOff>
    </xdr:to>
    <xdr:cxnSp macro="">
      <xdr:nvCxnSpPr>
        <xdr:cNvPr id="275" name="Straight Arrow Connector 274"/>
        <xdr:cNvCxnSpPr/>
      </xdr:nvCxnSpPr>
      <xdr:spPr bwMode="auto">
        <a:xfrm rot="10800000">
          <a:off x="3067051" y="43319700"/>
          <a:ext cx="676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219075</xdr:colOff>
      <xdr:row>218</xdr:row>
      <xdr:rowOff>152400</xdr:rowOff>
    </xdr:from>
    <xdr:to>
      <xdr:col>7</xdr:col>
      <xdr:colOff>476250</xdr:colOff>
      <xdr:row>218</xdr:row>
      <xdr:rowOff>153988</xdr:rowOff>
    </xdr:to>
    <xdr:cxnSp macro="">
      <xdr:nvCxnSpPr>
        <xdr:cNvPr id="277" name="Straight Connector 276"/>
        <xdr:cNvCxnSpPr/>
      </xdr:nvCxnSpPr>
      <xdr:spPr bwMode="auto">
        <a:xfrm>
          <a:off x="5095875" y="4240530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228600</xdr:colOff>
      <xdr:row>221</xdr:row>
      <xdr:rowOff>0</xdr:rowOff>
    </xdr:from>
    <xdr:to>
      <xdr:col>7</xdr:col>
      <xdr:colOff>485775</xdr:colOff>
      <xdr:row>221</xdr:row>
      <xdr:rowOff>1588</xdr:rowOff>
    </xdr:to>
    <xdr:cxnSp macro="">
      <xdr:nvCxnSpPr>
        <xdr:cNvPr id="278" name="Straight Connector 277"/>
        <xdr:cNvCxnSpPr/>
      </xdr:nvCxnSpPr>
      <xdr:spPr bwMode="auto">
        <a:xfrm>
          <a:off x="5105400" y="4273867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219</xdr:row>
      <xdr:rowOff>19049</xdr:rowOff>
    </xdr:from>
    <xdr:to>
      <xdr:col>7</xdr:col>
      <xdr:colOff>295275</xdr:colOff>
      <xdr:row>221</xdr:row>
      <xdr:rowOff>9524</xdr:rowOff>
    </xdr:to>
    <xdr:cxnSp macro="">
      <xdr:nvCxnSpPr>
        <xdr:cNvPr id="280" name="Straight Arrow Connector 279"/>
        <xdr:cNvCxnSpPr/>
      </xdr:nvCxnSpPr>
      <xdr:spPr bwMode="auto">
        <a:xfrm rot="16200000" flipH="1">
          <a:off x="5010150" y="42586274"/>
          <a:ext cx="314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342900</xdr:colOff>
      <xdr:row>218</xdr:row>
      <xdr:rowOff>133350</xdr:rowOff>
    </xdr:from>
    <xdr:to>
      <xdr:col>2</xdr:col>
      <xdr:colOff>104775</xdr:colOff>
      <xdr:row>221</xdr:row>
      <xdr:rowOff>28575</xdr:rowOff>
    </xdr:to>
    <xdr:sp macro="" textlink="">
      <xdr:nvSpPr>
        <xdr:cNvPr id="281" name="Arc 280"/>
        <xdr:cNvSpPr/>
      </xdr:nvSpPr>
      <xdr:spPr bwMode="auto">
        <a:xfrm>
          <a:off x="952500" y="43033950"/>
          <a:ext cx="371475" cy="381000"/>
        </a:xfrm>
        <a:prstGeom prst="arc">
          <a:avLst>
            <a:gd name="adj1" fmla="val 6868560"/>
            <a:gd name="adj2" fmla="val 1492911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504825</xdr:colOff>
      <xdr:row>218</xdr:row>
      <xdr:rowOff>85725</xdr:rowOff>
    </xdr:from>
    <xdr:to>
      <xdr:col>8</xdr:col>
      <xdr:colOff>219075</xdr:colOff>
      <xdr:row>220</xdr:row>
      <xdr:rowOff>152400</xdr:rowOff>
    </xdr:to>
    <xdr:sp macro="" textlink="">
      <xdr:nvSpPr>
        <xdr:cNvPr id="283" name="Arc 282"/>
        <xdr:cNvSpPr/>
      </xdr:nvSpPr>
      <xdr:spPr bwMode="auto">
        <a:xfrm flipH="1">
          <a:off x="4772025" y="42986325"/>
          <a:ext cx="323850" cy="390525"/>
        </a:xfrm>
        <a:prstGeom prst="arc">
          <a:avLst>
            <a:gd name="adj1" fmla="val 4531782"/>
            <a:gd name="adj2" fmla="val 17612854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190509</xdr:colOff>
      <xdr:row>121</xdr:row>
      <xdr:rowOff>85724</xdr:rowOff>
    </xdr:from>
    <xdr:to>
      <xdr:col>4</xdr:col>
      <xdr:colOff>219076</xdr:colOff>
      <xdr:row>121</xdr:row>
      <xdr:rowOff>104773</xdr:rowOff>
    </xdr:to>
    <xdr:cxnSp macro="">
      <xdr:nvCxnSpPr>
        <xdr:cNvPr id="267" name="Straight Arrow Connector 266"/>
        <xdr:cNvCxnSpPr/>
      </xdr:nvCxnSpPr>
      <xdr:spPr bwMode="auto">
        <a:xfrm rot="10800000" flipV="1">
          <a:off x="2019309" y="17687924"/>
          <a:ext cx="6381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180974</xdr:colOff>
      <xdr:row>121</xdr:row>
      <xdr:rowOff>95250</xdr:rowOff>
    </xdr:from>
    <xdr:to>
      <xdr:col>3</xdr:col>
      <xdr:colOff>190499</xdr:colOff>
      <xdr:row>123</xdr:row>
      <xdr:rowOff>0</xdr:rowOff>
    </xdr:to>
    <xdr:cxnSp macro="">
      <xdr:nvCxnSpPr>
        <xdr:cNvPr id="271" name="Straight Arrow Connector 270"/>
        <xdr:cNvCxnSpPr/>
      </xdr:nvCxnSpPr>
      <xdr:spPr bwMode="auto">
        <a:xfrm rot="16200000" flipH="1">
          <a:off x="1900237" y="21464587"/>
          <a:ext cx="228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sm" len="sm"/>
          <a:tailEnd type="triangle" w="sm" len="sm"/>
        </a:ln>
        <a:effectLst/>
      </xdr:spPr>
    </xdr:cxnSp>
    <xdr:clientData/>
  </xdr:twoCellAnchor>
  <xdr:twoCellAnchor>
    <xdr:from>
      <xdr:col>4</xdr:col>
      <xdr:colOff>342108</xdr:colOff>
      <xdr:row>215</xdr:row>
      <xdr:rowOff>9528</xdr:rowOff>
    </xdr:from>
    <xdr:to>
      <xdr:col>4</xdr:col>
      <xdr:colOff>342901</xdr:colOff>
      <xdr:row>217</xdr:row>
      <xdr:rowOff>115093</xdr:rowOff>
    </xdr:to>
    <xdr:cxnSp macro="">
      <xdr:nvCxnSpPr>
        <xdr:cNvPr id="269" name="Straight Arrow Connector 268"/>
        <xdr:cNvCxnSpPr/>
      </xdr:nvCxnSpPr>
      <xdr:spPr bwMode="auto">
        <a:xfrm rot="5400000">
          <a:off x="2566197" y="42638664"/>
          <a:ext cx="429415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323850</xdr:colOff>
      <xdr:row>215</xdr:row>
      <xdr:rowOff>152400</xdr:rowOff>
    </xdr:from>
    <xdr:to>
      <xdr:col>7</xdr:col>
      <xdr:colOff>180975</xdr:colOff>
      <xdr:row>215</xdr:row>
      <xdr:rowOff>153988</xdr:rowOff>
    </xdr:to>
    <xdr:cxnSp macro="">
      <xdr:nvCxnSpPr>
        <xdr:cNvPr id="279" name="Straight Arrow Connector 278"/>
        <xdr:cNvCxnSpPr/>
      </xdr:nvCxnSpPr>
      <xdr:spPr bwMode="auto">
        <a:xfrm>
          <a:off x="2762250" y="42567225"/>
          <a:ext cx="1685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190500</xdr:colOff>
      <xdr:row>216</xdr:row>
      <xdr:rowOff>85728</xdr:rowOff>
    </xdr:from>
    <xdr:to>
      <xdr:col>8</xdr:col>
      <xdr:colOff>19052</xdr:colOff>
      <xdr:row>217</xdr:row>
      <xdr:rowOff>9525</xdr:rowOff>
    </xdr:to>
    <xdr:cxnSp macro="">
      <xdr:nvCxnSpPr>
        <xdr:cNvPr id="284" name="Straight Arrow Connector 283"/>
        <xdr:cNvCxnSpPr/>
      </xdr:nvCxnSpPr>
      <xdr:spPr bwMode="auto">
        <a:xfrm rot="10800000" flipV="1">
          <a:off x="4457700" y="38709603"/>
          <a:ext cx="438152" cy="857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323056</xdr:colOff>
      <xdr:row>127</xdr:row>
      <xdr:rowOff>48419</xdr:rowOff>
    </xdr:from>
    <xdr:to>
      <xdr:col>6</xdr:col>
      <xdr:colOff>324644</xdr:colOff>
      <xdr:row>129</xdr:row>
      <xdr:rowOff>48419</xdr:rowOff>
    </xdr:to>
    <xdr:cxnSp macro="">
      <xdr:nvCxnSpPr>
        <xdr:cNvPr id="372" name="Straight Arrow Connector 371"/>
        <xdr:cNvCxnSpPr/>
      </xdr:nvCxnSpPr>
      <xdr:spPr bwMode="auto">
        <a:xfrm rot="5400000">
          <a:off x="3819525" y="18783300"/>
          <a:ext cx="32385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9525</xdr:colOff>
      <xdr:row>222</xdr:row>
      <xdr:rowOff>95250</xdr:rowOff>
    </xdr:from>
    <xdr:to>
      <xdr:col>2</xdr:col>
      <xdr:colOff>276225</xdr:colOff>
      <xdr:row>222</xdr:row>
      <xdr:rowOff>96838</xdr:rowOff>
    </xdr:to>
    <xdr:cxnSp macro="">
      <xdr:nvCxnSpPr>
        <xdr:cNvPr id="371" name="Straight Arrow Connector 370"/>
        <xdr:cNvCxnSpPr/>
      </xdr:nvCxnSpPr>
      <xdr:spPr bwMode="auto">
        <a:xfrm>
          <a:off x="1238250" y="36928425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0</xdr:colOff>
      <xdr:row>380</xdr:row>
      <xdr:rowOff>1</xdr:rowOff>
    </xdr:from>
    <xdr:to>
      <xdr:col>7</xdr:col>
      <xdr:colOff>0</xdr:colOff>
      <xdr:row>380</xdr:row>
      <xdr:rowOff>19050</xdr:rowOff>
    </xdr:to>
    <xdr:cxnSp macro="">
      <xdr:nvCxnSpPr>
        <xdr:cNvPr id="255" name="Straight Connector 254"/>
        <xdr:cNvCxnSpPr/>
      </xdr:nvCxnSpPr>
      <xdr:spPr bwMode="auto">
        <a:xfrm flipV="1">
          <a:off x="2457450" y="19221451"/>
          <a:ext cx="1857375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9527</xdr:colOff>
      <xdr:row>366</xdr:row>
      <xdr:rowOff>9525</xdr:rowOff>
    </xdr:from>
    <xdr:to>
      <xdr:col>7</xdr:col>
      <xdr:colOff>219075</xdr:colOff>
      <xdr:row>366</xdr:row>
      <xdr:rowOff>9529</xdr:rowOff>
    </xdr:to>
    <xdr:cxnSp macro="">
      <xdr:nvCxnSpPr>
        <xdr:cNvPr id="274" name="Straight Connector 273"/>
        <xdr:cNvCxnSpPr/>
      </xdr:nvCxnSpPr>
      <xdr:spPr bwMode="auto">
        <a:xfrm rot="10800000" flipV="1">
          <a:off x="4324352" y="16964025"/>
          <a:ext cx="209548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133350</xdr:colOff>
      <xdr:row>382</xdr:row>
      <xdr:rowOff>0</xdr:rowOff>
    </xdr:from>
    <xdr:to>
      <xdr:col>7</xdr:col>
      <xdr:colOff>504825</xdr:colOff>
      <xdr:row>382</xdr:row>
      <xdr:rowOff>1588</xdr:rowOff>
    </xdr:to>
    <xdr:cxnSp macro="">
      <xdr:nvCxnSpPr>
        <xdr:cNvPr id="282" name="Straight Connector 281"/>
        <xdr:cNvCxnSpPr/>
      </xdr:nvCxnSpPr>
      <xdr:spPr bwMode="auto">
        <a:xfrm>
          <a:off x="1971675" y="19545300"/>
          <a:ext cx="2847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505621</xdr:colOff>
      <xdr:row>379</xdr:row>
      <xdr:rowOff>134145</xdr:rowOff>
    </xdr:from>
    <xdr:to>
      <xdr:col>7</xdr:col>
      <xdr:colOff>514353</xdr:colOff>
      <xdr:row>382</xdr:row>
      <xdr:rowOff>0</xdr:rowOff>
    </xdr:to>
    <xdr:cxnSp macro="">
      <xdr:nvCxnSpPr>
        <xdr:cNvPr id="285" name="Straight Connector 284"/>
        <xdr:cNvCxnSpPr/>
      </xdr:nvCxnSpPr>
      <xdr:spPr bwMode="auto">
        <a:xfrm rot="16200000" flipV="1">
          <a:off x="4648997" y="19365119"/>
          <a:ext cx="351630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</xdr:colOff>
      <xdr:row>366</xdr:row>
      <xdr:rowOff>19050</xdr:rowOff>
    </xdr:from>
    <xdr:to>
      <xdr:col>7</xdr:col>
      <xdr:colOff>8734</xdr:colOff>
      <xdr:row>380</xdr:row>
      <xdr:rowOff>796</xdr:rowOff>
    </xdr:to>
    <xdr:cxnSp macro="">
      <xdr:nvCxnSpPr>
        <xdr:cNvPr id="286" name="Straight Connector 285"/>
        <xdr:cNvCxnSpPr/>
      </xdr:nvCxnSpPr>
      <xdr:spPr bwMode="auto">
        <a:xfrm rot="16200000" flipV="1">
          <a:off x="3194846" y="18093532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132562</xdr:colOff>
      <xdr:row>380</xdr:row>
      <xdr:rowOff>1</xdr:rowOff>
    </xdr:from>
    <xdr:to>
      <xdr:col>3</xdr:col>
      <xdr:colOff>133353</xdr:colOff>
      <xdr:row>382</xdr:row>
      <xdr:rowOff>796</xdr:rowOff>
    </xdr:to>
    <xdr:cxnSp macro="">
      <xdr:nvCxnSpPr>
        <xdr:cNvPr id="287" name="Straight Connector 286"/>
        <xdr:cNvCxnSpPr/>
      </xdr:nvCxnSpPr>
      <xdr:spPr bwMode="auto">
        <a:xfrm rot="5400000" flipH="1" flipV="1">
          <a:off x="1808960" y="19383378"/>
          <a:ext cx="324645" cy="79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8736</xdr:colOff>
      <xdr:row>366</xdr:row>
      <xdr:rowOff>1</xdr:rowOff>
    </xdr:from>
    <xdr:to>
      <xdr:col>4</xdr:col>
      <xdr:colOff>9525</xdr:colOff>
      <xdr:row>380</xdr:row>
      <xdr:rowOff>798</xdr:rowOff>
    </xdr:to>
    <xdr:cxnSp macro="">
      <xdr:nvCxnSpPr>
        <xdr:cNvPr id="288" name="Straight Connector 287"/>
        <xdr:cNvCxnSpPr/>
      </xdr:nvCxnSpPr>
      <xdr:spPr bwMode="auto">
        <a:xfrm rot="5400000" flipH="1" flipV="1">
          <a:off x="1332707" y="18087980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365</xdr:row>
      <xdr:rowOff>152400</xdr:rowOff>
    </xdr:from>
    <xdr:to>
      <xdr:col>4</xdr:col>
      <xdr:colOff>0</xdr:colOff>
      <xdr:row>366</xdr:row>
      <xdr:rowOff>0</xdr:rowOff>
    </xdr:to>
    <xdr:cxnSp macro="">
      <xdr:nvCxnSpPr>
        <xdr:cNvPr id="289" name="Straight Connector 288"/>
        <xdr:cNvCxnSpPr/>
      </xdr:nvCxnSpPr>
      <xdr:spPr bwMode="auto">
        <a:xfrm rot="10800000">
          <a:off x="2209800" y="16944975"/>
          <a:ext cx="2476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219075</xdr:colOff>
      <xdr:row>366</xdr:row>
      <xdr:rowOff>19049</xdr:rowOff>
    </xdr:from>
    <xdr:to>
      <xdr:col>7</xdr:col>
      <xdr:colOff>514350</xdr:colOff>
      <xdr:row>380</xdr:row>
      <xdr:rowOff>9524</xdr:rowOff>
    </xdr:to>
    <xdr:cxnSp macro="">
      <xdr:nvCxnSpPr>
        <xdr:cNvPr id="290" name="Straight Connector 289"/>
        <xdr:cNvCxnSpPr/>
      </xdr:nvCxnSpPr>
      <xdr:spPr bwMode="auto">
        <a:xfrm rot="16200000" flipH="1">
          <a:off x="3552825" y="17954624"/>
          <a:ext cx="225742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133351</xdr:colOff>
      <xdr:row>365</xdr:row>
      <xdr:rowOff>152399</xdr:rowOff>
    </xdr:from>
    <xdr:to>
      <xdr:col>3</xdr:col>
      <xdr:colOff>361954</xdr:colOff>
      <xdr:row>380</xdr:row>
      <xdr:rowOff>3</xdr:rowOff>
    </xdr:to>
    <xdr:cxnSp macro="">
      <xdr:nvCxnSpPr>
        <xdr:cNvPr id="291" name="Straight Connector 290"/>
        <xdr:cNvCxnSpPr/>
      </xdr:nvCxnSpPr>
      <xdr:spPr bwMode="auto">
        <a:xfrm rot="5400000">
          <a:off x="947738" y="17968912"/>
          <a:ext cx="2276479" cy="22860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523875</xdr:colOff>
      <xdr:row>366</xdr:row>
      <xdr:rowOff>0</xdr:rowOff>
    </xdr:from>
    <xdr:to>
      <xdr:col>8</xdr:col>
      <xdr:colOff>247650</xdr:colOff>
      <xdr:row>366</xdr:row>
      <xdr:rowOff>9526</xdr:rowOff>
    </xdr:to>
    <xdr:cxnSp macro="">
      <xdr:nvCxnSpPr>
        <xdr:cNvPr id="292" name="Straight Connector 291"/>
        <xdr:cNvCxnSpPr/>
      </xdr:nvCxnSpPr>
      <xdr:spPr bwMode="auto">
        <a:xfrm>
          <a:off x="4838700" y="57026175"/>
          <a:ext cx="333375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590550</xdr:colOff>
      <xdr:row>380</xdr:row>
      <xdr:rowOff>9525</xdr:rowOff>
    </xdr:from>
    <xdr:to>
      <xdr:col>8</xdr:col>
      <xdr:colOff>247650</xdr:colOff>
      <xdr:row>380</xdr:row>
      <xdr:rowOff>11113</xdr:rowOff>
    </xdr:to>
    <xdr:cxnSp macro="">
      <xdr:nvCxnSpPr>
        <xdr:cNvPr id="293" name="Straight Connector 292"/>
        <xdr:cNvCxnSpPr/>
      </xdr:nvCxnSpPr>
      <xdr:spPr bwMode="auto">
        <a:xfrm>
          <a:off x="4905375" y="59302650"/>
          <a:ext cx="2667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382</xdr:row>
      <xdr:rowOff>19050</xdr:rowOff>
    </xdr:from>
    <xdr:to>
      <xdr:col>8</xdr:col>
      <xdr:colOff>276225</xdr:colOff>
      <xdr:row>382</xdr:row>
      <xdr:rowOff>20638</xdr:rowOff>
    </xdr:to>
    <xdr:cxnSp macro="">
      <xdr:nvCxnSpPr>
        <xdr:cNvPr id="294" name="Straight Connector 293"/>
        <xdr:cNvCxnSpPr/>
      </xdr:nvCxnSpPr>
      <xdr:spPr bwMode="auto">
        <a:xfrm>
          <a:off x="4914900" y="59636025"/>
          <a:ext cx="2857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75407</xdr:colOff>
      <xdr:row>366</xdr:row>
      <xdr:rowOff>10318</xdr:rowOff>
    </xdr:from>
    <xdr:to>
      <xdr:col>8</xdr:col>
      <xdr:colOff>76995</xdr:colOff>
      <xdr:row>380</xdr:row>
      <xdr:rowOff>793</xdr:rowOff>
    </xdr:to>
    <xdr:cxnSp macro="">
      <xdr:nvCxnSpPr>
        <xdr:cNvPr id="295" name="Straight Arrow Connector 294"/>
        <xdr:cNvCxnSpPr/>
      </xdr:nvCxnSpPr>
      <xdr:spPr bwMode="auto">
        <a:xfrm rot="5400000">
          <a:off x="3871913" y="18092737"/>
          <a:ext cx="2257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65881</xdr:colOff>
      <xdr:row>380</xdr:row>
      <xdr:rowOff>10319</xdr:rowOff>
    </xdr:from>
    <xdr:to>
      <xdr:col>8</xdr:col>
      <xdr:colOff>67469</xdr:colOff>
      <xdr:row>382</xdr:row>
      <xdr:rowOff>10319</xdr:rowOff>
    </xdr:to>
    <xdr:cxnSp macro="">
      <xdr:nvCxnSpPr>
        <xdr:cNvPr id="296" name="Straight Arrow Connector 295"/>
        <xdr:cNvCxnSpPr/>
      </xdr:nvCxnSpPr>
      <xdr:spPr bwMode="auto">
        <a:xfrm rot="5400000">
          <a:off x="4829175" y="59464575"/>
          <a:ext cx="3238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142081</xdr:colOff>
      <xdr:row>382</xdr:row>
      <xdr:rowOff>47625</xdr:rowOff>
    </xdr:from>
    <xdr:to>
      <xdr:col>3</xdr:col>
      <xdr:colOff>142875</xdr:colOff>
      <xdr:row>385</xdr:row>
      <xdr:rowOff>153194</xdr:rowOff>
    </xdr:to>
    <xdr:cxnSp macro="">
      <xdr:nvCxnSpPr>
        <xdr:cNvPr id="297" name="Straight Connector 296"/>
        <xdr:cNvCxnSpPr/>
      </xdr:nvCxnSpPr>
      <xdr:spPr bwMode="auto">
        <a:xfrm rot="5400000">
          <a:off x="1685131" y="1988820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513556</xdr:colOff>
      <xdr:row>382</xdr:row>
      <xdr:rowOff>66675</xdr:rowOff>
    </xdr:from>
    <xdr:to>
      <xdr:col>7</xdr:col>
      <xdr:colOff>514350</xdr:colOff>
      <xdr:row>386</xdr:row>
      <xdr:rowOff>10319</xdr:rowOff>
    </xdr:to>
    <xdr:cxnSp macro="">
      <xdr:nvCxnSpPr>
        <xdr:cNvPr id="298" name="Straight Connector 297"/>
        <xdr:cNvCxnSpPr/>
      </xdr:nvCxnSpPr>
      <xdr:spPr bwMode="auto">
        <a:xfrm rot="5400000">
          <a:off x="4533106" y="1990725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382</xdr:row>
      <xdr:rowOff>38100</xdr:rowOff>
    </xdr:from>
    <xdr:to>
      <xdr:col>3</xdr:col>
      <xdr:colOff>600869</xdr:colOff>
      <xdr:row>384</xdr:row>
      <xdr:rowOff>19050</xdr:rowOff>
    </xdr:to>
    <xdr:cxnSp macro="">
      <xdr:nvCxnSpPr>
        <xdr:cNvPr id="299" name="Straight Connector 298"/>
        <xdr:cNvCxnSpPr/>
      </xdr:nvCxnSpPr>
      <xdr:spPr bwMode="auto">
        <a:xfrm rot="5400000">
          <a:off x="2286397" y="19735403"/>
          <a:ext cx="30480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382</xdr:row>
      <xdr:rowOff>9527</xdr:rowOff>
    </xdr:from>
    <xdr:to>
      <xdr:col>7</xdr:col>
      <xdr:colOff>10319</xdr:colOff>
      <xdr:row>384</xdr:row>
      <xdr:rowOff>9527</xdr:rowOff>
    </xdr:to>
    <xdr:cxnSp macro="">
      <xdr:nvCxnSpPr>
        <xdr:cNvPr id="300" name="Straight Connector 299"/>
        <xdr:cNvCxnSpPr/>
      </xdr:nvCxnSpPr>
      <xdr:spPr bwMode="auto">
        <a:xfrm rot="5400000">
          <a:off x="4162822" y="19716355"/>
          <a:ext cx="32385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514350</xdr:colOff>
      <xdr:row>379</xdr:row>
      <xdr:rowOff>152400</xdr:rowOff>
    </xdr:from>
    <xdr:to>
      <xdr:col>3</xdr:col>
      <xdr:colOff>114300</xdr:colOff>
      <xdr:row>380</xdr:row>
      <xdr:rowOff>0</xdr:rowOff>
    </xdr:to>
    <xdr:cxnSp macro="">
      <xdr:nvCxnSpPr>
        <xdr:cNvPr id="301" name="Straight Connector 300"/>
        <xdr:cNvCxnSpPr/>
      </xdr:nvCxnSpPr>
      <xdr:spPr bwMode="auto">
        <a:xfrm flipV="1">
          <a:off x="1743075" y="59283600"/>
          <a:ext cx="2095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400050</xdr:colOff>
      <xdr:row>365</xdr:row>
      <xdr:rowOff>152400</xdr:rowOff>
    </xdr:from>
    <xdr:to>
      <xdr:col>3</xdr:col>
      <xdr:colOff>266700</xdr:colOff>
      <xdr:row>365</xdr:row>
      <xdr:rowOff>153988</xdr:rowOff>
    </xdr:to>
    <xdr:cxnSp macro="">
      <xdr:nvCxnSpPr>
        <xdr:cNvPr id="302" name="Straight Connector 301"/>
        <xdr:cNvCxnSpPr/>
      </xdr:nvCxnSpPr>
      <xdr:spPr bwMode="auto">
        <a:xfrm>
          <a:off x="1628775" y="57016650"/>
          <a:ext cx="4762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142875</xdr:colOff>
      <xdr:row>383</xdr:row>
      <xdr:rowOff>9525</xdr:rowOff>
    </xdr:from>
    <xdr:to>
      <xdr:col>3</xdr:col>
      <xdr:colOff>600075</xdr:colOff>
      <xdr:row>383</xdr:row>
      <xdr:rowOff>11113</xdr:rowOff>
    </xdr:to>
    <xdr:cxnSp macro="">
      <xdr:nvCxnSpPr>
        <xdr:cNvPr id="303" name="Straight Arrow Connector 302"/>
        <xdr:cNvCxnSpPr/>
      </xdr:nvCxnSpPr>
      <xdr:spPr bwMode="auto">
        <a:xfrm>
          <a:off x="1981200" y="19716750"/>
          <a:ext cx="457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19050</xdr:colOff>
      <xdr:row>383</xdr:row>
      <xdr:rowOff>0</xdr:rowOff>
    </xdr:from>
    <xdr:to>
      <xdr:col>7</xdr:col>
      <xdr:colOff>504825</xdr:colOff>
      <xdr:row>383</xdr:row>
      <xdr:rowOff>1588</xdr:rowOff>
    </xdr:to>
    <xdr:cxnSp macro="">
      <xdr:nvCxnSpPr>
        <xdr:cNvPr id="304" name="Straight Arrow Connector 303"/>
        <xdr:cNvCxnSpPr/>
      </xdr:nvCxnSpPr>
      <xdr:spPr bwMode="auto">
        <a:xfrm>
          <a:off x="4333875" y="197072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600075</xdr:colOff>
      <xdr:row>383</xdr:row>
      <xdr:rowOff>9525</xdr:rowOff>
    </xdr:from>
    <xdr:to>
      <xdr:col>7</xdr:col>
      <xdr:colOff>0</xdr:colOff>
      <xdr:row>383</xdr:row>
      <xdr:rowOff>9526</xdr:rowOff>
    </xdr:to>
    <xdr:cxnSp macro="">
      <xdr:nvCxnSpPr>
        <xdr:cNvPr id="305" name="Straight Arrow Connector 304"/>
        <xdr:cNvCxnSpPr/>
      </xdr:nvCxnSpPr>
      <xdr:spPr bwMode="auto">
        <a:xfrm>
          <a:off x="2438400" y="19716750"/>
          <a:ext cx="18764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123825</xdr:colOff>
      <xdr:row>384</xdr:row>
      <xdr:rowOff>152400</xdr:rowOff>
    </xdr:from>
    <xdr:to>
      <xdr:col>7</xdr:col>
      <xdr:colOff>514350</xdr:colOff>
      <xdr:row>385</xdr:row>
      <xdr:rowOff>9525</xdr:rowOff>
    </xdr:to>
    <xdr:cxnSp macro="">
      <xdr:nvCxnSpPr>
        <xdr:cNvPr id="306" name="Straight Arrow Connector 305"/>
        <xdr:cNvCxnSpPr/>
      </xdr:nvCxnSpPr>
      <xdr:spPr bwMode="auto">
        <a:xfrm flipV="1">
          <a:off x="1962150" y="20021550"/>
          <a:ext cx="286702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124619</xdr:colOff>
      <xdr:row>371</xdr:row>
      <xdr:rowOff>152400</xdr:rowOff>
    </xdr:from>
    <xdr:to>
      <xdr:col>3</xdr:col>
      <xdr:colOff>123825</xdr:colOff>
      <xdr:row>372</xdr:row>
      <xdr:rowOff>0</xdr:rowOff>
    </xdr:to>
    <xdr:cxnSp macro="">
      <xdr:nvCxnSpPr>
        <xdr:cNvPr id="307" name="Straight Connector 306"/>
        <xdr:cNvCxnSpPr/>
      </xdr:nvCxnSpPr>
      <xdr:spPr bwMode="auto">
        <a:xfrm>
          <a:off x="1353344" y="17916525"/>
          <a:ext cx="60880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419100</xdr:colOff>
      <xdr:row>373</xdr:row>
      <xdr:rowOff>152400</xdr:rowOff>
    </xdr:from>
    <xdr:to>
      <xdr:col>6</xdr:col>
      <xdr:colOff>161925</xdr:colOff>
      <xdr:row>374</xdr:row>
      <xdr:rowOff>9525</xdr:rowOff>
    </xdr:to>
    <xdr:cxnSp macro="">
      <xdr:nvCxnSpPr>
        <xdr:cNvPr id="308" name="Straight Connector 307"/>
        <xdr:cNvCxnSpPr/>
      </xdr:nvCxnSpPr>
      <xdr:spPr bwMode="auto">
        <a:xfrm>
          <a:off x="2876550" y="18240375"/>
          <a:ext cx="9906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161925</xdr:colOff>
      <xdr:row>371</xdr:row>
      <xdr:rowOff>47625</xdr:rowOff>
    </xdr:from>
    <xdr:to>
      <xdr:col>2</xdr:col>
      <xdr:colOff>238125</xdr:colOff>
      <xdr:row>371</xdr:row>
      <xdr:rowOff>133350</xdr:rowOff>
    </xdr:to>
    <xdr:sp macro="" textlink="">
      <xdr:nvSpPr>
        <xdr:cNvPr id="309" name="Flowchart: Merge 308"/>
        <xdr:cNvSpPr/>
      </xdr:nvSpPr>
      <xdr:spPr bwMode="auto">
        <a:xfrm>
          <a:off x="1390650" y="17811750"/>
          <a:ext cx="76200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180975</xdr:colOff>
      <xdr:row>373</xdr:row>
      <xdr:rowOff>66675</xdr:rowOff>
    </xdr:from>
    <xdr:to>
      <xdr:col>5</xdr:col>
      <xdr:colOff>304800</xdr:colOff>
      <xdr:row>374</xdr:row>
      <xdr:rowOff>9525</xdr:rowOff>
    </xdr:to>
    <xdr:sp macro="" textlink="">
      <xdr:nvSpPr>
        <xdr:cNvPr id="310" name="Flowchart: Merge 309"/>
        <xdr:cNvSpPr/>
      </xdr:nvSpPr>
      <xdr:spPr bwMode="auto">
        <a:xfrm>
          <a:off x="3248025" y="18154650"/>
          <a:ext cx="123825" cy="10477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47626</xdr:colOff>
      <xdr:row>365</xdr:row>
      <xdr:rowOff>152399</xdr:rowOff>
    </xdr:from>
    <xdr:to>
      <xdr:col>3</xdr:col>
      <xdr:colOff>66676</xdr:colOff>
      <xdr:row>371</xdr:row>
      <xdr:rowOff>161924</xdr:rowOff>
    </xdr:to>
    <xdr:cxnSp macro="">
      <xdr:nvCxnSpPr>
        <xdr:cNvPr id="311" name="Straight Arrow Connector 310"/>
        <xdr:cNvCxnSpPr/>
      </xdr:nvCxnSpPr>
      <xdr:spPr bwMode="auto">
        <a:xfrm rot="5400000">
          <a:off x="1404938" y="17425987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28576</xdr:colOff>
      <xdr:row>372</xdr:row>
      <xdr:rowOff>9525</xdr:rowOff>
    </xdr:from>
    <xdr:to>
      <xdr:col>3</xdr:col>
      <xdr:colOff>38101</xdr:colOff>
      <xdr:row>380</xdr:row>
      <xdr:rowOff>0</xdr:rowOff>
    </xdr:to>
    <xdr:cxnSp macro="">
      <xdr:nvCxnSpPr>
        <xdr:cNvPr id="312" name="Straight Arrow Connector 311"/>
        <xdr:cNvCxnSpPr/>
      </xdr:nvCxnSpPr>
      <xdr:spPr bwMode="auto">
        <a:xfrm rot="5400000">
          <a:off x="1228726" y="1857375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285751</xdr:colOff>
      <xdr:row>374</xdr:row>
      <xdr:rowOff>2</xdr:rowOff>
    </xdr:from>
    <xdr:to>
      <xdr:col>5</xdr:col>
      <xdr:colOff>304801</xdr:colOff>
      <xdr:row>380</xdr:row>
      <xdr:rowOff>9527</xdr:rowOff>
    </xdr:to>
    <xdr:cxnSp macro="">
      <xdr:nvCxnSpPr>
        <xdr:cNvPr id="313" name="Straight Arrow Connector 312"/>
        <xdr:cNvCxnSpPr/>
      </xdr:nvCxnSpPr>
      <xdr:spPr bwMode="auto">
        <a:xfrm rot="5400000">
          <a:off x="2871788" y="18730915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85725</xdr:colOff>
      <xdr:row>368</xdr:row>
      <xdr:rowOff>0</xdr:rowOff>
    </xdr:from>
    <xdr:ext cx="235962" cy="170560"/>
    <xdr:sp macro="" textlink="">
      <xdr:nvSpPr>
        <xdr:cNvPr id="314" name="Text Box 133"/>
        <xdr:cNvSpPr txBox="1">
          <a:spLocks noChangeArrowheads="1"/>
        </xdr:cNvSpPr>
      </xdr:nvSpPr>
      <xdr:spPr bwMode="auto">
        <a:xfrm>
          <a:off x="1314450" y="1727835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2</xdr:col>
      <xdr:colOff>47625</xdr:colOff>
      <xdr:row>375</xdr:row>
      <xdr:rowOff>0</xdr:rowOff>
    </xdr:from>
    <xdr:ext cx="235962" cy="170560"/>
    <xdr:sp macro="" textlink="">
      <xdr:nvSpPr>
        <xdr:cNvPr id="315" name="Text Box 133"/>
        <xdr:cNvSpPr txBox="1">
          <a:spLocks noChangeArrowheads="1"/>
        </xdr:cNvSpPr>
      </xdr:nvSpPr>
      <xdr:spPr bwMode="auto">
        <a:xfrm>
          <a:off x="1276350" y="1841182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h2=</a:t>
          </a:r>
        </a:p>
      </xdr:txBody>
    </xdr:sp>
    <xdr:clientData/>
  </xdr:oneCellAnchor>
  <xdr:twoCellAnchor>
    <xdr:from>
      <xdr:col>1</xdr:col>
      <xdr:colOff>600075</xdr:colOff>
      <xdr:row>366</xdr:row>
      <xdr:rowOff>0</xdr:rowOff>
    </xdr:from>
    <xdr:to>
      <xdr:col>1</xdr:col>
      <xdr:colOff>600864</xdr:colOff>
      <xdr:row>380</xdr:row>
      <xdr:rowOff>797</xdr:rowOff>
    </xdr:to>
    <xdr:cxnSp macro="">
      <xdr:nvCxnSpPr>
        <xdr:cNvPr id="316" name="Straight Connector 315"/>
        <xdr:cNvCxnSpPr/>
      </xdr:nvCxnSpPr>
      <xdr:spPr bwMode="auto">
        <a:xfrm rot="5400000" flipH="1" flipV="1">
          <a:off x="76196" y="18087979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304801</xdr:colOff>
      <xdr:row>372</xdr:row>
      <xdr:rowOff>9525</xdr:rowOff>
    </xdr:from>
    <xdr:to>
      <xdr:col>1</xdr:col>
      <xdr:colOff>314326</xdr:colOff>
      <xdr:row>380</xdr:row>
      <xdr:rowOff>0</xdr:rowOff>
    </xdr:to>
    <xdr:cxnSp macro="">
      <xdr:nvCxnSpPr>
        <xdr:cNvPr id="317" name="Straight Arrow Connector 316"/>
        <xdr:cNvCxnSpPr/>
      </xdr:nvCxnSpPr>
      <xdr:spPr bwMode="auto">
        <a:xfrm rot="5400000">
          <a:off x="276226" y="1857375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366</xdr:row>
      <xdr:rowOff>9525</xdr:rowOff>
    </xdr:from>
    <xdr:to>
      <xdr:col>2</xdr:col>
      <xdr:colOff>1</xdr:colOff>
      <xdr:row>372</xdr:row>
      <xdr:rowOff>0</xdr:rowOff>
    </xdr:to>
    <xdr:cxnSp macro="">
      <xdr:nvCxnSpPr>
        <xdr:cNvPr id="318" name="Straight Connector 317"/>
        <xdr:cNvCxnSpPr/>
      </xdr:nvCxnSpPr>
      <xdr:spPr bwMode="auto">
        <a:xfrm rot="5400000">
          <a:off x="595313" y="17292638"/>
          <a:ext cx="962025" cy="3048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28575</xdr:colOff>
      <xdr:row>374</xdr:row>
      <xdr:rowOff>9525</xdr:rowOff>
    </xdr:from>
    <xdr:to>
      <xdr:col>4</xdr:col>
      <xdr:colOff>447675</xdr:colOff>
      <xdr:row>380</xdr:row>
      <xdr:rowOff>28575</xdr:rowOff>
    </xdr:to>
    <xdr:cxnSp macro="">
      <xdr:nvCxnSpPr>
        <xdr:cNvPr id="319" name="Straight Connector 318"/>
        <xdr:cNvCxnSpPr/>
      </xdr:nvCxnSpPr>
      <xdr:spPr bwMode="auto">
        <a:xfrm rot="16200000" flipH="1">
          <a:off x="2200275" y="18545175"/>
          <a:ext cx="990600" cy="419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304801</xdr:colOff>
      <xdr:row>379</xdr:row>
      <xdr:rowOff>152400</xdr:rowOff>
    </xdr:from>
    <xdr:to>
      <xdr:col>1</xdr:col>
      <xdr:colOff>600076</xdr:colOff>
      <xdr:row>380</xdr:row>
      <xdr:rowOff>9525</xdr:rowOff>
    </xdr:to>
    <xdr:cxnSp macro="">
      <xdr:nvCxnSpPr>
        <xdr:cNvPr id="320" name="Straight Connector 319"/>
        <xdr:cNvCxnSpPr/>
      </xdr:nvCxnSpPr>
      <xdr:spPr bwMode="auto">
        <a:xfrm rot="10800000" flipV="1">
          <a:off x="304801" y="19211925"/>
          <a:ext cx="90487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372</xdr:row>
      <xdr:rowOff>0</xdr:rowOff>
    </xdr:from>
    <xdr:to>
      <xdr:col>1</xdr:col>
      <xdr:colOff>590551</xdr:colOff>
      <xdr:row>372</xdr:row>
      <xdr:rowOff>1588</xdr:rowOff>
    </xdr:to>
    <xdr:cxnSp macro="">
      <xdr:nvCxnSpPr>
        <xdr:cNvPr id="321" name="Straight Connector 320"/>
        <xdr:cNvCxnSpPr/>
      </xdr:nvCxnSpPr>
      <xdr:spPr bwMode="auto">
        <a:xfrm rot="10800000">
          <a:off x="923926" y="17926050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arrow" w="med" len="med"/>
          <a:tailEnd type="none" w="med" len="med"/>
        </a:ln>
        <a:effectLst/>
      </xdr:spPr>
    </xdr:cxnSp>
    <xdr:clientData/>
  </xdr:twoCellAnchor>
  <xdr:twoCellAnchor>
    <xdr:from>
      <xdr:col>3</xdr:col>
      <xdr:colOff>123828</xdr:colOff>
      <xdr:row>366</xdr:row>
      <xdr:rowOff>9527</xdr:rowOff>
    </xdr:from>
    <xdr:to>
      <xdr:col>3</xdr:col>
      <xdr:colOff>132559</xdr:colOff>
      <xdr:row>379</xdr:row>
      <xdr:rowOff>153198</xdr:rowOff>
    </xdr:to>
    <xdr:cxnSp macro="">
      <xdr:nvCxnSpPr>
        <xdr:cNvPr id="322" name="Straight Connector 321"/>
        <xdr:cNvCxnSpPr/>
      </xdr:nvCxnSpPr>
      <xdr:spPr bwMode="auto">
        <a:xfrm rot="16200000" flipV="1">
          <a:off x="842171" y="18084009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378</xdr:row>
      <xdr:rowOff>142875</xdr:rowOff>
    </xdr:from>
    <xdr:to>
      <xdr:col>4</xdr:col>
      <xdr:colOff>352426</xdr:colOff>
      <xdr:row>378</xdr:row>
      <xdr:rowOff>144463</xdr:rowOff>
    </xdr:to>
    <xdr:cxnSp macro="">
      <xdr:nvCxnSpPr>
        <xdr:cNvPr id="323" name="Straight Arrow Connector 322"/>
        <xdr:cNvCxnSpPr/>
      </xdr:nvCxnSpPr>
      <xdr:spPr bwMode="auto">
        <a:xfrm rot="10800000">
          <a:off x="2457451" y="19040475"/>
          <a:ext cx="352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2</xdr:colOff>
      <xdr:row>376</xdr:row>
      <xdr:rowOff>19050</xdr:rowOff>
    </xdr:from>
    <xdr:to>
      <xdr:col>4</xdr:col>
      <xdr:colOff>171450</xdr:colOff>
      <xdr:row>376</xdr:row>
      <xdr:rowOff>20638</xdr:rowOff>
    </xdr:to>
    <xdr:cxnSp macro="">
      <xdr:nvCxnSpPr>
        <xdr:cNvPr id="324" name="Straight Arrow Connector 323"/>
        <xdr:cNvCxnSpPr/>
      </xdr:nvCxnSpPr>
      <xdr:spPr bwMode="auto">
        <a:xfrm rot="10800000">
          <a:off x="2457452" y="18592800"/>
          <a:ext cx="1714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38100</xdr:colOff>
      <xdr:row>369</xdr:row>
      <xdr:rowOff>85726</xdr:rowOff>
    </xdr:from>
    <xdr:to>
      <xdr:col>1</xdr:col>
      <xdr:colOff>590550</xdr:colOff>
      <xdr:row>369</xdr:row>
      <xdr:rowOff>95250</xdr:rowOff>
    </xdr:to>
    <xdr:cxnSp macro="">
      <xdr:nvCxnSpPr>
        <xdr:cNvPr id="325" name="Straight Arrow Connector 324"/>
        <xdr:cNvCxnSpPr/>
      </xdr:nvCxnSpPr>
      <xdr:spPr bwMode="auto">
        <a:xfrm>
          <a:off x="647700" y="1752600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374</xdr:row>
      <xdr:rowOff>0</xdr:rowOff>
    </xdr:from>
    <xdr:to>
      <xdr:col>2</xdr:col>
      <xdr:colOff>0</xdr:colOff>
      <xdr:row>374</xdr:row>
      <xdr:rowOff>9525</xdr:rowOff>
    </xdr:to>
    <xdr:cxnSp macro="">
      <xdr:nvCxnSpPr>
        <xdr:cNvPr id="326" name="Straight Arrow Connector 325"/>
        <xdr:cNvCxnSpPr/>
      </xdr:nvCxnSpPr>
      <xdr:spPr bwMode="auto">
        <a:xfrm flipV="1">
          <a:off x="933450" y="18249900"/>
          <a:ext cx="2952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304800</xdr:colOff>
      <xdr:row>376</xdr:row>
      <xdr:rowOff>9525</xdr:rowOff>
    </xdr:from>
    <xdr:to>
      <xdr:col>1</xdr:col>
      <xdr:colOff>600075</xdr:colOff>
      <xdr:row>376</xdr:row>
      <xdr:rowOff>11113</xdr:rowOff>
    </xdr:to>
    <xdr:cxnSp macro="">
      <xdr:nvCxnSpPr>
        <xdr:cNvPr id="327" name="Straight Arrow Connector 326"/>
        <xdr:cNvCxnSpPr/>
      </xdr:nvCxnSpPr>
      <xdr:spPr bwMode="auto">
        <a:xfrm>
          <a:off x="914400" y="18583275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323850</xdr:colOff>
      <xdr:row>379</xdr:row>
      <xdr:rowOff>0</xdr:rowOff>
    </xdr:from>
    <xdr:to>
      <xdr:col>1</xdr:col>
      <xdr:colOff>600075</xdr:colOff>
      <xdr:row>379</xdr:row>
      <xdr:rowOff>1588</xdr:rowOff>
    </xdr:to>
    <xdr:cxnSp macro="">
      <xdr:nvCxnSpPr>
        <xdr:cNvPr id="328" name="Straight Arrow Connector 327"/>
        <xdr:cNvCxnSpPr/>
      </xdr:nvCxnSpPr>
      <xdr:spPr bwMode="auto">
        <a:xfrm>
          <a:off x="933450" y="19059525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600075</xdr:colOff>
      <xdr:row>376</xdr:row>
      <xdr:rowOff>114300</xdr:rowOff>
    </xdr:from>
    <xdr:to>
      <xdr:col>1</xdr:col>
      <xdr:colOff>304800</xdr:colOff>
      <xdr:row>376</xdr:row>
      <xdr:rowOff>114302</xdr:rowOff>
    </xdr:to>
    <xdr:cxnSp macro="">
      <xdr:nvCxnSpPr>
        <xdr:cNvPr id="329" name="Straight Arrow Connector 328"/>
        <xdr:cNvCxnSpPr/>
      </xdr:nvCxnSpPr>
      <xdr:spPr bwMode="auto">
        <a:xfrm>
          <a:off x="600075" y="18688050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419100</xdr:colOff>
      <xdr:row>379</xdr:row>
      <xdr:rowOff>0</xdr:rowOff>
    </xdr:from>
    <xdr:to>
      <xdr:col>1</xdr:col>
      <xdr:colOff>295275</xdr:colOff>
      <xdr:row>379</xdr:row>
      <xdr:rowOff>1588</xdr:rowOff>
    </xdr:to>
    <xdr:cxnSp macro="">
      <xdr:nvCxnSpPr>
        <xdr:cNvPr id="330" name="Straight Arrow Connector 329"/>
        <xdr:cNvCxnSpPr/>
      </xdr:nvCxnSpPr>
      <xdr:spPr bwMode="auto">
        <a:xfrm>
          <a:off x="419100" y="190595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104775</xdr:colOff>
      <xdr:row>375</xdr:row>
      <xdr:rowOff>9525</xdr:rowOff>
    </xdr:from>
    <xdr:to>
      <xdr:col>1</xdr:col>
      <xdr:colOff>304800</xdr:colOff>
      <xdr:row>375</xdr:row>
      <xdr:rowOff>11113</xdr:rowOff>
    </xdr:to>
    <xdr:cxnSp macro="">
      <xdr:nvCxnSpPr>
        <xdr:cNvPr id="331" name="Straight Arrow Connector 330"/>
        <xdr:cNvCxnSpPr/>
      </xdr:nvCxnSpPr>
      <xdr:spPr bwMode="auto">
        <a:xfrm>
          <a:off x="714375" y="18421350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419100</xdr:colOff>
      <xdr:row>370</xdr:row>
      <xdr:rowOff>19050</xdr:rowOff>
    </xdr:from>
    <xdr:to>
      <xdr:col>1</xdr:col>
      <xdr:colOff>600075</xdr:colOff>
      <xdr:row>370</xdr:row>
      <xdr:rowOff>20638</xdr:rowOff>
    </xdr:to>
    <xdr:cxnSp macro="">
      <xdr:nvCxnSpPr>
        <xdr:cNvPr id="332" name="Straight Arrow Connector 331"/>
        <xdr:cNvCxnSpPr/>
      </xdr:nvCxnSpPr>
      <xdr:spPr bwMode="auto">
        <a:xfrm>
          <a:off x="1028700" y="17621250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457200</xdr:colOff>
      <xdr:row>369</xdr:row>
      <xdr:rowOff>0</xdr:rowOff>
    </xdr:from>
    <xdr:to>
      <xdr:col>1</xdr:col>
      <xdr:colOff>600075</xdr:colOff>
      <xdr:row>369</xdr:row>
      <xdr:rowOff>1588</xdr:rowOff>
    </xdr:to>
    <xdr:cxnSp macro="">
      <xdr:nvCxnSpPr>
        <xdr:cNvPr id="333" name="Straight Arrow Connector 332"/>
        <xdr:cNvCxnSpPr/>
      </xdr:nvCxnSpPr>
      <xdr:spPr bwMode="auto">
        <a:xfrm>
          <a:off x="1066800" y="17440275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28575</xdr:colOff>
      <xdr:row>376</xdr:row>
      <xdr:rowOff>9525</xdr:rowOff>
    </xdr:from>
    <xdr:ext cx="235962" cy="170560"/>
    <xdr:sp macro="" textlink="">
      <xdr:nvSpPr>
        <xdr:cNvPr id="334" name="Text Box 133"/>
        <xdr:cNvSpPr txBox="1">
          <a:spLocks noChangeArrowheads="1"/>
        </xdr:cNvSpPr>
      </xdr:nvSpPr>
      <xdr:spPr bwMode="auto">
        <a:xfrm>
          <a:off x="3095625" y="1858327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h3=</a:t>
          </a:r>
        </a:p>
      </xdr:txBody>
    </xdr:sp>
    <xdr:clientData/>
  </xdr:oneCellAnchor>
  <xdr:oneCellAnchor>
    <xdr:from>
      <xdr:col>5</xdr:col>
      <xdr:colOff>38100</xdr:colOff>
      <xdr:row>384</xdr:row>
      <xdr:rowOff>152400</xdr:rowOff>
    </xdr:from>
    <xdr:ext cx="178895" cy="170560"/>
    <xdr:sp macro="" textlink="">
      <xdr:nvSpPr>
        <xdr:cNvPr id="335" name="Text Box 133"/>
        <xdr:cNvSpPr txBox="1">
          <a:spLocks noChangeArrowheads="1"/>
        </xdr:cNvSpPr>
      </xdr:nvSpPr>
      <xdr:spPr bwMode="auto">
        <a:xfrm>
          <a:off x="3105150" y="20021550"/>
          <a:ext cx="17889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5</xdr:col>
      <xdr:colOff>28575</xdr:colOff>
      <xdr:row>382</xdr:row>
      <xdr:rowOff>152400</xdr:rowOff>
    </xdr:from>
    <xdr:ext cx="200311" cy="170560"/>
    <xdr:sp macro="" textlink="">
      <xdr:nvSpPr>
        <xdr:cNvPr id="336" name="Text Box 133"/>
        <xdr:cNvSpPr txBox="1">
          <a:spLocks noChangeArrowheads="1"/>
        </xdr:cNvSpPr>
      </xdr:nvSpPr>
      <xdr:spPr bwMode="auto">
        <a:xfrm>
          <a:off x="3095625" y="59769375"/>
          <a:ext cx="20031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 =</a:t>
          </a:r>
        </a:p>
      </xdr:txBody>
    </xdr:sp>
    <xdr:clientData/>
  </xdr:oneCellAnchor>
  <xdr:twoCellAnchor>
    <xdr:from>
      <xdr:col>1</xdr:col>
      <xdr:colOff>38100</xdr:colOff>
      <xdr:row>373</xdr:row>
      <xdr:rowOff>85726</xdr:rowOff>
    </xdr:from>
    <xdr:to>
      <xdr:col>1</xdr:col>
      <xdr:colOff>590550</xdr:colOff>
      <xdr:row>373</xdr:row>
      <xdr:rowOff>95250</xdr:rowOff>
    </xdr:to>
    <xdr:cxnSp macro="">
      <xdr:nvCxnSpPr>
        <xdr:cNvPr id="337" name="Straight Arrow Connector 336"/>
        <xdr:cNvCxnSpPr/>
      </xdr:nvCxnSpPr>
      <xdr:spPr bwMode="auto">
        <a:xfrm>
          <a:off x="647700" y="1817370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377</xdr:row>
      <xdr:rowOff>76200</xdr:rowOff>
    </xdr:from>
    <xdr:to>
      <xdr:col>2</xdr:col>
      <xdr:colOff>9525</xdr:colOff>
      <xdr:row>377</xdr:row>
      <xdr:rowOff>77788</xdr:rowOff>
    </xdr:to>
    <xdr:cxnSp macro="">
      <xdr:nvCxnSpPr>
        <xdr:cNvPr id="338" name="Straight Arrow Connector 337"/>
        <xdr:cNvCxnSpPr/>
      </xdr:nvCxnSpPr>
      <xdr:spPr bwMode="auto">
        <a:xfrm>
          <a:off x="419100" y="18811875"/>
          <a:ext cx="819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9528</xdr:colOff>
      <xdr:row>377</xdr:row>
      <xdr:rowOff>76199</xdr:rowOff>
    </xdr:from>
    <xdr:to>
      <xdr:col>4</xdr:col>
      <xdr:colOff>400051</xdr:colOff>
      <xdr:row>377</xdr:row>
      <xdr:rowOff>85724</xdr:rowOff>
    </xdr:to>
    <xdr:cxnSp macro="">
      <xdr:nvCxnSpPr>
        <xdr:cNvPr id="339" name="Straight Arrow Connector 338"/>
        <xdr:cNvCxnSpPr/>
      </xdr:nvCxnSpPr>
      <xdr:spPr bwMode="auto">
        <a:xfrm rot="10800000" flipV="1">
          <a:off x="2466978" y="18811874"/>
          <a:ext cx="390523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542925</xdr:colOff>
      <xdr:row>460</xdr:row>
      <xdr:rowOff>104775</xdr:rowOff>
    </xdr:from>
    <xdr:to>
      <xdr:col>7</xdr:col>
      <xdr:colOff>304800</xdr:colOff>
      <xdr:row>462</xdr:row>
      <xdr:rowOff>0</xdr:rowOff>
    </xdr:to>
    <xdr:sp macro="" textlink="">
      <xdr:nvSpPr>
        <xdr:cNvPr id="340" name="Arc 339"/>
        <xdr:cNvSpPr/>
      </xdr:nvSpPr>
      <xdr:spPr bwMode="auto">
        <a:xfrm>
          <a:off x="4248150" y="35318700"/>
          <a:ext cx="371475" cy="219075"/>
        </a:xfrm>
        <a:prstGeom prst="arc">
          <a:avLst>
            <a:gd name="adj1" fmla="val 9384173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561976</xdr:colOff>
      <xdr:row>460</xdr:row>
      <xdr:rowOff>85725</xdr:rowOff>
    </xdr:from>
    <xdr:to>
      <xdr:col>5</xdr:col>
      <xdr:colOff>152400</xdr:colOff>
      <xdr:row>462</xdr:row>
      <xdr:rowOff>0</xdr:rowOff>
    </xdr:to>
    <xdr:sp macro="" textlink="">
      <xdr:nvSpPr>
        <xdr:cNvPr id="341" name="Arc 340"/>
        <xdr:cNvSpPr/>
      </xdr:nvSpPr>
      <xdr:spPr bwMode="auto">
        <a:xfrm flipH="1">
          <a:off x="3019426" y="35299650"/>
          <a:ext cx="200024" cy="238125"/>
        </a:xfrm>
        <a:prstGeom prst="arc">
          <a:avLst>
            <a:gd name="adj1" fmla="val 16200000"/>
            <a:gd name="adj2" fmla="val 509192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9525</xdr:colOff>
      <xdr:row>467</xdr:row>
      <xdr:rowOff>0</xdr:rowOff>
    </xdr:from>
    <xdr:to>
      <xdr:col>7</xdr:col>
      <xdr:colOff>180975</xdr:colOff>
      <xdr:row>467</xdr:row>
      <xdr:rowOff>1588</xdr:rowOff>
    </xdr:to>
    <xdr:cxnSp macro="">
      <xdr:nvCxnSpPr>
        <xdr:cNvPr id="342" name="Straight Connector 341"/>
        <xdr:cNvCxnSpPr/>
      </xdr:nvCxnSpPr>
      <xdr:spPr bwMode="auto">
        <a:xfrm>
          <a:off x="1238250" y="36347400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468</xdr:row>
      <xdr:rowOff>152400</xdr:rowOff>
    </xdr:from>
    <xdr:to>
      <xdr:col>7</xdr:col>
      <xdr:colOff>171450</xdr:colOff>
      <xdr:row>468</xdr:row>
      <xdr:rowOff>153988</xdr:rowOff>
    </xdr:to>
    <xdr:cxnSp macro="">
      <xdr:nvCxnSpPr>
        <xdr:cNvPr id="343" name="Straight Connector 342"/>
        <xdr:cNvCxnSpPr/>
      </xdr:nvCxnSpPr>
      <xdr:spPr bwMode="auto">
        <a:xfrm>
          <a:off x="1228725" y="36661725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608807</xdr:colOff>
      <xdr:row>467</xdr:row>
      <xdr:rowOff>793</xdr:rowOff>
    </xdr:from>
    <xdr:to>
      <xdr:col>2</xdr:col>
      <xdr:colOff>795</xdr:colOff>
      <xdr:row>468</xdr:row>
      <xdr:rowOff>153193</xdr:rowOff>
    </xdr:to>
    <xdr:cxnSp macro="">
      <xdr:nvCxnSpPr>
        <xdr:cNvPr id="344" name="Straight Connector 343"/>
        <xdr:cNvCxnSpPr/>
      </xdr:nvCxnSpPr>
      <xdr:spPr bwMode="auto">
        <a:xfrm rot="5400000">
          <a:off x="1066801" y="36499799"/>
          <a:ext cx="314325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8731</xdr:colOff>
      <xdr:row>469</xdr:row>
      <xdr:rowOff>115097</xdr:rowOff>
    </xdr:from>
    <xdr:to>
      <xdr:col>2</xdr:col>
      <xdr:colOff>10319</xdr:colOff>
      <xdr:row>473</xdr:row>
      <xdr:rowOff>29371</xdr:rowOff>
    </xdr:to>
    <xdr:cxnSp macro="">
      <xdr:nvCxnSpPr>
        <xdr:cNvPr id="346" name="Straight Connector 345"/>
        <xdr:cNvCxnSpPr/>
      </xdr:nvCxnSpPr>
      <xdr:spPr bwMode="auto">
        <a:xfrm rot="5400000">
          <a:off x="957263" y="37066540"/>
          <a:ext cx="561974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219075</xdr:colOff>
      <xdr:row>464</xdr:row>
      <xdr:rowOff>142877</xdr:rowOff>
    </xdr:from>
    <xdr:to>
      <xdr:col>2</xdr:col>
      <xdr:colOff>220663</xdr:colOff>
      <xdr:row>466</xdr:row>
      <xdr:rowOff>133352</xdr:rowOff>
    </xdr:to>
    <xdr:cxnSp macro="">
      <xdr:nvCxnSpPr>
        <xdr:cNvPr id="347" name="Straight Connector 346"/>
        <xdr:cNvCxnSpPr/>
      </xdr:nvCxnSpPr>
      <xdr:spPr bwMode="auto">
        <a:xfrm rot="5400000">
          <a:off x="1291431" y="36160871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314325</xdr:colOff>
      <xdr:row>469</xdr:row>
      <xdr:rowOff>9528</xdr:rowOff>
    </xdr:from>
    <xdr:to>
      <xdr:col>4</xdr:col>
      <xdr:colOff>315913</xdr:colOff>
      <xdr:row>471</xdr:row>
      <xdr:rowOff>3</xdr:rowOff>
    </xdr:to>
    <xdr:cxnSp macro="">
      <xdr:nvCxnSpPr>
        <xdr:cNvPr id="350" name="Straight Connector 349"/>
        <xdr:cNvCxnSpPr/>
      </xdr:nvCxnSpPr>
      <xdr:spPr bwMode="auto">
        <a:xfrm rot="5400000">
          <a:off x="2615406" y="36837147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238125</xdr:colOff>
      <xdr:row>466</xdr:row>
      <xdr:rowOff>0</xdr:rowOff>
    </xdr:from>
    <xdr:to>
      <xdr:col>7</xdr:col>
      <xdr:colOff>171450</xdr:colOff>
      <xdr:row>466</xdr:row>
      <xdr:rowOff>9525</xdr:rowOff>
    </xdr:to>
    <xdr:cxnSp macro="">
      <xdr:nvCxnSpPr>
        <xdr:cNvPr id="351" name="Straight Arrow Connector 350"/>
        <xdr:cNvCxnSpPr/>
      </xdr:nvCxnSpPr>
      <xdr:spPr bwMode="auto">
        <a:xfrm flipV="1">
          <a:off x="1466850" y="36185475"/>
          <a:ext cx="3019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323850</xdr:colOff>
      <xdr:row>470</xdr:row>
      <xdr:rowOff>9525</xdr:rowOff>
    </xdr:from>
    <xdr:to>
      <xdr:col>7</xdr:col>
      <xdr:colOff>180975</xdr:colOff>
      <xdr:row>470</xdr:row>
      <xdr:rowOff>11113</xdr:rowOff>
    </xdr:to>
    <xdr:cxnSp macro="">
      <xdr:nvCxnSpPr>
        <xdr:cNvPr id="352" name="Straight Arrow Connector 351"/>
        <xdr:cNvCxnSpPr/>
      </xdr:nvCxnSpPr>
      <xdr:spPr bwMode="auto">
        <a:xfrm>
          <a:off x="2781300" y="36842700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400050</xdr:colOff>
      <xdr:row>472</xdr:row>
      <xdr:rowOff>85725</xdr:rowOff>
    </xdr:from>
    <xdr:to>
      <xdr:col>7</xdr:col>
      <xdr:colOff>180975</xdr:colOff>
      <xdr:row>472</xdr:row>
      <xdr:rowOff>96838</xdr:rowOff>
    </xdr:to>
    <xdr:cxnSp macro="">
      <xdr:nvCxnSpPr>
        <xdr:cNvPr id="353" name="Straight Arrow Connector 352"/>
        <xdr:cNvCxnSpPr/>
      </xdr:nvCxnSpPr>
      <xdr:spPr bwMode="auto">
        <a:xfrm>
          <a:off x="3467100" y="37242750"/>
          <a:ext cx="1028700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19051</xdr:colOff>
      <xdr:row>472</xdr:row>
      <xdr:rowOff>95250</xdr:rowOff>
    </xdr:from>
    <xdr:to>
      <xdr:col>4</xdr:col>
      <xdr:colOff>85726</xdr:colOff>
      <xdr:row>472</xdr:row>
      <xdr:rowOff>96838</xdr:rowOff>
    </xdr:to>
    <xdr:cxnSp macro="">
      <xdr:nvCxnSpPr>
        <xdr:cNvPr id="354" name="Straight Arrow Connector 353"/>
        <xdr:cNvCxnSpPr/>
      </xdr:nvCxnSpPr>
      <xdr:spPr bwMode="auto">
        <a:xfrm rot="10800000">
          <a:off x="1247776" y="37252275"/>
          <a:ext cx="1295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219075</xdr:colOff>
      <xdr:row>466</xdr:row>
      <xdr:rowOff>152400</xdr:rowOff>
    </xdr:from>
    <xdr:to>
      <xdr:col>7</xdr:col>
      <xdr:colOff>476250</xdr:colOff>
      <xdr:row>466</xdr:row>
      <xdr:rowOff>153988</xdr:rowOff>
    </xdr:to>
    <xdr:cxnSp macro="">
      <xdr:nvCxnSpPr>
        <xdr:cNvPr id="355" name="Straight Connector 354"/>
        <xdr:cNvCxnSpPr/>
      </xdr:nvCxnSpPr>
      <xdr:spPr bwMode="auto">
        <a:xfrm>
          <a:off x="4533900" y="3633787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228600</xdr:colOff>
      <xdr:row>469</xdr:row>
      <xdr:rowOff>0</xdr:rowOff>
    </xdr:from>
    <xdr:to>
      <xdr:col>7</xdr:col>
      <xdr:colOff>485775</xdr:colOff>
      <xdr:row>469</xdr:row>
      <xdr:rowOff>1588</xdr:rowOff>
    </xdr:to>
    <xdr:cxnSp macro="">
      <xdr:nvCxnSpPr>
        <xdr:cNvPr id="356" name="Straight Connector 355"/>
        <xdr:cNvCxnSpPr/>
      </xdr:nvCxnSpPr>
      <xdr:spPr bwMode="auto">
        <a:xfrm>
          <a:off x="4543425" y="3667125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467</xdr:row>
      <xdr:rowOff>19049</xdr:rowOff>
    </xdr:from>
    <xdr:to>
      <xdr:col>7</xdr:col>
      <xdr:colOff>295275</xdr:colOff>
      <xdr:row>469</xdr:row>
      <xdr:rowOff>9524</xdr:rowOff>
    </xdr:to>
    <xdr:cxnSp macro="">
      <xdr:nvCxnSpPr>
        <xdr:cNvPr id="357" name="Straight Arrow Connector 356"/>
        <xdr:cNvCxnSpPr/>
      </xdr:nvCxnSpPr>
      <xdr:spPr bwMode="auto">
        <a:xfrm rot="16200000" flipH="1">
          <a:off x="4448175" y="36518849"/>
          <a:ext cx="314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342900</xdr:colOff>
      <xdr:row>466</xdr:row>
      <xdr:rowOff>133350</xdr:rowOff>
    </xdr:from>
    <xdr:to>
      <xdr:col>2</xdr:col>
      <xdr:colOff>104775</xdr:colOff>
      <xdr:row>469</xdr:row>
      <xdr:rowOff>28575</xdr:rowOff>
    </xdr:to>
    <xdr:sp macro="" textlink="">
      <xdr:nvSpPr>
        <xdr:cNvPr id="358" name="Arc 357"/>
        <xdr:cNvSpPr/>
      </xdr:nvSpPr>
      <xdr:spPr bwMode="auto">
        <a:xfrm>
          <a:off x="952500" y="36318825"/>
          <a:ext cx="381000" cy="381000"/>
        </a:xfrm>
        <a:prstGeom prst="arc">
          <a:avLst>
            <a:gd name="adj1" fmla="val 6868560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504825</xdr:colOff>
      <xdr:row>466</xdr:row>
      <xdr:rowOff>85725</xdr:rowOff>
    </xdr:from>
    <xdr:to>
      <xdr:col>8</xdr:col>
      <xdr:colOff>219075</xdr:colOff>
      <xdr:row>468</xdr:row>
      <xdr:rowOff>152400</xdr:rowOff>
    </xdr:to>
    <xdr:sp macro="" textlink="">
      <xdr:nvSpPr>
        <xdr:cNvPr id="359" name="Arc 358"/>
        <xdr:cNvSpPr/>
      </xdr:nvSpPr>
      <xdr:spPr bwMode="auto">
        <a:xfrm flipH="1">
          <a:off x="4819650" y="36271200"/>
          <a:ext cx="323850" cy="390525"/>
        </a:xfrm>
        <a:prstGeom prst="arc">
          <a:avLst>
            <a:gd name="adj1" fmla="val 4531782"/>
            <a:gd name="adj2" fmla="val 17612854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190509</xdr:colOff>
      <xdr:row>370</xdr:row>
      <xdr:rowOff>85724</xdr:rowOff>
    </xdr:from>
    <xdr:to>
      <xdr:col>4</xdr:col>
      <xdr:colOff>219076</xdr:colOff>
      <xdr:row>370</xdr:row>
      <xdr:rowOff>104773</xdr:rowOff>
    </xdr:to>
    <xdr:cxnSp macro="">
      <xdr:nvCxnSpPr>
        <xdr:cNvPr id="360" name="Straight Arrow Connector 359"/>
        <xdr:cNvCxnSpPr/>
      </xdr:nvCxnSpPr>
      <xdr:spPr bwMode="auto">
        <a:xfrm rot="10800000" flipV="1">
          <a:off x="2028834" y="17687924"/>
          <a:ext cx="647692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180974</xdr:colOff>
      <xdr:row>370</xdr:row>
      <xdr:rowOff>95250</xdr:rowOff>
    </xdr:from>
    <xdr:to>
      <xdr:col>3</xdr:col>
      <xdr:colOff>190499</xdr:colOff>
      <xdr:row>372</xdr:row>
      <xdr:rowOff>0</xdr:rowOff>
    </xdr:to>
    <xdr:cxnSp macro="">
      <xdr:nvCxnSpPr>
        <xdr:cNvPr id="361" name="Straight Arrow Connector 360"/>
        <xdr:cNvCxnSpPr/>
      </xdr:nvCxnSpPr>
      <xdr:spPr bwMode="auto">
        <a:xfrm rot="16200000" flipH="1">
          <a:off x="1909762" y="17806987"/>
          <a:ext cx="228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sm" len="sm"/>
          <a:tailEnd type="triangle" w="sm" len="sm"/>
        </a:ln>
        <a:effectLst/>
      </xdr:spPr>
    </xdr:cxnSp>
    <xdr:clientData/>
  </xdr:twoCellAnchor>
  <xdr:twoCellAnchor>
    <xdr:from>
      <xdr:col>4</xdr:col>
      <xdr:colOff>342108</xdr:colOff>
      <xdr:row>463</xdr:row>
      <xdr:rowOff>9528</xdr:rowOff>
    </xdr:from>
    <xdr:to>
      <xdr:col>4</xdr:col>
      <xdr:colOff>342901</xdr:colOff>
      <xdr:row>465</xdr:row>
      <xdr:rowOff>115093</xdr:rowOff>
    </xdr:to>
    <xdr:cxnSp macro="">
      <xdr:nvCxnSpPr>
        <xdr:cNvPr id="362" name="Straight Arrow Connector 361"/>
        <xdr:cNvCxnSpPr/>
      </xdr:nvCxnSpPr>
      <xdr:spPr bwMode="auto">
        <a:xfrm rot="5400000">
          <a:off x="2585247" y="35923539"/>
          <a:ext cx="429415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323850</xdr:colOff>
      <xdr:row>463</xdr:row>
      <xdr:rowOff>152400</xdr:rowOff>
    </xdr:from>
    <xdr:to>
      <xdr:col>7</xdr:col>
      <xdr:colOff>180975</xdr:colOff>
      <xdr:row>463</xdr:row>
      <xdr:rowOff>153988</xdr:rowOff>
    </xdr:to>
    <xdr:cxnSp macro="">
      <xdr:nvCxnSpPr>
        <xdr:cNvPr id="363" name="Straight Arrow Connector 362"/>
        <xdr:cNvCxnSpPr/>
      </xdr:nvCxnSpPr>
      <xdr:spPr bwMode="auto">
        <a:xfrm>
          <a:off x="2781300" y="35852100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190500</xdr:colOff>
      <xdr:row>464</xdr:row>
      <xdr:rowOff>85728</xdr:rowOff>
    </xdr:from>
    <xdr:to>
      <xdr:col>8</xdr:col>
      <xdr:colOff>19052</xdr:colOff>
      <xdr:row>465</xdr:row>
      <xdr:rowOff>9525</xdr:rowOff>
    </xdr:to>
    <xdr:cxnSp macro="">
      <xdr:nvCxnSpPr>
        <xdr:cNvPr id="364" name="Straight Arrow Connector 363"/>
        <xdr:cNvCxnSpPr/>
      </xdr:nvCxnSpPr>
      <xdr:spPr bwMode="auto">
        <a:xfrm rot="10800000" flipV="1">
          <a:off x="4505325" y="35947353"/>
          <a:ext cx="438152" cy="857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323056</xdr:colOff>
      <xdr:row>376</xdr:row>
      <xdr:rowOff>48419</xdr:rowOff>
    </xdr:from>
    <xdr:to>
      <xdr:col>6</xdr:col>
      <xdr:colOff>324644</xdr:colOff>
      <xdr:row>378</xdr:row>
      <xdr:rowOff>48419</xdr:rowOff>
    </xdr:to>
    <xdr:cxnSp macro="">
      <xdr:nvCxnSpPr>
        <xdr:cNvPr id="365" name="Straight Arrow Connector 364"/>
        <xdr:cNvCxnSpPr/>
      </xdr:nvCxnSpPr>
      <xdr:spPr bwMode="auto">
        <a:xfrm rot="5400000">
          <a:off x="3867150" y="18783300"/>
          <a:ext cx="32385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9525</xdr:colOff>
      <xdr:row>470</xdr:row>
      <xdr:rowOff>95250</xdr:rowOff>
    </xdr:from>
    <xdr:to>
      <xdr:col>2</xdr:col>
      <xdr:colOff>276225</xdr:colOff>
      <xdr:row>470</xdr:row>
      <xdr:rowOff>96838</xdr:rowOff>
    </xdr:to>
    <xdr:cxnSp macro="">
      <xdr:nvCxnSpPr>
        <xdr:cNvPr id="366" name="Straight Arrow Connector 365"/>
        <xdr:cNvCxnSpPr/>
      </xdr:nvCxnSpPr>
      <xdr:spPr bwMode="auto">
        <a:xfrm>
          <a:off x="1238250" y="36928425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0</xdr:colOff>
      <xdr:row>876</xdr:row>
      <xdr:rowOff>1</xdr:rowOff>
    </xdr:from>
    <xdr:to>
      <xdr:col>7</xdr:col>
      <xdr:colOff>0</xdr:colOff>
      <xdr:row>876</xdr:row>
      <xdr:rowOff>19050</xdr:rowOff>
    </xdr:to>
    <xdr:cxnSp macro="">
      <xdr:nvCxnSpPr>
        <xdr:cNvPr id="367" name="Straight Connector 366"/>
        <xdr:cNvCxnSpPr/>
      </xdr:nvCxnSpPr>
      <xdr:spPr bwMode="auto">
        <a:xfrm flipV="1">
          <a:off x="2457450" y="56226076"/>
          <a:ext cx="1857375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9527</xdr:colOff>
      <xdr:row>862</xdr:row>
      <xdr:rowOff>9525</xdr:rowOff>
    </xdr:from>
    <xdr:to>
      <xdr:col>7</xdr:col>
      <xdr:colOff>219075</xdr:colOff>
      <xdr:row>862</xdr:row>
      <xdr:rowOff>9529</xdr:rowOff>
    </xdr:to>
    <xdr:cxnSp macro="">
      <xdr:nvCxnSpPr>
        <xdr:cNvPr id="368" name="Straight Connector 367"/>
        <xdr:cNvCxnSpPr/>
      </xdr:nvCxnSpPr>
      <xdr:spPr bwMode="auto">
        <a:xfrm rot="10800000" flipV="1">
          <a:off x="4324352" y="53968650"/>
          <a:ext cx="209548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133350</xdr:colOff>
      <xdr:row>878</xdr:row>
      <xdr:rowOff>0</xdr:rowOff>
    </xdr:from>
    <xdr:to>
      <xdr:col>7</xdr:col>
      <xdr:colOff>504825</xdr:colOff>
      <xdr:row>878</xdr:row>
      <xdr:rowOff>1588</xdr:rowOff>
    </xdr:to>
    <xdr:cxnSp macro="">
      <xdr:nvCxnSpPr>
        <xdr:cNvPr id="369" name="Straight Connector 368"/>
        <xdr:cNvCxnSpPr/>
      </xdr:nvCxnSpPr>
      <xdr:spPr bwMode="auto">
        <a:xfrm>
          <a:off x="1971675" y="56549925"/>
          <a:ext cx="2847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505621</xdr:colOff>
      <xdr:row>875</xdr:row>
      <xdr:rowOff>134145</xdr:rowOff>
    </xdr:from>
    <xdr:to>
      <xdr:col>7</xdr:col>
      <xdr:colOff>514353</xdr:colOff>
      <xdr:row>878</xdr:row>
      <xdr:rowOff>0</xdr:rowOff>
    </xdr:to>
    <xdr:cxnSp macro="">
      <xdr:nvCxnSpPr>
        <xdr:cNvPr id="370" name="Straight Connector 369"/>
        <xdr:cNvCxnSpPr/>
      </xdr:nvCxnSpPr>
      <xdr:spPr bwMode="auto">
        <a:xfrm rot="16200000" flipV="1">
          <a:off x="4648997" y="56369744"/>
          <a:ext cx="351630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</xdr:colOff>
      <xdr:row>862</xdr:row>
      <xdr:rowOff>19050</xdr:rowOff>
    </xdr:from>
    <xdr:to>
      <xdr:col>7</xdr:col>
      <xdr:colOff>8734</xdr:colOff>
      <xdr:row>876</xdr:row>
      <xdr:rowOff>796</xdr:rowOff>
    </xdr:to>
    <xdr:cxnSp macro="">
      <xdr:nvCxnSpPr>
        <xdr:cNvPr id="373" name="Straight Connector 372"/>
        <xdr:cNvCxnSpPr/>
      </xdr:nvCxnSpPr>
      <xdr:spPr bwMode="auto">
        <a:xfrm rot="16200000" flipV="1">
          <a:off x="3194846" y="55098157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132562</xdr:colOff>
      <xdr:row>876</xdr:row>
      <xdr:rowOff>1</xdr:rowOff>
    </xdr:from>
    <xdr:to>
      <xdr:col>3</xdr:col>
      <xdr:colOff>133353</xdr:colOff>
      <xdr:row>878</xdr:row>
      <xdr:rowOff>796</xdr:rowOff>
    </xdr:to>
    <xdr:cxnSp macro="">
      <xdr:nvCxnSpPr>
        <xdr:cNvPr id="374" name="Straight Connector 373"/>
        <xdr:cNvCxnSpPr/>
      </xdr:nvCxnSpPr>
      <xdr:spPr bwMode="auto">
        <a:xfrm rot="5400000" flipH="1" flipV="1">
          <a:off x="1808960" y="56388003"/>
          <a:ext cx="324645" cy="79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8736</xdr:colOff>
      <xdr:row>862</xdr:row>
      <xdr:rowOff>1</xdr:rowOff>
    </xdr:from>
    <xdr:to>
      <xdr:col>4</xdr:col>
      <xdr:colOff>9525</xdr:colOff>
      <xdr:row>876</xdr:row>
      <xdr:rowOff>798</xdr:rowOff>
    </xdr:to>
    <xdr:cxnSp macro="">
      <xdr:nvCxnSpPr>
        <xdr:cNvPr id="375" name="Straight Connector 374"/>
        <xdr:cNvCxnSpPr/>
      </xdr:nvCxnSpPr>
      <xdr:spPr bwMode="auto">
        <a:xfrm rot="5400000" flipH="1" flipV="1">
          <a:off x="1332707" y="55092605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861</xdr:row>
      <xdr:rowOff>152400</xdr:rowOff>
    </xdr:from>
    <xdr:to>
      <xdr:col>4</xdr:col>
      <xdr:colOff>0</xdr:colOff>
      <xdr:row>862</xdr:row>
      <xdr:rowOff>0</xdr:rowOff>
    </xdr:to>
    <xdr:cxnSp macro="">
      <xdr:nvCxnSpPr>
        <xdr:cNvPr id="376" name="Straight Connector 375"/>
        <xdr:cNvCxnSpPr/>
      </xdr:nvCxnSpPr>
      <xdr:spPr bwMode="auto">
        <a:xfrm rot="10800000">
          <a:off x="2209800" y="53949600"/>
          <a:ext cx="2476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219075</xdr:colOff>
      <xdr:row>862</xdr:row>
      <xdr:rowOff>19049</xdr:rowOff>
    </xdr:from>
    <xdr:to>
      <xdr:col>7</xdr:col>
      <xdr:colOff>514350</xdr:colOff>
      <xdr:row>876</xdr:row>
      <xdr:rowOff>9524</xdr:rowOff>
    </xdr:to>
    <xdr:cxnSp macro="">
      <xdr:nvCxnSpPr>
        <xdr:cNvPr id="377" name="Straight Connector 376"/>
        <xdr:cNvCxnSpPr/>
      </xdr:nvCxnSpPr>
      <xdr:spPr bwMode="auto">
        <a:xfrm rot="16200000" flipH="1">
          <a:off x="3552825" y="54959249"/>
          <a:ext cx="225742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133351</xdr:colOff>
      <xdr:row>861</xdr:row>
      <xdr:rowOff>152399</xdr:rowOff>
    </xdr:from>
    <xdr:to>
      <xdr:col>3</xdr:col>
      <xdr:colOff>361954</xdr:colOff>
      <xdr:row>876</xdr:row>
      <xdr:rowOff>3</xdr:rowOff>
    </xdr:to>
    <xdr:cxnSp macro="">
      <xdr:nvCxnSpPr>
        <xdr:cNvPr id="378" name="Straight Connector 377"/>
        <xdr:cNvCxnSpPr/>
      </xdr:nvCxnSpPr>
      <xdr:spPr bwMode="auto">
        <a:xfrm rot="5400000">
          <a:off x="947738" y="54973537"/>
          <a:ext cx="2276479" cy="22860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514350</xdr:colOff>
      <xdr:row>862</xdr:row>
      <xdr:rowOff>9525</xdr:rowOff>
    </xdr:from>
    <xdr:to>
      <xdr:col>8</xdr:col>
      <xdr:colOff>247650</xdr:colOff>
      <xdr:row>862</xdr:row>
      <xdr:rowOff>11113</xdr:rowOff>
    </xdr:to>
    <xdr:cxnSp macro="">
      <xdr:nvCxnSpPr>
        <xdr:cNvPr id="379" name="Straight Connector 378"/>
        <xdr:cNvCxnSpPr/>
      </xdr:nvCxnSpPr>
      <xdr:spPr bwMode="auto">
        <a:xfrm>
          <a:off x="4829175" y="12853035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590550</xdr:colOff>
      <xdr:row>876</xdr:row>
      <xdr:rowOff>9525</xdr:rowOff>
    </xdr:from>
    <xdr:to>
      <xdr:col>8</xdr:col>
      <xdr:colOff>314325</xdr:colOff>
      <xdr:row>876</xdr:row>
      <xdr:rowOff>19050</xdr:rowOff>
    </xdr:to>
    <xdr:cxnSp macro="">
      <xdr:nvCxnSpPr>
        <xdr:cNvPr id="380" name="Straight Connector 379"/>
        <xdr:cNvCxnSpPr/>
      </xdr:nvCxnSpPr>
      <xdr:spPr bwMode="auto">
        <a:xfrm>
          <a:off x="4905375" y="130797300"/>
          <a:ext cx="3333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878</xdr:row>
      <xdr:rowOff>19050</xdr:rowOff>
    </xdr:from>
    <xdr:to>
      <xdr:col>8</xdr:col>
      <xdr:colOff>285750</xdr:colOff>
      <xdr:row>878</xdr:row>
      <xdr:rowOff>20638</xdr:rowOff>
    </xdr:to>
    <xdr:cxnSp macro="">
      <xdr:nvCxnSpPr>
        <xdr:cNvPr id="381" name="Straight Connector 380"/>
        <xdr:cNvCxnSpPr/>
      </xdr:nvCxnSpPr>
      <xdr:spPr bwMode="auto">
        <a:xfrm>
          <a:off x="4914900" y="131130675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75407</xdr:colOff>
      <xdr:row>862</xdr:row>
      <xdr:rowOff>10318</xdr:rowOff>
    </xdr:from>
    <xdr:to>
      <xdr:col>8</xdr:col>
      <xdr:colOff>76995</xdr:colOff>
      <xdr:row>876</xdr:row>
      <xdr:rowOff>793</xdr:rowOff>
    </xdr:to>
    <xdr:cxnSp macro="">
      <xdr:nvCxnSpPr>
        <xdr:cNvPr id="382" name="Straight Arrow Connector 381"/>
        <xdr:cNvCxnSpPr/>
      </xdr:nvCxnSpPr>
      <xdr:spPr bwMode="auto">
        <a:xfrm rot="5400000">
          <a:off x="3871913" y="55097362"/>
          <a:ext cx="2257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75406</xdr:colOff>
      <xdr:row>876</xdr:row>
      <xdr:rowOff>19844</xdr:rowOff>
    </xdr:from>
    <xdr:to>
      <xdr:col>8</xdr:col>
      <xdr:colOff>76994</xdr:colOff>
      <xdr:row>878</xdr:row>
      <xdr:rowOff>19844</xdr:rowOff>
    </xdr:to>
    <xdr:cxnSp macro="">
      <xdr:nvCxnSpPr>
        <xdr:cNvPr id="383" name="Straight Arrow Connector 382"/>
        <xdr:cNvCxnSpPr/>
      </xdr:nvCxnSpPr>
      <xdr:spPr bwMode="auto">
        <a:xfrm rot="5400000">
          <a:off x="4838700" y="130968750"/>
          <a:ext cx="3238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142081</xdr:colOff>
      <xdr:row>878</xdr:row>
      <xdr:rowOff>47625</xdr:rowOff>
    </xdr:from>
    <xdr:to>
      <xdr:col>3</xdr:col>
      <xdr:colOff>142875</xdr:colOff>
      <xdr:row>881</xdr:row>
      <xdr:rowOff>153194</xdr:rowOff>
    </xdr:to>
    <xdr:cxnSp macro="">
      <xdr:nvCxnSpPr>
        <xdr:cNvPr id="384" name="Straight Connector 383"/>
        <xdr:cNvCxnSpPr/>
      </xdr:nvCxnSpPr>
      <xdr:spPr bwMode="auto">
        <a:xfrm rot="5400000">
          <a:off x="1685131" y="56892825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513556</xdr:colOff>
      <xdr:row>878</xdr:row>
      <xdr:rowOff>66675</xdr:rowOff>
    </xdr:from>
    <xdr:to>
      <xdr:col>7</xdr:col>
      <xdr:colOff>514350</xdr:colOff>
      <xdr:row>882</xdr:row>
      <xdr:rowOff>10319</xdr:rowOff>
    </xdr:to>
    <xdr:cxnSp macro="">
      <xdr:nvCxnSpPr>
        <xdr:cNvPr id="385" name="Straight Connector 384"/>
        <xdr:cNvCxnSpPr/>
      </xdr:nvCxnSpPr>
      <xdr:spPr bwMode="auto">
        <a:xfrm rot="5400000">
          <a:off x="4533106" y="56911875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878</xdr:row>
      <xdr:rowOff>38100</xdr:rowOff>
    </xdr:from>
    <xdr:to>
      <xdr:col>3</xdr:col>
      <xdr:colOff>600869</xdr:colOff>
      <xdr:row>880</xdr:row>
      <xdr:rowOff>19050</xdr:rowOff>
    </xdr:to>
    <xdr:cxnSp macro="">
      <xdr:nvCxnSpPr>
        <xdr:cNvPr id="386" name="Straight Connector 385"/>
        <xdr:cNvCxnSpPr/>
      </xdr:nvCxnSpPr>
      <xdr:spPr bwMode="auto">
        <a:xfrm rot="5400000">
          <a:off x="2286397" y="56740028"/>
          <a:ext cx="30480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878</xdr:row>
      <xdr:rowOff>9527</xdr:rowOff>
    </xdr:from>
    <xdr:to>
      <xdr:col>7</xdr:col>
      <xdr:colOff>10319</xdr:colOff>
      <xdr:row>880</xdr:row>
      <xdr:rowOff>9527</xdr:rowOff>
    </xdr:to>
    <xdr:cxnSp macro="">
      <xdr:nvCxnSpPr>
        <xdr:cNvPr id="387" name="Straight Connector 386"/>
        <xdr:cNvCxnSpPr/>
      </xdr:nvCxnSpPr>
      <xdr:spPr bwMode="auto">
        <a:xfrm rot="5400000">
          <a:off x="4162822" y="56720980"/>
          <a:ext cx="32385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542925</xdr:colOff>
      <xdr:row>875</xdr:row>
      <xdr:rowOff>152400</xdr:rowOff>
    </xdr:from>
    <xdr:to>
      <xdr:col>3</xdr:col>
      <xdr:colOff>114300</xdr:colOff>
      <xdr:row>876</xdr:row>
      <xdr:rowOff>0</xdr:rowOff>
    </xdr:to>
    <xdr:cxnSp macro="">
      <xdr:nvCxnSpPr>
        <xdr:cNvPr id="388" name="Straight Connector 387"/>
        <xdr:cNvCxnSpPr/>
      </xdr:nvCxnSpPr>
      <xdr:spPr bwMode="auto">
        <a:xfrm flipV="1">
          <a:off x="1771650" y="130778250"/>
          <a:ext cx="1809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381000</xdr:colOff>
      <xdr:row>861</xdr:row>
      <xdr:rowOff>152400</xdr:rowOff>
    </xdr:from>
    <xdr:to>
      <xdr:col>3</xdr:col>
      <xdr:colOff>266700</xdr:colOff>
      <xdr:row>862</xdr:row>
      <xdr:rowOff>0</xdr:rowOff>
    </xdr:to>
    <xdr:cxnSp macro="">
      <xdr:nvCxnSpPr>
        <xdr:cNvPr id="389" name="Straight Connector 388"/>
        <xdr:cNvCxnSpPr/>
      </xdr:nvCxnSpPr>
      <xdr:spPr bwMode="auto">
        <a:xfrm flipV="1">
          <a:off x="1609725" y="128511300"/>
          <a:ext cx="4953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142875</xdr:colOff>
      <xdr:row>879</xdr:row>
      <xdr:rowOff>9525</xdr:rowOff>
    </xdr:from>
    <xdr:to>
      <xdr:col>3</xdr:col>
      <xdr:colOff>600075</xdr:colOff>
      <xdr:row>879</xdr:row>
      <xdr:rowOff>11113</xdr:rowOff>
    </xdr:to>
    <xdr:cxnSp macro="">
      <xdr:nvCxnSpPr>
        <xdr:cNvPr id="390" name="Straight Arrow Connector 389"/>
        <xdr:cNvCxnSpPr/>
      </xdr:nvCxnSpPr>
      <xdr:spPr bwMode="auto">
        <a:xfrm>
          <a:off x="1981200" y="56721375"/>
          <a:ext cx="457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19050</xdr:colOff>
      <xdr:row>879</xdr:row>
      <xdr:rowOff>0</xdr:rowOff>
    </xdr:from>
    <xdr:to>
      <xdr:col>7</xdr:col>
      <xdr:colOff>504825</xdr:colOff>
      <xdr:row>879</xdr:row>
      <xdr:rowOff>1588</xdr:rowOff>
    </xdr:to>
    <xdr:cxnSp macro="">
      <xdr:nvCxnSpPr>
        <xdr:cNvPr id="391" name="Straight Arrow Connector 390"/>
        <xdr:cNvCxnSpPr/>
      </xdr:nvCxnSpPr>
      <xdr:spPr bwMode="auto">
        <a:xfrm>
          <a:off x="4333875" y="5671185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600075</xdr:colOff>
      <xdr:row>879</xdr:row>
      <xdr:rowOff>9525</xdr:rowOff>
    </xdr:from>
    <xdr:to>
      <xdr:col>7</xdr:col>
      <xdr:colOff>0</xdr:colOff>
      <xdr:row>879</xdr:row>
      <xdr:rowOff>9526</xdr:rowOff>
    </xdr:to>
    <xdr:cxnSp macro="">
      <xdr:nvCxnSpPr>
        <xdr:cNvPr id="392" name="Straight Arrow Connector 391"/>
        <xdr:cNvCxnSpPr/>
      </xdr:nvCxnSpPr>
      <xdr:spPr bwMode="auto">
        <a:xfrm>
          <a:off x="2438400" y="56721375"/>
          <a:ext cx="18764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123825</xdr:colOff>
      <xdr:row>880</xdr:row>
      <xdr:rowOff>152400</xdr:rowOff>
    </xdr:from>
    <xdr:to>
      <xdr:col>7</xdr:col>
      <xdr:colOff>514350</xdr:colOff>
      <xdr:row>881</xdr:row>
      <xdr:rowOff>9525</xdr:rowOff>
    </xdr:to>
    <xdr:cxnSp macro="">
      <xdr:nvCxnSpPr>
        <xdr:cNvPr id="393" name="Straight Arrow Connector 392"/>
        <xdr:cNvCxnSpPr/>
      </xdr:nvCxnSpPr>
      <xdr:spPr bwMode="auto">
        <a:xfrm flipV="1">
          <a:off x="1962150" y="57026175"/>
          <a:ext cx="286702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124619</xdr:colOff>
      <xdr:row>867</xdr:row>
      <xdr:rowOff>152400</xdr:rowOff>
    </xdr:from>
    <xdr:to>
      <xdr:col>3</xdr:col>
      <xdr:colOff>123825</xdr:colOff>
      <xdr:row>868</xdr:row>
      <xdr:rowOff>0</xdr:rowOff>
    </xdr:to>
    <xdr:cxnSp macro="">
      <xdr:nvCxnSpPr>
        <xdr:cNvPr id="394" name="Straight Connector 393"/>
        <xdr:cNvCxnSpPr/>
      </xdr:nvCxnSpPr>
      <xdr:spPr bwMode="auto">
        <a:xfrm>
          <a:off x="1353344" y="54921150"/>
          <a:ext cx="60880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419100</xdr:colOff>
      <xdr:row>869</xdr:row>
      <xdr:rowOff>152400</xdr:rowOff>
    </xdr:from>
    <xdr:to>
      <xdr:col>6</xdr:col>
      <xdr:colOff>161925</xdr:colOff>
      <xdr:row>870</xdr:row>
      <xdr:rowOff>9525</xdr:rowOff>
    </xdr:to>
    <xdr:cxnSp macro="">
      <xdr:nvCxnSpPr>
        <xdr:cNvPr id="395" name="Straight Connector 394"/>
        <xdr:cNvCxnSpPr/>
      </xdr:nvCxnSpPr>
      <xdr:spPr bwMode="auto">
        <a:xfrm>
          <a:off x="2876550" y="55245000"/>
          <a:ext cx="9906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161925</xdr:colOff>
      <xdr:row>867</xdr:row>
      <xdr:rowOff>47625</xdr:rowOff>
    </xdr:from>
    <xdr:to>
      <xdr:col>2</xdr:col>
      <xdr:colOff>238125</xdr:colOff>
      <xdr:row>867</xdr:row>
      <xdr:rowOff>133350</xdr:rowOff>
    </xdr:to>
    <xdr:sp macro="" textlink="">
      <xdr:nvSpPr>
        <xdr:cNvPr id="396" name="Flowchart: Merge 395"/>
        <xdr:cNvSpPr/>
      </xdr:nvSpPr>
      <xdr:spPr bwMode="auto">
        <a:xfrm>
          <a:off x="1390650" y="54816375"/>
          <a:ext cx="76200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180975</xdr:colOff>
      <xdr:row>869</xdr:row>
      <xdr:rowOff>66675</xdr:rowOff>
    </xdr:from>
    <xdr:to>
      <xdr:col>5</xdr:col>
      <xdr:colOff>304800</xdr:colOff>
      <xdr:row>870</xdr:row>
      <xdr:rowOff>9525</xdr:rowOff>
    </xdr:to>
    <xdr:sp macro="" textlink="">
      <xdr:nvSpPr>
        <xdr:cNvPr id="397" name="Flowchart: Merge 396"/>
        <xdr:cNvSpPr/>
      </xdr:nvSpPr>
      <xdr:spPr bwMode="auto">
        <a:xfrm>
          <a:off x="3248025" y="55159275"/>
          <a:ext cx="123825" cy="10477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47626</xdr:colOff>
      <xdr:row>861</xdr:row>
      <xdr:rowOff>152399</xdr:rowOff>
    </xdr:from>
    <xdr:to>
      <xdr:col>3</xdr:col>
      <xdr:colOff>66676</xdr:colOff>
      <xdr:row>867</xdr:row>
      <xdr:rowOff>161924</xdr:rowOff>
    </xdr:to>
    <xdr:cxnSp macro="">
      <xdr:nvCxnSpPr>
        <xdr:cNvPr id="398" name="Straight Arrow Connector 397"/>
        <xdr:cNvCxnSpPr/>
      </xdr:nvCxnSpPr>
      <xdr:spPr bwMode="auto">
        <a:xfrm rot="5400000">
          <a:off x="1404938" y="54430612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28576</xdr:colOff>
      <xdr:row>868</xdr:row>
      <xdr:rowOff>9525</xdr:rowOff>
    </xdr:from>
    <xdr:to>
      <xdr:col>3</xdr:col>
      <xdr:colOff>38101</xdr:colOff>
      <xdr:row>876</xdr:row>
      <xdr:rowOff>0</xdr:rowOff>
    </xdr:to>
    <xdr:cxnSp macro="">
      <xdr:nvCxnSpPr>
        <xdr:cNvPr id="399" name="Straight Arrow Connector 398"/>
        <xdr:cNvCxnSpPr/>
      </xdr:nvCxnSpPr>
      <xdr:spPr bwMode="auto">
        <a:xfrm rot="5400000">
          <a:off x="1228726" y="55578375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285751</xdr:colOff>
      <xdr:row>870</xdr:row>
      <xdr:rowOff>2</xdr:rowOff>
    </xdr:from>
    <xdr:to>
      <xdr:col>5</xdr:col>
      <xdr:colOff>304801</xdr:colOff>
      <xdr:row>876</xdr:row>
      <xdr:rowOff>9527</xdr:rowOff>
    </xdr:to>
    <xdr:cxnSp macro="">
      <xdr:nvCxnSpPr>
        <xdr:cNvPr id="400" name="Straight Arrow Connector 399"/>
        <xdr:cNvCxnSpPr/>
      </xdr:nvCxnSpPr>
      <xdr:spPr bwMode="auto">
        <a:xfrm rot="5400000">
          <a:off x="2871788" y="55735540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85725</xdr:colOff>
      <xdr:row>864</xdr:row>
      <xdr:rowOff>0</xdr:rowOff>
    </xdr:from>
    <xdr:ext cx="235962" cy="170560"/>
    <xdr:sp macro="" textlink="">
      <xdr:nvSpPr>
        <xdr:cNvPr id="401" name="Text Box 133"/>
        <xdr:cNvSpPr txBox="1">
          <a:spLocks noChangeArrowheads="1"/>
        </xdr:cNvSpPr>
      </xdr:nvSpPr>
      <xdr:spPr bwMode="auto">
        <a:xfrm>
          <a:off x="1314450" y="5428297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2</xdr:col>
      <xdr:colOff>47625</xdr:colOff>
      <xdr:row>871</xdr:row>
      <xdr:rowOff>0</xdr:rowOff>
    </xdr:from>
    <xdr:ext cx="235962" cy="170560"/>
    <xdr:sp macro="" textlink="">
      <xdr:nvSpPr>
        <xdr:cNvPr id="402" name="Text Box 133"/>
        <xdr:cNvSpPr txBox="1">
          <a:spLocks noChangeArrowheads="1"/>
        </xdr:cNvSpPr>
      </xdr:nvSpPr>
      <xdr:spPr bwMode="auto">
        <a:xfrm>
          <a:off x="1276350" y="5541645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h2=</a:t>
          </a:r>
        </a:p>
      </xdr:txBody>
    </xdr:sp>
    <xdr:clientData/>
  </xdr:oneCellAnchor>
  <xdr:twoCellAnchor>
    <xdr:from>
      <xdr:col>1</xdr:col>
      <xdr:colOff>600075</xdr:colOff>
      <xdr:row>862</xdr:row>
      <xdr:rowOff>0</xdr:rowOff>
    </xdr:from>
    <xdr:to>
      <xdr:col>1</xdr:col>
      <xdr:colOff>600864</xdr:colOff>
      <xdr:row>876</xdr:row>
      <xdr:rowOff>797</xdr:rowOff>
    </xdr:to>
    <xdr:cxnSp macro="">
      <xdr:nvCxnSpPr>
        <xdr:cNvPr id="403" name="Straight Connector 402"/>
        <xdr:cNvCxnSpPr/>
      </xdr:nvCxnSpPr>
      <xdr:spPr bwMode="auto">
        <a:xfrm rot="5400000" flipH="1" flipV="1">
          <a:off x="76196" y="55092604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304801</xdr:colOff>
      <xdr:row>868</xdr:row>
      <xdr:rowOff>9525</xdr:rowOff>
    </xdr:from>
    <xdr:to>
      <xdr:col>1</xdr:col>
      <xdr:colOff>314326</xdr:colOff>
      <xdr:row>876</xdr:row>
      <xdr:rowOff>0</xdr:rowOff>
    </xdr:to>
    <xdr:cxnSp macro="">
      <xdr:nvCxnSpPr>
        <xdr:cNvPr id="404" name="Straight Arrow Connector 403"/>
        <xdr:cNvCxnSpPr/>
      </xdr:nvCxnSpPr>
      <xdr:spPr bwMode="auto">
        <a:xfrm rot="5400000">
          <a:off x="276226" y="55578375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862</xdr:row>
      <xdr:rowOff>9525</xdr:rowOff>
    </xdr:from>
    <xdr:to>
      <xdr:col>2</xdr:col>
      <xdr:colOff>1</xdr:colOff>
      <xdr:row>868</xdr:row>
      <xdr:rowOff>0</xdr:rowOff>
    </xdr:to>
    <xdr:cxnSp macro="">
      <xdr:nvCxnSpPr>
        <xdr:cNvPr id="405" name="Straight Connector 404"/>
        <xdr:cNvCxnSpPr/>
      </xdr:nvCxnSpPr>
      <xdr:spPr bwMode="auto">
        <a:xfrm rot="5400000">
          <a:off x="595313" y="54297263"/>
          <a:ext cx="962025" cy="3048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28575</xdr:colOff>
      <xdr:row>870</xdr:row>
      <xdr:rowOff>9525</xdr:rowOff>
    </xdr:from>
    <xdr:to>
      <xdr:col>4</xdr:col>
      <xdr:colOff>447675</xdr:colOff>
      <xdr:row>876</xdr:row>
      <xdr:rowOff>28575</xdr:rowOff>
    </xdr:to>
    <xdr:cxnSp macro="">
      <xdr:nvCxnSpPr>
        <xdr:cNvPr id="406" name="Straight Connector 405"/>
        <xdr:cNvCxnSpPr/>
      </xdr:nvCxnSpPr>
      <xdr:spPr bwMode="auto">
        <a:xfrm rot="16200000" flipH="1">
          <a:off x="2200275" y="55549800"/>
          <a:ext cx="990600" cy="419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304801</xdr:colOff>
      <xdr:row>875</xdr:row>
      <xdr:rowOff>152400</xdr:rowOff>
    </xdr:from>
    <xdr:to>
      <xdr:col>1</xdr:col>
      <xdr:colOff>600076</xdr:colOff>
      <xdr:row>876</xdr:row>
      <xdr:rowOff>9525</xdr:rowOff>
    </xdr:to>
    <xdr:cxnSp macro="">
      <xdr:nvCxnSpPr>
        <xdr:cNvPr id="407" name="Straight Connector 406"/>
        <xdr:cNvCxnSpPr/>
      </xdr:nvCxnSpPr>
      <xdr:spPr bwMode="auto">
        <a:xfrm rot="10800000" flipV="1">
          <a:off x="304801" y="56216550"/>
          <a:ext cx="90487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868</xdr:row>
      <xdr:rowOff>0</xdr:rowOff>
    </xdr:from>
    <xdr:to>
      <xdr:col>1</xdr:col>
      <xdr:colOff>590551</xdr:colOff>
      <xdr:row>868</xdr:row>
      <xdr:rowOff>1588</xdr:rowOff>
    </xdr:to>
    <xdr:cxnSp macro="">
      <xdr:nvCxnSpPr>
        <xdr:cNvPr id="408" name="Straight Connector 407"/>
        <xdr:cNvCxnSpPr/>
      </xdr:nvCxnSpPr>
      <xdr:spPr bwMode="auto">
        <a:xfrm rot="10800000">
          <a:off x="923926" y="54930675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arrow" w="med" len="med"/>
          <a:tailEnd type="none" w="med" len="med"/>
        </a:ln>
        <a:effectLst/>
      </xdr:spPr>
    </xdr:cxnSp>
    <xdr:clientData/>
  </xdr:twoCellAnchor>
  <xdr:twoCellAnchor>
    <xdr:from>
      <xdr:col>3</xdr:col>
      <xdr:colOff>123828</xdr:colOff>
      <xdr:row>862</xdr:row>
      <xdr:rowOff>9527</xdr:rowOff>
    </xdr:from>
    <xdr:to>
      <xdr:col>3</xdr:col>
      <xdr:colOff>132559</xdr:colOff>
      <xdr:row>875</xdr:row>
      <xdr:rowOff>153198</xdr:rowOff>
    </xdr:to>
    <xdr:cxnSp macro="">
      <xdr:nvCxnSpPr>
        <xdr:cNvPr id="409" name="Straight Connector 408"/>
        <xdr:cNvCxnSpPr/>
      </xdr:nvCxnSpPr>
      <xdr:spPr bwMode="auto">
        <a:xfrm rot="16200000" flipV="1">
          <a:off x="842171" y="55088634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874</xdr:row>
      <xdr:rowOff>142875</xdr:rowOff>
    </xdr:from>
    <xdr:to>
      <xdr:col>4</xdr:col>
      <xdr:colOff>352426</xdr:colOff>
      <xdr:row>874</xdr:row>
      <xdr:rowOff>144463</xdr:rowOff>
    </xdr:to>
    <xdr:cxnSp macro="">
      <xdr:nvCxnSpPr>
        <xdr:cNvPr id="410" name="Straight Arrow Connector 409"/>
        <xdr:cNvCxnSpPr/>
      </xdr:nvCxnSpPr>
      <xdr:spPr bwMode="auto">
        <a:xfrm rot="10800000">
          <a:off x="2457451" y="56045100"/>
          <a:ext cx="352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2</xdr:colOff>
      <xdr:row>872</xdr:row>
      <xdr:rowOff>19050</xdr:rowOff>
    </xdr:from>
    <xdr:to>
      <xdr:col>4</xdr:col>
      <xdr:colOff>171450</xdr:colOff>
      <xdr:row>872</xdr:row>
      <xdr:rowOff>20638</xdr:rowOff>
    </xdr:to>
    <xdr:cxnSp macro="">
      <xdr:nvCxnSpPr>
        <xdr:cNvPr id="411" name="Straight Arrow Connector 410"/>
        <xdr:cNvCxnSpPr/>
      </xdr:nvCxnSpPr>
      <xdr:spPr bwMode="auto">
        <a:xfrm rot="10800000">
          <a:off x="2457452" y="55597425"/>
          <a:ext cx="1714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38100</xdr:colOff>
      <xdr:row>865</xdr:row>
      <xdr:rowOff>85726</xdr:rowOff>
    </xdr:from>
    <xdr:to>
      <xdr:col>1</xdr:col>
      <xdr:colOff>590550</xdr:colOff>
      <xdr:row>865</xdr:row>
      <xdr:rowOff>95250</xdr:rowOff>
    </xdr:to>
    <xdr:cxnSp macro="">
      <xdr:nvCxnSpPr>
        <xdr:cNvPr id="412" name="Straight Arrow Connector 411"/>
        <xdr:cNvCxnSpPr/>
      </xdr:nvCxnSpPr>
      <xdr:spPr bwMode="auto">
        <a:xfrm>
          <a:off x="647700" y="54530626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870</xdr:row>
      <xdr:rowOff>0</xdr:rowOff>
    </xdr:from>
    <xdr:to>
      <xdr:col>2</xdr:col>
      <xdr:colOff>0</xdr:colOff>
      <xdr:row>870</xdr:row>
      <xdr:rowOff>9525</xdr:rowOff>
    </xdr:to>
    <xdr:cxnSp macro="">
      <xdr:nvCxnSpPr>
        <xdr:cNvPr id="413" name="Straight Arrow Connector 412"/>
        <xdr:cNvCxnSpPr/>
      </xdr:nvCxnSpPr>
      <xdr:spPr bwMode="auto">
        <a:xfrm flipV="1">
          <a:off x="933450" y="55254525"/>
          <a:ext cx="2952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304800</xdr:colOff>
      <xdr:row>872</xdr:row>
      <xdr:rowOff>9525</xdr:rowOff>
    </xdr:from>
    <xdr:to>
      <xdr:col>1</xdr:col>
      <xdr:colOff>600075</xdr:colOff>
      <xdr:row>872</xdr:row>
      <xdr:rowOff>11113</xdr:rowOff>
    </xdr:to>
    <xdr:cxnSp macro="">
      <xdr:nvCxnSpPr>
        <xdr:cNvPr id="414" name="Straight Arrow Connector 413"/>
        <xdr:cNvCxnSpPr/>
      </xdr:nvCxnSpPr>
      <xdr:spPr bwMode="auto">
        <a:xfrm>
          <a:off x="914400" y="55587900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323850</xdr:colOff>
      <xdr:row>875</xdr:row>
      <xdr:rowOff>0</xdr:rowOff>
    </xdr:from>
    <xdr:to>
      <xdr:col>1</xdr:col>
      <xdr:colOff>600075</xdr:colOff>
      <xdr:row>875</xdr:row>
      <xdr:rowOff>1588</xdr:rowOff>
    </xdr:to>
    <xdr:cxnSp macro="">
      <xdr:nvCxnSpPr>
        <xdr:cNvPr id="415" name="Straight Arrow Connector 414"/>
        <xdr:cNvCxnSpPr/>
      </xdr:nvCxnSpPr>
      <xdr:spPr bwMode="auto">
        <a:xfrm>
          <a:off x="933450" y="56064150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600075</xdr:colOff>
      <xdr:row>872</xdr:row>
      <xdr:rowOff>114300</xdr:rowOff>
    </xdr:from>
    <xdr:to>
      <xdr:col>1</xdr:col>
      <xdr:colOff>304800</xdr:colOff>
      <xdr:row>872</xdr:row>
      <xdr:rowOff>114302</xdr:rowOff>
    </xdr:to>
    <xdr:cxnSp macro="">
      <xdr:nvCxnSpPr>
        <xdr:cNvPr id="416" name="Straight Arrow Connector 415"/>
        <xdr:cNvCxnSpPr/>
      </xdr:nvCxnSpPr>
      <xdr:spPr bwMode="auto">
        <a:xfrm>
          <a:off x="600075" y="55692675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419100</xdr:colOff>
      <xdr:row>875</xdr:row>
      <xdr:rowOff>0</xdr:rowOff>
    </xdr:from>
    <xdr:to>
      <xdr:col>1</xdr:col>
      <xdr:colOff>295275</xdr:colOff>
      <xdr:row>875</xdr:row>
      <xdr:rowOff>1588</xdr:rowOff>
    </xdr:to>
    <xdr:cxnSp macro="">
      <xdr:nvCxnSpPr>
        <xdr:cNvPr id="417" name="Straight Arrow Connector 416"/>
        <xdr:cNvCxnSpPr/>
      </xdr:nvCxnSpPr>
      <xdr:spPr bwMode="auto">
        <a:xfrm>
          <a:off x="419100" y="56064150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104775</xdr:colOff>
      <xdr:row>871</xdr:row>
      <xdr:rowOff>9525</xdr:rowOff>
    </xdr:from>
    <xdr:to>
      <xdr:col>1</xdr:col>
      <xdr:colOff>304800</xdr:colOff>
      <xdr:row>871</xdr:row>
      <xdr:rowOff>11113</xdr:rowOff>
    </xdr:to>
    <xdr:cxnSp macro="">
      <xdr:nvCxnSpPr>
        <xdr:cNvPr id="418" name="Straight Arrow Connector 417"/>
        <xdr:cNvCxnSpPr/>
      </xdr:nvCxnSpPr>
      <xdr:spPr bwMode="auto">
        <a:xfrm>
          <a:off x="714375" y="55425975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419100</xdr:colOff>
      <xdr:row>866</xdr:row>
      <xdr:rowOff>19050</xdr:rowOff>
    </xdr:from>
    <xdr:to>
      <xdr:col>1</xdr:col>
      <xdr:colOff>600075</xdr:colOff>
      <xdr:row>866</xdr:row>
      <xdr:rowOff>20638</xdr:rowOff>
    </xdr:to>
    <xdr:cxnSp macro="">
      <xdr:nvCxnSpPr>
        <xdr:cNvPr id="419" name="Straight Arrow Connector 418"/>
        <xdr:cNvCxnSpPr/>
      </xdr:nvCxnSpPr>
      <xdr:spPr bwMode="auto">
        <a:xfrm>
          <a:off x="1028700" y="54625875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457200</xdr:colOff>
      <xdr:row>865</xdr:row>
      <xdr:rowOff>0</xdr:rowOff>
    </xdr:from>
    <xdr:to>
      <xdr:col>1</xdr:col>
      <xdr:colOff>600075</xdr:colOff>
      <xdr:row>865</xdr:row>
      <xdr:rowOff>1588</xdr:rowOff>
    </xdr:to>
    <xdr:cxnSp macro="">
      <xdr:nvCxnSpPr>
        <xdr:cNvPr id="420" name="Straight Arrow Connector 419"/>
        <xdr:cNvCxnSpPr/>
      </xdr:nvCxnSpPr>
      <xdr:spPr bwMode="auto">
        <a:xfrm>
          <a:off x="1066800" y="54444900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28575</xdr:colOff>
      <xdr:row>872</xdr:row>
      <xdr:rowOff>9525</xdr:rowOff>
    </xdr:from>
    <xdr:ext cx="235962" cy="170560"/>
    <xdr:sp macro="" textlink="">
      <xdr:nvSpPr>
        <xdr:cNvPr id="421" name="Text Box 133"/>
        <xdr:cNvSpPr txBox="1">
          <a:spLocks noChangeArrowheads="1"/>
        </xdr:cNvSpPr>
      </xdr:nvSpPr>
      <xdr:spPr bwMode="auto">
        <a:xfrm>
          <a:off x="3095625" y="5558790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h3=</a:t>
          </a:r>
        </a:p>
      </xdr:txBody>
    </xdr:sp>
    <xdr:clientData/>
  </xdr:oneCellAnchor>
  <xdr:oneCellAnchor>
    <xdr:from>
      <xdr:col>5</xdr:col>
      <xdr:colOff>38100</xdr:colOff>
      <xdr:row>880</xdr:row>
      <xdr:rowOff>152400</xdr:rowOff>
    </xdr:from>
    <xdr:ext cx="178895" cy="170560"/>
    <xdr:sp macro="" textlink="">
      <xdr:nvSpPr>
        <xdr:cNvPr id="422" name="Text Box 133"/>
        <xdr:cNvSpPr txBox="1">
          <a:spLocks noChangeArrowheads="1"/>
        </xdr:cNvSpPr>
      </xdr:nvSpPr>
      <xdr:spPr bwMode="auto">
        <a:xfrm>
          <a:off x="3105150" y="57026175"/>
          <a:ext cx="17889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5</xdr:col>
      <xdr:colOff>38100</xdr:colOff>
      <xdr:row>879</xdr:row>
      <xdr:rowOff>0</xdr:rowOff>
    </xdr:from>
    <xdr:ext cx="200311" cy="170560"/>
    <xdr:sp macro="" textlink="">
      <xdr:nvSpPr>
        <xdr:cNvPr id="423" name="Text Box 133"/>
        <xdr:cNvSpPr txBox="1">
          <a:spLocks noChangeArrowheads="1"/>
        </xdr:cNvSpPr>
      </xdr:nvSpPr>
      <xdr:spPr bwMode="auto">
        <a:xfrm>
          <a:off x="3105150" y="131273550"/>
          <a:ext cx="20031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 =</a:t>
          </a:r>
        </a:p>
      </xdr:txBody>
    </xdr:sp>
    <xdr:clientData/>
  </xdr:oneCellAnchor>
  <xdr:twoCellAnchor>
    <xdr:from>
      <xdr:col>1</xdr:col>
      <xdr:colOff>38100</xdr:colOff>
      <xdr:row>869</xdr:row>
      <xdr:rowOff>85726</xdr:rowOff>
    </xdr:from>
    <xdr:to>
      <xdr:col>1</xdr:col>
      <xdr:colOff>590550</xdr:colOff>
      <xdr:row>869</xdr:row>
      <xdr:rowOff>95250</xdr:rowOff>
    </xdr:to>
    <xdr:cxnSp macro="">
      <xdr:nvCxnSpPr>
        <xdr:cNvPr id="424" name="Straight Arrow Connector 423"/>
        <xdr:cNvCxnSpPr/>
      </xdr:nvCxnSpPr>
      <xdr:spPr bwMode="auto">
        <a:xfrm>
          <a:off x="647700" y="55178326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873</xdr:row>
      <xdr:rowOff>76200</xdr:rowOff>
    </xdr:from>
    <xdr:to>
      <xdr:col>2</xdr:col>
      <xdr:colOff>9525</xdr:colOff>
      <xdr:row>873</xdr:row>
      <xdr:rowOff>77788</xdr:rowOff>
    </xdr:to>
    <xdr:cxnSp macro="">
      <xdr:nvCxnSpPr>
        <xdr:cNvPr id="425" name="Straight Arrow Connector 424"/>
        <xdr:cNvCxnSpPr/>
      </xdr:nvCxnSpPr>
      <xdr:spPr bwMode="auto">
        <a:xfrm>
          <a:off x="419100" y="55816500"/>
          <a:ext cx="819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9528</xdr:colOff>
      <xdr:row>873</xdr:row>
      <xdr:rowOff>76199</xdr:rowOff>
    </xdr:from>
    <xdr:to>
      <xdr:col>4</xdr:col>
      <xdr:colOff>400051</xdr:colOff>
      <xdr:row>873</xdr:row>
      <xdr:rowOff>85724</xdr:rowOff>
    </xdr:to>
    <xdr:cxnSp macro="">
      <xdr:nvCxnSpPr>
        <xdr:cNvPr id="426" name="Straight Arrow Connector 425"/>
        <xdr:cNvCxnSpPr/>
      </xdr:nvCxnSpPr>
      <xdr:spPr bwMode="auto">
        <a:xfrm rot="10800000" flipV="1">
          <a:off x="2466978" y="55816499"/>
          <a:ext cx="390523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542925</xdr:colOff>
      <xdr:row>957</xdr:row>
      <xdr:rowOff>104775</xdr:rowOff>
    </xdr:from>
    <xdr:to>
      <xdr:col>7</xdr:col>
      <xdr:colOff>304800</xdr:colOff>
      <xdr:row>959</xdr:row>
      <xdr:rowOff>0</xdr:rowOff>
    </xdr:to>
    <xdr:sp macro="" textlink="">
      <xdr:nvSpPr>
        <xdr:cNvPr id="427" name="Arc 426"/>
        <xdr:cNvSpPr/>
      </xdr:nvSpPr>
      <xdr:spPr bwMode="auto">
        <a:xfrm>
          <a:off x="4248150" y="72361425"/>
          <a:ext cx="371475" cy="219075"/>
        </a:xfrm>
        <a:prstGeom prst="arc">
          <a:avLst>
            <a:gd name="adj1" fmla="val 9384173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561976</xdr:colOff>
      <xdr:row>957</xdr:row>
      <xdr:rowOff>85725</xdr:rowOff>
    </xdr:from>
    <xdr:to>
      <xdr:col>5</xdr:col>
      <xdr:colOff>152400</xdr:colOff>
      <xdr:row>959</xdr:row>
      <xdr:rowOff>0</xdr:rowOff>
    </xdr:to>
    <xdr:sp macro="" textlink="">
      <xdr:nvSpPr>
        <xdr:cNvPr id="428" name="Arc 427"/>
        <xdr:cNvSpPr/>
      </xdr:nvSpPr>
      <xdr:spPr bwMode="auto">
        <a:xfrm flipH="1">
          <a:off x="3019426" y="72342375"/>
          <a:ext cx="200024" cy="238125"/>
        </a:xfrm>
        <a:prstGeom prst="arc">
          <a:avLst>
            <a:gd name="adj1" fmla="val 16200000"/>
            <a:gd name="adj2" fmla="val 509192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9525</xdr:colOff>
      <xdr:row>964</xdr:row>
      <xdr:rowOff>0</xdr:rowOff>
    </xdr:from>
    <xdr:to>
      <xdr:col>7</xdr:col>
      <xdr:colOff>180975</xdr:colOff>
      <xdr:row>964</xdr:row>
      <xdr:rowOff>1588</xdr:rowOff>
    </xdr:to>
    <xdr:cxnSp macro="">
      <xdr:nvCxnSpPr>
        <xdr:cNvPr id="429" name="Straight Connector 428"/>
        <xdr:cNvCxnSpPr/>
      </xdr:nvCxnSpPr>
      <xdr:spPr bwMode="auto">
        <a:xfrm>
          <a:off x="1238250" y="73390125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965</xdr:row>
      <xdr:rowOff>152400</xdr:rowOff>
    </xdr:from>
    <xdr:to>
      <xdr:col>7</xdr:col>
      <xdr:colOff>171450</xdr:colOff>
      <xdr:row>965</xdr:row>
      <xdr:rowOff>153988</xdr:rowOff>
    </xdr:to>
    <xdr:cxnSp macro="">
      <xdr:nvCxnSpPr>
        <xdr:cNvPr id="430" name="Straight Connector 429"/>
        <xdr:cNvCxnSpPr/>
      </xdr:nvCxnSpPr>
      <xdr:spPr bwMode="auto">
        <a:xfrm>
          <a:off x="1228725" y="73704450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608807</xdr:colOff>
      <xdr:row>964</xdr:row>
      <xdr:rowOff>793</xdr:rowOff>
    </xdr:from>
    <xdr:to>
      <xdr:col>2</xdr:col>
      <xdr:colOff>795</xdr:colOff>
      <xdr:row>965</xdr:row>
      <xdr:rowOff>153193</xdr:rowOff>
    </xdr:to>
    <xdr:cxnSp macro="">
      <xdr:nvCxnSpPr>
        <xdr:cNvPr id="431" name="Straight Connector 430"/>
        <xdr:cNvCxnSpPr/>
      </xdr:nvCxnSpPr>
      <xdr:spPr bwMode="auto">
        <a:xfrm rot="5400000">
          <a:off x="1066801" y="73542524"/>
          <a:ext cx="314325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8731</xdr:colOff>
      <xdr:row>966</xdr:row>
      <xdr:rowOff>115097</xdr:rowOff>
    </xdr:from>
    <xdr:to>
      <xdr:col>2</xdr:col>
      <xdr:colOff>10319</xdr:colOff>
      <xdr:row>970</xdr:row>
      <xdr:rowOff>29371</xdr:rowOff>
    </xdr:to>
    <xdr:cxnSp macro="">
      <xdr:nvCxnSpPr>
        <xdr:cNvPr id="433" name="Straight Connector 432"/>
        <xdr:cNvCxnSpPr/>
      </xdr:nvCxnSpPr>
      <xdr:spPr bwMode="auto">
        <a:xfrm rot="5400000">
          <a:off x="957263" y="74109265"/>
          <a:ext cx="561974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219075</xdr:colOff>
      <xdr:row>961</xdr:row>
      <xdr:rowOff>142877</xdr:rowOff>
    </xdr:from>
    <xdr:to>
      <xdr:col>2</xdr:col>
      <xdr:colOff>220663</xdr:colOff>
      <xdr:row>963</xdr:row>
      <xdr:rowOff>133352</xdr:rowOff>
    </xdr:to>
    <xdr:cxnSp macro="">
      <xdr:nvCxnSpPr>
        <xdr:cNvPr id="434" name="Straight Connector 433"/>
        <xdr:cNvCxnSpPr/>
      </xdr:nvCxnSpPr>
      <xdr:spPr bwMode="auto">
        <a:xfrm rot="5400000">
          <a:off x="1291431" y="73203596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314325</xdr:colOff>
      <xdr:row>966</xdr:row>
      <xdr:rowOff>9528</xdr:rowOff>
    </xdr:from>
    <xdr:to>
      <xdr:col>4</xdr:col>
      <xdr:colOff>315913</xdr:colOff>
      <xdr:row>968</xdr:row>
      <xdr:rowOff>3</xdr:rowOff>
    </xdr:to>
    <xdr:cxnSp macro="">
      <xdr:nvCxnSpPr>
        <xdr:cNvPr id="437" name="Straight Connector 436"/>
        <xdr:cNvCxnSpPr/>
      </xdr:nvCxnSpPr>
      <xdr:spPr bwMode="auto">
        <a:xfrm rot="5400000">
          <a:off x="2615406" y="73879872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238125</xdr:colOff>
      <xdr:row>963</xdr:row>
      <xdr:rowOff>0</xdr:rowOff>
    </xdr:from>
    <xdr:to>
      <xdr:col>7</xdr:col>
      <xdr:colOff>171450</xdr:colOff>
      <xdr:row>963</xdr:row>
      <xdr:rowOff>9525</xdr:rowOff>
    </xdr:to>
    <xdr:cxnSp macro="">
      <xdr:nvCxnSpPr>
        <xdr:cNvPr id="438" name="Straight Arrow Connector 437"/>
        <xdr:cNvCxnSpPr/>
      </xdr:nvCxnSpPr>
      <xdr:spPr bwMode="auto">
        <a:xfrm flipV="1">
          <a:off x="1466850" y="73228200"/>
          <a:ext cx="3019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323850</xdr:colOff>
      <xdr:row>967</xdr:row>
      <xdr:rowOff>9525</xdr:rowOff>
    </xdr:from>
    <xdr:to>
      <xdr:col>7</xdr:col>
      <xdr:colOff>180975</xdr:colOff>
      <xdr:row>967</xdr:row>
      <xdr:rowOff>11113</xdr:rowOff>
    </xdr:to>
    <xdr:cxnSp macro="">
      <xdr:nvCxnSpPr>
        <xdr:cNvPr id="439" name="Straight Arrow Connector 438"/>
        <xdr:cNvCxnSpPr/>
      </xdr:nvCxnSpPr>
      <xdr:spPr bwMode="auto">
        <a:xfrm>
          <a:off x="2781300" y="73885425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400050</xdr:colOff>
      <xdr:row>969</xdr:row>
      <xdr:rowOff>85725</xdr:rowOff>
    </xdr:from>
    <xdr:to>
      <xdr:col>7</xdr:col>
      <xdr:colOff>180975</xdr:colOff>
      <xdr:row>969</xdr:row>
      <xdr:rowOff>96838</xdr:rowOff>
    </xdr:to>
    <xdr:cxnSp macro="">
      <xdr:nvCxnSpPr>
        <xdr:cNvPr id="440" name="Straight Arrow Connector 439"/>
        <xdr:cNvCxnSpPr/>
      </xdr:nvCxnSpPr>
      <xdr:spPr bwMode="auto">
        <a:xfrm>
          <a:off x="3467100" y="74285475"/>
          <a:ext cx="1028700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19051</xdr:colOff>
      <xdr:row>969</xdr:row>
      <xdr:rowOff>95250</xdr:rowOff>
    </xdr:from>
    <xdr:to>
      <xdr:col>4</xdr:col>
      <xdr:colOff>85726</xdr:colOff>
      <xdr:row>969</xdr:row>
      <xdr:rowOff>96838</xdr:rowOff>
    </xdr:to>
    <xdr:cxnSp macro="">
      <xdr:nvCxnSpPr>
        <xdr:cNvPr id="441" name="Straight Arrow Connector 440"/>
        <xdr:cNvCxnSpPr/>
      </xdr:nvCxnSpPr>
      <xdr:spPr bwMode="auto">
        <a:xfrm rot="10800000">
          <a:off x="1247776" y="74295000"/>
          <a:ext cx="1295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219075</xdr:colOff>
      <xdr:row>963</xdr:row>
      <xdr:rowOff>152400</xdr:rowOff>
    </xdr:from>
    <xdr:to>
      <xdr:col>7</xdr:col>
      <xdr:colOff>476250</xdr:colOff>
      <xdr:row>963</xdr:row>
      <xdr:rowOff>153988</xdr:rowOff>
    </xdr:to>
    <xdr:cxnSp macro="">
      <xdr:nvCxnSpPr>
        <xdr:cNvPr id="442" name="Straight Connector 441"/>
        <xdr:cNvCxnSpPr/>
      </xdr:nvCxnSpPr>
      <xdr:spPr bwMode="auto">
        <a:xfrm>
          <a:off x="4533900" y="7338060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228600</xdr:colOff>
      <xdr:row>966</xdr:row>
      <xdr:rowOff>0</xdr:rowOff>
    </xdr:from>
    <xdr:to>
      <xdr:col>7</xdr:col>
      <xdr:colOff>485775</xdr:colOff>
      <xdr:row>966</xdr:row>
      <xdr:rowOff>1588</xdr:rowOff>
    </xdr:to>
    <xdr:cxnSp macro="">
      <xdr:nvCxnSpPr>
        <xdr:cNvPr id="443" name="Straight Connector 442"/>
        <xdr:cNvCxnSpPr/>
      </xdr:nvCxnSpPr>
      <xdr:spPr bwMode="auto">
        <a:xfrm>
          <a:off x="4543425" y="7371397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964</xdr:row>
      <xdr:rowOff>19049</xdr:rowOff>
    </xdr:from>
    <xdr:to>
      <xdr:col>7</xdr:col>
      <xdr:colOff>295275</xdr:colOff>
      <xdr:row>966</xdr:row>
      <xdr:rowOff>9524</xdr:rowOff>
    </xdr:to>
    <xdr:cxnSp macro="">
      <xdr:nvCxnSpPr>
        <xdr:cNvPr id="444" name="Straight Arrow Connector 443"/>
        <xdr:cNvCxnSpPr/>
      </xdr:nvCxnSpPr>
      <xdr:spPr bwMode="auto">
        <a:xfrm rot="16200000" flipH="1">
          <a:off x="4448175" y="73561574"/>
          <a:ext cx="314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342900</xdr:colOff>
      <xdr:row>963</xdr:row>
      <xdr:rowOff>133350</xdr:rowOff>
    </xdr:from>
    <xdr:to>
      <xdr:col>2</xdr:col>
      <xdr:colOff>104775</xdr:colOff>
      <xdr:row>966</xdr:row>
      <xdr:rowOff>28575</xdr:rowOff>
    </xdr:to>
    <xdr:sp macro="" textlink="">
      <xdr:nvSpPr>
        <xdr:cNvPr id="445" name="Arc 444"/>
        <xdr:cNvSpPr/>
      </xdr:nvSpPr>
      <xdr:spPr bwMode="auto">
        <a:xfrm>
          <a:off x="952500" y="73361550"/>
          <a:ext cx="381000" cy="381000"/>
        </a:xfrm>
        <a:prstGeom prst="arc">
          <a:avLst>
            <a:gd name="adj1" fmla="val 6868560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504825</xdr:colOff>
      <xdr:row>963</xdr:row>
      <xdr:rowOff>85725</xdr:rowOff>
    </xdr:from>
    <xdr:to>
      <xdr:col>8</xdr:col>
      <xdr:colOff>219075</xdr:colOff>
      <xdr:row>965</xdr:row>
      <xdr:rowOff>152400</xdr:rowOff>
    </xdr:to>
    <xdr:sp macro="" textlink="">
      <xdr:nvSpPr>
        <xdr:cNvPr id="446" name="Arc 445"/>
        <xdr:cNvSpPr/>
      </xdr:nvSpPr>
      <xdr:spPr bwMode="auto">
        <a:xfrm flipH="1">
          <a:off x="4819650" y="73313925"/>
          <a:ext cx="323850" cy="390525"/>
        </a:xfrm>
        <a:prstGeom prst="arc">
          <a:avLst>
            <a:gd name="adj1" fmla="val 4531782"/>
            <a:gd name="adj2" fmla="val 17612854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190509</xdr:colOff>
      <xdr:row>866</xdr:row>
      <xdr:rowOff>85724</xdr:rowOff>
    </xdr:from>
    <xdr:to>
      <xdr:col>4</xdr:col>
      <xdr:colOff>219076</xdr:colOff>
      <xdr:row>866</xdr:row>
      <xdr:rowOff>104773</xdr:rowOff>
    </xdr:to>
    <xdr:cxnSp macro="">
      <xdr:nvCxnSpPr>
        <xdr:cNvPr id="447" name="Straight Arrow Connector 446"/>
        <xdr:cNvCxnSpPr/>
      </xdr:nvCxnSpPr>
      <xdr:spPr bwMode="auto">
        <a:xfrm rot="10800000" flipV="1">
          <a:off x="2028834" y="54692549"/>
          <a:ext cx="647692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180974</xdr:colOff>
      <xdr:row>866</xdr:row>
      <xdr:rowOff>95250</xdr:rowOff>
    </xdr:from>
    <xdr:to>
      <xdr:col>3</xdr:col>
      <xdr:colOff>190499</xdr:colOff>
      <xdr:row>868</xdr:row>
      <xdr:rowOff>0</xdr:rowOff>
    </xdr:to>
    <xdr:cxnSp macro="">
      <xdr:nvCxnSpPr>
        <xdr:cNvPr id="448" name="Straight Arrow Connector 447"/>
        <xdr:cNvCxnSpPr/>
      </xdr:nvCxnSpPr>
      <xdr:spPr bwMode="auto">
        <a:xfrm rot="16200000" flipH="1">
          <a:off x="1909762" y="54811612"/>
          <a:ext cx="228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sm" len="sm"/>
          <a:tailEnd type="triangle" w="sm" len="sm"/>
        </a:ln>
        <a:effectLst/>
      </xdr:spPr>
    </xdr:cxnSp>
    <xdr:clientData/>
  </xdr:twoCellAnchor>
  <xdr:twoCellAnchor>
    <xdr:from>
      <xdr:col>4</xdr:col>
      <xdr:colOff>342108</xdr:colOff>
      <xdr:row>960</xdr:row>
      <xdr:rowOff>9528</xdr:rowOff>
    </xdr:from>
    <xdr:to>
      <xdr:col>4</xdr:col>
      <xdr:colOff>342901</xdr:colOff>
      <xdr:row>962</xdr:row>
      <xdr:rowOff>115093</xdr:rowOff>
    </xdr:to>
    <xdr:cxnSp macro="">
      <xdr:nvCxnSpPr>
        <xdr:cNvPr id="449" name="Straight Arrow Connector 448"/>
        <xdr:cNvCxnSpPr/>
      </xdr:nvCxnSpPr>
      <xdr:spPr bwMode="auto">
        <a:xfrm rot="5400000">
          <a:off x="2585247" y="72966264"/>
          <a:ext cx="429415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323850</xdr:colOff>
      <xdr:row>960</xdr:row>
      <xdr:rowOff>152400</xdr:rowOff>
    </xdr:from>
    <xdr:to>
      <xdr:col>7</xdr:col>
      <xdr:colOff>180975</xdr:colOff>
      <xdr:row>960</xdr:row>
      <xdr:rowOff>153988</xdr:rowOff>
    </xdr:to>
    <xdr:cxnSp macro="">
      <xdr:nvCxnSpPr>
        <xdr:cNvPr id="450" name="Straight Arrow Connector 449"/>
        <xdr:cNvCxnSpPr/>
      </xdr:nvCxnSpPr>
      <xdr:spPr bwMode="auto">
        <a:xfrm>
          <a:off x="2781300" y="72894825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190500</xdr:colOff>
      <xdr:row>961</xdr:row>
      <xdr:rowOff>85728</xdr:rowOff>
    </xdr:from>
    <xdr:to>
      <xdr:col>8</xdr:col>
      <xdr:colOff>19052</xdr:colOff>
      <xdr:row>962</xdr:row>
      <xdr:rowOff>9525</xdr:rowOff>
    </xdr:to>
    <xdr:cxnSp macro="">
      <xdr:nvCxnSpPr>
        <xdr:cNvPr id="451" name="Straight Arrow Connector 450"/>
        <xdr:cNvCxnSpPr/>
      </xdr:nvCxnSpPr>
      <xdr:spPr bwMode="auto">
        <a:xfrm rot="10800000" flipV="1">
          <a:off x="4505325" y="72990078"/>
          <a:ext cx="438152" cy="857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323056</xdr:colOff>
      <xdr:row>872</xdr:row>
      <xdr:rowOff>48419</xdr:rowOff>
    </xdr:from>
    <xdr:to>
      <xdr:col>6</xdr:col>
      <xdr:colOff>324644</xdr:colOff>
      <xdr:row>874</xdr:row>
      <xdr:rowOff>48419</xdr:rowOff>
    </xdr:to>
    <xdr:cxnSp macro="">
      <xdr:nvCxnSpPr>
        <xdr:cNvPr id="452" name="Straight Arrow Connector 451"/>
        <xdr:cNvCxnSpPr/>
      </xdr:nvCxnSpPr>
      <xdr:spPr bwMode="auto">
        <a:xfrm rot="5400000">
          <a:off x="3867150" y="55787925"/>
          <a:ext cx="32385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9525</xdr:colOff>
      <xdr:row>967</xdr:row>
      <xdr:rowOff>95250</xdr:rowOff>
    </xdr:from>
    <xdr:to>
      <xdr:col>2</xdr:col>
      <xdr:colOff>276225</xdr:colOff>
      <xdr:row>967</xdr:row>
      <xdr:rowOff>96838</xdr:rowOff>
    </xdr:to>
    <xdr:cxnSp macro="">
      <xdr:nvCxnSpPr>
        <xdr:cNvPr id="453" name="Straight Arrow Connector 452"/>
        <xdr:cNvCxnSpPr/>
      </xdr:nvCxnSpPr>
      <xdr:spPr bwMode="auto">
        <a:xfrm>
          <a:off x="1238250" y="73971150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0</xdr:colOff>
      <xdr:row>1125</xdr:row>
      <xdr:rowOff>1</xdr:rowOff>
    </xdr:from>
    <xdr:to>
      <xdr:col>7</xdr:col>
      <xdr:colOff>0</xdr:colOff>
      <xdr:row>1125</xdr:row>
      <xdr:rowOff>19050</xdr:rowOff>
    </xdr:to>
    <xdr:cxnSp macro="">
      <xdr:nvCxnSpPr>
        <xdr:cNvPr id="455" name="Straight Connector 454"/>
        <xdr:cNvCxnSpPr/>
      </xdr:nvCxnSpPr>
      <xdr:spPr bwMode="auto">
        <a:xfrm flipV="1">
          <a:off x="2457450" y="93268801"/>
          <a:ext cx="1857375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9527</xdr:colOff>
      <xdr:row>1111</xdr:row>
      <xdr:rowOff>9525</xdr:rowOff>
    </xdr:from>
    <xdr:to>
      <xdr:col>7</xdr:col>
      <xdr:colOff>219075</xdr:colOff>
      <xdr:row>1111</xdr:row>
      <xdr:rowOff>9529</xdr:rowOff>
    </xdr:to>
    <xdr:cxnSp macro="">
      <xdr:nvCxnSpPr>
        <xdr:cNvPr id="456" name="Straight Connector 455"/>
        <xdr:cNvCxnSpPr/>
      </xdr:nvCxnSpPr>
      <xdr:spPr bwMode="auto">
        <a:xfrm rot="10800000" flipV="1">
          <a:off x="4324352" y="91011375"/>
          <a:ext cx="209548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133350</xdr:colOff>
      <xdr:row>1127</xdr:row>
      <xdr:rowOff>0</xdr:rowOff>
    </xdr:from>
    <xdr:to>
      <xdr:col>7</xdr:col>
      <xdr:colOff>504825</xdr:colOff>
      <xdr:row>1127</xdr:row>
      <xdr:rowOff>1588</xdr:rowOff>
    </xdr:to>
    <xdr:cxnSp macro="">
      <xdr:nvCxnSpPr>
        <xdr:cNvPr id="457" name="Straight Connector 456"/>
        <xdr:cNvCxnSpPr/>
      </xdr:nvCxnSpPr>
      <xdr:spPr bwMode="auto">
        <a:xfrm>
          <a:off x="1971675" y="93592650"/>
          <a:ext cx="2847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505621</xdr:colOff>
      <xdr:row>1124</xdr:row>
      <xdr:rowOff>134145</xdr:rowOff>
    </xdr:from>
    <xdr:to>
      <xdr:col>7</xdr:col>
      <xdr:colOff>514353</xdr:colOff>
      <xdr:row>1127</xdr:row>
      <xdr:rowOff>0</xdr:rowOff>
    </xdr:to>
    <xdr:cxnSp macro="">
      <xdr:nvCxnSpPr>
        <xdr:cNvPr id="458" name="Straight Connector 457"/>
        <xdr:cNvCxnSpPr/>
      </xdr:nvCxnSpPr>
      <xdr:spPr bwMode="auto">
        <a:xfrm rot="16200000" flipV="1">
          <a:off x="4648997" y="93412469"/>
          <a:ext cx="351630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</xdr:colOff>
      <xdr:row>1111</xdr:row>
      <xdr:rowOff>19050</xdr:rowOff>
    </xdr:from>
    <xdr:to>
      <xdr:col>7</xdr:col>
      <xdr:colOff>8734</xdr:colOff>
      <xdr:row>1125</xdr:row>
      <xdr:rowOff>796</xdr:rowOff>
    </xdr:to>
    <xdr:cxnSp macro="">
      <xdr:nvCxnSpPr>
        <xdr:cNvPr id="459" name="Straight Connector 458"/>
        <xdr:cNvCxnSpPr/>
      </xdr:nvCxnSpPr>
      <xdr:spPr bwMode="auto">
        <a:xfrm rot="16200000" flipV="1">
          <a:off x="3194846" y="92140882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132562</xdr:colOff>
      <xdr:row>1125</xdr:row>
      <xdr:rowOff>1</xdr:rowOff>
    </xdr:from>
    <xdr:to>
      <xdr:col>3</xdr:col>
      <xdr:colOff>133353</xdr:colOff>
      <xdr:row>1127</xdr:row>
      <xdr:rowOff>796</xdr:rowOff>
    </xdr:to>
    <xdr:cxnSp macro="">
      <xdr:nvCxnSpPr>
        <xdr:cNvPr id="460" name="Straight Connector 459"/>
        <xdr:cNvCxnSpPr/>
      </xdr:nvCxnSpPr>
      <xdr:spPr bwMode="auto">
        <a:xfrm rot="5400000" flipH="1" flipV="1">
          <a:off x="1808960" y="93430728"/>
          <a:ext cx="324645" cy="79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8736</xdr:colOff>
      <xdr:row>1111</xdr:row>
      <xdr:rowOff>1</xdr:rowOff>
    </xdr:from>
    <xdr:to>
      <xdr:col>4</xdr:col>
      <xdr:colOff>9525</xdr:colOff>
      <xdr:row>1125</xdr:row>
      <xdr:rowOff>798</xdr:rowOff>
    </xdr:to>
    <xdr:cxnSp macro="">
      <xdr:nvCxnSpPr>
        <xdr:cNvPr id="461" name="Straight Connector 460"/>
        <xdr:cNvCxnSpPr/>
      </xdr:nvCxnSpPr>
      <xdr:spPr bwMode="auto">
        <a:xfrm rot="5400000" flipH="1" flipV="1">
          <a:off x="1332707" y="92135330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1110</xdr:row>
      <xdr:rowOff>152400</xdr:rowOff>
    </xdr:from>
    <xdr:to>
      <xdr:col>4</xdr:col>
      <xdr:colOff>0</xdr:colOff>
      <xdr:row>1111</xdr:row>
      <xdr:rowOff>0</xdr:rowOff>
    </xdr:to>
    <xdr:cxnSp macro="">
      <xdr:nvCxnSpPr>
        <xdr:cNvPr id="462" name="Straight Connector 461"/>
        <xdr:cNvCxnSpPr/>
      </xdr:nvCxnSpPr>
      <xdr:spPr bwMode="auto">
        <a:xfrm rot="10800000">
          <a:off x="2209800" y="90992325"/>
          <a:ext cx="2476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219075</xdr:colOff>
      <xdr:row>1111</xdr:row>
      <xdr:rowOff>19049</xdr:rowOff>
    </xdr:from>
    <xdr:to>
      <xdr:col>7</xdr:col>
      <xdr:colOff>514350</xdr:colOff>
      <xdr:row>1125</xdr:row>
      <xdr:rowOff>9524</xdr:rowOff>
    </xdr:to>
    <xdr:cxnSp macro="">
      <xdr:nvCxnSpPr>
        <xdr:cNvPr id="463" name="Straight Connector 462"/>
        <xdr:cNvCxnSpPr/>
      </xdr:nvCxnSpPr>
      <xdr:spPr bwMode="auto">
        <a:xfrm rot="16200000" flipH="1">
          <a:off x="3552825" y="92001974"/>
          <a:ext cx="225742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133351</xdr:colOff>
      <xdr:row>1110</xdr:row>
      <xdr:rowOff>152399</xdr:rowOff>
    </xdr:from>
    <xdr:to>
      <xdr:col>3</xdr:col>
      <xdr:colOff>361954</xdr:colOff>
      <xdr:row>1125</xdr:row>
      <xdr:rowOff>3</xdr:rowOff>
    </xdr:to>
    <xdr:cxnSp macro="">
      <xdr:nvCxnSpPr>
        <xdr:cNvPr id="464" name="Straight Connector 463"/>
        <xdr:cNvCxnSpPr/>
      </xdr:nvCxnSpPr>
      <xdr:spPr bwMode="auto">
        <a:xfrm rot="5400000">
          <a:off x="947738" y="92016262"/>
          <a:ext cx="2276479" cy="22860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419100</xdr:colOff>
      <xdr:row>1111</xdr:row>
      <xdr:rowOff>0</xdr:rowOff>
    </xdr:from>
    <xdr:to>
      <xdr:col>8</xdr:col>
      <xdr:colOff>295275</xdr:colOff>
      <xdr:row>1111</xdr:row>
      <xdr:rowOff>9525</xdr:rowOff>
    </xdr:to>
    <xdr:cxnSp macro="">
      <xdr:nvCxnSpPr>
        <xdr:cNvPr id="465" name="Straight Connector 464"/>
        <xdr:cNvCxnSpPr/>
      </xdr:nvCxnSpPr>
      <xdr:spPr bwMode="auto">
        <a:xfrm>
          <a:off x="4733925" y="164944425"/>
          <a:ext cx="4857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590550</xdr:colOff>
      <xdr:row>1125</xdr:row>
      <xdr:rowOff>9525</xdr:rowOff>
    </xdr:from>
    <xdr:to>
      <xdr:col>8</xdr:col>
      <xdr:colOff>304800</xdr:colOff>
      <xdr:row>1125</xdr:row>
      <xdr:rowOff>19050</xdr:rowOff>
    </xdr:to>
    <xdr:cxnSp macro="">
      <xdr:nvCxnSpPr>
        <xdr:cNvPr id="466" name="Straight Connector 465"/>
        <xdr:cNvCxnSpPr/>
      </xdr:nvCxnSpPr>
      <xdr:spPr bwMode="auto">
        <a:xfrm>
          <a:off x="4905375" y="167220900"/>
          <a:ext cx="3238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1127</xdr:row>
      <xdr:rowOff>19050</xdr:rowOff>
    </xdr:from>
    <xdr:to>
      <xdr:col>8</xdr:col>
      <xdr:colOff>266700</xdr:colOff>
      <xdr:row>1127</xdr:row>
      <xdr:rowOff>28575</xdr:rowOff>
    </xdr:to>
    <xdr:cxnSp macro="">
      <xdr:nvCxnSpPr>
        <xdr:cNvPr id="467" name="Straight Connector 466"/>
        <xdr:cNvCxnSpPr/>
      </xdr:nvCxnSpPr>
      <xdr:spPr bwMode="auto">
        <a:xfrm>
          <a:off x="4914900" y="167554275"/>
          <a:ext cx="2762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75407</xdr:colOff>
      <xdr:row>1111</xdr:row>
      <xdr:rowOff>10318</xdr:rowOff>
    </xdr:from>
    <xdr:to>
      <xdr:col>8</xdr:col>
      <xdr:colOff>76995</xdr:colOff>
      <xdr:row>1125</xdr:row>
      <xdr:rowOff>793</xdr:rowOff>
    </xdr:to>
    <xdr:cxnSp macro="">
      <xdr:nvCxnSpPr>
        <xdr:cNvPr id="468" name="Straight Arrow Connector 467"/>
        <xdr:cNvCxnSpPr/>
      </xdr:nvCxnSpPr>
      <xdr:spPr bwMode="auto">
        <a:xfrm rot="5400000">
          <a:off x="3871913" y="92140087"/>
          <a:ext cx="2257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65881</xdr:colOff>
      <xdr:row>1125</xdr:row>
      <xdr:rowOff>29369</xdr:rowOff>
    </xdr:from>
    <xdr:to>
      <xdr:col>8</xdr:col>
      <xdr:colOff>67469</xdr:colOff>
      <xdr:row>1127</xdr:row>
      <xdr:rowOff>29369</xdr:rowOff>
    </xdr:to>
    <xdr:cxnSp macro="">
      <xdr:nvCxnSpPr>
        <xdr:cNvPr id="469" name="Straight Arrow Connector 468"/>
        <xdr:cNvCxnSpPr/>
      </xdr:nvCxnSpPr>
      <xdr:spPr bwMode="auto">
        <a:xfrm rot="5400000">
          <a:off x="4829175" y="167401875"/>
          <a:ext cx="3238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142081</xdr:colOff>
      <xdr:row>1127</xdr:row>
      <xdr:rowOff>47625</xdr:rowOff>
    </xdr:from>
    <xdr:to>
      <xdr:col>3</xdr:col>
      <xdr:colOff>142875</xdr:colOff>
      <xdr:row>1130</xdr:row>
      <xdr:rowOff>153194</xdr:rowOff>
    </xdr:to>
    <xdr:cxnSp macro="">
      <xdr:nvCxnSpPr>
        <xdr:cNvPr id="470" name="Straight Connector 469"/>
        <xdr:cNvCxnSpPr/>
      </xdr:nvCxnSpPr>
      <xdr:spPr bwMode="auto">
        <a:xfrm rot="5400000">
          <a:off x="1685131" y="9393555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513556</xdr:colOff>
      <xdr:row>1127</xdr:row>
      <xdr:rowOff>66675</xdr:rowOff>
    </xdr:from>
    <xdr:to>
      <xdr:col>7</xdr:col>
      <xdr:colOff>514350</xdr:colOff>
      <xdr:row>1132</xdr:row>
      <xdr:rowOff>10319</xdr:rowOff>
    </xdr:to>
    <xdr:cxnSp macro="">
      <xdr:nvCxnSpPr>
        <xdr:cNvPr id="471" name="Straight Connector 470"/>
        <xdr:cNvCxnSpPr/>
      </xdr:nvCxnSpPr>
      <xdr:spPr bwMode="auto">
        <a:xfrm rot="5400000">
          <a:off x="4533106" y="9395460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1127</xdr:row>
      <xdr:rowOff>38100</xdr:rowOff>
    </xdr:from>
    <xdr:to>
      <xdr:col>3</xdr:col>
      <xdr:colOff>600869</xdr:colOff>
      <xdr:row>1129</xdr:row>
      <xdr:rowOff>19050</xdr:rowOff>
    </xdr:to>
    <xdr:cxnSp macro="">
      <xdr:nvCxnSpPr>
        <xdr:cNvPr id="472" name="Straight Connector 471"/>
        <xdr:cNvCxnSpPr/>
      </xdr:nvCxnSpPr>
      <xdr:spPr bwMode="auto">
        <a:xfrm rot="5400000">
          <a:off x="2286397" y="93782753"/>
          <a:ext cx="30480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1127</xdr:row>
      <xdr:rowOff>9527</xdr:rowOff>
    </xdr:from>
    <xdr:to>
      <xdr:col>7</xdr:col>
      <xdr:colOff>10319</xdr:colOff>
      <xdr:row>1129</xdr:row>
      <xdr:rowOff>9527</xdr:rowOff>
    </xdr:to>
    <xdr:cxnSp macro="">
      <xdr:nvCxnSpPr>
        <xdr:cNvPr id="473" name="Straight Connector 472"/>
        <xdr:cNvCxnSpPr/>
      </xdr:nvCxnSpPr>
      <xdr:spPr bwMode="auto">
        <a:xfrm rot="5400000">
          <a:off x="4162822" y="93763705"/>
          <a:ext cx="32385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419100</xdr:colOff>
      <xdr:row>1124</xdr:row>
      <xdr:rowOff>152400</xdr:rowOff>
    </xdr:from>
    <xdr:to>
      <xdr:col>3</xdr:col>
      <xdr:colOff>114300</xdr:colOff>
      <xdr:row>1125</xdr:row>
      <xdr:rowOff>0</xdr:rowOff>
    </xdr:to>
    <xdr:cxnSp macro="">
      <xdr:nvCxnSpPr>
        <xdr:cNvPr id="474" name="Straight Connector 473"/>
        <xdr:cNvCxnSpPr/>
      </xdr:nvCxnSpPr>
      <xdr:spPr bwMode="auto">
        <a:xfrm flipV="1">
          <a:off x="1647825" y="167201850"/>
          <a:ext cx="3048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371475</xdr:colOff>
      <xdr:row>1110</xdr:row>
      <xdr:rowOff>152400</xdr:rowOff>
    </xdr:from>
    <xdr:to>
      <xdr:col>3</xdr:col>
      <xdr:colOff>266700</xdr:colOff>
      <xdr:row>1111</xdr:row>
      <xdr:rowOff>0</xdr:rowOff>
    </xdr:to>
    <xdr:cxnSp macro="">
      <xdr:nvCxnSpPr>
        <xdr:cNvPr id="475" name="Straight Connector 474"/>
        <xdr:cNvCxnSpPr/>
      </xdr:nvCxnSpPr>
      <xdr:spPr bwMode="auto">
        <a:xfrm flipV="1">
          <a:off x="1600200" y="164934900"/>
          <a:ext cx="5048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142875</xdr:colOff>
      <xdr:row>1128</xdr:row>
      <xdr:rowOff>9525</xdr:rowOff>
    </xdr:from>
    <xdr:to>
      <xdr:col>3</xdr:col>
      <xdr:colOff>600075</xdr:colOff>
      <xdr:row>1128</xdr:row>
      <xdr:rowOff>11113</xdr:rowOff>
    </xdr:to>
    <xdr:cxnSp macro="">
      <xdr:nvCxnSpPr>
        <xdr:cNvPr id="476" name="Straight Arrow Connector 475"/>
        <xdr:cNvCxnSpPr/>
      </xdr:nvCxnSpPr>
      <xdr:spPr bwMode="auto">
        <a:xfrm>
          <a:off x="1981200" y="93764100"/>
          <a:ext cx="457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19050</xdr:colOff>
      <xdr:row>1128</xdr:row>
      <xdr:rowOff>0</xdr:rowOff>
    </xdr:from>
    <xdr:to>
      <xdr:col>7</xdr:col>
      <xdr:colOff>504825</xdr:colOff>
      <xdr:row>1128</xdr:row>
      <xdr:rowOff>1588</xdr:rowOff>
    </xdr:to>
    <xdr:cxnSp macro="">
      <xdr:nvCxnSpPr>
        <xdr:cNvPr id="477" name="Straight Arrow Connector 476"/>
        <xdr:cNvCxnSpPr/>
      </xdr:nvCxnSpPr>
      <xdr:spPr bwMode="auto">
        <a:xfrm>
          <a:off x="4333875" y="9375457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600075</xdr:colOff>
      <xdr:row>1128</xdr:row>
      <xdr:rowOff>9525</xdr:rowOff>
    </xdr:from>
    <xdr:to>
      <xdr:col>7</xdr:col>
      <xdr:colOff>0</xdr:colOff>
      <xdr:row>1128</xdr:row>
      <xdr:rowOff>9526</xdr:rowOff>
    </xdr:to>
    <xdr:cxnSp macro="">
      <xdr:nvCxnSpPr>
        <xdr:cNvPr id="478" name="Straight Arrow Connector 477"/>
        <xdr:cNvCxnSpPr/>
      </xdr:nvCxnSpPr>
      <xdr:spPr bwMode="auto">
        <a:xfrm>
          <a:off x="2438400" y="93764100"/>
          <a:ext cx="18764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123825</xdr:colOff>
      <xdr:row>1129</xdr:row>
      <xdr:rowOff>152400</xdr:rowOff>
    </xdr:from>
    <xdr:to>
      <xdr:col>7</xdr:col>
      <xdr:colOff>514350</xdr:colOff>
      <xdr:row>1130</xdr:row>
      <xdr:rowOff>9525</xdr:rowOff>
    </xdr:to>
    <xdr:cxnSp macro="">
      <xdr:nvCxnSpPr>
        <xdr:cNvPr id="479" name="Straight Arrow Connector 478"/>
        <xdr:cNvCxnSpPr/>
      </xdr:nvCxnSpPr>
      <xdr:spPr bwMode="auto">
        <a:xfrm flipV="1">
          <a:off x="1962150" y="94068900"/>
          <a:ext cx="286702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124619</xdr:colOff>
      <xdr:row>1116</xdr:row>
      <xdr:rowOff>152400</xdr:rowOff>
    </xdr:from>
    <xdr:to>
      <xdr:col>3</xdr:col>
      <xdr:colOff>123825</xdr:colOff>
      <xdr:row>1117</xdr:row>
      <xdr:rowOff>0</xdr:rowOff>
    </xdr:to>
    <xdr:cxnSp macro="">
      <xdr:nvCxnSpPr>
        <xdr:cNvPr id="480" name="Straight Connector 479"/>
        <xdr:cNvCxnSpPr/>
      </xdr:nvCxnSpPr>
      <xdr:spPr bwMode="auto">
        <a:xfrm>
          <a:off x="1353344" y="91963875"/>
          <a:ext cx="60880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419100</xdr:colOff>
      <xdr:row>1118</xdr:row>
      <xdr:rowOff>152400</xdr:rowOff>
    </xdr:from>
    <xdr:to>
      <xdr:col>6</xdr:col>
      <xdr:colOff>161925</xdr:colOff>
      <xdr:row>1119</xdr:row>
      <xdr:rowOff>9525</xdr:rowOff>
    </xdr:to>
    <xdr:cxnSp macro="">
      <xdr:nvCxnSpPr>
        <xdr:cNvPr id="481" name="Straight Connector 480"/>
        <xdr:cNvCxnSpPr/>
      </xdr:nvCxnSpPr>
      <xdr:spPr bwMode="auto">
        <a:xfrm>
          <a:off x="2876550" y="92287725"/>
          <a:ext cx="9906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161925</xdr:colOff>
      <xdr:row>1116</xdr:row>
      <xdr:rowOff>47625</xdr:rowOff>
    </xdr:from>
    <xdr:to>
      <xdr:col>2</xdr:col>
      <xdr:colOff>238125</xdr:colOff>
      <xdr:row>1116</xdr:row>
      <xdr:rowOff>133350</xdr:rowOff>
    </xdr:to>
    <xdr:sp macro="" textlink="">
      <xdr:nvSpPr>
        <xdr:cNvPr id="482" name="Flowchart: Merge 481"/>
        <xdr:cNvSpPr/>
      </xdr:nvSpPr>
      <xdr:spPr bwMode="auto">
        <a:xfrm>
          <a:off x="1390650" y="91859100"/>
          <a:ext cx="76200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180975</xdr:colOff>
      <xdr:row>1118</xdr:row>
      <xdr:rowOff>66675</xdr:rowOff>
    </xdr:from>
    <xdr:to>
      <xdr:col>5</xdr:col>
      <xdr:colOff>304800</xdr:colOff>
      <xdr:row>1119</xdr:row>
      <xdr:rowOff>9525</xdr:rowOff>
    </xdr:to>
    <xdr:sp macro="" textlink="">
      <xdr:nvSpPr>
        <xdr:cNvPr id="483" name="Flowchart: Merge 482"/>
        <xdr:cNvSpPr/>
      </xdr:nvSpPr>
      <xdr:spPr bwMode="auto">
        <a:xfrm>
          <a:off x="3248025" y="92202000"/>
          <a:ext cx="123825" cy="10477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47626</xdr:colOff>
      <xdr:row>1110</xdr:row>
      <xdr:rowOff>152399</xdr:rowOff>
    </xdr:from>
    <xdr:to>
      <xdr:col>3</xdr:col>
      <xdr:colOff>66676</xdr:colOff>
      <xdr:row>1116</xdr:row>
      <xdr:rowOff>161924</xdr:rowOff>
    </xdr:to>
    <xdr:cxnSp macro="">
      <xdr:nvCxnSpPr>
        <xdr:cNvPr id="484" name="Straight Arrow Connector 483"/>
        <xdr:cNvCxnSpPr/>
      </xdr:nvCxnSpPr>
      <xdr:spPr bwMode="auto">
        <a:xfrm rot="5400000">
          <a:off x="1404938" y="91473337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28576</xdr:colOff>
      <xdr:row>1117</xdr:row>
      <xdr:rowOff>9525</xdr:rowOff>
    </xdr:from>
    <xdr:to>
      <xdr:col>3</xdr:col>
      <xdr:colOff>38101</xdr:colOff>
      <xdr:row>1125</xdr:row>
      <xdr:rowOff>0</xdr:rowOff>
    </xdr:to>
    <xdr:cxnSp macro="">
      <xdr:nvCxnSpPr>
        <xdr:cNvPr id="485" name="Straight Arrow Connector 484"/>
        <xdr:cNvCxnSpPr/>
      </xdr:nvCxnSpPr>
      <xdr:spPr bwMode="auto">
        <a:xfrm rot="5400000">
          <a:off x="1228726" y="9262110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285751</xdr:colOff>
      <xdr:row>1119</xdr:row>
      <xdr:rowOff>2</xdr:rowOff>
    </xdr:from>
    <xdr:to>
      <xdr:col>5</xdr:col>
      <xdr:colOff>304801</xdr:colOff>
      <xdr:row>1125</xdr:row>
      <xdr:rowOff>9527</xdr:rowOff>
    </xdr:to>
    <xdr:cxnSp macro="">
      <xdr:nvCxnSpPr>
        <xdr:cNvPr id="486" name="Straight Arrow Connector 485"/>
        <xdr:cNvCxnSpPr/>
      </xdr:nvCxnSpPr>
      <xdr:spPr bwMode="auto">
        <a:xfrm rot="5400000">
          <a:off x="2871788" y="92778265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85725</xdr:colOff>
      <xdr:row>1113</xdr:row>
      <xdr:rowOff>0</xdr:rowOff>
    </xdr:from>
    <xdr:ext cx="235962" cy="170560"/>
    <xdr:sp macro="" textlink="">
      <xdr:nvSpPr>
        <xdr:cNvPr id="487" name="Text Box 133"/>
        <xdr:cNvSpPr txBox="1">
          <a:spLocks noChangeArrowheads="1"/>
        </xdr:cNvSpPr>
      </xdr:nvSpPr>
      <xdr:spPr bwMode="auto">
        <a:xfrm>
          <a:off x="1314450" y="9132570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2</xdr:col>
      <xdr:colOff>47625</xdr:colOff>
      <xdr:row>1120</xdr:row>
      <xdr:rowOff>0</xdr:rowOff>
    </xdr:from>
    <xdr:ext cx="235962" cy="170560"/>
    <xdr:sp macro="" textlink="">
      <xdr:nvSpPr>
        <xdr:cNvPr id="488" name="Text Box 133"/>
        <xdr:cNvSpPr txBox="1">
          <a:spLocks noChangeArrowheads="1"/>
        </xdr:cNvSpPr>
      </xdr:nvSpPr>
      <xdr:spPr bwMode="auto">
        <a:xfrm>
          <a:off x="1276350" y="9245917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h2=</a:t>
          </a:r>
        </a:p>
      </xdr:txBody>
    </xdr:sp>
    <xdr:clientData/>
  </xdr:oneCellAnchor>
  <xdr:twoCellAnchor>
    <xdr:from>
      <xdr:col>1</xdr:col>
      <xdr:colOff>600075</xdr:colOff>
      <xdr:row>1111</xdr:row>
      <xdr:rowOff>0</xdr:rowOff>
    </xdr:from>
    <xdr:to>
      <xdr:col>1</xdr:col>
      <xdr:colOff>600864</xdr:colOff>
      <xdr:row>1125</xdr:row>
      <xdr:rowOff>797</xdr:rowOff>
    </xdr:to>
    <xdr:cxnSp macro="">
      <xdr:nvCxnSpPr>
        <xdr:cNvPr id="489" name="Straight Connector 488"/>
        <xdr:cNvCxnSpPr/>
      </xdr:nvCxnSpPr>
      <xdr:spPr bwMode="auto">
        <a:xfrm rot="5400000" flipH="1" flipV="1">
          <a:off x="76196" y="92135329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304801</xdr:colOff>
      <xdr:row>1117</xdr:row>
      <xdr:rowOff>9525</xdr:rowOff>
    </xdr:from>
    <xdr:to>
      <xdr:col>1</xdr:col>
      <xdr:colOff>314326</xdr:colOff>
      <xdr:row>1125</xdr:row>
      <xdr:rowOff>0</xdr:rowOff>
    </xdr:to>
    <xdr:cxnSp macro="">
      <xdr:nvCxnSpPr>
        <xdr:cNvPr id="490" name="Straight Arrow Connector 489"/>
        <xdr:cNvCxnSpPr/>
      </xdr:nvCxnSpPr>
      <xdr:spPr bwMode="auto">
        <a:xfrm rot="5400000">
          <a:off x="276226" y="9262110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1111</xdr:row>
      <xdr:rowOff>28579</xdr:rowOff>
    </xdr:from>
    <xdr:to>
      <xdr:col>1</xdr:col>
      <xdr:colOff>600075</xdr:colOff>
      <xdr:row>1117</xdr:row>
      <xdr:rowOff>1</xdr:rowOff>
    </xdr:to>
    <xdr:cxnSp macro="">
      <xdr:nvCxnSpPr>
        <xdr:cNvPr id="491" name="Straight Connector 490"/>
        <xdr:cNvCxnSpPr/>
      </xdr:nvCxnSpPr>
      <xdr:spPr bwMode="auto">
        <a:xfrm rot="5400000">
          <a:off x="595315" y="180979765"/>
          <a:ext cx="942972" cy="28574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28575</xdr:colOff>
      <xdr:row>1119</xdr:row>
      <xdr:rowOff>9525</xdr:rowOff>
    </xdr:from>
    <xdr:to>
      <xdr:col>4</xdr:col>
      <xdr:colOff>447675</xdr:colOff>
      <xdr:row>1125</xdr:row>
      <xdr:rowOff>28575</xdr:rowOff>
    </xdr:to>
    <xdr:cxnSp macro="">
      <xdr:nvCxnSpPr>
        <xdr:cNvPr id="492" name="Straight Connector 491"/>
        <xdr:cNvCxnSpPr/>
      </xdr:nvCxnSpPr>
      <xdr:spPr bwMode="auto">
        <a:xfrm rot="16200000" flipH="1">
          <a:off x="2200275" y="92592525"/>
          <a:ext cx="990600" cy="419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304801</xdr:colOff>
      <xdr:row>1124</xdr:row>
      <xdr:rowOff>152400</xdr:rowOff>
    </xdr:from>
    <xdr:to>
      <xdr:col>1</xdr:col>
      <xdr:colOff>600076</xdr:colOff>
      <xdr:row>1125</xdr:row>
      <xdr:rowOff>9525</xdr:rowOff>
    </xdr:to>
    <xdr:cxnSp macro="">
      <xdr:nvCxnSpPr>
        <xdr:cNvPr id="493" name="Straight Connector 492"/>
        <xdr:cNvCxnSpPr/>
      </xdr:nvCxnSpPr>
      <xdr:spPr bwMode="auto">
        <a:xfrm rot="10800000" flipV="1">
          <a:off x="304801" y="93259275"/>
          <a:ext cx="90487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1117</xdr:row>
      <xdr:rowOff>0</xdr:rowOff>
    </xdr:from>
    <xdr:to>
      <xdr:col>1</xdr:col>
      <xdr:colOff>590551</xdr:colOff>
      <xdr:row>1117</xdr:row>
      <xdr:rowOff>1588</xdr:rowOff>
    </xdr:to>
    <xdr:cxnSp macro="">
      <xdr:nvCxnSpPr>
        <xdr:cNvPr id="494" name="Straight Connector 493"/>
        <xdr:cNvCxnSpPr/>
      </xdr:nvCxnSpPr>
      <xdr:spPr bwMode="auto">
        <a:xfrm rot="10800000">
          <a:off x="923926" y="91973400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3</xdr:col>
      <xdr:colOff>123828</xdr:colOff>
      <xdr:row>1111</xdr:row>
      <xdr:rowOff>9527</xdr:rowOff>
    </xdr:from>
    <xdr:to>
      <xdr:col>3</xdr:col>
      <xdr:colOff>132559</xdr:colOff>
      <xdr:row>1124</xdr:row>
      <xdr:rowOff>153198</xdr:rowOff>
    </xdr:to>
    <xdr:cxnSp macro="">
      <xdr:nvCxnSpPr>
        <xdr:cNvPr id="495" name="Straight Connector 494"/>
        <xdr:cNvCxnSpPr/>
      </xdr:nvCxnSpPr>
      <xdr:spPr bwMode="auto">
        <a:xfrm rot="16200000" flipV="1">
          <a:off x="842171" y="92131359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1123</xdr:row>
      <xdr:rowOff>142875</xdr:rowOff>
    </xdr:from>
    <xdr:to>
      <xdr:col>4</xdr:col>
      <xdr:colOff>352426</xdr:colOff>
      <xdr:row>1123</xdr:row>
      <xdr:rowOff>144463</xdr:rowOff>
    </xdr:to>
    <xdr:cxnSp macro="">
      <xdr:nvCxnSpPr>
        <xdr:cNvPr id="496" name="Straight Arrow Connector 495"/>
        <xdr:cNvCxnSpPr/>
      </xdr:nvCxnSpPr>
      <xdr:spPr bwMode="auto">
        <a:xfrm rot="10800000">
          <a:off x="2457451" y="93087825"/>
          <a:ext cx="352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</xdr:colOff>
      <xdr:row>1121</xdr:row>
      <xdr:rowOff>19050</xdr:rowOff>
    </xdr:from>
    <xdr:to>
      <xdr:col>4</xdr:col>
      <xdr:colOff>171450</xdr:colOff>
      <xdr:row>1121</xdr:row>
      <xdr:rowOff>20638</xdr:rowOff>
    </xdr:to>
    <xdr:cxnSp macro="">
      <xdr:nvCxnSpPr>
        <xdr:cNvPr id="497" name="Straight Arrow Connector 496"/>
        <xdr:cNvCxnSpPr/>
      </xdr:nvCxnSpPr>
      <xdr:spPr bwMode="auto">
        <a:xfrm rot="10800000">
          <a:off x="2457452" y="92640150"/>
          <a:ext cx="1714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38100</xdr:colOff>
      <xdr:row>1114</xdr:row>
      <xdr:rowOff>85726</xdr:rowOff>
    </xdr:from>
    <xdr:to>
      <xdr:col>1</xdr:col>
      <xdr:colOff>590550</xdr:colOff>
      <xdr:row>1114</xdr:row>
      <xdr:rowOff>95250</xdr:rowOff>
    </xdr:to>
    <xdr:cxnSp macro="">
      <xdr:nvCxnSpPr>
        <xdr:cNvPr id="498" name="Straight Arrow Connector 497"/>
        <xdr:cNvCxnSpPr/>
      </xdr:nvCxnSpPr>
      <xdr:spPr bwMode="auto">
        <a:xfrm>
          <a:off x="647700" y="9157335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1119</xdr:row>
      <xdr:rowOff>0</xdr:rowOff>
    </xdr:from>
    <xdr:to>
      <xdr:col>2</xdr:col>
      <xdr:colOff>0</xdr:colOff>
      <xdr:row>1119</xdr:row>
      <xdr:rowOff>9525</xdr:rowOff>
    </xdr:to>
    <xdr:cxnSp macro="">
      <xdr:nvCxnSpPr>
        <xdr:cNvPr id="499" name="Straight Arrow Connector 498"/>
        <xdr:cNvCxnSpPr/>
      </xdr:nvCxnSpPr>
      <xdr:spPr bwMode="auto">
        <a:xfrm flipV="1">
          <a:off x="933450" y="92297250"/>
          <a:ext cx="2952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304800</xdr:colOff>
      <xdr:row>1121</xdr:row>
      <xdr:rowOff>9525</xdr:rowOff>
    </xdr:from>
    <xdr:to>
      <xdr:col>1</xdr:col>
      <xdr:colOff>600075</xdr:colOff>
      <xdr:row>1121</xdr:row>
      <xdr:rowOff>11113</xdr:rowOff>
    </xdr:to>
    <xdr:cxnSp macro="">
      <xdr:nvCxnSpPr>
        <xdr:cNvPr id="500" name="Straight Arrow Connector 499"/>
        <xdr:cNvCxnSpPr/>
      </xdr:nvCxnSpPr>
      <xdr:spPr bwMode="auto">
        <a:xfrm>
          <a:off x="914400" y="92630625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1124</xdr:row>
      <xdr:rowOff>0</xdr:rowOff>
    </xdr:from>
    <xdr:to>
      <xdr:col>1</xdr:col>
      <xdr:colOff>600075</xdr:colOff>
      <xdr:row>1124</xdr:row>
      <xdr:rowOff>1588</xdr:rowOff>
    </xdr:to>
    <xdr:cxnSp macro="">
      <xdr:nvCxnSpPr>
        <xdr:cNvPr id="501" name="Straight Arrow Connector 500"/>
        <xdr:cNvCxnSpPr/>
      </xdr:nvCxnSpPr>
      <xdr:spPr bwMode="auto">
        <a:xfrm>
          <a:off x="933450" y="93106875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600075</xdr:colOff>
      <xdr:row>1121</xdr:row>
      <xdr:rowOff>114300</xdr:rowOff>
    </xdr:from>
    <xdr:to>
      <xdr:col>1</xdr:col>
      <xdr:colOff>304800</xdr:colOff>
      <xdr:row>1121</xdr:row>
      <xdr:rowOff>114302</xdr:rowOff>
    </xdr:to>
    <xdr:cxnSp macro="">
      <xdr:nvCxnSpPr>
        <xdr:cNvPr id="502" name="Straight Arrow Connector 501"/>
        <xdr:cNvCxnSpPr/>
      </xdr:nvCxnSpPr>
      <xdr:spPr bwMode="auto">
        <a:xfrm>
          <a:off x="600075" y="92735400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1124</xdr:row>
      <xdr:rowOff>0</xdr:rowOff>
    </xdr:from>
    <xdr:to>
      <xdr:col>1</xdr:col>
      <xdr:colOff>295275</xdr:colOff>
      <xdr:row>1124</xdr:row>
      <xdr:rowOff>1588</xdr:rowOff>
    </xdr:to>
    <xdr:cxnSp macro="">
      <xdr:nvCxnSpPr>
        <xdr:cNvPr id="503" name="Straight Arrow Connector 502"/>
        <xdr:cNvCxnSpPr/>
      </xdr:nvCxnSpPr>
      <xdr:spPr bwMode="auto">
        <a:xfrm>
          <a:off x="419100" y="9310687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104775</xdr:colOff>
      <xdr:row>1120</xdr:row>
      <xdr:rowOff>9525</xdr:rowOff>
    </xdr:from>
    <xdr:to>
      <xdr:col>1</xdr:col>
      <xdr:colOff>304800</xdr:colOff>
      <xdr:row>1120</xdr:row>
      <xdr:rowOff>11113</xdr:rowOff>
    </xdr:to>
    <xdr:cxnSp macro="">
      <xdr:nvCxnSpPr>
        <xdr:cNvPr id="504" name="Straight Arrow Connector 503"/>
        <xdr:cNvCxnSpPr/>
      </xdr:nvCxnSpPr>
      <xdr:spPr bwMode="auto">
        <a:xfrm>
          <a:off x="714375" y="92468700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419100</xdr:colOff>
      <xdr:row>1115</xdr:row>
      <xdr:rowOff>19050</xdr:rowOff>
    </xdr:from>
    <xdr:to>
      <xdr:col>1</xdr:col>
      <xdr:colOff>600075</xdr:colOff>
      <xdr:row>1115</xdr:row>
      <xdr:rowOff>20638</xdr:rowOff>
    </xdr:to>
    <xdr:cxnSp macro="">
      <xdr:nvCxnSpPr>
        <xdr:cNvPr id="505" name="Straight Arrow Connector 504"/>
        <xdr:cNvCxnSpPr/>
      </xdr:nvCxnSpPr>
      <xdr:spPr bwMode="auto">
        <a:xfrm>
          <a:off x="1028700" y="91668600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457200</xdr:colOff>
      <xdr:row>1114</xdr:row>
      <xdr:rowOff>0</xdr:rowOff>
    </xdr:from>
    <xdr:to>
      <xdr:col>1</xdr:col>
      <xdr:colOff>600075</xdr:colOff>
      <xdr:row>1114</xdr:row>
      <xdr:rowOff>1588</xdr:rowOff>
    </xdr:to>
    <xdr:cxnSp macro="">
      <xdr:nvCxnSpPr>
        <xdr:cNvPr id="506" name="Straight Arrow Connector 505"/>
        <xdr:cNvCxnSpPr/>
      </xdr:nvCxnSpPr>
      <xdr:spPr bwMode="auto">
        <a:xfrm>
          <a:off x="1066800" y="91487625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oneCellAnchor>
    <xdr:from>
      <xdr:col>5</xdr:col>
      <xdr:colOff>28575</xdr:colOff>
      <xdr:row>1121</xdr:row>
      <xdr:rowOff>9525</xdr:rowOff>
    </xdr:from>
    <xdr:ext cx="235962" cy="170560"/>
    <xdr:sp macro="" textlink="">
      <xdr:nvSpPr>
        <xdr:cNvPr id="507" name="Text Box 133"/>
        <xdr:cNvSpPr txBox="1">
          <a:spLocks noChangeArrowheads="1"/>
        </xdr:cNvSpPr>
      </xdr:nvSpPr>
      <xdr:spPr bwMode="auto">
        <a:xfrm>
          <a:off x="3095625" y="9263062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h3=</a:t>
          </a:r>
        </a:p>
      </xdr:txBody>
    </xdr:sp>
    <xdr:clientData/>
  </xdr:oneCellAnchor>
  <xdr:oneCellAnchor>
    <xdr:from>
      <xdr:col>5</xdr:col>
      <xdr:colOff>38100</xdr:colOff>
      <xdr:row>1129</xdr:row>
      <xdr:rowOff>152400</xdr:rowOff>
    </xdr:from>
    <xdr:ext cx="178895" cy="170560"/>
    <xdr:sp macro="" textlink="">
      <xdr:nvSpPr>
        <xdr:cNvPr id="508" name="Text Box 133"/>
        <xdr:cNvSpPr txBox="1">
          <a:spLocks noChangeArrowheads="1"/>
        </xdr:cNvSpPr>
      </xdr:nvSpPr>
      <xdr:spPr bwMode="auto">
        <a:xfrm>
          <a:off x="3105150" y="94068900"/>
          <a:ext cx="17889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5</xdr:col>
      <xdr:colOff>28575</xdr:colOff>
      <xdr:row>1128</xdr:row>
      <xdr:rowOff>9525</xdr:rowOff>
    </xdr:from>
    <xdr:ext cx="200311" cy="170560"/>
    <xdr:sp macro="" textlink="">
      <xdr:nvSpPr>
        <xdr:cNvPr id="509" name="Text Box 133"/>
        <xdr:cNvSpPr txBox="1">
          <a:spLocks noChangeArrowheads="1"/>
        </xdr:cNvSpPr>
      </xdr:nvSpPr>
      <xdr:spPr bwMode="auto">
        <a:xfrm>
          <a:off x="3095625" y="167706675"/>
          <a:ext cx="20031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 =</a:t>
          </a:r>
        </a:p>
      </xdr:txBody>
    </xdr:sp>
    <xdr:clientData/>
  </xdr:oneCellAnchor>
  <xdr:twoCellAnchor>
    <xdr:from>
      <xdr:col>1</xdr:col>
      <xdr:colOff>38100</xdr:colOff>
      <xdr:row>1118</xdr:row>
      <xdr:rowOff>85726</xdr:rowOff>
    </xdr:from>
    <xdr:to>
      <xdr:col>1</xdr:col>
      <xdr:colOff>590550</xdr:colOff>
      <xdr:row>1118</xdr:row>
      <xdr:rowOff>95250</xdr:rowOff>
    </xdr:to>
    <xdr:cxnSp macro="">
      <xdr:nvCxnSpPr>
        <xdr:cNvPr id="510" name="Straight Arrow Connector 509"/>
        <xdr:cNvCxnSpPr/>
      </xdr:nvCxnSpPr>
      <xdr:spPr bwMode="auto">
        <a:xfrm>
          <a:off x="647700" y="9222105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1122</xdr:row>
      <xdr:rowOff>76200</xdr:rowOff>
    </xdr:from>
    <xdr:to>
      <xdr:col>2</xdr:col>
      <xdr:colOff>9525</xdr:colOff>
      <xdr:row>1122</xdr:row>
      <xdr:rowOff>77788</xdr:rowOff>
    </xdr:to>
    <xdr:cxnSp macro="">
      <xdr:nvCxnSpPr>
        <xdr:cNvPr id="511" name="Straight Arrow Connector 510"/>
        <xdr:cNvCxnSpPr/>
      </xdr:nvCxnSpPr>
      <xdr:spPr bwMode="auto">
        <a:xfrm>
          <a:off x="419100" y="92859225"/>
          <a:ext cx="819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9528</xdr:colOff>
      <xdr:row>1122</xdr:row>
      <xdr:rowOff>76199</xdr:rowOff>
    </xdr:from>
    <xdr:to>
      <xdr:col>4</xdr:col>
      <xdr:colOff>400051</xdr:colOff>
      <xdr:row>1122</xdr:row>
      <xdr:rowOff>85724</xdr:rowOff>
    </xdr:to>
    <xdr:cxnSp macro="">
      <xdr:nvCxnSpPr>
        <xdr:cNvPr id="512" name="Straight Arrow Connector 511"/>
        <xdr:cNvCxnSpPr/>
      </xdr:nvCxnSpPr>
      <xdr:spPr bwMode="auto">
        <a:xfrm rot="10800000" flipV="1">
          <a:off x="2466978" y="92859224"/>
          <a:ext cx="390523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542925</xdr:colOff>
      <xdr:row>1206</xdr:row>
      <xdr:rowOff>104775</xdr:rowOff>
    </xdr:from>
    <xdr:to>
      <xdr:col>7</xdr:col>
      <xdr:colOff>304800</xdr:colOff>
      <xdr:row>1208</xdr:row>
      <xdr:rowOff>0</xdr:rowOff>
    </xdr:to>
    <xdr:sp macro="" textlink="">
      <xdr:nvSpPr>
        <xdr:cNvPr id="513" name="Arc 512"/>
        <xdr:cNvSpPr/>
      </xdr:nvSpPr>
      <xdr:spPr bwMode="auto">
        <a:xfrm>
          <a:off x="4248150" y="109404150"/>
          <a:ext cx="371475" cy="219075"/>
        </a:xfrm>
        <a:prstGeom prst="arc">
          <a:avLst>
            <a:gd name="adj1" fmla="val 9384173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561976</xdr:colOff>
      <xdr:row>1206</xdr:row>
      <xdr:rowOff>85725</xdr:rowOff>
    </xdr:from>
    <xdr:to>
      <xdr:col>5</xdr:col>
      <xdr:colOff>152400</xdr:colOff>
      <xdr:row>1208</xdr:row>
      <xdr:rowOff>0</xdr:rowOff>
    </xdr:to>
    <xdr:sp macro="" textlink="">
      <xdr:nvSpPr>
        <xdr:cNvPr id="514" name="Arc 513"/>
        <xdr:cNvSpPr/>
      </xdr:nvSpPr>
      <xdr:spPr bwMode="auto">
        <a:xfrm flipH="1">
          <a:off x="3019426" y="109385100"/>
          <a:ext cx="200024" cy="238125"/>
        </a:xfrm>
        <a:prstGeom prst="arc">
          <a:avLst>
            <a:gd name="adj1" fmla="val 16200000"/>
            <a:gd name="adj2" fmla="val 509192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9525</xdr:colOff>
      <xdr:row>1213</xdr:row>
      <xdr:rowOff>0</xdr:rowOff>
    </xdr:from>
    <xdr:to>
      <xdr:col>7</xdr:col>
      <xdr:colOff>180975</xdr:colOff>
      <xdr:row>1213</xdr:row>
      <xdr:rowOff>1588</xdr:rowOff>
    </xdr:to>
    <xdr:cxnSp macro="">
      <xdr:nvCxnSpPr>
        <xdr:cNvPr id="515" name="Straight Connector 514"/>
        <xdr:cNvCxnSpPr/>
      </xdr:nvCxnSpPr>
      <xdr:spPr bwMode="auto">
        <a:xfrm>
          <a:off x="1238250" y="110432850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1214</xdr:row>
      <xdr:rowOff>152400</xdr:rowOff>
    </xdr:from>
    <xdr:to>
      <xdr:col>7</xdr:col>
      <xdr:colOff>171450</xdr:colOff>
      <xdr:row>1214</xdr:row>
      <xdr:rowOff>153988</xdr:rowOff>
    </xdr:to>
    <xdr:cxnSp macro="">
      <xdr:nvCxnSpPr>
        <xdr:cNvPr id="516" name="Straight Connector 515"/>
        <xdr:cNvCxnSpPr/>
      </xdr:nvCxnSpPr>
      <xdr:spPr bwMode="auto">
        <a:xfrm>
          <a:off x="1228725" y="110747175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608807</xdr:colOff>
      <xdr:row>1213</xdr:row>
      <xdr:rowOff>793</xdr:rowOff>
    </xdr:from>
    <xdr:to>
      <xdr:col>2</xdr:col>
      <xdr:colOff>795</xdr:colOff>
      <xdr:row>1214</xdr:row>
      <xdr:rowOff>153193</xdr:rowOff>
    </xdr:to>
    <xdr:cxnSp macro="">
      <xdr:nvCxnSpPr>
        <xdr:cNvPr id="517" name="Straight Connector 516"/>
        <xdr:cNvCxnSpPr/>
      </xdr:nvCxnSpPr>
      <xdr:spPr bwMode="auto">
        <a:xfrm rot="5400000">
          <a:off x="1066801" y="110585249"/>
          <a:ext cx="314325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8731</xdr:colOff>
      <xdr:row>1215</xdr:row>
      <xdr:rowOff>115097</xdr:rowOff>
    </xdr:from>
    <xdr:to>
      <xdr:col>2</xdr:col>
      <xdr:colOff>10319</xdr:colOff>
      <xdr:row>1219</xdr:row>
      <xdr:rowOff>29371</xdr:rowOff>
    </xdr:to>
    <xdr:cxnSp macro="">
      <xdr:nvCxnSpPr>
        <xdr:cNvPr id="519" name="Straight Connector 518"/>
        <xdr:cNvCxnSpPr/>
      </xdr:nvCxnSpPr>
      <xdr:spPr bwMode="auto">
        <a:xfrm rot="5400000">
          <a:off x="957263" y="111151990"/>
          <a:ext cx="561974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219075</xdr:colOff>
      <xdr:row>1210</xdr:row>
      <xdr:rowOff>142877</xdr:rowOff>
    </xdr:from>
    <xdr:to>
      <xdr:col>2</xdr:col>
      <xdr:colOff>220663</xdr:colOff>
      <xdr:row>1212</xdr:row>
      <xdr:rowOff>133352</xdr:rowOff>
    </xdr:to>
    <xdr:cxnSp macro="">
      <xdr:nvCxnSpPr>
        <xdr:cNvPr id="520" name="Straight Connector 519"/>
        <xdr:cNvCxnSpPr/>
      </xdr:nvCxnSpPr>
      <xdr:spPr bwMode="auto">
        <a:xfrm rot="5400000">
          <a:off x="1291431" y="110246321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314325</xdr:colOff>
      <xdr:row>1215</xdr:row>
      <xdr:rowOff>9528</xdr:rowOff>
    </xdr:from>
    <xdr:to>
      <xdr:col>4</xdr:col>
      <xdr:colOff>315913</xdr:colOff>
      <xdr:row>1217</xdr:row>
      <xdr:rowOff>3</xdr:rowOff>
    </xdr:to>
    <xdr:cxnSp macro="">
      <xdr:nvCxnSpPr>
        <xdr:cNvPr id="523" name="Straight Connector 522"/>
        <xdr:cNvCxnSpPr/>
      </xdr:nvCxnSpPr>
      <xdr:spPr bwMode="auto">
        <a:xfrm rot="5400000">
          <a:off x="2615406" y="110922597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238125</xdr:colOff>
      <xdr:row>1212</xdr:row>
      <xdr:rowOff>0</xdr:rowOff>
    </xdr:from>
    <xdr:to>
      <xdr:col>7</xdr:col>
      <xdr:colOff>171450</xdr:colOff>
      <xdr:row>1212</xdr:row>
      <xdr:rowOff>9525</xdr:rowOff>
    </xdr:to>
    <xdr:cxnSp macro="">
      <xdr:nvCxnSpPr>
        <xdr:cNvPr id="524" name="Straight Arrow Connector 523"/>
        <xdr:cNvCxnSpPr/>
      </xdr:nvCxnSpPr>
      <xdr:spPr bwMode="auto">
        <a:xfrm flipV="1">
          <a:off x="1466850" y="110270925"/>
          <a:ext cx="3019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323850</xdr:colOff>
      <xdr:row>1216</xdr:row>
      <xdr:rowOff>9525</xdr:rowOff>
    </xdr:from>
    <xdr:to>
      <xdr:col>7</xdr:col>
      <xdr:colOff>180975</xdr:colOff>
      <xdr:row>1216</xdr:row>
      <xdr:rowOff>11113</xdr:rowOff>
    </xdr:to>
    <xdr:cxnSp macro="">
      <xdr:nvCxnSpPr>
        <xdr:cNvPr id="525" name="Straight Arrow Connector 524"/>
        <xdr:cNvCxnSpPr/>
      </xdr:nvCxnSpPr>
      <xdr:spPr bwMode="auto">
        <a:xfrm>
          <a:off x="2781300" y="110928150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400050</xdr:colOff>
      <xdr:row>1218</xdr:row>
      <xdr:rowOff>85725</xdr:rowOff>
    </xdr:from>
    <xdr:to>
      <xdr:col>7</xdr:col>
      <xdr:colOff>180975</xdr:colOff>
      <xdr:row>1218</xdr:row>
      <xdr:rowOff>96838</xdr:rowOff>
    </xdr:to>
    <xdr:cxnSp macro="">
      <xdr:nvCxnSpPr>
        <xdr:cNvPr id="526" name="Straight Arrow Connector 525"/>
        <xdr:cNvCxnSpPr/>
      </xdr:nvCxnSpPr>
      <xdr:spPr bwMode="auto">
        <a:xfrm>
          <a:off x="3467100" y="111328200"/>
          <a:ext cx="1028700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19051</xdr:colOff>
      <xdr:row>1218</xdr:row>
      <xdr:rowOff>95250</xdr:rowOff>
    </xdr:from>
    <xdr:to>
      <xdr:col>4</xdr:col>
      <xdr:colOff>85726</xdr:colOff>
      <xdr:row>1218</xdr:row>
      <xdr:rowOff>96838</xdr:rowOff>
    </xdr:to>
    <xdr:cxnSp macro="">
      <xdr:nvCxnSpPr>
        <xdr:cNvPr id="527" name="Straight Arrow Connector 526"/>
        <xdr:cNvCxnSpPr/>
      </xdr:nvCxnSpPr>
      <xdr:spPr bwMode="auto">
        <a:xfrm rot="10800000">
          <a:off x="1247776" y="111337725"/>
          <a:ext cx="1295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219075</xdr:colOff>
      <xdr:row>1212</xdr:row>
      <xdr:rowOff>152400</xdr:rowOff>
    </xdr:from>
    <xdr:to>
      <xdr:col>7</xdr:col>
      <xdr:colOff>476250</xdr:colOff>
      <xdr:row>1212</xdr:row>
      <xdr:rowOff>153988</xdr:rowOff>
    </xdr:to>
    <xdr:cxnSp macro="">
      <xdr:nvCxnSpPr>
        <xdr:cNvPr id="528" name="Straight Connector 527"/>
        <xdr:cNvCxnSpPr/>
      </xdr:nvCxnSpPr>
      <xdr:spPr bwMode="auto">
        <a:xfrm>
          <a:off x="4533900" y="11042332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228600</xdr:colOff>
      <xdr:row>1215</xdr:row>
      <xdr:rowOff>0</xdr:rowOff>
    </xdr:from>
    <xdr:to>
      <xdr:col>7</xdr:col>
      <xdr:colOff>485775</xdr:colOff>
      <xdr:row>1215</xdr:row>
      <xdr:rowOff>1588</xdr:rowOff>
    </xdr:to>
    <xdr:cxnSp macro="">
      <xdr:nvCxnSpPr>
        <xdr:cNvPr id="529" name="Straight Connector 528"/>
        <xdr:cNvCxnSpPr/>
      </xdr:nvCxnSpPr>
      <xdr:spPr bwMode="auto">
        <a:xfrm>
          <a:off x="4543425" y="11075670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1213</xdr:row>
      <xdr:rowOff>19049</xdr:rowOff>
    </xdr:from>
    <xdr:to>
      <xdr:col>7</xdr:col>
      <xdr:colOff>295275</xdr:colOff>
      <xdr:row>1215</xdr:row>
      <xdr:rowOff>9524</xdr:rowOff>
    </xdr:to>
    <xdr:cxnSp macro="">
      <xdr:nvCxnSpPr>
        <xdr:cNvPr id="530" name="Straight Arrow Connector 529"/>
        <xdr:cNvCxnSpPr/>
      </xdr:nvCxnSpPr>
      <xdr:spPr bwMode="auto">
        <a:xfrm rot="16200000" flipH="1">
          <a:off x="4448175" y="110604299"/>
          <a:ext cx="314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342900</xdr:colOff>
      <xdr:row>1212</xdr:row>
      <xdr:rowOff>133350</xdr:rowOff>
    </xdr:from>
    <xdr:to>
      <xdr:col>2</xdr:col>
      <xdr:colOff>104775</xdr:colOff>
      <xdr:row>1215</xdr:row>
      <xdr:rowOff>28575</xdr:rowOff>
    </xdr:to>
    <xdr:sp macro="" textlink="">
      <xdr:nvSpPr>
        <xdr:cNvPr id="531" name="Arc 530"/>
        <xdr:cNvSpPr/>
      </xdr:nvSpPr>
      <xdr:spPr bwMode="auto">
        <a:xfrm>
          <a:off x="952500" y="110404275"/>
          <a:ext cx="381000" cy="381000"/>
        </a:xfrm>
        <a:prstGeom prst="arc">
          <a:avLst>
            <a:gd name="adj1" fmla="val 6868560"/>
            <a:gd name="adj2" fmla="val 14929119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504825</xdr:colOff>
      <xdr:row>1212</xdr:row>
      <xdr:rowOff>85725</xdr:rowOff>
    </xdr:from>
    <xdr:to>
      <xdr:col>8</xdr:col>
      <xdr:colOff>219075</xdr:colOff>
      <xdr:row>1214</xdr:row>
      <xdr:rowOff>152400</xdr:rowOff>
    </xdr:to>
    <xdr:sp macro="" textlink="">
      <xdr:nvSpPr>
        <xdr:cNvPr id="532" name="Arc 531"/>
        <xdr:cNvSpPr/>
      </xdr:nvSpPr>
      <xdr:spPr bwMode="auto">
        <a:xfrm flipH="1">
          <a:off x="4819650" y="110356650"/>
          <a:ext cx="323850" cy="390525"/>
        </a:xfrm>
        <a:prstGeom prst="arc">
          <a:avLst>
            <a:gd name="adj1" fmla="val 4531782"/>
            <a:gd name="adj2" fmla="val 17612854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190509</xdr:colOff>
      <xdr:row>1115</xdr:row>
      <xdr:rowOff>85724</xdr:rowOff>
    </xdr:from>
    <xdr:to>
      <xdr:col>4</xdr:col>
      <xdr:colOff>219076</xdr:colOff>
      <xdr:row>1115</xdr:row>
      <xdr:rowOff>104773</xdr:rowOff>
    </xdr:to>
    <xdr:cxnSp macro="">
      <xdr:nvCxnSpPr>
        <xdr:cNvPr id="533" name="Straight Arrow Connector 532"/>
        <xdr:cNvCxnSpPr/>
      </xdr:nvCxnSpPr>
      <xdr:spPr bwMode="auto">
        <a:xfrm rot="10800000" flipV="1">
          <a:off x="2028834" y="91735274"/>
          <a:ext cx="647692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180974</xdr:colOff>
      <xdr:row>1115</xdr:row>
      <xdr:rowOff>95250</xdr:rowOff>
    </xdr:from>
    <xdr:to>
      <xdr:col>3</xdr:col>
      <xdr:colOff>190499</xdr:colOff>
      <xdr:row>1117</xdr:row>
      <xdr:rowOff>0</xdr:rowOff>
    </xdr:to>
    <xdr:cxnSp macro="">
      <xdr:nvCxnSpPr>
        <xdr:cNvPr id="534" name="Straight Arrow Connector 533"/>
        <xdr:cNvCxnSpPr/>
      </xdr:nvCxnSpPr>
      <xdr:spPr bwMode="auto">
        <a:xfrm rot="16200000" flipH="1">
          <a:off x="1909762" y="91854337"/>
          <a:ext cx="228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sm" len="sm"/>
          <a:tailEnd type="triangle" w="sm" len="sm"/>
        </a:ln>
        <a:effectLst/>
      </xdr:spPr>
    </xdr:cxnSp>
    <xdr:clientData/>
  </xdr:twoCellAnchor>
  <xdr:twoCellAnchor>
    <xdr:from>
      <xdr:col>4</xdr:col>
      <xdr:colOff>342108</xdr:colOff>
      <xdr:row>1209</xdr:row>
      <xdr:rowOff>9528</xdr:rowOff>
    </xdr:from>
    <xdr:to>
      <xdr:col>4</xdr:col>
      <xdr:colOff>342901</xdr:colOff>
      <xdr:row>1211</xdr:row>
      <xdr:rowOff>115093</xdr:rowOff>
    </xdr:to>
    <xdr:cxnSp macro="">
      <xdr:nvCxnSpPr>
        <xdr:cNvPr id="535" name="Straight Arrow Connector 534"/>
        <xdr:cNvCxnSpPr/>
      </xdr:nvCxnSpPr>
      <xdr:spPr bwMode="auto">
        <a:xfrm rot="5400000">
          <a:off x="2585247" y="110008989"/>
          <a:ext cx="429415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323850</xdr:colOff>
      <xdr:row>1209</xdr:row>
      <xdr:rowOff>152400</xdr:rowOff>
    </xdr:from>
    <xdr:to>
      <xdr:col>7</xdr:col>
      <xdr:colOff>180975</xdr:colOff>
      <xdr:row>1209</xdr:row>
      <xdr:rowOff>153988</xdr:rowOff>
    </xdr:to>
    <xdr:cxnSp macro="">
      <xdr:nvCxnSpPr>
        <xdr:cNvPr id="536" name="Straight Arrow Connector 535"/>
        <xdr:cNvCxnSpPr/>
      </xdr:nvCxnSpPr>
      <xdr:spPr bwMode="auto">
        <a:xfrm>
          <a:off x="2781300" y="109937550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190500</xdr:colOff>
      <xdr:row>1210</xdr:row>
      <xdr:rowOff>85728</xdr:rowOff>
    </xdr:from>
    <xdr:to>
      <xdr:col>8</xdr:col>
      <xdr:colOff>19052</xdr:colOff>
      <xdr:row>1211</xdr:row>
      <xdr:rowOff>9525</xdr:rowOff>
    </xdr:to>
    <xdr:cxnSp macro="">
      <xdr:nvCxnSpPr>
        <xdr:cNvPr id="537" name="Straight Arrow Connector 536"/>
        <xdr:cNvCxnSpPr/>
      </xdr:nvCxnSpPr>
      <xdr:spPr bwMode="auto">
        <a:xfrm rot="10800000" flipV="1">
          <a:off x="4505325" y="110032803"/>
          <a:ext cx="438152" cy="857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323056</xdr:colOff>
      <xdr:row>1121</xdr:row>
      <xdr:rowOff>48419</xdr:rowOff>
    </xdr:from>
    <xdr:to>
      <xdr:col>6</xdr:col>
      <xdr:colOff>324644</xdr:colOff>
      <xdr:row>1123</xdr:row>
      <xdr:rowOff>48419</xdr:rowOff>
    </xdr:to>
    <xdr:cxnSp macro="">
      <xdr:nvCxnSpPr>
        <xdr:cNvPr id="538" name="Straight Arrow Connector 537"/>
        <xdr:cNvCxnSpPr/>
      </xdr:nvCxnSpPr>
      <xdr:spPr bwMode="auto">
        <a:xfrm rot="5400000">
          <a:off x="3867150" y="92830650"/>
          <a:ext cx="32385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9525</xdr:colOff>
      <xdr:row>1216</xdr:row>
      <xdr:rowOff>95250</xdr:rowOff>
    </xdr:from>
    <xdr:to>
      <xdr:col>2</xdr:col>
      <xdr:colOff>276225</xdr:colOff>
      <xdr:row>1216</xdr:row>
      <xdr:rowOff>96838</xdr:rowOff>
    </xdr:to>
    <xdr:cxnSp macro="">
      <xdr:nvCxnSpPr>
        <xdr:cNvPr id="539" name="Straight Arrow Connector 538"/>
        <xdr:cNvCxnSpPr/>
      </xdr:nvCxnSpPr>
      <xdr:spPr bwMode="auto">
        <a:xfrm>
          <a:off x="1238250" y="111013875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68035</xdr:colOff>
      <xdr:row>53</xdr:row>
      <xdr:rowOff>95250</xdr:rowOff>
    </xdr:from>
    <xdr:to>
      <xdr:col>3</xdr:col>
      <xdr:colOff>333375</xdr:colOff>
      <xdr:row>53</xdr:row>
      <xdr:rowOff>106913</xdr:rowOff>
    </xdr:to>
    <xdr:cxnSp macro="">
      <xdr:nvCxnSpPr>
        <xdr:cNvPr id="541" name="Straight Connector 540"/>
        <xdr:cNvCxnSpPr/>
      </xdr:nvCxnSpPr>
      <xdr:spPr bwMode="auto">
        <a:xfrm flipV="1">
          <a:off x="1914719" y="9571653"/>
          <a:ext cx="265340" cy="11663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314325</xdr:colOff>
      <xdr:row>372</xdr:row>
      <xdr:rowOff>28575</xdr:rowOff>
    </xdr:from>
    <xdr:to>
      <xdr:col>1</xdr:col>
      <xdr:colOff>314325</xdr:colOff>
      <xdr:row>380</xdr:row>
      <xdr:rowOff>9525</xdr:rowOff>
    </xdr:to>
    <xdr:cxnSp macro="">
      <xdr:nvCxnSpPr>
        <xdr:cNvPr id="542" name="Straight Connector 541"/>
        <xdr:cNvCxnSpPr/>
      </xdr:nvCxnSpPr>
      <xdr:spPr bwMode="auto">
        <a:xfrm rot="5400000">
          <a:off x="-19050" y="56435625"/>
          <a:ext cx="1276350" cy="60960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323851</xdr:colOff>
      <xdr:row>868</xdr:row>
      <xdr:rowOff>19049</xdr:rowOff>
    </xdr:from>
    <xdr:to>
      <xdr:col>1</xdr:col>
      <xdr:colOff>304801</xdr:colOff>
      <xdr:row>876</xdr:row>
      <xdr:rowOff>9524</xdr:rowOff>
    </xdr:to>
    <xdr:cxnSp macro="">
      <xdr:nvCxnSpPr>
        <xdr:cNvPr id="544" name="Straight Connector 543"/>
        <xdr:cNvCxnSpPr/>
      </xdr:nvCxnSpPr>
      <xdr:spPr bwMode="auto">
        <a:xfrm rot="5400000">
          <a:off x="-23812" y="92635387"/>
          <a:ext cx="1285875" cy="5905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314325</xdr:colOff>
      <xdr:row>1116</xdr:row>
      <xdr:rowOff>152400</xdr:rowOff>
    </xdr:from>
    <xdr:to>
      <xdr:col>1</xdr:col>
      <xdr:colOff>314325</xdr:colOff>
      <xdr:row>1125</xdr:row>
      <xdr:rowOff>9525</xdr:rowOff>
    </xdr:to>
    <xdr:cxnSp macro="">
      <xdr:nvCxnSpPr>
        <xdr:cNvPr id="546" name="Straight Connector 545"/>
        <xdr:cNvCxnSpPr/>
      </xdr:nvCxnSpPr>
      <xdr:spPr bwMode="auto">
        <a:xfrm rot="5400000">
          <a:off x="-38100" y="128644650"/>
          <a:ext cx="1314450" cy="6096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8731</xdr:colOff>
      <xdr:row>53</xdr:row>
      <xdr:rowOff>125202</xdr:rowOff>
    </xdr:from>
    <xdr:to>
      <xdr:col>9</xdr:col>
      <xdr:colOff>10319</xdr:colOff>
      <xdr:row>54</xdr:row>
      <xdr:rowOff>77577</xdr:rowOff>
    </xdr:to>
    <xdr:cxnSp macro="">
      <xdr:nvCxnSpPr>
        <xdr:cNvPr id="543" name="Straight Connector 542"/>
        <xdr:cNvCxnSpPr/>
      </xdr:nvCxnSpPr>
      <xdr:spPr bwMode="auto">
        <a:xfrm rot="5400000">
          <a:off x="5495633" y="9674193"/>
          <a:ext cx="146763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54</xdr:row>
      <xdr:rowOff>114300</xdr:rowOff>
    </xdr:from>
    <xdr:to>
      <xdr:col>4</xdr:col>
      <xdr:colOff>247650</xdr:colOff>
      <xdr:row>56</xdr:row>
      <xdr:rowOff>76200</xdr:rowOff>
    </xdr:to>
    <xdr:sp macro="" textlink="">
      <xdr:nvSpPr>
        <xdr:cNvPr id="545" name="Oval 1019"/>
        <xdr:cNvSpPr>
          <a:spLocks noChangeArrowheads="1"/>
        </xdr:cNvSpPr>
      </xdr:nvSpPr>
      <xdr:spPr bwMode="auto">
        <a:xfrm>
          <a:off x="2438400" y="825817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104775</xdr:colOff>
      <xdr:row>52</xdr:row>
      <xdr:rowOff>133351</xdr:rowOff>
    </xdr:from>
    <xdr:to>
      <xdr:col>4</xdr:col>
      <xdr:colOff>106363</xdr:colOff>
      <xdr:row>54</xdr:row>
      <xdr:rowOff>142876</xdr:rowOff>
    </xdr:to>
    <xdr:cxnSp macro="">
      <xdr:nvCxnSpPr>
        <xdr:cNvPr id="549" name="Straight Connector 548"/>
        <xdr:cNvCxnSpPr/>
      </xdr:nvCxnSpPr>
      <xdr:spPr bwMode="auto">
        <a:xfrm rot="5400000">
          <a:off x="2367756" y="8090695"/>
          <a:ext cx="3905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0</xdr:colOff>
      <xdr:row>627</xdr:row>
      <xdr:rowOff>1</xdr:rowOff>
    </xdr:from>
    <xdr:to>
      <xdr:col>7</xdr:col>
      <xdr:colOff>0</xdr:colOff>
      <xdr:row>627</xdr:row>
      <xdr:rowOff>19050</xdr:rowOff>
    </xdr:to>
    <xdr:cxnSp macro="">
      <xdr:nvCxnSpPr>
        <xdr:cNvPr id="550" name="Straight Connector 549"/>
        <xdr:cNvCxnSpPr/>
      </xdr:nvCxnSpPr>
      <xdr:spPr bwMode="auto">
        <a:xfrm flipV="1">
          <a:off x="2457450" y="58159651"/>
          <a:ext cx="1857375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9527</xdr:colOff>
      <xdr:row>613</xdr:row>
      <xdr:rowOff>9525</xdr:rowOff>
    </xdr:from>
    <xdr:to>
      <xdr:col>7</xdr:col>
      <xdr:colOff>219075</xdr:colOff>
      <xdr:row>613</xdr:row>
      <xdr:rowOff>9529</xdr:rowOff>
    </xdr:to>
    <xdr:cxnSp macro="">
      <xdr:nvCxnSpPr>
        <xdr:cNvPr id="551" name="Straight Connector 550"/>
        <xdr:cNvCxnSpPr/>
      </xdr:nvCxnSpPr>
      <xdr:spPr bwMode="auto">
        <a:xfrm rot="10800000" flipV="1">
          <a:off x="4324352" y="55902225"/>
          <a:ext cx="209548" cy="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133350</xdr:colOff>
      <xdr:row>629</xdr:row>
      <xdr:rowOff>0</xdr:rowOff>
    </xdr:from>
    <xdr:to>
      <xdr:col>7</xdr:col>
      <xdr:colOff>504825</xdr:colOff>
      <xdr:row>629</xdr:row>
      <xdr:rowOff>1588</xdr:rowOff>
    </xdr:to>
    <xdr:cxnSp macro="">
      <xdr:nvCxnSpPr>
        <xdr:cNvPr id="552" name="Straight Connector 551"/>
        <xdr:cNvCxnSpPr/>
      </xdr:nvCxnSpPr>
      <xdr:spPr bwMode="auto">
        <a:xfrm>
          <a:off x="1971675" y="58483500"/>
          <a:ext cx="2847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505621</xdr:colOff>
      <xdr:row>626</xdr:row>
      <xdr:rowOff>134145</xdr:rowOff>
    </xdr:from>
    <xdr:to>
      <xdr:col>7</xdr:col>
      <xdr:colOff>514353</xdr:colOff>
      <xdr:row>629</xdr:row>
      <xdr:rowOff>0</xdr:rowOff>
    </xdr:to>
    <xdr:cxnSp macro="">
      <xdr:nvCxnSpPr>
        <xdr:cNvPr id="553" name="Straight Connector 552"/>
        <xdr:cNvCxnSpPr/>
      </xdr:nvCxnSpPr>
      <xdr:spPr bwMode="auto">
        <a:xfrm rot="16200000" flipV="1">
          <a:off x="4648997" y="58303319"/>
          <a:ext cx="351630" cy="873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3</xdr:colOff>
      <xdr:row>613</xdr:row>
      <xdr:rowOff>19050</xdr:rowOff>
    </xdr:from>
    <xdr:to>
      <xdr:col>7</xdr:col>
      <xdr:colOff>8734</xdr:colOff>
      <xdr:row>627</xdr:row>
      <xdr:rowOff>796</xdr:rowOff>
    </xdr:to>
    <xdr:cxnSp macro="">
      <xdr:nvCxnSpPr>
        <xdr:cNvPr id="554" name="Straight Connector 553"/>
        <xdr:cNvCxnSpPr/>
      </xdr:nvCxnSpPr>
      <xdr:spPr bwMode="auto">
        <a:xfrm rot="16200000" flipV="1">
          <a:off x="3194846" y="57031732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132562</xdr:colOff>
      <xdr:row>627</xdr:row>
      <xdr:rowOff>1</xdr:rowOff>
    </xdr:from>
    <xdr:to>
      <xdr:col>3</xdr:col>
      <xdr:colOff>133353</xdr:colOff>
      <xdr:row>629</xdr:row>
      <xdr:rowOff>796</xdr:rowOff>
    </xdr:to>
    <xdr:cxnSp macro="">
      <xdr:nvCxnSpPr>
        <xdr:cNvPr id="555" name="Straight Connector 554"/>
        <xdr:cNvCxnSpPr/>
      </xdr:nvCxnSpPr>
      <xdr:spPr bwMode="auto">
        <a:xfrm rot="5400000" flipH="1" flipV="1">
          <a:off x="1808960" y="58321578"/>
          <a:ext cx="324645" cy="79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8736</xdr:colOff>
      <xdr:row>613</xdr:row>
      <xdr:rowOff>1</xdr:rowOff>
    </xdr:from>
    <xdr:to>
      <xdr:col>4</xdr:col>
      <xdr:colOff>9525</xdr:colOff>
      <xdr:row>627</xdr:row>
      <xdr:rowOff>798</xdr:rowOff>
    </xdr:to>
    <xdr:cxnSp macro="">
      <xdr:nvCxnSpPr>
        <xdr:cNvPr id="556" name="Straight Connector 555"/>
        <xdr:cNvCxnSpPr/>
      </xdr:nvCxnSpPr>
      <xdr:spPr bwMode="auto">
        <a:xfrm rot="5400000" flipH="1" flipV="1">
          <a:off x="1332707" y="57026180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612</xdr:row>
      <xdr:rowOff>152400</xdr:rowOff>
    </xdr:from>
    <xdr:to>
      <xdr:col>4</xdr:col>
      <xdr:colOff>0</xdr:colOff>
      <xdr:row>613</xdr:row>
      <xdr:rowOff>0</xdr:rowOff>
    </xdr:to>
    <xdr:cxnSp macro="">
      <xdr:nvCxnSpPr>
        <xdr:cNvPr id="557" name="Straight Connector 556"/>
        <xdr:cNvCxnSpPr/>
      </xdr:nvCxnSpPr>
      <xdr:spPr bwMode="auto">
        <a:xfrm rot="10800000">
          <a:off x="2209800" y="55883175"/>
          <a:ext cx="2476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219075</xdr:colOff>
      <xdr:row>613</xdr:row>
      <xdr:rowOff>19049</xdr:rowOff>
    </xdr:from>
    <xdr:to>
      <xdr:col>7</xdr:col>
      <xdr:colOff>514350</xdr:colOff>
      <xdr:row>627</xdr:row>
      <xdr:rowOff>9524</xdr:rowOff>
    </xdr:to>
    <xdr:cxnSp macro="">
      <xdr:nvCxnSpPr>
        <xdr:cNvPr id="558" name="Straight Connector 557"/>
        <xdr:cNvCxnSpPr/>
      </xdr:nvCxnSpPr>
      <xdr:spPr bwMode="auto">
        <a:xfrm rot="16200000" flipH="1">
          <a:off x="3552825" y="56892824"/>
          <a:ext cx="225742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133351</xdr:colOff>
      <xdr:row>612</xdr:row>
      <xdr:rowOff>152399</xdr:rowOff>
    </xdr:from>
    <xdr:to>
      <xdr:col>3</xdr:col>
      <xdr:colOff>361954</xdr:colOff>
      <xdr:row>627</xdr:row>
      <xdr:rowOff>3</xdr:rowOff>
    </xdr:to>
    <xdr:cxnSp macro="">
      <xdr:nvCxnSpPr>
        <xdr:cNvPr id="559" name="Straight Connector 558"/>
        <xdr:cNvCxnSpPr/>
      </xdr:nvCxnSpPr>
      <xdr:spPr bwMode="auto">
        <a:xfrm rot="5400000">
          <a:off x="947738" y="56907112"/>
          <a:ext cx="2276479" cy="22860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581025</xdr:colOff>
      <xdr:row>613</xdr:row>
      <xdr:rowOff>9525</xdr:rowOff>
    </xdr:from>
    <xdr:to>
      <xdr:col>8</xdr:col>
      <xdr:colOff>247650</xdr:colOff>
      <xdr:row>613</xdr:row>
      <xdr:rowOff>19050</xdr:rowOff>
    </xdr:to>
    <xdr:cxnSp macro="">
      <xdr:nvCxnSpPr>
        <xdr:cNvPr id="560" name="Straight Connector 559"/>
        <xdr:cNvCxnSpPr/>
      </xdr:nvCxnSpPr>
      <xdr:spPr bwMode="auto">
        <a:xfrm>
          <a:off x="4895850" y="92725875"/>
          <a:ext cx="2762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590550</xdr:colOff>
      <xdr:row>627</xdr:row>
      <xdr:rowOff>9525</xdr:rowOff>
    </xdr:from>
    <xdr:to>
      <xdr:col>8</xdr:col>
      <xdr:colOff>257175</xdr:colOff>
      <xdr:row>627</xdr:row>
      <xdr:rowOff>11113</xdr:rowOff>
    </xdr:to>
    <xdr:cxnSp macro="">
      <xdr:nvCxnSpPr>
        <xdr:cNvPr id="561" name="Straight Connector 560"/>
        <xdr:cNvCxnSpPr/>
      </xdr:nvCxnSpPr>
      <xdr:spPr bwMode="auto">
        <a:xfrm>
          <a:off x="4905375" y="94992825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629</xdr:row>
      <xdr:rowOff>19050</xdr:rowOff>
    </xdr:from>
    <xdr:to>
      <xdr:col>8</xdr:col>
      <xdr:colOff>285750</xdr:colOff>
      <xdr:row>629</xdr:row>
      <xdr:rowOff>20638</xdr:rowOff>
    </xdr:to>
    <xdr:cxnSp macro="">
      <xdr:nvCxnSpPr>
        <xdr:cNvPr id="562" name="Straight Connector 561"/>
        <xdr:cNvCxnSpPr/>
      </xdr:nvCxnSpPr>
      <xdr:spPr bwMode="auto">
        <a:xfrm>
          <a:off x="4914900" y="95326200"/>
          <a:ext cx="295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75407</xdr:colOff>
      <xdr:row>613</xdr:row>
      <xdr:rowOff>10318</xdr:rowOff>
    </xdr:from>
    <xdr:to>
      <xdr:col>8</xdr:col>
      <xdr:colOff>76995</xdr:colOff>
      <xdr:row>627</xdr:row>
      <xdr:rowOff>793</xdr:rowOff>
    </xdr:to>
    <xdr:cxnSp macro="">
      <xdr:nvCxnSpPr>
        <xdr:cNvPr id="563" name="Straight Arrow Connector 562"/>
        <xdr:cNvCxnSpPr/>
      </xdr:nvCxnSpPr>
      <xdr:spPr bwMode="auto">
        <a:xfrm rot="5400000">
          <a:off x="3871913" y="57030937"/>
          <a:ext cx="2257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65881</xdr:colOff>
      <xdr:row>627</xdr:row>
      <xdr:rowOff>10319</xdr:rowOff>
    </xdr:from>
    <xdr:to>
      <xdr:col>8</xdr:col>
      <xdr:colOff>67469</xdr:colOff>
      <xdr:row>629</xdr:row>
      <xdr:rowOff>10319</xdr:rowOff>
    </xdr:to>
    <xdr:cxnSp macro="">
      <xdr:nvCxnSpPr>
        <xdr:cNvPr id="564" name="Straight Arrow Connector 563"/>
        <xdr:cNvCxnSpPr/>
      </xdr:nvCxnSpPr>
      <xdr:spPr bwMode="auto">
        <a:xfrm rot="5400000">
          <a:off x="4829175" y="95154750"/>
          <a:ext cx="3238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142081</xdr:colOff>
      <xdr:row>629</xdr:row>
      <xdr:rowOff>47625</xdr:rowOff>
    </xdr:from>
    <xdr:to>
      <xdr:col>3</xdr:col>
      <xdr:colOff>142875</xdr:colOff>
      <xdr:row>632</xdr:row>
      <xdr:rowOff>153194</xdr:rowOff>
    </xdr:to>
    <xdr:cxnSp macro="">
      <xdr:nvCxnSpPr>
        <xdr:cNvPr id="565" name="Straight Connector 564"/>
        <xdr:cNvCxnSpPr/>
      </xdr:nvCxnSpPr>
      <xdr:spPr bwMode="auto">
        <a:xfrm rot="5400000">
          <a:off x="1685131" y="5882640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513556</xdr:colOff>
      <xdr:row>629</xdr:row>
      <xdr:rowOff>66675</xdr:rowOff>
    </xdr:from>
    <xdr:to>
      <xdr:col>7</xdr:col>
      <xdr:colOff>514350</xdr:colOff>
      <xdr:row>633</xdr:row>
      <xdr:rowOff>10319</xdr:rowOff>
    </xdr:to>
    <xdr:cxnSp macro="">
      <xdr:nvCxnSpPr>
        <xdr:cNvPr id="566" name="Straight Connector 565"/>
        <xdr:cNvCxnSpPr/>
      </xdr:nvCxnSpPr>
      <xdr:spPr bwMode="auto">
        <a:xfrm rot="5400000">
          <a:off x="4533106" y="58845450"/>
          <a:ext cx="591344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629</xdr:row>
      <xdr:rowOff>38100</xdr:rowOff>
    </xdr:from>
    <xdr:to>
      <xdr:col>3</xdr:col>
      <xdr:colOff>600869</xdr:colOff>
      <xdr:row>631</xdr:row>
      <xdr:rowOff>19050</xdr:rowOff>
    </xdr:to>
    <xdr:cxnSp macro="">
      <xdr:nvCxnSpPr>
        <xdr:cNvPr id="567" name="Straight Connector 566"/>
        <xdr:cNvCxnSpPr/>
      </xdr:nvCxnSpPr>
      <xdr:spPr bwMode="auto">
        <a:xfrm rot="5400000">
          <a:off x="2286397" y="58673603"/>
          <a:ext cx="30480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629</xdr:row>
      <xdr:rowOff>9527</xdr:rowOff>
    </xdr:from>
    <xdr:to>
      <xdr:col>7</xdr:col>
      <xdr:colOff>10319</xdr:colOff>
      <xdr:row>631</xdr:row>
      <xdr:rowOff>9527</xdr:rowOff>
    </xdr:to>
    <xdr:cxnSp macro="">
      <xdr:nvCxnSpPr>
        <xdr:cNvPr id="568" name="Straight Connector 567"/>
        <xdr:cNvCxnSpPr/>
      </xdr:nvCxnSpPr>
      <xdr:spPr bwMode="auto">
        <a:xfrm rot="5400000">
          <a:off x="4162822" y="58654555"/>
          <a:ext cx="323850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466725</xdr:colOff>
      <xdr:row>626</xdr:row>
      <xdr:rowOff>152400</xdr:rowOff>
    </xdr:from>
    <xdr:to>
      <xdr:col>3</xdr:col>
      <xdr:colOff>114300</xdr:colOff>
      <xdr:row>626</xdr:row>
      <xdr:rowOff>153988</xdr:rowOff>
    </xdr:to>
    <xdr:cxnSp macro="">
      <xdr:nvCxnSpPr>
        <xdr:cNvPr id="569" name="Straight Connector 568"/>
        <xdr:cNvCxnSpPr/>
      </xdr:nvCxnSpPr>
      <xdr:spPr bwMode="auto">
        <a:xfrm>
          <a:off x="1695450" y="9497377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409575</xdr:colOff>
      <xdr:row>612</xdr:row>
      <xdr:rowOff>152400</xdr:rowOff>
    </xdr:from>
    <xdr:to>
      <xdr:col>3</xdr:col>
      <xdr:colOff>266700</xdr:colOff>
      <xdr:row>612</xdr:row>
      <xdr:rowOff>153988</xdr:rowOff>
    </xdr:to>
    <xdr:cxnSp macro="">
      <xdr:nvCxnSpPr>
        <xdr:cNvPr id="570" name="Straight Connector 569"/>
        <xdr:cNvCxnSpPr/>
      </xdr:nvCxnSpPr>
      <xdr:spPr bwMode="auto">
        <a:xfrm>
          <a:off x="1638300" y="92706825"/>
          <a:ext cx="4667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142875</xdr:colOff>
      <xdr:row>630</xdr:row>
      <xdr:rowOff>9525</xdr:rowOff>
    </xdr:from>
    <xdr:to>
      <xdr:col>3</xdr:col>
      <xdr:colOff>600075</xdr:colOff>
      <xdr:row>630</xdr:row>
      <xdr:rowOff>11113</xdr:rowOff>
    </xdr:to>
    <xdr:cxnSp macro="">
      <xdr:nvCxnSpPr>
        <xdr:cNvPr id="571" name="Straight Arrow Connector 570"/>
        <xdr:cNvCxnSpPr/>
      </xdr:nvCxnSpPr>
      <xdr:spPr bwMode="auto">
        <a:xfrm>
          <a:off x="1981200" y="58654950"/>
          <a:ext cx="457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19050</xdr:colOff>
      <xdr:row>630</xdr:row>
      <xdr:rowOff>0</xdr:rowOff>
    </xdr:from>
    <xdr:to>
      <xdr:col>7</xdr:col>
      <xdr:colOff>504825</xdr:colOff>
      <xdr:row>630</xdr:row>
      <xdr:rowOff>1588</xdr:rowOff>
    </xdr:to>
    <xdr:cxnSp macro="">
      <xdr:nvCxnSpPr>
        <xdr:cNvPr id="572" name="Straight Arrow Connector 571"/>
        <xdr:cNvCxnSpPr/>
      </xdr:nvCxnSpPr>
      <xdr:spPr bwMode="auto">
        <a:xfrm>
          <a:off x="4333875" y="586454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600075</xdr:colOff>
      <xdr:row>630</xdr:row>
      <xdr:rowOff>9525</xdr:rowOff>
    </xdr:from>
    <xdr:to>
      <xdr:col>7</xdr:col>
      <xdr:colOff>0</xdr:colOff>
      <xdr:row>630</xdr:row>
      <xdr:rowOff>9526</xdr:rowOff>
    </xdr:to>
    <xdr:cxnSp macro="">
      <xdr:nvCxnSpPr>
        <xdr:cNvPr id="573" name="Straight Arrow Connector 572"/>
        <xdr:cNvCxnSpPr/>
      </xdr:nvCxnSpPr>
      <xdr:spPr bwMode="auto">
        <a:xfrm>
          <a:off x="2438400" y="58654950"/>
          <a:ext cx="18764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123825</xdr:colOff>
      <xdr:row>631</xdr:row>
      <xdr:rowOff>152400</xdr:rowOff>
    </xdr:from>
    <xdr:to>
      <xdr:col>7</xdr:col>
      <xdr:colOff>514350</xdr:colOff>
      <xdr:row>632</xdr:row>
      <xdr:rowOff>9525</xdr:rowOff>
    </xdr:to>
    <xdr:cxnSp macro="">
      <xdr:nvCxnSpPr>
        <xdr:cNvPr id="574" name="Straight Arrow Connector 573"/>
        <xdr:cNvCxnSpPr/>
      </xdr:nvCxnSpPr>
      <xdr:spPr bwMode="auto">
        <a:xfrm flipV="1">
          <a:off x="1962150" y="58959750"/>
          <a:ext cx="286702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124619</xdr:colOff>
      <xdr:row>618</xdr:row>
      <xdr:rowOff>152400</xdr:rowOff>
    </xdr:from>
    <xdr:to>
      <xdr:col>3</xdr:col>
      <xdr:colOff>123825</xdr:colOff>
      <xdr:row>619</xdr:row>
      <xdr:rowOff>0</xdr:rowOff>
    </xdr:to>
    <xdr:cxnSp macro="">
      <xdr:nvCxnSpPr>
        <xdr:cNvPr id="575" name="Straight Connector 574"/>
        <xdr:cNvCxnSpPr/>
      </xdr:nvCxnSpPr>
      <xdr:spPr bwMode="auto">
        <a:xfrm>
          <a:off x="1353344" y="56854725"/>
          <a:ext cx="60880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419100</xdr:colOff>
      <xdr:row>620</xdr:row>
      <xdr:rowOff>152400</xdr:rowOff>
    </xdr:from>
    <xdr:to>
      <xdr:col>6</xdr:col>
      <xdr:colOff>161925</xdr:colOff>
      <xdr:row>621</xdr:row>
      <xdr:rowOff>9525</xdr:rowOff>
    </xdr:to>
    <xdr:cxnSp macro="">
      <xdr:nvCxnSpPr>
        <xdr:cNvPr id="576" name="Straight Connector 575"/>
        <xdr:cNvCxnSpPr/>
      </xdr:nvCxnSpPr>
      <xdr:spPr bwMode="auto">
        <a:xfrm>
          <a:off x="2876550" y="57178575"/>
          <a:ext cx="9906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161925</xdr:colOff>
      <xdr:row>618</xdr:row>
      <xdr:rowOff>47625</xdr:rowOff>
    </xdr:from>
    <xdr:to>
      <xdr:col>2</xdr:col>
      <xdr:colOff>238125</xdr:colOff>
      <xdr:row>618</xdr:row>
      <xdr:rowOff>133350</xdr:rowOff>
    </xdr:to>
    <xdr:sp macro="" textlink="">
      <xdr:nvSpPr>
        <xdr:cNvPr id="577" name="Flowchart: Merge 576"/>
        <xdr:cNvSpPr/>
      </xdr:nvSpPr>
      <xdr:spPr bwMode="auto">
        <a:xfrm>
          <a:off x="1390650" y="56749950"/>
          <a:ext cx="76200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180975</xdr:colOff>
      <xdr:row>620</xdr:row>
      <xdr:rowOff>66675</xdr:rowOff>
    </xdr:from>
    <xdr:to>
      <xdr:col>5</xdr:col>
      <xdr:colOff>304800</xdr:colOff>
      <xdr:row>621</xdr:row>
      <xdr:rowOff>9525</xdr:rowOff>
    </xdr:to>
    <xdr:sp macro="" textlink="">
      <xdr:nvSpPr>
        <xdr:cNvPr id="578" name="Flowchart: Merge 577"/>
        <xdr:cNvSpPr/>
      </xdr:nvSpPr>
      <xdr:spPr bwMode="auto">
        <a:xfrm>
          <a:off x="3248025" y="57092850"/>
          <a:ext cx="123825" cy="10477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47626</xdr:colOff>
      <xdr:row>612</xdr:row>
      <xdr:rowOff>152399</xdr:rowOff>
    </xdr:from>
    <xdr:to>
      <xdr:col>3</xdr:col>
      <xdr:colOff>66676</xdr:colOff>
      <xdr:row>618</xdr:row>
      <xdr:rowOff>161924</xdr:rowOff>
    </xdr:to>
    <xdr:cxnSp macro="">
      <xdr:nvCxnSpPr>
        <xdr:cNvPr id="579" name="Straight Arrow Connector 578"/>
        <xdr:cNvCxnSpPr/>
      </xdr:nvCxnSpPr>
      <xdr:spPr bwMode="auto">
        <a:xfrm rot="5400000">
          <a:off x="1404938" y="56364187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28576</xdr:colOff>
      <xdr:row>619</xdr:row>
      <xdr:rowOff>9525</xdr:rowOff>
    </xdr:from>
    <xdr:to>
      <xdr:col>3</xdr:col>
      <xdr:colOff>38101</xdr:colOff>
      <xdr:row>627</xdr:row>
      <xdr:rowOff>0</xdr:rowOff>
    </xdr:to>
    <xdr:cxnSp macro="">
      <xdr:nvCxnSpPr>
        <xdr:cNvPr id="580" name="Straight Arrow Connector 579"/>
        <xdr:cNvCxnSpPr/>
      </xdr:nvCxnSpPr>
      <xdr:spPr bwMode="auto">
        <a:xfrm rot="5400000">
          <a:off x="1228726" y="5751195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285751</xdr:colOff>
      <xdr:row>621</xdr:row>
      <xdr:rowOff>2</xdr:rowOff>
    </xdr:from>
    <xdr:to>
      <xdr:col>5</xdr:col>
      <xdr:colOff>304801</xdr:colOff>
      <xdr:row>627</xdr:row>
      <xdr:rowOff>9527</xdr:rowOff>
    </xdr:to>
    <xdr:cxnSp macro="">
      <xdr:nvCxnSpPr>
        <xdr:cNvPr id="581" name="Straight Arrow Connector 580"/>
        <xdr:cNvCxnSpPr/>
      </xdr:nvCxnSpPr>
      <xdr:spPr bwMode="auto">
        <a:xfrm rot="5400000">
          <a:off x="2871788" y="57669115"/>
          <a:ext cx="981075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oneCellAnchor>
    <xdr:from>
      <xdr:col>2</xdr:col>
      <xdr:colOff>85725</xdr:colOff>
      <xdr:row>615</xdr:row>
      <xdr:rowOff>0</xdr:rowOff>
    </xdr:from>
    <xdr:ext cx="235962" cy="170560"/>
    <xdr:sp macro="" textlink="">
      <xdr:nvSpPr>
        <xdr:cNvPr id="582" name="Text Box 133"/>
        <xdr:cNvSpPr txBox="1">
          <a:spLocks noChangeArrowheads="1"/>
        </xdr:cNvSpPr>
      </xdr:nvSpPr>
      <xdr:spPr bwMode="auto">
        <a:xfrm>
          <a:off x="1314450" y="5621655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2</xdr:col>
      <xdr:colOff>47625</xdr:colOff>
      <xdr:row>622</xdr:row>
      <xdr:rowOff>0</xdr:rowOff>
    </xdr:from>
    <xdr:ext cx="235962" cy="170560"/>
    <xdr:sp macro="" textlink="">
      <xdr:nvSpPr>
        <xdr:cNvPr id="583" name="Text Box 133"/>
        <xdr:cNvSpPr txBox="1">
          <a:spLocks noChangeArrowheads="1"/>
        </xdr:cNvSpPr>
      </xdr:nvSpPr>
      <xdr:spPr bwMode="auto">
        <a:xfrm>
          <a:off x="1276350" y="5735002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h2=</a:t>
          </a:r>
        </a:p>
      </xdr:txBody>
    </xdr:sp>
    <xdr:clientData/>
  </xdr:oneCellAnchor>
  <xdr:twoCellAnchor>
    <xdr:from>
      <xdr:col>1</xdr:col>
      <xdr:colOff>600075</xdr:colOff>
      <xdr:row>613</xdr:row>
      <xdr:rowOff>0</xdr:rowOff>
    </xdr:from>
    <xdr:to>
      <xdr:col>1</xdr:col>
      <xdr:colOff>600864</xdr:colOff>
      <xdr:row>627</xdr:row>
      <xdr:rowOff>797</xdr:rowOff>
    </xdr:to>
    <xdr:cxnSp macro="">
      <xdr:nvCxnSpPr>
        <xdr:cNvPr id="584" name="Straight Connector 583"/>
        <xdr:cNvCxnSpPr/>
      </xdr:nvCxnSpPr>
      <xdr:spPr bwMode="auto">
        <a:xfrm rot="5400000" flipH="1" flipV="1">
          <a:off x="76196" y="57026179"/>
          <a:ext cx="2267747" cy="78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304801</xdr:colOff>
      <xdr:row>619</xdr:row>
      <xdr:rowOff>9525</xdr:rowOff>
    </xdr:from>
    <xdr:to>
      <xdr:col>1</xdr:col>
      <xdr:colOff>314326</xdr:colOff>
      <xdr:row>627</xdr:row>
      <xdr:rowOff>0</xdr:rowOff>
    </xdr:to>
    <xdr:cxnSp macro="">
      <xdr:nvCxnSpPr>
        <xdr:cNvPr id="585" name="Straight Arrow Connector 584"/>
        <xdr:cNvCxnSpPr/>
      </xdr:nvCxnSpPr>
      <xdr:spPr bwMode="auto">
        <a:xfrm rot="5400000">
          <a:off x="276226" y="57511950"/>
          <a:ext cx="12858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314328</xdr:colOff>
      <xdr:row>613</xdr:row>
      <xdr:rowOff>0</xdr:rowOff>
    </xdr:from>
    <xdr:to>
      <xdr:col>1</xdr:col>
      <xdr:colOff>609600</xdr:colOff>
      <xdr:row>619</xdr:row>
      <xdr:rowOff>0</xdr:rowOff>
    </xdr:to>
    <xdr:cxnSp macro="">
      <xdr:nvCxnSpPr>
        <xdr:cNvPr id="586" name="Straight Connector 585"/>
        <xdr:cNvCxnSpPr/>
      </xdr:nvCxnSpPr>
      <xdr:spPr bwMode="auto">
        <a:xfrm rot="5400000">
          <a:off x="585789" y="100931664"/>
          <a:ext cx="971550" cy="29527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28575</xdr:colOff>
      <xdr:row>621</xdr:row>
      <xdr:rowOff>9525</xdr:rowOff>
    </xdr:from>
    <xdr:to>
      <xdr:col>4</xdr:col>
      <xdr:colOff>447675</xdr:colOff>
      <xdr:row>627</xdr:row>
      <xdr:rowOff>28575</xdr:rowOff>
    </xdr:to>
    <xdr:cxnSp macro="">
      <xdr:nvCxnSpPr>
        <xdr:cNvPr id="587" name="Straight Connector 586"/>
        <xdr:cNvCxnSpPr/>
      </xdr:nvCxnSpPr>
      <xdr:spPr bwMode="auto">
        <a:xfrm rot="16200000" flipH="1">
          <a:off x="2200275" y="57483375"/>
          <a:ext cx="990600" cy="419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304801</xdr:colOff>
      <xdr:row>626</xdr:row>
      <xdr:rowOff>152400</xdr:rowOff>
    </xdr:from>
    <xdr:to>
      <xdr:col>1</xdr:col>
      <xdr:colOff>600076</xdr:colOff>
      <xdr:row>627</xdr:row>
      <xdr:rowOff>9525</xdr:rowOff>
    </xdr:to>
    <xdr:cxnSp macro="">
      <xdr:nvCxnSpPr>
        <xdr:cNvPr id="588" name="Straight Connector 587"/>
        <xdr:cNvCxnSpPr/>
      </xdr:nvCxnSpPr>
      <xdr:spPr bwMode="auto">
        <a:xfrm rot="10800000" flipV="1">
          <a:off x="304801" y="58150125"/>
          <a:ext cx="90487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314326</xdr:colOff>
      <xdr:row>619</xdr:row>
      <xdr:rowOff>0</xdr:rowOff>
    </xdr:from>
    <xdr:to>
      <xdr:col>1</xdr:col>
      <xdr:colOff>590551</xdr:colOff>
      <xdr:row>619</xdr:row>
      <xdr:rowOff>1588</xdr:rowOff>
    </xdr:to>
    <xdr:cxnSp macro="">
      <xdr:nvCxnSpPr>
        <xdr:cNvPr id="589" name="Straight Connector 588"/>
        <xdr:cNvCxnSpPr/>
      </xdr:nvCxnSpPr>
      <xdr:spPr bwMode="auto">
        <a:xfrm rot="10800000">
          <a:off x="923926" y="56864250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arrow" w="med" len="med"/>
          <a:tailEnd type="none" w="med" len="med"/>
        </a:ln>
        <a:effectLst/>
      </xdr:spPr>
    </xdr:cxnSp>
    <xdr:clientData/>
  </xdr:twoCellAnchor>
  <xdr:twoCellAnchor>
    <xdr:from>
      <xdr:col>3</xdr:col>
      <xdr:colOff>123828</xdr:colOff>
      <xdr:row>613</xdr:row>
      <xdr:rowOff>9527</xdr:rowOff>
    </xdr:from>
    <xdr:to>
      <xdr:col>3</xdr:col>
      <xdr:colOff>132559</xdr:colOff>
      <xdr:row>626</xdr:row>
      <xdr:rowOff>153198</xdr:rowOff>
    </xdr:to>
    <xdr:cxnSp macro="">
      <xdr:nvCxnSpPr>
        <xdr:cNvPr id="590" name="Straight Connector 589"/>
        <xdr:cNvCxnSpPr/>
      </xdr:nvCxnSpPr>
      <xdr:spPr bwMode="auto">
        <a:xfrm rot="16200000" flipV="1">
          <a:off x="842171" y="57022209"/>
          <a:ext cx="224869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625</xdr:row>
      <xdr:rowOff>142875</xdr:rowOff>
    </xdr:from>
    <xdr:to>
      <xdr:col>4</xdr:col>
      <xdr:colOff>352426</xdr:colOff>
      <xdr:row>625</xdr:row>
      <xdr:rowOff>144463</xdr:rowOff>
    </xdr:to>
    <xdr:cxnSp macro="">
      <xdr:nvCxnSpPr>
        <xdr:cNvPr id="591" name="Straight Arrow Connector 590"/>
        <xdr:cNvCxnSpPr/>
      </xdr:nvCxnSpPr>
      <xdr:spPr bwMode="auto">
        <a:xfrm rot="10800000">
          <a:off x="2457451" y="57978675"/>
          <a:ext cx="352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2</xdr:colOff>
      <xdr:row>623</xdr:row>
      <xdr:rowOff>19050</xdr:rowOff>
    </xdr:from>
    <xdr:to>
      <xdr:col>4</xdr:col>
      <xdr:colOff>171450</xdr:colOff>
      <xdr:row>623</xdr:row>
      <xdr:rowOff>20638</xdr:rowOff>
    </xdr:to>
    <xdr:cxnSp macro="">
      <xdr:nvCxnSpPr>
        <xdr:cNvPr id="592" name="Straight Arrow Connector 591"/>
        <xdr:cNvCxnSpPr/>
      </xdr:nvCxnSpPr>
      <xdr:spPr bwMode="auto">
        <a:xfrm rot="10800000">
          <a:off x="2457452" y="57531000"/>
          <a:ext cx="1714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38100</xdr:colOff>
      <xdr:row>616</xdr:row>
      <xdr:rowOff>85726</xdr:rowOff>
    </xdr:from>
    <xdr:to>
      <xdr:col>1</xdr:col>
      <xdr:colOff>590550</xdr:colOff>
      <xdr:row>616</xdr:row>
      <xdr:rowOff>95250</xdr:rowOff>
    </xdr:to>
    <xdr:cxnSp macro="">
      <xdr:nvCxnSpPr>
        <xdr:cNvPr id="593" name="Straight Arrow Connector 592"/>
        <xdr:cNvCxnSpPr/>
      </xdr:nvCxnSpPr>
      <xdr:spPr bwMode="auto">
        <a:xfrm>
          <a:off x="647700" y="5646420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621</xdr:row>
      <xdr:rowOff>0</xdr:rowOff>
    </xdr:from>
    <xdr:to>
      <xdr:col>2</xdr:col>
      <xdr:colOff>0</xdr:colOff>
      <xdr:row>621</xdr:row>
      <xdr:rowOff>9525</xdr:rowOff>
    </xdr:to>
    <xdr:cxnSp macro="">
      <xdr:nvCxnSpPr>
        <xdr:cNvPr id="594" name="Straight Arrow Connector 593"/>
        <xdr:cNvCxnSpPr/>
      </xdr:nvCxnSpPr>
      <xdr:spPr bwMode="auto">
        <a:xfrm flipV="1">
          <a:off x="933450" y="57188100"/>
          <a:ext cx="2952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304800</xdr:colOff>
      <xdr:row>623</xdr:row>
      <xdr:rowOff>9525</xdr:rowOff>
    </xdr:from>
    <xdr:to>
      <xdr:col>1</xdr:col>
      <xdr:colOff>600075</xdr:colOff>
      <xdr:row>623</xdr:row>
      <xdr:rowOff>11113</xdr:rowOff>
    </xdr:to>
    <xdr:cxnSp macro="">
      <xdr:nvCxnSpPr>
        <xdr:cNvPr id="595" name="Straight Arrow Connector 594"/>
        <xdr:cNvCxnSpPr/>
      </xdr:nvCxnSpPr>
      <xdr:spPr bwMode="auto">
        <a:xfrm>
          <a:off x="914400" y="57521475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323850</xdr:colOff>
      <xdr:row>626</xdr:row>
      <xdr:rowOff>0</xdr:rowOff>
    </xdr:from>
    <xdr:to>
      <xdr:col>1</xdr:col>
      <xdr:colOff>600075</xdr:colOff>
      <xdr:row>626</xdr:row>
      <xdr:rowOff>1588</xdr:rowOff>
    </xdr:to>
    <xdr:cxnSp macro="">
      <xdr:nvCxnSpPr>
        <xdr:cNvPr id="596" name="Straight Arrow Connector 595"/>
        <xdr:cNvCxnSpPr/>
      </xdr:nvCxnSpPr>
      <xdr:spPr bwMode="auto">
        <a:xfrm>
          <a:off x="933450" y="57997725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600075</xdr:colOff>
      <xdr:row>623</xdr:row>
      <xdr:rowOff>114300</xdr:rowOff>
    </xdr:from>
    <xdr:to>
      <xdr:col>1</xdr:col>
      <xdr:colOff>304800</xdr:colOff>
      <xdr:row>623</xdr:row>
      <xdr:rowOff>114302</xdr:rowOff>
    </xdr:to>
    <xdr:cxnSp macro="">
      <xdr:nvCxnSpPr>
        <xdr:cNvPr id="597" name="Straight Arrow Connector 596"/>
        <xdr:cNvCxnSpPr/>
      </xdr:nvCxnSpPr>
      <xdr:spPr bwMode="auto">
        <a:xfrm>
          <a:off x="600075" y="57626250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419100</xdr:colOff>
      <xdr:row>626</xdr:row>
      <xdr:rowOff>0</xdr:rowOff>
    </xdr:from>
    <xdr:to>
      <xdr:col>1</xdr:col>
      <xdr:colOff>295275</xdr:colOff>
      <xdr:row>626</xdr:row>
      <xdr:rowOff>1588</xdr:rowOff>
    </xdr:to>
    <xdr:cxnSp macro="">
      <xdr:nvCxnSpPr>
        <xdr:cNvPr id="598" name="Straight Arrow Connector 597"/>
        <xdr:cNvCxnSpPr/>
      </xdr:nvCxnSpPr>
      <xdr:spPr bwMode="auto">
        <a:xfrm>
          <a:off x="419100" y="57997725"/>
          <a:ext cx="4857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104775</xdr:colOff>
      <xdr:row>622</xdr:row>
      <xdr:rowOff>9525</xdr:rowOff>
    </xdr:from>
    <xdr:to>
      <xdr:col>1</xdr:col>
      <xdr:colOff>304800</xdr:colOff>
      <xdr:row>622</xdr:row>
      <xdr:rowOff>11113</xdr:rowOff>
    </xdr:to>
    <xdr:cxnSp macro="">
      <xdr:nvCxnSpPr>
        <xdr:cNvPr id="599" name="Straight Arrow Connector 598"/>
        <xdr:cNvCxnSpPr/>
      </xdr:nvCxnSpPr>
      <xdr:spPr bwMode="auto">
        <a:xfrm>
          <a:off x="714375" y="57359550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419100</xdr:colOff>
      <xdr:row>617</xdr:row>
      <xdr:rowOff>19050</xdr:rowOff>
    </xdr:from>
    <xdr:to>
      <xdr:col>1</xdr:col>
      <xdr:colOff>600075</xdr:colOff>
      <xdr:row>617</xdr:row>
      <xdr:rowOff>20638</xdr:rowOff>
    </xdr:to>
    <xdr:cxnSp macro="">
      <xdr:nvCxnSpPr>
        <xdr:cNvPr id="600" name="Straight Arrow Connector 599"/>
        <xdr:cNvCxnSpPr/>
      </xdr:nvCxnSpPr>
      <xdr:spPr bwMode="auto">
        <a:xfrm>
          <a:off x="1028700" y="56559450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457200</xdr:colOff>
      <xdr:row>616</xdr:row>
      <xdr:rowOff>0</xdr:rowOff>
    </xdr:from>
    <xdr:to>
      <xdr:col>1</xdr:col>
      <xdr:colOff>600075</xdr:colOff>
      <xdr:row>616</xdr:row>
      <xdr:rowOff>1588</xdr:rowOff>
    </xdr:to>
    <xdr:cxnSp macro="">
      <xdr:nvCxnSpPr>
        <xdr:cNvPr id="601" name="Straight Arrow Connector 600"/>
        <xdr:cNvCxnSpPr/>
      </xdr:nvCxnSpPr>
      <xdr:spPr bwMode="auto">
        <a:xfrm>
          <a:off x="1066800" y="56378475"/>
          <a:ext cx="1428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oneCellAnchor>
    <xdr:from>
      <xdr:col>5</xdr:col>
      <xdr:colOff>28575</xdr:colOff>
      <xdr:row>623</xdr:row>
      <xdr:rowOff>9525</xdr:rowOff>
    </xdr:from>
    <xdr:ext cx="235962" cy="170560"/>
    <xdr:sp macro="" textlink="">
      <xdr:nvSpPr>
        <xdr:cNvPr id="602" name="Text Box 133"/>
        <xdr:cNvSpPr txBox="1">
          <a:spLocks noChangeArrowheads="1"/>
        </xdr:cNvSpPr>
      </xdr:nvSpPr>
      <xdr:spPr bwMode="auto">
        <a:xfrm>
          <a:off x="3095625" y="5752147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h3=</a:t>
          </a:r>
        </a:p>
      </xdr:txBody>
    </xdr:sp>
    <xdr:clientData/>
  </xdr:oneCellAnchor>
  <xdr:oneCellAnchor>
    <xdr:from>
      <xdr:col>5</xdr:col>
      <xdr:colOff>38100</xdr:colOff>
      <xdr:row>631</xdr:row>
      <xdr:rowOff>152400</xdr:rowOff>
    </xdr:from>
    <xdr:ext cx="178895" cy="170560"/>
    <xdr:sp macro="" textlink="">
      <xdr:nvSpPr>
        <xdr:cNvPr id="603" name="Text Box 133"/>
        <xdr:cNvSpPr txBox="1">
          <a:spLocks noChangeArrowheads="1"/>
        </xdr:cNvSpPr>
      </xdr:nvSpPr>
      <xdr:spPr bwMode="auto">
        <a:xfrm>
          <a:off x="3105150" y="58959750"/>
          <a:ext cx="17889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B=</a:t>
          </a:r>
        </a:p>
      </xdr:txBody>
    </xdr:sp>
    <xdr:clientData/>
  </xdr:oneCellAnchor>
  <xdr:oneCellAnchor>
    <xdr:from>
      <xdr:col>5</xdr:col>
      <xdr:colOff>38100</xdr:colOff>
      <xdr:row>629</xdr:row>
      <xdr:rowOff>152400</xdr:rowOff>
    </xdr:from>
    <xdr:ext cx="200311" cy="170560"/>
    <xdr:sp macro="" textlink="">
      <xdr:nvSpPr>
        <xdr:cNvPr id="604" name="Text Box 133"/>
        <xdr:cNvSpPr txBox="1">
          <a:spLocks noChangeArrowheads="1"/>
        </xdr:cNvSpPr>
      </xdr:nvSpPr>
      <xdr:spPr bwMode="auto">
        <a:xfrm>
          <a:off x="3105150" y="95459550"/>
          <a:ext cx="20031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b =</a:t>
          </a:r>
        </a:p>
      </xdr:txBody>
    </xdr:sp>
    <xdr:clientData/>
  </xdr:oneCellAnchor>
  <xdr:twoCellAnchor>
    <xdr:from>
      <xdr:col>1</xdr:col>
      <xdr:colOff>38100</xdr:colOff>
      <xdr:row>620</xdr:row>
      <xdr:rowOff>85726</xdr:rowOff>
    </xdr:from>
    <xdr:to>
      <xdr:col>1</xdr:col>
      <xdr:colOff>590550</xdr:colOff>
      <xdr:row>620</xdr:row>
      <xdr:rowOff>95250</xdr:rowOff>
    </xdr:to>
    <xdr:cxnSp macro="">
      <xdr:nvCxnSpPr>
        <xdr:cNvPr id="605" name="Straight Arrow Connector 604"/>
        <xdr:cNvCxnSpPr/>
      </xdr:nvCxnSpPr>
      <xdr:spPr bwMode="auto">
        <a:xfrm>
          <a:off x="647700" y="57111901"/>
          <a:ext cx="5524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419100</xdr:colOff>
      <xdr:row>624</xdr:row>
      <xdr:rowOff>76200</xdr:rowOff>
    </xdr:from>
    <xdr:to>
      <xdr:col>2</xdr:col>
      <xdr:colOff>9525</xdr:colOff>
      <xdr:row>624</xdr:row>
      <xdr:rowOff>77788</xdr:rowOff>
    </xdr:to>
    <xdr:cxnSp macro="">
      <xdr:nvCxnSpPr>
        <xdr:cNvPr id="606" name="Straight Arrow Connector 605"/>
        <xdr:cNvCxnSpPr/>
      </xdr:nvCxnSpPr>
      <xdr:spPr bwMode="auto">
        <a:xfrm>
          <a:off x="419100" y="57750075"/>
          <a:ext cx="819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9528</xdr:colOff>
      <xdr:row>624</xdr:row>
      <xdr:rowOff>76199</xdr:rowOff>
    </xdr:from>
    <xdr:to>
      <xdr:col>4</xdr:col>
      <xdr:colOff>400051</xdr:colOff>
      <xdr:row>624</xdr:row>
      <xdr:rowOff>85724</xdr:rowOff>
    </xdr:to>
    <xdr:cxnSp macro="">
      <xdr:nvCxnSpPr>
        <xdr:cNvPr id="607" name="Straight Arrow Connector 606"/>
        <xdr:cNvCxnSpPr/>
      </xdr:nvCxnSpPr>
      <xdr:spPr bwMode="auto">
        <a:xfrm rot="10800000" flipV="1">
          <a:off x="2466978" y="57750074"/>
          <a:ext cx="390523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542925</xdr:colOff>
      <xdr:row>708</xdr:row>
      <xdr:rowOff>104775</xdr:rowOff>
    </xdr:from>
    <xdr:to>
      <xdr:col>7</xdr:col>
      <xdr:colOff>304800</xdr:colOff>
      <xdr:row>710</xdr:row>
      <xdr:rowOff>0</xdr:rowOff>
    </xdr:to>
    <xdr:sp macro="" textlink="">
      <xdr:nvSpPr>
        <xdr:cNvPr id="608" name="Arc 607"/>
        <xdr:cNvSpPr/>
      </xdr:nvSpPr>
      <xdr:spPr bwMode="auto">
        <a:xfrm>
          <a:off x="4248150" y="71913750"/>
          <a:ext cx="371475" cy="219075"/>
        </a:xfrm>
        <a:prstGeom prst="arc">
          <a:avLst>
            <a:gd name="adj1" fmla="val 9384173"/>
            <a:gd name="adj2" fmla="val 1492911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561976</xdr:colOff>
      <xdr:row>708</xdr:row>
      <xdr:rowOff>85725</xdr:rowOff>
    </xdr:from>
    <xdr:to>
      <xdr:col>5</xdr:col>
      <xdr:colOff>152400</xdr:colOff>
      <xdr:row>710</xdr:row>
      <xdr:rowOff>0</xdr:rowOff>
    </xdr:to>
    <xdr:sp macro="" textlink="">
      <xdr:nvSpPr>
        <xdr:cNvPr id="609" name="Arc 608"/>
        <xdr:cNvSpPr/>
      </xdr:nvSpPr>
      <xdr:spPr bwMode="auto">
        <a:xfrm flipH="1">
          <a:off x="3019426" y="71894700"/>
          <a:ext cx="200024" cy="238125"/>
        </a:xfrm>
        <a:prstGeom prst="arc">
          <a:avLst>
            <a:gd name="adj1" fmla="val 16200000"/>
            <a:gd name="adj2" fmla="val 509192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9525</xdr:colOff>
      <xdr:row>715</xdr:row>
      <xdr:rowOff>0</xdr:rowOff>
    </xdr:from>
    <xdr:to>
      <xdr:col>7</xdr:col>
      <xdr:colOff>180975</xdr:colOff>
      <xdr:row>715</xdr:row>
      <xdr:rowOff>1588</xdr:rowOff>
    </xdr:to>
    <xdr:cxnSp macro="">
      <xdr:nvCxnSpPr>
        <xdr:cNvPr id="610" name="Straight Connector 609"/>
        <xdr:cNvCxnSpPr/>
      </xdr:nvCxnSpPr>
      <xdr:spPr bwMode="auto">
        <a:xfrm>
          <a:off x="1238250" y="72942450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716</xdr:row>
      <xdr:rowOff>152400</xdr:rowOff>
    </xdr:from>
    <xdr:to>
      <xdr:col>7</xdr:col>
      <xdr:colOff>171450</xdr:colOff>
      <xdr:row>716</xdr:row>
      <xdr:rowOff>153988</xdr:rowOff>
    </xdr:to>
    <xdr:cxnSp macro="">
      <xdr:nvCxnSpPr>
        <xdr:cNvPr id="611" name="Straight Connector 610"/>
        <xdr:cNvCxnSpPr/>
      </xdr:nvCxnSpPr>
      <xdr:spPr bwMode="auto">
        <a:xfrm>
          <a:off x="1228725" y="73256775"/>
          <a:ext cx="3257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608807</xdr:colOff>
      <xdr:row>715</xdr:row>
      <xdr:rowOff>793</xdr:rowOff>
    </xdr:from>
    <xdr:to>
      <xdr:col>2</xdr:col>
      <xdr:colOff>795</xdr:colOff>
      <xdr:row>716</xdr:row>
      <xdr:rowOff>153193</xdr:rowOff>
    </xdr:to>
    <xdr:cxnSp macro="">
      <xdr:nvCxnSpPr>
        <xdr:cNvPr id="612" name="Straight Connector 611"/>
        <xdr:cNvCxnSpPr/>
      </xdr:nvCxnSpPr>
      <xdr:spPr bwMode="auto">
        <a:xfrm rot="5400000">
          <a:off x="1066801" y="73094849"/>
          <a:ext cx="314325" cy="11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8731</xdr:colOff>
      <xdr:row>717</xdr:row>
      <xdr:rowOff>115097</xdr:rowOff>
    </xdr:from>
    <xdr:to>
      <xdr:col>2</xdr:col>
      <xdr:colOff>10319</xdr:colOff>
      <xdr:row>721</xdr:row>
      <xdr:rowOff>29371</xdr:rowOff>
    </xdr:to>
    <xdr:cxnSp macro="">
      <xdr:nvCxnSpPr>
        <xdr:cNvPr id="614" name="Straight Connector 613"/>
        <xdr:cNvCxnSpPr/>
      </xdr:nvCxnSpPr>
      <xdr:spPr bwMode="auto">
        <a:xfrm rot="5400000">
          <a:off x="957263" y="73661590"/>
          <a:ext cx="561974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219075</xdr:colOff>
      <xdr:row>712</xdr:row>
      <xdr:rowOff>142877</xdr:rowOff>
    </xdr:from>
    <xdr:to>
      <xdr:col>2</xdr:col>
      <xdr:colOff>220663</xdr:colOff>
      <xdr:row>714</xdr:row>
      <xdr:rowOff>133352</xdr:rowOff>
    </xdr:to>
    <xdr:cxnSp macro="">
      <xdr:nvCxnSpPr>
        <xdr:cNvPr id="615" name="Straight Connector 614"/>
        <xdr:cNvCxnSpPr/>
      </xdr:nvCxnSpPr>
      <xdr:spPr bwMode="auto">
        <a:xfrm rot="5400000">
          <a:off x="1291431" y="72755921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314325</xdr:colOff>
      <xdr:row>717</xdr:row>
      <xdr:rowOff>9528</xdr:rowOff>
    </xdr:from>
    <xdr:to>
      <xdr:col>4</xdr:col>
      <xdr:colOff>315913</xdr:colOff>
      <xdr:row>719</xdr:row>
      <xdr:rowOff>3</xdr:rowOff>
    </xdr:to>
    <xdr:cxnSp macro="">
      <xdr:nvCxnSpPr>
        <xdr:cNvPr id="618" name="Straight Connector 617"/>
        <xdr:cNvCxnSpPr/>
      </xdr:nvCxnSpPr>
      <xdr:spPr bwMode="auto">
        <a:xfrm rot="5400000">
          <a:off x="2615406" y="73432197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2</xdr:col>
      <xdr:colOff>238125</xdr:colOff>
      <xdr:row>714</xdr:row>
      <xdr:rowOff>0</xdr:rowOff>
    </xdr:from>
    <xdr:to>
      <xdr:col>7</xdr:col>
      <xdr:colOff>171450</xdr:colOff>
      <xdr:row>714</xdr:row>
      <xdr:rowOff>9525</xdr:rowOff>
    </xdr:to>
    <xdr:cxnSp macro="">
      <xdr:nvCxnSpPr>
        <xdr:cNvPr id="619" name="Straight Arrow Connector 618"/>
        <xdr:cNvCxnSpPr/>
      </xdr:nvCxnSpPr>
      <xdr:spPr bwMode="auto">
        <a:xfrm flipV="1">
          <a:off x="1466850" y="72780525"/>
          <a:ext cx="3019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4</xdr:col>
      <xdr:colOff>323850</xdr:colOff>
      <xdr:row>718</xdr:row>
      <xdr:rowOff>9525</xdr:rowOff>
    </xdr:from>
    <xdr:to>
      <xdr:col>7</xdr:col>
      <xdr:colOff>180975</xdr:colOff>
      <xdr:row>718</xdr:row>
      <xdr:rowOff>11113</xdr:rowOff>
    </xdr:to>
    <xdr:cxnSp macro="">
      <xdr:nvCxnSpPr>
        <xdr:cNvPr id="620" name="Straight Arrow Connector 619"/>
        <xdr:cNvCxnSpPr/>
      </xdr:nvCxnSpPr>
      <xdr:spPr bwMode="auto">
        <a:xfrm>
          <a:off x="2781300" y="73437750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400050</xdr:colOff>
      <xdr:row>720</xdr:row>
      <xdr:rowOff>85725</xdr:rowOff>
    </xdr:from>
    <xdr:to>
      <xdr:col>7</xdr:col>
      <xdr:colOff>180975</xdr:colOff>
      <xdr:row>720</xdr:row>
      <xdr:rowOff>96838</xdr:rowOff>
    </xdr:to>
    <xdr:cxnSp macro="">
      <xdr:nvCxnSpPr>
        <xdr:cNvPr id="621" name="Straight Arrow Connector 620"/>
        <xdr:cNvCxnSpPr/>
      </xdr:nvCxnSpPr>
      <xdr:spPr bwMode="auto">
        <a:xfrm>
          <a:off x="3467100" y="73837800"/>
          <a:ext cx="1028700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19051</xdr:colOff>
      <xdr:row>720</xdr:row>
      <xdr:rowOff>95250</xdr:rowOff>
    </xdr:from>
    <xdr:to>
      <xdr:col>4</xdr:col>
      <xdr:colOff>85726</xdr:colOff>
      <xdr:row>720</xdr:row>
      <xdr:rowOff>96838</xdr:rowOff>
    </xdr:to>
    <xdr:cxnSp macro="">
      <xdr:nvCxnSpPr>
        <xdr:cNvPr id="622" name="Straight Arrow Connector 621"/>
        <xdr:cNvCxnSpPr/>
      </xdr:nvCxnSpPr>
      <xdr:spPr bwMode="auto">
        <a:xfrm rot="10800000">
          <a:off x="1247776" y="73847325"/>
          <a:ext cx="12954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219075</xdr:colOff>
      <xdr:row>714</xdr:row>
      <xdr:rowOff>152400</xdr:rowOff>
    </xdr:from>
    <xdr:to>
      <xdr:col>7</xdr:col>
      <xdr:colOff>476250</xdr:colOff>
      <xdr:row>714</xdr:row>
      <xdr:rowOff>153988</xdr:rowOff>
    </xdr:to>
    <xdr:cxnSp macro="">
      <xdr:nvCxnSpPr>
        <xdr:cNvPr id="623" name="Straight Connector 622"/>
        <xdr:cNvCxnSpPr/>
      </xdr:nvCxnSpPr>
      <xdr:spPr bwMode="auto">
        <a:xfrm>
          <a:off x="4533900" y="7293292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228600</xdr:colOff>
      <xdr:row>717</xdr:row>
      <xdr:rowOff>0</xdr:rowOff>
    </xdr:from>
    <xdr:to>
      <xdr:col>7</xdr:col>
      <xdr:colOff>485775</xdr:colOff>
      <xdr:row>717</xdr:row>
      <xdr:rowOff>1588</xdr:rowOff>
    </xdr:to>
    <xdr:cxnSp macro="">
      <xdr:nvCxnSpPr>
        <xdr:cNvPr id="624" name="Straight Connector 623"/>
        <xdr:cNvCxnSpPr/>
      </xdr:nvCxnSpPr>
      <xdr:spPr bwMode="auto">
        <a:xfrm>
          <a:off x="4543425" y="7326630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285750</xdr:colOff>
      <xdr:row>715</xdr:row>
      <xdr:rowOff>19049</xdr:rowOff>
    </xdr:from>
    <xdr:to>
      <xdr:col>7</xdr:col>
      <xdr:colOff>295275</xdr:colOff>
      <xdr:row>717</xdr:row>
      <xdr:rowOff>9524</xdr:rowOff>
    </xdr:to>
    <xdr:cxnSp macro="">
      <xdr:nvCxnSpPr>
        <xdr:cNvPr id="625" name="Straight Arrow Connector 624"/>
        <xdr:cNvCxnSpPr/>
      </xdr:nvCxnSpPr>
      <xdr:spPr bwMode="auto">
        <a:xfrm rot="16200000" flipH="1">
          <a:off x="4448175" y="73113899"/>
          <a:ext cx="314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342900</xdr:colOff>
      <xdr:row>714</xdr:row>
      <xdr:rowOff>133350</xdr:rowOff>
    </xdr:from>
    <xdr:to>
      <xdr:col>2</xdr:col>
      <xdr:colOff>104775</xdr:colOff>
      <xdr:row>717</xdr:row>
      <xdr:rowOff>28575</xdr:rowOff>
    </xdr:to>
    <xdr:sp macro="" textlink="">
      <xdr:nvSpPr>
        <xdr:cNvPr id="626" name="Arc 625"/>
        <xdr:cNvSpPr/>
      </xdr:nvSpPr>
      <xdr:spPr bwMode="auto">
        <a:xfrm>
          <a:off x="952500" y="72913875"/>
          <a:ext cx="381000" cy="381000"/>
        </a:xfrm>
        <a:prstGeom prst="arc">
          <a:avLst>
            <a:gd name="adj1" fmla="val 6868560"/>
            <a:gd name="adj2" fmla="val 1492911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504825</xdr:colOff>
      <xdr:row>714</xdr:row>
      <xdr:rowOff>85725</xdr:rowOff>
    </xdr:from>
    <xdr:to>
      <xdr:col>8</xdr:col>
      <xdr:colOff>219075</xdr:colOff>
      <xdr:row>716</xdr:row>
      <xdr:rowOff>152400</xdr:rowOff>
    </xdr:to>
    <xdr:sp macro="" textlink="">
      <xdr:nvSpPr>
        <xdr:cNvPr id="627" name="Arc 626"/>
        <xdr:cNvSpPr/>
      </xdr:nvSpPr>
      <xdr:spPr bwMode="auto">
        <a:xfrm flipH="1">
          <a:off x="4819650" y="72866250"/>
          <a:ext cx="323850" cy="390525"/>
        </a:xfrm>
        <a:prstGeom prst="arc">
          <a:avLst>
            <a:gd name="adj1" fmla="val 4531782"/>
            <a:gd name="adj2" fmla="val 17612854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190509</xdr:colOff>
      <xdr:row>617</xdr:row>
      <xdr:rowOff>85724</xdr:rowOff>
    </xdr:from>
    <xdr:to>
      <xdr:col>4</xdr:col>
      <xdr:colOff>219076</xdr:colOff>
      <xdr:row>617</xdr:row>
      <xdr:rowOff>104773</xdr:rowOff>
    </xdr:to>
    <xdr:cxnSp macro="">
      <xdr:nvCxnSpPr>
        <xdr:cNvPr id="628" name="Straight Arrow Connector 627"/>
        <xdr:cNvCxnSpPr/>
      </xdr:nvCxnSpPr>
      <xdr:spPr bwMode="auto">
        <a:xfrm rot="10800000" flipV="1">
          <a:off x="2028834" y="56626124"/>
          <a:ext cx="647692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180974</xdr:colOff>
      <xdr:row>617</xdr:row>
      <xdr:rowOff>95250</xdr:rowOff>
    </xdr:from>
    <xdr:to>
      <xdr:col>3</xdr:col>
      <xdr:colOff>190499</xdr:colOff>
      <xdr:row>619</xdr:row>
      <xdr:rowOff>0</xdr:rowOff>
    </xdr:to>
    <xdr:cxnSp macro="">
      <xdr:nvCxnSpPr>
        <xdr:cNvPr id="629" name="Straight Arrow Connector 628"/>
        <xdr:cNvCxnSpPr/>
      </xdr:nvCxnSpPr>
      <xdr:spPr bwMode="auto">
        <a:xfrm rot="16200000" flipH="1">
          <a:off x="1909762" y="56745187"/>
          <a:ext cx="228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sm" len="sm"/>
          <a:tailEnd type="triangle" w="sm" len="sm"/>
        </a:ln>
        <a:effectLst/>
      </xdr:spPr>
    </xdr:cxnSp>
    <xdr:clientData/>
  </xdr:twoCellAnchor>
  <xdr:twoCellAnchor>
    <xdr:from>
      <xdr:col>4</xdr:col>
      <xdr:colOff>342108</xdr:colOff>
      <xdr:row>711</xdr:row>
      <xdr:rowOff>9528</xdr:rowOff>
    </xdr:from>
    <xdr:to>
      <xdr:col>4</xdr:col>
      <xdr:colOff>342901</xdr:colOff>
      <xdr:row>713</xdr:row>
      <xdr:rowOff>115093</xdr:rowOff>
    </xdr:to>
    <xdr:cxnSp macro="">
      <xdr:nvCxnSpPr>
        <xdr:cNvPr id="630" name="Straight Arrow Connector 629"/>
        <xdr:cNvCxnSpPr/>
      </xdr:nvCxnSpPr>
      <xdr:spPr bwMode="auto">
        <a:xfrm rot="5400000">
          <a:off x="2585247" y="72518589"/>
          <a:ext cx="429415" cy="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323850</xdr:colOff>
      <xdr:row>711</xdr:row>
      <xdr:rowOff>152400</xdr:rowOff>
    </xdr:from>
    <xdr:to>
      <xdr:col>7</xdr:col>
      <xdr:colOff>180975</xdr:colOff>
      <xdr:row>711</xdr:row>
      <xdr:rowOff>153988</xdr:rowOff>
    </xdr:to>
    <xdr:cxnSp macro="">
      <xdr:nvCxnSpPr>
        <xdr:cNvPr id="631" name="Straight Arrow Connector 630"/>
        <xdr:cNvCxnSpPr/>
      </xdr:nvCxnSpPr>
      <xdr:spPr bwMode="auto">
        <a:xfrm>
          <a:off x="2781300" y="72447150"/>
          <a:ext cx="17145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190500</xdr:colOff>
      <xdr:row>712</xdr:row>
      <xdr:rowOff>85728</xdr:rowOff>
    </xdr:from>
    <xdr:to>
      <xdr:col>8</xdr:col>
      <xdr:colOff>19052</xdr:colOff>
      <xdr:row>713</xdr:row>
      <xdr:rowOff>9525</xdr:rowOff>
    </xdr:to>
    <xdr:cxnSp macro="">
      <xdr:nvCxnSpPr>
        <xdr:cNvPr id="632" name="Straight Arrow Connector 631"/>
        <xdr:cNvCxnSpPr/>
      </xdr:nvCxnSpPr>
      <xdr:spPr bwMode="auto">
        <a:xfrm rot="10800000" flipV="1">
          <a:off x="4505325" y="72542403"/>
          <a:ext cx="438152" cy="857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323056</xdr:colOff>
      <xdr:row>623</xdr:row>
      <xdr:rowOff>48419</xdr:rowOff>
    </xdr:from>
    <xdr:to>
      <xdr:col>6</xdr:col>
      <xdr:colOff>324644</xdr:colOff>
      <xdr:row>625</xdr:row>
      <xdr:rowOff>48419</xdr:rowOff>
    </xdr:to>
    <xdr:cxnSp macro="">
      <xdr:nvCxnSpPr>
        <xdr:cNvPr id="633" name="Straight Arrow Connector 632"/>
        <xdr:cNvCxnSpPr/>
      </xdr:nvCxnSpPr>
      <xdr:spPr bwMode="auto">
        <a:xfrm rot="5400000">
          <a:off x="3867150" y="57721500"/>
          <a:ext cx="32385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9525</xdr:colOff>
      <xdr:row>718</xdr:row>
      <xdr:rowOff>95250</xdr:rowOff>
    </xdr:from>
    <xdr:to>
      <xdr:col>2</xdr:col>
      <xdr:colOff>276225</xdr:colOff>
      <xdr:row>718</xdr:row>
      <xdr:rowOff>96838</xdr:rowOff>
    </xdr:to>
    <xdr:cxnSp macro="">
      <xdr:nvCxnSpPr>
        <xdr:cNvPr id="634" name="Straight Arrow Connector 633"/>
        <xdr:cNvCxnSpPr/>
      </xdr:nvCxnSpPr>
      <xdr:spPr bwMode="auto">
        <a:xfrm>
          <a:off x="1238250" y="73523475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8731</xdr:colOff>
      <xdr:row>77</xdr:row>
      <xdr:rowOff>67469</xdr:rowOff>
    </xdr:from>
    <xdr:to>
      <xdr:col>4</xdr:col>
      <xdr:colOff>10319</xdr:colOff>
      <xdr:row>85</xdr:row>
      <xdr:rowOff>124619</xdr:rowOff>
    </xdr:to>
    <xdr:cxnSp macro="">
      <xdr:nvCxnSpPr>
        <xdr:cNvPr id="637" name="Straight Arrow Connector 636"/>
        <xdr:cNvCxnSpPr/>
      </xdr:nvCxnSpPr>
      <xdr:spPr bwMode="auto">
        <a:xfrm rot="5400000">
          <a:off x="1676400" y="13573125"/>
          <a:ext cx="1581150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cxnSp>
    <xdr:clientData/>
  </xdr:twoCellAnchor>
  <xdr:twoCellAnchor>
    <xdr:from>
      <xdr:col>3</xdr:col>
      <xdr:colOff>523875</xdr:colOff>
      <xdr:row>72</xdr:row>
      <xdr:rowOff>114300</xdr:rowOff>
    </xdr:from>
    <xdr:to>
      <xdr:col>4</xdr:col>
      <xdr:colOff>171450</xdr:colOff>
      <xdr:row>74</xdr:row>
      <xdr:rowOff>76200</xdr:rowOff>
    </xdr:to>
    <xdr:sp macro="" textlink="">
      <xdr:nvSpPr>
        <xdr:cNvPr id="638" name="Oval 1029"/>
        <xdr:cNvSpPr>
          <a:spLocks noChangeArrowheads="1"/>
        </xdr:cNvSpPr>
      </xdr:nvSpPr>
      <xdr:spPr bwMode="auto">
        <a:xfrm>
          <a:off x="2362200" y="1187767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523875</xdr:colOff>
      <xdr:row>87</xdr:row>
      <xdr:rowOff>123825</xdr:rowOff>
    </xdr:from>
    <xdr:to>
      <xdr:col>4</xdr:col>
      <xdr:colOff>171450</xdr:colOff>
      <xdr:row>89</xdr:row>
      <xdr:rowOff>85725</xdr:rowOff>
    </xdr:to>
    <xdr:sp macro="" textlink="">
      <xdr:nvSpPr>
        <xdr:cNvPr id="639" name="Oval 1029"/>
        <xdr:cNvSpPr>
          <a:spLocks noChangeArrowheads="1"/>
        </xdr:cNvSpPr>
      </xdr:nvSpPr>
      <xdr:spPr bwMode="auto">
        <a:xfrm>
          <a:off x="2362200" y="1474470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609600</xdr:colOff>
      <xdr:row>74</xdr:row>
      <xdr:rowOff>85727</xdr:rowOff>
    </xdr:from>
    <xdr:to>
      <xdr:col>3</xdr:col>
      <xdr:colOff>611188</xdr:colOff>
      <xdr:row>76</xdr:row>
      <xdr:rowOff>95252</xdr:rowOff>
    </xdr:to>
    <xdr:cxnSp macro="">
      <xdr:nvCxnSpPr>
        <xdr:cNvPr id="640" name="Straight Connector 639"/>
        <xdr:cNvCxnSpPr/>
      </xdr:nvCxnSpPr>
      <xdr:spPr bwMode="auto">
        <a:xfrm rot="5400000">
          <a:off x="2253456" y="12424571"/>
          <a:ext cx="3905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86</xdr:row>
      <xdr:rowOff>47626</xdr:rowOff>
    </xdr:from>
    <xdr:to>
      <xdr:col>3</xdr:col>
      <xdr:colOff>601663</xdr:colOff>
      <xdr:row>88</xdr:row>
      <xdr:rowOff>57151</xdr:rowOff>
    </xdr:to>
    <xdr:cxnSp macro="">
      <xdr:nvCxnSpPr>
        <xdr:cNvPr id="641" name="Straight Connector 640"/>
        <xdr:cNvCxnSpPr/>
      </xdr:nvCxnSpPr>
      <xdr:spPr bwMode="auto">
        <a:xfrm rot="5400000">
          <a:off x="2243931" y="14672470"/>
          <a:ext cx="3905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215900</xdr:colOff>
      <xdr:row>31</xdr:row>
      <xdr:rowOff>38100</xdr:rowOff>
    </xdr:from>
    <xdr:to>
      <xdr:col>4</xdr:col>
      <xdr:colOff>50800</xdr:colOff>
      <xdr:row>31</xdr:row>
      <xdr:rowOff>38101</xdr:rowOff>
    </xdr:to>
    <xdr:cxnSp macro="">
      <xdr:nvCxnSpPr>
        <xdr:cNvPr id="643" name="Straight Connector 642"/>
        <xdr:cNvCxnSpPr/>
      </xdr:nvCxnSpPr>
      <xdr:spPr bwMode="auto">
        <a:xfrm flipV="1">
          <a:off x="1447800" y="5207000"/>
          <a:ext cx="106680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76200</xdr:colOff>
      <xdr:row>28</xdr:row>
      <xdr:rowOff>133350</xdr:rowOff>
    </xdr:from>
    <xdr:to>
      <xdr:col>4</xdr:col>
      <xdr:colOff>76200</xdr:colOff>
      <xdr:row>29</xdr:row>
      <xdr:rowOff>104775</xdr:rowOff>
    </xdr:to>
    <xdr:sp macro="" textlink="">
      <xdr:nvSpPr>
        <xdr:cNvPr id="647" name="Line 90"/>
        <xdr:cNvSpPr>
          <a:spLocks noChangeShapeType="1"/>
        </xdr:cNvSpPr>
      </xdr:nvSpPr>
      <xdr:spPr bwMode="auto">
        <a:xfrm flipV="1">
          <a:off x="2533650" y="46577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44450</xdr:colOff>
      <xdr:row>30</xdr:row>
      <xdr:rowOff>130175</xdr:rowOff>
    </xdr:from>
    <xdr:to>
      <xdr:col>4</xdr:col>
      <xdr:colOff>44450</xdr:colOff>
      <xdr:row>31</xdr:row>
      <xdr:rowOff>101600</xdr:rowOff>
    </xdr:to>
    <xdr:sp macro="" textlink="">
      <xdr:nvSpPr>
        <xdr:cNvPr id="648" name="Line 90"/>
        <xdr:cNvSpPr>
          <a:spLocks noChangeShapeType="1"/>
        </xdr:cNvSpPr>
      </xdr:nvSpPr>
      <xdr:spPr bwMode="auto">
        <a:xfrm flipV="1">
          <a:off x="2508250" y="51085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320743</xdr:colOff>
      <xdr:row>48</xdr:row>
      <xdr:rowOff>184670</xdr:rowOff>
    </xdr:from>
    <xdr:to>
      <xdr:col>2</xdr:col>
      <xdr:colOff>324437</xdr:colOff>
      <xdr:row>50</xdr:row>
      <xdr:rowOff>184671</xdr:rowOff>
    </xdr:to>
    <xdr:cxnSp macro="">
      <xdr:nvCxnSpPr>
        <xdr:cNvPr id="642" name="Straight Arrow Connector 641"/>
        <xdr:cNvCxnSpPr/>
      </xdr:nvCxnSpPr>
      <xdr:spPr bwMode="auto">
        <a:xfrm rot="5400000">
          <a:off x="1362563" y="8881676"/>
          <a:ext cx="388777" cy="36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9</xdr:col>
      <xdr:colOff>0</xdr:colOff>
      <xdr:row>74</xdr:row>
      <xdr:rowOff>12378</xdr:rowOff>
    </xdr:from>
    <xdr:to>
      <xdr:col>9</xdr:col>
      <xdr:colOff>1</xdr:colOff>
      <xdr:row>90</xdr:row>
      <xdr:rowOff>7</xdr:rowOff>
    </xdr:to>
    <xdr:cxnSp macro="">
      <xdr:nvCxnSpPr>
        <xdr:cNvPr id="646" name="Straight Connector 645"/>
        <xdr:cNvCxnSpPr/>
      </xdr:nvCxnSpPr>
      <xdr:spPr bwMode="auto">
        <a:xfrm rot="5400000">
          <a:off x="4038849" y="13390672"/>
          <a:ext cx="295646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4778</xdr:colOff>
      <xdr:row>73</xdr:row>
      <xdr:rowOff>182868</xdr:rowOff>
    </xdr:from>
    <xdr:to>
      <xdr:col>9</xdr:col>
      <xdr:colOff>11476</xdr:colOff>
      <xdr:row>73</xdr:row>
      <xdr:rowOff>183615</xdr:rowOff>
    </xdr:to>
    <xdr:cxnSp macro="">
      <xdr:nvCxnSpPr>
        <xdr:cNvPr id="650" name="Straight Connector 649"/>
        <xdr:cNvCxnSpPr/>
      </xdr:nvCxnSpPr>
      <xdr:spPr bwMode="auto">
        <a:xfrm>
          <a:off x="4922203" y="12060428"/>
          <a:ext cx="614921" cy="747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24739</xdr:colOff>
      <xdr:row>90</xdr:row>
      <xdr:rowOff>12369</xdr:rowOff>
    </xdr:from>
    <xdr:to>
      <xdr:col>9</xdr:col>
      <xdr:colOff>0</xdr:colOff>
      <xdr:row>90</xdr:row>
      <xdr:rowOff>13957</xdr:rowOff>
    </xdr:to>
    <xdr:cxnSp macro="">
      <xdr:nvCxnSpPr>
        <xdr:cNvPr id="651" name="Straight Connector 650"/>
        <xdr:cNvCxnSpPr/>
      </xdr:nvCxnSpPr>
      <xdr:spPr bwMode="auto">
        <a:xfrm>
          <a:off x="4935681" y="14881265"/>
          <a:ext cx="58139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288860</xdr:colOff>
      <xdr:row>36</xdr:row>
      <xdr:rowOff>180975</xdr:rowOff>
    </xdr:from>
    <xdr:to>
      <xdr:col>5</xdr:col>
      <xdr:colOff>174560</xdr:colOff>
      <xdr:row>36</xdr:row>
      <xdr:rowOff>182563</xdr:rowOff>
    </xdr:to>
    <xdr:cxnSp macro="">
      <xdr:nvCxnSpPr>
        <xdr:cNvPr id="654" name="Straight Connector 653"/>
        <xdr:cNvCxnSpPr/>
      </xdr:nvCxnSpPr>
      <xdr:spPr bwMode="auto">
        <a:xfrm>
          <a:off x="2757584" y="6352786"/>
          <a:ext cx="498022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171450</xdr:colOff>
      <xdr:row>65</xdr:row>
      <xdr:rowOff>85725</xdr:rowOff>
    </xdr:from>
    <xdr:to>
      <xdr:col>2</xdr:col>
      <xdr:colOff>142875</xdr:colOff>
      <xdr:row>67</xdr:row>
      <xdr:rowOff>9525</xdr:rowOff>
    </xdr:to>
    <xdr:sp macro="" textlink="">
      <xdr:nvSpPr>
        <xdr:cNvPr id="635" name="Line 15"/>
        <xdr:cNvSpPr>
          <a:spLocks noChangeShapeType="1"/>
        </xdr:cNvSpPr>
      </xdr:nvSpPr>
      <xdr:spPr bwMode="auto">
        <a:xfrm>
          <a:off x="781050" y="1419225"/>
          <a:ext cx="581025" cy="3048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133350</xdr:colOff>
      <xdr:row>66</xdr:row>
      <xdr:rowOff>95250</xdr:rowOff>
    </xdr:from>
    <xdr:to>
      <xdr:col>8</xdr:col>
      <xdr:colOff>200025</xdr:colOff>
      <xdr:row>67</xdr:row>
      <xdr:rowOff>0</xdr:rowOff>
    </xdr:to>
    <xdr:sp macro="" textlink="">
      <xdr:nvSpPr>
        <xdr:cNvPr id="644" name="Line 17"/>
        <xdr:cNvSpPr>
          <a:spLocks noChangeShapeType="1"/>
        </xdr:cNvSpPr>
      </xdr:nvSpPr>
      <xdr:spPr bwMode="auto">
        <a:xfrm flipV="1">
          <a:off x="1352550" y="1619250"/>
          <a:ext cx="3724275" cy="95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65</xdr:row>
      <xdr:rowOff>76200</xdr:rowOff>
    </xdr:from>
    <xdr:to>
      <xdr:col>9</xdr:col>
      <xdr:colOff>0</xdr:colOff>
      <xdr:row>65</xdr:row>
      <xdr:rowOff>85725</xdr:rowOff>
    </xdr:to>
    <xdr:sp macro="" textlink="">
      <xdr:nvSpPr>
        <xdr:cNvPr id="645" name="Line 19"/>
        <xdr:cNvSpPr>
          <a:spLocks noChangeShapeType="1"/>
        </xdr:cNvSpPr>
      </xdr:nvSpPr>
      <xdr:spPr bwMode="auto">
        <a:xfrm flipH="1" flipV="1">
          <a:off x="1381125" y="1409700"/>
          <a:ext cx="41052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171449</xdr:colOff>
      <xdr:row>63</xdr:row>
      <xdr:rowOff>152399</xdr:rowOff>
    </xdr:from>
    <xdr:to>
      <xdr:col>2</xdr:col>
      <xdr:colOff>142874</xdr:colOff>
      <xdr:row>65</xdr:row>
      <xdr:rowOff>85724</xdr:rowOff>
    </xdr:to>
    <xdr:sp macro="" textlink="">
      <xdr:nvSpPr>
        <xdr:cNvPr id="649" name="Line 20"/>
        <xdr:cNvSpPr>
          <a:spLocks noChangeShapeType="1"/>
        </xdr:cNvSpPr>
      </xdr:nvSpPr>
      <xdr:spPr bwMode="auto">
        <a:xfrm flipH="1" flipV="1">
          <a:off x="781049" y="1104899"/>
          <a:ext cx="581025" cy="314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600075</xdr:colOff>
      <xdr:row>65</xdr:row>
      <xdr:rowOff>76200</xdr:rowOff>
    </xdr:from>
    <xdr:to>
      <xdr:col>8</xdr:col>
      <xdr:colOff>600075</xdr:colOff>
      <xdr:row>68</xdr:row>
      <xdr:rowOff>9525</xdr:rowOff>
    </xdr:to>
    <xdr:sp macro="" textlink="">
      <xdr:nvSpPr>
        <xdr:cNvPr id="652" name="Line 21"/>
        <xdr:cNvSpPr>
          <a:spLocks noChangeShapeType="1"/>
        </xdr:cNvSpPr>
      </xdr:nvSpPr>
      <xdr:spPr bwMode="auto">
        <a:xfrm flipH="1">
          <a:off x="5476875" y="1409700"/>
          <a:ext cx="0" cy="5048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200025</xdr:colOff>
      <xdr:row>66</xdr:row>
      <xdr:rowOff>114300</xdr:rowOff>
    </xdr:from>
    <xdr:to>
      <xdr:col>8</xdr:col>
      <xdr:colOff>409575</xdr:colOff>
      <xdr:row>68</xdr:row>
      <xdr:rowOff>9525</xdr:rowOff>
    </xdr:to>
    <xdr:sp macro="" textlink="">
      <xdr:nvSpPr>
        <xdr:cNvPr id="653" name="Line 22"/>
        <xdr:cNvSpPr>
          <a:spLocks noChangeShapeType="1"/>
        </xdr:cNvSpPr>
      </xdr:nvSpPr>
      <xdr:spPr bwMode="auto">
        <a:xfrm>
          <a:off x="5076825" y="1638300"/>
          <a:ext cx="209550" cy="2762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590550</xdr:colOff>
      <xdr:row>65</xdr:row>
      <xdr:rowOff>85725</xdr:rowOff>
    </xdr:from>
    <xdr:to>
      <xdr:col>1</xdr:col>
      <xdr:colOff>95250</xdr:colOff>
      <xdr:row>65</xdr:row>
      <xdr:rowOff>85725</xdr:rowOff>
    </xdr:to>
    <xdr:sp macro="" textlink="">
      <xdr:nvSpPr>
        <xdr:cNvPr id="655" name="Line 61"/>
        <xdr:cNvSpPr>
          <a:spLocks noChangeShapeType="1"/>
        </xdr:cNvSpPr>
      </xdr:nvSpPr>
      <xdr:spPr bwMode="auto">
        <a:xfrm flipV="1">
          <a:off x="590550" y="14192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133350</xdr:colOff>
      <xdr:row>64</xdr:row>
      <xdr:rowOff>47625</xdr:rowOff>
    </xdr:from>
    <xdr:to>
      <xdr:col>2</xdr:col>
      <xdr:colOff>133350</xdr:colOff>
      <xdr:row>65</xdr:row>
      <xdr:rowOff>76200</xdr:rowOff>
    </xdr:to>
    <xdr:sp macro="" textlink="">
      <xdr:nvSpPr>
        <xdr:cNvPr id="656" name="Line 64"/>
        <xdr:cNvSpPr>
          <a:spLocks noChangeShapeType="1"/>
        </xdr:cNvSpPr>
      </xdr:nvSpPr>
      <xdr:spPr bwMode="auto">
        <a:xfrm flipH="1">
          <a:off x="1352550" y="1190625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8</xdr:col>
      <xdr:colOff>410369</xdr:colOff>
      <xdr:row>68</xdr:row>
      <xdr:rowOff>8731</xdr:rowOff>
    </xdr:from>
    <xdr:to>
      <xdr:col>8</xdr:col>
      <xdr:colOff>600869</xdr:colOff>
      <xdr:row>68</xdr:row>
      <xdr:rowOff>10319</xdr:rowOff>
    </xdr:to>
    <xdr:cxnSp macro="">
      <xdr:nvCxnSpPr>
        <xdr:cNvPr id="657" name="Straight Connector 656"/>
        <xdr:cNvCxnSpPr>
          <a:stCxn id="653" idx="1"/>
          <a:endCxn id="652" idx="1"/>
        </xdr:cNvCxnSpPr>
      </xdr:nvCxnSpPr>
      <xdr:spPr bwMode="auto">
        <a:xfrm rot="5400000" flipH="1" flipV="1">
          <a:off x="5381625" y="1819275"/>
          <a:ext cx="1588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161925</xdr:colOff>
      <xdr:row>63</xdr:row>
      <xdr:rowOff>133351</xdr:rowOff>
    </xdr:from>
    <xdr:to>
      <xdr:col>1</xdr:col>
      <xdr:colOff>171450</xdr:colOff>
      <xdr:row>65</xdr:row>
      <xdr:rowOff>76201</xdr:rowOff>
    </xdr:to>
    <xdr:cxnSp macro="">
      <xdr:nvCxnSpPr>
        <xdr:cNvPr id="658" name="Straight Connector 657"/>
        <xdr:cNvCxnSpPr/>
      </xdr:nvCxnSpPr>
      <xdr:spPr bwMode="auto">
        <a:xfrm rot="5400000">
          <a:off x="614363" y="1243013"/>
          <a:ext cx="323850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0</xdr:col>
      <xdr:colOff>561975</xdr:colOff>
      <xdr:row>63</xdr:row>
      <xdr:rowOff>114300</xdr:rowOff>
    </xdr:from>
    <xdr:to>
      <xdr:col>1</xdr:col>
      <xdr:colOff>133350</xdr:colOff>
      <xdr:row>63</xdr:row>
      <xdr:rowOff>115888</xdr:rowOff>
    </xdr:to>
    <xdr:cxnSp macro="">
      <xdr:nvCxnSpPr>
        <xdr:cNvPr id="659" name="Straight Connector 658"/>
        <xdr:cNvCxnSpPr/>
      </xdr:nvCxnSpPr>
      <xdr:spPr bwMode="auto">
        <a:xfrm>
          <a:off x="561975" y="1066800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57150</xdr:colOff>
      <xdr:row>63</xdr:row>
      <xdr:rowOff>133350</xdr:rowOff>
    </xdr:from>
    <xdr:to>
      <xdr:col>1</xdr:col>
      <xdr:colOff>57152</xdr:colOff>
      <xdr:row>65</xdr:row>
      <xdr:rowOff>66675</xdr:rowOff>
    </xdr:to>
    <xdr:cxnSp macro="">
      <xdr:nvCxnSpPr>
        <xdr:cNvPr id="660" name="Straight Arrow Connector 659"/>
        <xdr:cNvCxnSpPr/>
      </xdr:nvCxnSpPr>
      <xdr:spPr bwMode="auto">
        <a:xfrm rot="16200000" flipH="1">
          <a:off x="509588" y="1243012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sm"/>
          <a:tailEnd type="triangle" w="med" len="sm"/>
        </a:ln>
        <a:effectLst/>
      </xdr:spPr>
    </xdr:cxnSp>
    <xdr:clientData/>
  </xdr:twoCellAnchor>
  <xdr:twoCellAnchor>
    <xdr:from>
      <xdr:col>2</xdr:col>
      <xdr:colOff>132557</xdr:colOff>
      <xdr:row>67</xdr:row>
      <xdr:rowOff>794</xdr:rowOff>
    </xdr:from>
    <xdr:to>
      <xdr:col>2</xdr:col>
      <xdr:colOff>134145</xdr:colOff>
      <xdr:row>68</xdr:row>
      <xdr:rowOff>76994</xdr:rowOff>
    </xdr:to>
    <xdr:cxnSp macro="">
      <xdr:nvCxnSpPr>
        <xdr:cNvPr id="661" name="Straight Arrow Connector 660"/>
        <xdr:cNvCxnSpPr>
          <a:endCxn id="644" idx="0"/>
        </xdr:cNvCxnSpPr>
      </xdr:nvCxnSpPr>
      <xdr:spPr bwMode="auto">
        <a:xfrm rot="5400000" flipH="1" flipV="1">
          <a:off x="1219201" y="1847850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133350</xdr:colOff>
      <xdr:row>68</xdr:row>
      <xdr:rowOff>66675</xdr:rowOff>
    </xdr:from>
    <xdr:to>
      <xdr:col>2</xdr:col>
      <xdr:colOff>285750</xdr:colOff>
      <xdr:row>68</xdr:row>
      <xdr:rowOff>68263</xdr:rowOff>
    </xdr:to>
    <xdr:cxnSp macro="">
      <xdr:nvCxnSpPr>
        <xdr:cNvPr id="662" name="Straight Connector 661"/>
        <xdr:cNvCxnSpPr/>
      </xdr:nvCxnSpPr>
      <xdr:spPr bwMode="auto">
        <a:xfrm>
          <a:off x="1352550" y="1971675"/>
          <a:ext cx="1524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313531</xdr:colOff>
      <xdr:row>64</xdr:row>
      <xdr:rowOff>1</xdr:rowOff>
    </xdr:from>
    <xdr:to>
      <xdr:col>8</xdr:col>
      <xdr:colOff>323850</xdr:colOff>
      <xdr:row>65</xdr:row>
      <xdr:rowOff>76997</xdr:rowOff>
    </xdr:to>
    <xdr:cxnSp macro="">
      <xdr:nvCxnSpPr>
        <xdr:cNvPr id="663" name="Straight Arrow Connector 662"/>
        <xdr:cNvCxnSpPr/>
      </xdr:nvCxnSpPr>
      <xdr:spPr bwMode="auto">
        <a:xfrm rot="5400000" flipH="1" flipV="1">
          <a:off x="5109368" y="10177464"/>
          <a:ext cx="267496" cy="1031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6</xdr:col>
      <xdr:colOff>57151</xdr:colOff>
      <xdr:row>68</xdr:row>
      <xdr:rowOff>76200</xdr:rowOff>
    </xdr:from>
    <xdr:to>
      <xdr:col>6</xdr:col>
      <xdr:colOff>257176</xdr:colOff>
      <xdr:row>68</xdr:row>
      <xdr:rowOff>77788</xdr:rowOff>
    </xdr:to>
    <xdr:cxnSp macro="">
      <xdr:nvCxnSpPr>
        <xdr:cNvPr id="665" name="Straight Connector 664"/>
        <xdr:cNvCxnSpPr/>
      </xdr:nvCxnSpPr>
      <xdr:spPr bwMode="auto">
        <a:xfrm rot="10800000">
          <a:off x="3714751" y="1981200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46832</xdr:colOff>
      <xdr:row>66</xdr:row>
      <xdr:rowOff>134144</xdr:rowOff>
    </xdr:from>
    <xdr:to>
      <xdr:col>6</xdr:col>
      <xdr:colOff>48420</xdr:colOff>
      <xdr:row>68</xdr:row>
      <xdr:rowOff>86519</xdr:rowOff>
    </xdr:to>
    <xdr:cxnSp macro="">
      <xdr:nvCxnSpPr>
        <xdr:cNvPr id="666" name="Straight Arrow Connector 665"/>
        <xdr:cNvCxnSpPr/>
      </xdr:nvCxnSpPr>
      <xdr:spPr bwMode="auto">
        <a:xfrm rot="5400000" flipH="1" flipV="1">
          <a:off x="3538538" y="1824038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37306</xdr:colOff>
      <xdr:row>64</xdr:row>
      <xdr:rowOff>19844</xdr:rowOff>
    </xdr:from>
    <xdr:to>
      <xdr:col>6</xdr:col>
      <xdr:colOff>38894</xdr:colOff>
      <xdr:row>65</xdr:row>
      <xdr:rowOff>86519</xdr:rowOff>
    </xdr:to>
    <xdr:cxnSp macro="">
      <xdr:nvCxnSpPr>
        <xdr:cNvPr id="667" name="Straight Arrow Connector 666"/>
        <xdr:cNvCxnSpPr/>
      </xdr:nvCxnSpPr>
      <xdr:spPr bwMode="auto">
        <a:xfrm rot="5400000" flipH="1" flipV="1">
          <a:off x="3567112" y="1290638"/>
          <a:ext cx="2571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8</xdr:col>
      <xdr:colOff>199232</xdr:colOff>
      <xdr:row>66</xdr:row>
      <xdr:rowOff>96044</xdr:rowOff>
    </xdr:from>
    <xdr:to>
      <xdr:col>8</xdr:col>
      <xdr:colOff>200820</xdr:colOff>
      <xdr:row>68</xdr:row>
      <xdr:rowOff>10319</xdr:rowOff>
    </xdr:to>
    <xdr:cxnSp macro="">
      <xdr:nvCxnSpPr>
        <xdr:cNvPr id="668" name="Straight Arrow Connector 667"/>
        <xdr:cNvCxnSpPr>
          <a:endCxn id="644" idx="1"/>
        </xdr:cNvCxnSpPr>
      </xdr:nvCxnSpPr>
      <xdr:spPr bwMode="auto">
        <a:xfrm rot="5400000" flipH="1" flipV="1">
          <a:off x="4929188" y="1766888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19051</xdr:colOff>
      <xdr:row>68</xdr:row>
      <xdr:rowOff>57150</xdr:rowOff>
    </xdr:from>
    <xdr:to>
      <xdr:col>4</xdr:col>
      <xdr:colOff>219076</xdr:colOff>
      <xdr:row>68</xdr:row>
      <xdr:rowOff>58738</xdr:rowOff>
    </xdr:to>
    <xdr:cxnSp macro="">
      <xdr:nvCxnSpPr>
        <xdr:cNvPr id="669" name="Straight Connector 668"/>
        <xdr:cNvCxnSpPr/>
      </xdr:nvCxnSpPr>
      <xdr:spPr bwMode="auto">
        <a:xfrm rot="10800000">
          <a:off x="2476501" y="10677525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19050</xdr:colOff>
      <xdr:row>67</xdr:row>
      <xdr:rowOff>0</xdr:rowOff>
    </xdr:from>
    <xdr:to>
      <xdr:col>4</xdr:col>
      <xdr:colOff>20638</xdr:colOff>
      <xdr:row>68</xdr:row>
      <xdr:rowOff>76200</xdr:rowOff>
    </xdr:to>
    <xdr:cxnSp macro="">
      <xdr:nvCxnSpPr>
        <xdr:cNvPr id="670" name="Straight Arrow Connector 669"/>
        <xdr:cNvCxnSpPr/>
      </xdr:nvCxnSpPr>
      <xdr:spPr bwMode="auto">
        <a:xfrm rot="5400000" flipH="1" flipV="1">
          <a:off x="2343944" y="10562431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142877</xdr:colOff>
      <xdr:row>65</xdr:row>
      <xdr:rowOff>142875</xdr:rowOff>
    </xdr:from>
    <xdr:to>
      <xdr:col>1</xdr:col>
      <xdr:colOff>144465</xdr:colOff>
      <xdr:row>67</xdr:row>
      <xdr:rowOff>95250</xdr:rowOff>
    </xdr:to>
    <xdr:cxnSp macro="">
      <xdr:nvCxnSpPr>
        <xdr:cNvPr id="671" name="Straight Arrow Connector 670"/>
        <xdr:cNvCxnSpPr/>
      </xdr:nvCxnSpPr>
      <xdr:spPr bwMode="auto">
        <a:xfrm rot="5400000" flipH="1" flipV="1">
          <a:off x="586583" y="10357644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542925</xdr:colOff>
      <xdr:row>67</xdr:row>
      <xdr:rowOff>95250</xdr:rowOff>
    </xdr:from>
    <xdr:to>
      <xdr:col>1</xdr:col>
      <xdr:colOff>133350</xdr:colOff>
      <xdr:row>67</xdr:row>
      <xdr:rowOff>96838</xdr:rowOff>
    </xdr:to>
    <xdr:cxnSp macro="">
      <xdr:nvCxnSpPr>
        <xdr:cNvPr id="672" name="Straight Connector 671"/>
        <xdr:cNvCxnSpPr/>
      </xdr:nvCxnSpPr>
      <xdr:spPr bwMode="auto">
        <a:xfrm rot="10800000">
          <a:off x="542925" y="10525125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9526</xdr:colOff>
      <xdr:row>63</xdr:row>
      <xdr:rowOff>171450</xdr:rowOff>
    </xdr:from>
    <xdr:to>
      <xdr:col>4</xdr:col>
      <xdr:colOff>11114</xdr:colOff>
      <xdr:row>65</xdr:row>
      <xdr:rowOff>47625</xdr:rowOff>
    </xdr:to>
    <xdr:cxnSp macro="">
      <xdr:nvCxnSpPr>
        <xdr:cNvPr id="673" name="Straight Arrow Connector 672"/>
        <xdr:cNvCxnSpPr/>
      </xdr:nvCxnSpPr>
      <xdr:spPr bwMode="auto">
        <a:xfrm rot="5400000" flipH="1" flipV="1">
          <a:off x="2339182" y="9967119"/>
          <a:ext cx="2571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9</xdr:col>
      <xdr:colOff>103982</xdr:colOff>
      <xdr:row>65</xdr:row>
      <xdr:rowOff>96043</xdr:rowOff>
    </xdr:from>
    <xdr:to>
      <xdr:col>9</xdr:col>
      <xdr:colOff>105570</xdr:colOff>
      <xdr:row>66</xdr:row>
      <xdr:rowOff>143668</xdr:rowOff>
    </xdr:to>
    <xdr:cxnSp macro="">
      <xdr:nvCxnSpPr>
        <xdr:cNvPr id="675" name="Straight Arrow Connector 674"/>
        <xdr:cNvCxnSpPr/>
      </xdr:nvCxnSpPr>
      <xdr:spPr bwMode="auto">
        <a:xfrm rot="5400000">
          <a:off x="5519738" y="10263187"/>
          <a:ext cx="238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9</xdr:col>
      <xdr:colOff>47625</xdr:colOff>
      <xdr:row>65</xdr:row>
      <xdr:rowOff>85725</xdr:rowOff>
    </xdr:from>
    <xdr:to>
      <xdr:col>9</xdr:col>
      <xdr:colOff>247650</xdr:colOff>
      <xdr:row>65</xdr:row>
      <xdr:rowOff>87313</xdr:rowOff>
    </xdr:to>
    <xdr:cxnSp macro="">
      <xdr:nvCxnSpPr>
        <xdr:cNvPr id="677" name="Straight Connector 676"/>
        <xdr:cNvCxnSpPr/>
      </xdr:nvCxnSpPr>
      <xdr:spPr bwMode="auto">
        <a:xfrm>
          <a:off x="5581650" y="10134600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66675</xdr:colOff>
      <xdr:row>66</xdr:row>
      <xdr:rowOff>133350</xdr:rowOff>
    </xdr:from>
    <xdr:to>
      <xdr:col>9</xdr:col>
      <xdr:colOff>247650</xdr:colOff>
      <xdr:row>66</xdr:row>
      <xdr:rowOff>134938</xdr:rowOff>
    </xdr:to>
    <xdr:cxnSp macro="">
      <xdr:nvCxnSpPr>
        <xdr:cNvPr id="679" name="Straight Connector 678"/>
        <xdr:cNvCxnSpPr/>
      </xdr:nvCxnSpPr>
      <xdr:spPr bwMode="auto">
        <a:xfrm>
          <a:off x="5600700" y="10372725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608806</xdr:colOff>
      <xdr:row>69</xdr:row>
      <xdr:rowOff>10319</xdr:rowOff>
    </xdr:from>
    <xdr:to>
      <xdr:col>9</xdr:col>
      <xdr:colOff>794</xdr:colOff>
      <xdr:row>70</xdr:row>
      <xdr:rowOff>105569</xdr:rowOff>
    </xdr:to>
    <xdr:cxnSp macro="">
      <xdr:nvCxnSpPr>
        <xdr:cNvPr id="676" name="Straight Connector 675"/>
        <xdr:cNvCxnSpPr/>
      </xdr:nvCxnSpPr>
      <xdr:spPr bwMode="auto">
        <a:xfrm rot="5400000">
          <a:off x="5391150" y="10963275"/>
          <a:ext cx="2857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200025</xdr:colOff>
      <xdr:row>69</xdr:row>
      <xdr:rowOff>19050</xdr:rowOff>
    </xdr:from>
    <xdr:to>
      <xdr:col>8</xdr:col>
      <xdr:colOff>201613</xdr:colOff>
      <xdr:row>70</xdr:row>
      <xdr:rowOff>114300</xdr:rowOff>
    </xdr:to>
    <xdr:cxnSp macro="">
      <xdr:nvCxnSpPr>
        <xdr:cNvPr id="678" name="Straight Connector 677"/>
        <xdr:cNvCxnSpPr/>
      </xdr:nvCxnSpPr>
      <xdr:spPr bwMode="auto">
        <a:xfrm rot="5400000">
          <a:off x="4982369" y="10972006"/>
          <a:ext cx="2857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200025</xdr:colOff>
      <xdr:row>69</xdr:row>
      <xdr:rowOff>133350</xdr:rowOff>
    </xdr:from>
    <xdr:to>
      <xdr:col>9</xdr:col>
      <xdr:colOff>0</xdr:colOff>
      <xdr:row>69</xdr:row>
      <xdr:rowOff>134938</xdr:rowOff>
    </xdr:to>
    <xdr:cxnSp macro="">
      <xdr:nvCxnSpPr>
        <xdr:cNvPr id="681" name="Straight Arrow Connector 680"/>
        <xdr:cNvCxnSpPr/>
      </xdr:nvCxnSpPr>
      <xdr:spPr bwMode="auto">
        <a:xfrm>
          <a:off x="5124450" y="10944225"/>
          <a:ext cx="4095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2</xdr:col>
      <xdr:colOff>123825</xdr:colOff>
      <xdr:row>69</xdr:row>
      <xdr:rowOff>19050</xdr:rowOff>
    </xdr:from>
    <xdr:to>
      <xdr:col>2</xdr:col>
      <xdr:colOff>125413</xdr:colOff>
      <xdr:row>70</xdr:row>
      <xdr:rowOff>114300</xdr:rowOff>
    </xdr:to>
    <xdr:cxnSp macro="">
      <xdr:nvCxnSpPr>
        <xdr:cNvPr id="682" name="Straight Connector 681"/>
        <xdr:cNvCxnSpPr/>
      </xdr:nvCxnSpPr>
      <xdr:spPr bwMode="auto">
        <a:xfrm rot="5400000">
          <a:off x="1210469" y="10972006"/>
          <a:ext cx="2857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123825</xdr:colOff>
      <xdr:row>69</xdr:row>
      <xdr:rowOff>114300</xdr:rowOff>
    </xdr:from>
    <xdr:to>
      <xdr:col>8</xdr:col>
      <xdr:colOff>209550</xdr:colOff>
      <xdr:row>69</xdr:row>
      <xdr:rowOff>144463</xdr:rowOff>
    </xdr:to>
    <xdr:cxnSp macro="">
      <xdr:nvCxnSpPr>
        <xdr:cNvPr id="685" name="Straight Arrow Connector 684"/>
        <xdr:cNvCxnSpPr/>
      </xdr:nvCxnSpPr>
      <xdr:spPr bwMode="auto">
        <a:xfrm>
          <a:off x="1352550" y="10925175"/>
          <a:ext cx="3781425" cy="3016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2</xdr:col>
      <xdr:colOff>200025</xdr:colOff>
      <xdr:row>49</xdr:row>
      <xdr:rowOff>9525</xdr:rowOff>
    </xdr:from>
    <xdr:to>
      <xdr:col>2</xdr:col>
      <xdr:colOff>457200</xdr:colOff>
      <xdr:row>49</xdr:row>
      <xdr:rowOff>11113</xdr:rowOff>
    </xdr:to>
    <xdr:cxnSp macro="">
      <xdr:nvCxnSpPr>
        <xdr:cNvPr id="689" name="Straight Connector 688"/>
        <xdr:cNvCxnSpPr/>
      </xdr:nvCxnSpPr>
      <xdr:spPr bwMode="auto">
        <a:xfrm>
          <a:off x="2038350" y="720090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76201</xdr:colOff>
      <xdr:row>45</xdr:row>
      <xdr:rowOff>38100</xdr:rowOff>
    </xdr:from>
    <xdr:to>
      <xdr:col>7</xdr:col>
      <xdr:colOff>269459</xdr:colOff>
      <xdr:row>46</xdr:row>
      <xdr:rowOff>95250</xdr:rowOff>
    </xdr:to>
    <xdr:sp macro="" textlink="">
      <xdr:nvSpPr>
        <xdr:cNvPr id="680" name="Line 2153"/>
        <xdr:cNvSpPr>
          <a:spLocks noChangeShapeType="1"/>
        </xdr:cNvSpPr>
      </xdr:nvSpPr>
      <xdr:spPr bwMode="auto">
        <a:xfrm flipV="1">
          <a:off x="4391026" y="7800975"/>
          <a:ext cx="193258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177800</xdr:colOff>
      <xdr:row>28</xdr:row>
      <xdr:rowOff>192640</xdr:rowOff>
    </xdr:from>
    <xdr:to>
      <xdr:col>4</xdr:col>
      <xdr:colOff>85618</xdr:colOff>
      <xdr:row>29</xdr:row>
      <xdr:rowOff>5352</xdr:rowOff>
    </xdr:to>
    <xdr:cxnSp macro="">
      <xdr:nvCxnSpPr>
        <xdr:cNvPr id="684" name="Straight Arrow Connector 683"/>
        <xdr:cNvCxnSpPr/>
      </xdr:nvCxnSpPr>
      <xdr:spPr bwMode="auto">
        <a:xfrm>
          <a:off x="787828" y="4692935"/>
          <a:ext cx="1759307" cy="5352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cxnSp>
    <xdr:clientData/>
  </xdr:twoCellAnchor>
  <xdr:twoCellAnchor>
    <xdr:from>
      <xdr:col>2</xdr:col>
      <xdr:colOff>142081</xdr:colOff>
      <xdr:row>82</xdr:row>
      <xdr:rowOff>10319</xdr:rowOff>
    </xdr:from>
    <xdr:to>
      <xdr:col>2</xdr:col>
      <xdr:colOff>143669</xdr:colOff>
      <xdr:row>85</xdr:row>
      <xdr:rowOff>67469</xdr:rowOff>
    </xdr:to>
    <xdr:cxnSp macro="">
      <xdr:nvCxnSpPr>
        <xdr:cNvPr id="691" name="Straight Arrow Connector 690"/>
        <xdr:cNvCxnSpPr/>
      </xdr:nvCxnSpPr>
      <xdr:spPr bwMode="auto">
        <a:xfrm rot="5400000">
          <a:off x="1057275" y="15182850"/>
          <a:ext cx="6286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133349</xdr:colOff>
      <xdr:row>77</xdr:row>
      <xdr:rowOff>152401</xdr:rowOff>
    </xdr:from>
    <xdr:to>
      <xdr:col>2</xdr:col>
      <xdr:colOff>142874</xdr:colOff>
      <xdr:row>81</xdr:row>
      <xdr:rowOff>1</xdr:rowOff>
    </xdr:to>
    <xdr:cxnSp macro="">
      <xdr:nvCxnSpPr>
        <xdr:cNvPr id="693" name="Straight Arrow Connector 692"/>
        <xdr:cNvCxnSpPr/>
      </xdr:nvCxnSpPr>
      <xdr:spPr bwMode="auto">
        <a:xfrm rot="5400000" flipH="1" flipV="1">
          <a:off x="1062037" y="13168313"/>
          <a:ext cx="609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123828</xdr:colOff>
      <xdr:row>61</xdr:row>
      <xdr:rowOff>180975</xdr:rowOff>
    </xdr:from>
    <xdr:to>
      <xdr:col>4</xdr:col>
      <xdr:colOff>9526</xdr:colOff>
      <xdr:row>61</xdr:row>
      <xdr:rowOff>190499</xdr:rowOff>
    </xdr:to>
    <xdr:cxnSp macro="">
      <xdr:nvCxnSpPr>
        <xdr:cNvPr id="687" name="Straight Connector 686"/>
        <xdr:cNvCxnSpPr/>
      </xdr:nvCxnSpPr>
      <xdr:spPr bwMode="auto">
        <a:xfrm rot="10800000" flipV="1">
          <a:off x="1352553" y="9658350"/>
          <a:ext cx="1114423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113506</xdr:colOff>
      <xdr:row>61</xdr:row>
      <xdr:rowOff>19844</xdr:rowOff>
    </xdr:from>
    <xdr:to>
      <xdr:col>2</xdr:col>
      <xdr:colOff>115094</xdr:colOff>
      <xdr:row>62</xdr:row>
      <xdr:rowOff>153194</xdr:rowOff>
    </xdr:to>
    <xdr:cxnSp macro="">
      <xdr:nvCxnSpPr>
        <xdr:cNvPr id="688" name="Straight Connector 687"/>
        <xdr:cNvCxnSpPr/>
      </xdr:nvCxnSpPr>
      <xdr:spPr bwMode="auto">
        <a:xfrm rot="5400000">
          <a:off x="1181100" y="9658350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28575</xdr:colOff>
      <xdr:row>61</xdr:row>
      <xdr:rowOff>28575</xdr:rowOff>
    </xdr:from>
    <xdr:to>
      <xdr:col>6</xdr:col>
      <xdr:colOff>30163</xdr:colOff>
      <xdr:row>62</xdr:row>
      <xdr:rowOff>161925</xdr:rowOff>
    </xdr:to>
    <xdr:cxnSp macro="">
      <xdr:nvCxnSpPr>
        <xdr:cNvPr id="690" name="Straight Connector 689"/>
        <xdr:cNvCxnSpPr/>
      </xdr:nvCxnSpPr>
      <xdr:spPr bwMode="auto">
        <a:xfrm rot="5400000">
          <a:off x="3572669" y="966708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314325</xdr:colOff>
      <xdr:row>61</xdr:row>
      <xdr:rowOff>47625</xdr:rowOff>
    </xdr:from>
    <xdr:to>
      <xdr:col>8</xdr:col>
      <xdr:colOff>315913</xdr:colOff>
      <xdr:row>62</xdr:row>
      <xdr:rowOff>180975</xdr:rowOff>
    </xdr:to>
    <xdr:cxnSp macro="">
      <xdr:nvCxnSpPr>
        <xdr:cNvPr id="692" name="Straight Connector 691"/>
        <xdr:cNvCxnSpPr/>
      </xdr:nvCxnSpPr>
      <xdr:spPr bwMode="auto">
        <a:xfrm rot="5400000">
          <a:off x="5077619" y="968613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</xdr:colOff>
      <xdr:row>61</xdr:row>
      <xdr:rowOff>47625</xdr:rowOff>
    </xdr:from>
    <xdr:to>
      <xdr:col>4</xdr:col>
      <xdr:colOff>11113</xdr:colOff>
      <xdr:row>62</xdr:row>
      <xdr:rowOff>180975</xdr:rowOff>
    </xdr:to>
    <xdr:cxnSp macro="">
      <xdr:nvCxnSpPr>
        <xdr:cNvPr id="694" name="Straight Connector 693"/>
        <xdr:cNvCxnSpPr/>
      </xdr:nvCxnSpPr>
      <xdr:spPr bwMode="auto">
        <a:xfrm rot="5400000">
          <a:off x="2305844" y="968613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19052</xdr:colOff>
      <xdr:row>62</xdr:row>
      <xdr:rowOff>0</xdr:rowOff>
    </xdr:from>
    <xdr:to>
      <xdr:col>8</xdr:col>
      <xdr:colOff>304800</xdr:colOff>
      <xdr:row>62</xdr:row>
      <xdr:rowOff>1588</xdr:rowOff>
    </xdr:to>
    <xdr:cxnSp macro="">
      <xdr:nvCxnSpPr>
        <xdr:cNvPr id="695" name="Straight Connector 694"/>
        <xdr:cNvCxnSpPr/>
      </xdr:nvCxnSpPr>
      <xdr:spPr bwMode="auto">
        <a:xfrm rot="10800000">
          <a:off x="3724277" y="9667875"/>
          <a:ext cx="1504948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9526</xdr:colOff>
      <xdr:row>62</xdr:row>
      <xdr:rowOff>1</xdr:rowOff>
    </xdr:from>
    <xdr:to>
      <xdr:col>6</xdr:col>
      <xdr:colOff>28576</xdr:colOff>
      <xdr:row>62</xdr:row>
      <xdr:rowOff>9526</xdr:rowOff>
    </xdr:to>
    <xdr:cxnSp macro="">
      <xdr:nvCxnSpPr>
        <xdr:cNvPr id="696" name="Straight Connector 695"/>
        <xdr:cNvCxnSpPr/>
      </xdr:nvCxnSpPr>
      <xdr:spPr bwMode="auto">
        <a:xfrm rot="10800000">
          <a:off x="2466976" y="9667876"/>
          <a:ext cx="12668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0</xdr:colOff>
      <xdr:row>61</xdr:row>
      <xdr:rowOff>76200</xdr:rowOff>
    </xdr:from>
    <xdr:to>
      <xdr:col>9</xdr:col>
      <xdr:colOff>1588</xdr:colOff>
      <xdr:row>63</xdr:row>
      <xdr:rowOff>19050</xdr:rowOff>
    </xdr:to>
    <xdr:cxnSp macro="">
      <xdr:nvCxnSpPr>
        <xdr:cNvPr id="697" name="Straight Connector 696"/>
        <xdr:cNvCxnSpPr/>
      </xdr:nvCxnSpPr>
      <xdr:spPr bwMode="auto">
        <a:xfrm rot="5400000">
          <a:off x="5372894" y="9714706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285751</xdr:colOff>
      <xdr:row>92</xdr:row>
      <xdr:rowOff>9524</xdr:rowOff>
    </xdr:from>
    <xdr:to>
      <xdr:col>8</xdr:col>
      <xdr:colOff>581025</xdr:colOff>
      <xdr:row>92</xdr:row>
      <xdr:rowOff>9525</xdr:rowOff>
    </xdr:to>
    <xdr:cxnSp macro="">
      <xdr:nvCxnSpPr>
        <xdr:cNvPr id="698" name="Straight Connector 697"/>
        <xdr:cNvCxnSpPr/>
      </xdr:nvCxnSpPr>
      <xdr:spPr bwMode="auto">
        <a:xfrm rot="10800000" flipV="1">
          <a:off x="5210176" y="16697324"/>
          <a:ext cx="295274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5557</xdr:colOff>
      <xdr:row>26</xdr:row>
      <xdr:rowOff>35718</xdr:rowOff>
    </xdr:from>
    <xdr:to>
      <xdr:col>6</xdr:col>
      <xdr:colOff>7145</xdr:colOff>
      <xdr:row>27</xdr:row>
      <xdr:rowOff>101600</xdr:rowOff>
    </xdr:to>
    <xdr:cxnSp macro="">
      <xdr:nvCxnSpPr>
        <xdr:cNvPr id="699" name="Straight Connector 698"/>
        <xdr:cNvCxnSpPr/>
      </xdr:nvCxnSpPr>
      <xdr:spPr bwMode="auto">
        <a:xfrm rot="5400000">
          <a:off x="3586560" y="4379515"/>
          <a:ext cx="256382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2</xdr:col>
      <xdr:colOff>400050</xdr:colOff>
      <xdr:row>81</xdr:row>
      <xdr:rowOff>0</xdr:rowOff>
    </xdr:from>
    <xdr:ext cx="123825" cy="180975"/>
    <xdr:sp macro="" textlink="">
      <xdr:nvSpPr>
        <xdr:cNvPr id="727" name="Text Box 132"/>
        <xdr:cNvSpPr txBox="1">
          <a:spLocks noChangeArrowheads="1"/>
        </xdr:cNvSpPr>
      </xdr:nvSpPr>
      <xdr:spPr bwMode="auto">
        <a:xfrm>
          <a:off x="1628775" y="134778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245476</xdr:colOff>
      <xdr:row>87</xdr:row>
      <xdr:rowOff>9452</xdr:rowOff>
    </xdr:from>
    <xdr:to>
      <xdr:col>8</xdr:col>
      <xdr:colOff>247401</xdr:colOff>
      <xdr:row>90</xdr:row>
      <xdr:rowOff>24740</xdr:rowOff>
    </xdr:to>
    <xdr:cxnSp macro="">
      <xdr:nvCxnSpPr>
        <xdr:cNvPr id="753" name="Straight Connector 752"/>
        <xdr:cNvCxnSpPr/>
      </xdr:nvCxnSpPr>
      <xdr:spPr bwMode="auto">
        <a:xfrm rot="16200000" flipH="1">
          <a:off x="4871409" y="14606701"/>
          <a:ext cx="571944" cy="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249505</xdr:colOff>
      <xdr:row>73</xdr:row>
      <xdr:rowOff>182707</xdr:rowOff>
    </xdr:from>
    <xdr:to>
      <xdr:col>8</xdr:col>
      <xdr:colOff>249505</xdr:colOff>
      <xdr:row>76</xdr:row>
      <xdr:rowOff>44780</xdr:rowOff>
    </xdr:to>
    <xdr:sp macro="" textlink="">
      <xdr:nvSpPr>
        <xdr:cNvPr id="768" name="Line 92"/>
        <xdr:cNvSpPr>
          <a:spLocks noChangeShapeType="1"/>
        </xdr:cNvSpPr>
      </xdr:nvSpPr>
      <xdr:spPr bwMode="auto">
        <a:xfrm>
          <a:off x="5160447" y="11897220"/>
          <a:ext cx="0" cy="4187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249505</xdr:colOff>
      <xdr:row>76</xdr:row>
      <xdr:rowOff>63830</xdr:rowOff>
    </xdr:from>
    <xdr:to>
      <xdr:col>8</xdr:col>
      <xdr:colOff>249505</xdr:colOff>
      <xdr:row>86</xdr:row>
      <xdr:rowOff>120980</xdr:rowOff>
    </xdr:to>
    <xdr:sp macro="" textlink="">
      <xdr:nvSpPr>
        <xdr:cNvPr id="770" name="Line 4301"/>
        <xdr:cNvSpPr>
          <a:spLocks noChangeShapeType="1"/>
        </xdr:cNvSpPr>
      </xdr:nvSpPr>
      <xdr:spPr bwMode="auto">
        <a:xfrm>
          <a:off x="5160447" y="12334999"/>
          <a:ext cx="0" cy="1912669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8</xdr:col>
      <xdr:colOff>27689</xdr:colOff>
      <xdr:row>87</xdr:row>
      <xdr:rowOff>127369</xdr:rowOff>
    </xdr:from>
    <xdr:to>
      <xdr:col>8</xdr:col>
      <xdr:colOff>31427</xdr:colOff>
      <xdr:row>90</xdr:row>
      <xdr:rowOff>24740</xdr:rowOff>
    </xdr:to>
    <xdr:cxnSp macro="">
      <xdr:nvCxnSpPr>
        <xdr:cNvPr id="786" name="Straight Connector 785"/>
        <xdr:cNvCxnSpPr/>
      </xdr:nvCxnSpPr>
      <xdr:spPr bwMode="auto">
        <a:xfrm rot="16200000" flipH="1">
          <a:off x="4721541" y="14821322"/>
          <a:ext cx="462226" cy="373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608806</xdr:colOff>
      <xdr:row>91</xdr:row>
      <xdr:rowOff>38894</xdr:rowOff>
    </xdr:from>
    <xdr:to>
      <xdr:col>9</xdr:col>
      <xdr:colOff>794</xdr:colOff>
      <xdr:row>92</xdr:row>
      <xdr:rowOff>134144</xdr:rowOff>
    </xdr:to>
    <xdr:cxnSp macro="">
      <xdr:nvCxnSpPr>
        <xdr:cNvPr id="798" name="Straight Connector 797"/>
        <xdr:cNvCxnSpPr/>
      </xdr:nvCxnSpPr>
      <xdr:spPr bwMode="auto">
        <a:xfrm rot="5400000">
          <a:off x="5391150" y="15563850"/>
          <a:ext cx="2857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196297</xdr:colOff>
      <xdr:row>50</xdr:row>
      <xdr:rowOff>185116</xdr:rowOff>
    </xdr:from>
    <xdr:to>
      <xdr:col>2</xdr:col>
      <xdr:colOff>167722</xdr:colOff>
      <xdr:row>52</xdr:row>
      <xdr:rowOff>108916</xdr:rowOff>
    </xdr:to>
    <xdr:sp macro="" textlink="">
      <xdr:nvSpPr>
        <xdr:cNvPr id="700" name="Line 15"/>
        <xdr:cNvSpPr>
          <a:spLocks noChangeShapeType="1"/>
        </xdr:cNvSpPr>
      </xdr:nvSpPr>
      <xdr:spPr bwMode="auto">
        <a:xfrm>
          <a:off x="809210" y="8981246"/>
          <a:ext cx="592621" cy="3048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158197</xdr:colOff>
      <xdr:row>52</xdr:row>
      <xdr:rowOff>4141</xdr:rowOff>
    </xdr:from>
    <xdr:to>
      <xdr:col>8</xdr:col>
      <xdr:colOff>224872</xdr:colOff>
      <xdr:row>52</xdr:row>
      <xdr:rowOff>99391</xdr:rowOff>
    </xdr:to>
    <xdr:sp macro="" textlink="">
      <xdr:nvSpPr>
        <xdr:cNvPr id="701" name="Line 17"/>
        <xdr:cNvSpPr>
          <a:spLocks noChangeShapeType="1"/>
        </xdr:cNvSpPr>
      </xdr:nvSpPr>
      <xdr:spPr bwMode="auto">
        <a:xfrm flipV="1">
          <a:off x="1392306" y="9181271"/>
          <a:ext cx="3777283" cy="95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186772</xdr:colOff>
      <xdr:row>50</xdr:row>
      <xdr:rowOff>175591</xdr:rowOff>
    </xdr:from>
    <xdr:to>
      <xdr:col>9</xdr:col>
      <xdr:colOff>24847</xdr:colOff>
      <xdr:row>50</xdr:row>
      <xdr:rowOff>185116</xdr:rowOff>
    </xdr:to>
    <xdr:sp macro="" textlink="">
      <xdr:nvSpPr>
        <xdr:cNvPr id="702" name="Line 19"/>
        <xdr:cNvSpPr>
          <a:spLocks noChangeShapeType="1"/>
        </xdr:cNvSpPr>
      </xdr:nvSpPr>
      <xdr:spPr bwMode="auto">
        <a:xfrm flipH="1" flipV="1">
          <a:off x="1420881" y="8971721"/>
          <a:ext cx="4161596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196296</xdr:colOff>
      <xdr:row>49</xdr:row>
      <xdr:rowOff>61290</xdr:rowOff>
    </xdr:from>
    <xdr:to>
      <xdr:col>2</xdr:col>
      <xdr:colOff>167721</xdr:colOff>
      <xdr:row>50</xdr:row>
      <xdr:rowOff>185115</xdr:rowOff>
    </xdr:to>
    <xdr:sp macro="" textlink="">
      <xdr:nvSpPr>
        <xdr:cNvPr id="703" name="Line 20"/>
        <xdr:cNvSpPr>
          <a:spLocks noChangeShapeType="1"/>
        </xdr:cNvSpPr>
      </xdr:nvSpPr>
      <xdr:spPr bwMode="auto">
        <a:xfrm flipH="1" flipV="1">
          <a:off x="809209" y="8666920"/>
          <a:ext cx="592621" cy="314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12009</xdr:colOff>
      <xdr:row>50</xdr:row>
      <xdr:rowOff>175591</xdr:rowOff>
    </xdr:from>
    <xdr:to>
      <xdr:col>9</xdr:col>
      <xdr:colOff>12009</xdr:colOff>
      <xdr:row>53</xdr:row>
      <xdr:rowOff>108916</xdr:rowOff>
    </xdr:to>
    <xdr:sp macro="" textlink="">
      <xdr:nvSpPr>
        <xdr:cNvPr id="704" name="Line 21"/>
        <xdr:cNvSpPr>
          <a:spLocks noChangeShapeType="1"/>
        </xdr:cNvSpPr>
      </xdr:nvSpPr>
      <xdr:spPr bwMode="auto">
        <a:xfrm flipH="1">
          <a:off x="5569639" y="8971721"/>
          <a:ext cx="0" cy="5048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224872</xdr:colOff>
      <xdr:row>52</xdr:row>
      <xdr:rowOff>23191</xdr:rowOff>
    </xdr:from>
    <xdr:to>
      <xdr:col>8</xdr:col>
      <xdr:colOff>349898</xdr:colOff>
      <xdr:row>53</xdr:row>
      <xdr:rowOff>106913</xdr:rowOff>
    </xdr:to>
    <xdr:sp macro="" textlink="">
      <xdr:nvSpPr>
        <xdr:cNvPr id="705" name="Line 22"/>
        <xdr:cNvSpPr>
          <a:spLocks noChangeShapeType="1"/>
        </xdr:cNvSpPr>
      </xdr:nvSpPr>
      <xdr:spPr bwMode="auto">
        <a:xfrm>
          <a:off x="5172040" y="9305206"/>
          <a:ext cx="125026" cy="27811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349897</xdr:colOff>
      <xdr:row>53</xdr:row>
      <xdr:rowOff>106913</xdr:rowOff>
    </xdr:from>
    <xdr:to>
      <xdr:col>9</xdr:col>
      <xdr:colOff>12008</xdr:colOff>
      <xdr:row>53</xdr:row>
      <xdr:rowOff>108916</xdr:rowOff>
    </xdr:to>
    <xdr:cxnSp macro="">
      <xdr:nvCxnSpPr>
        <xdr:cNvPr id="706" name="Straight Connector 705"/>
        <xdr:cNvCxnSpPr>
          <a:stCxn id="705" idx="1"/>
          <a:endCxn id="704" idx="1"/>
        </xdr:cNvCxnSpPr>
      </xdr:nvCxnSpPr>
      <xdr:spPr bwMode="auto">
        <a:xfrm rot="16200000" flipH="1">
          <a:off x="5433280" y="9447101"/>
          <a:ext cx="2003" cy="274433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186772</xdr:colOff>
      <xdr:row>49</xdr:row>
      <xdr:rowOff>42242</xdr:rowOff>
    </xdr:from>
    <xdr:to>
      <xdr:col>1</xdr:col>
      <xdr:colOff>196297</xdr:colOff>
      <xdr:row>50</xdr:row>
      <xdr:rowOff>175592</xdr:rowOff>
    </xdr:to>
    <xdr:cxnSp macro="">
      <xdr:nvCxnSpPr>
        <xdr:cNvPr id="707" name="Straight Connector 706"/>
        <xdr:cNvCxnSpPr/>
      </xdr:nvCxnSpPr>
      <xdr:spPr bwMode="auto">
        <a:xfrm rot="5400000">
          <a:off x="642523" y="8805034"/>
          <a:ext cx="323850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218662</xdr:colOff>
      <xdr:row>33</xdr:row>
      <xdr:rowOff>185944</xdr:rowOff>
    </xdr:from>
    <xdr:to>
      <xdr:col>6</xdr:col>
      <xdr:colOff>0</xdr:colOff>
      <xdr:row>40</xdr:row>
      <xdr:rowOff>25400</xdr:rowOff>
    </xdr:to>
    <xdr:sp macro="" textlink="">
      <xdr:nvSpPr>
        <xdr:cNvPr id="709" name="Line 13"/>
        <xdr:cNvSpPr>
          <a:spLocks noChangeShapeType="1"/>
        </xdr:cNvSpPr>
      </xdr:nvSpPr>
      <xdr:spPr bwMode="auto">
        <a:xfrm>
          <a:off x="828262" y="5735844"/>
          <a:ext cx="2880138" cy="1172956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41</xdr:row>
      <xdr:rowOff>102705</xdr:rowOff>
    </xdr:from>
    <xdr:to>
      <xdr:col>0</xdr:col>
      <xdr:colOff>0</xdr:colOff>
      <xdr:row>53</xdr:row>
      <xdr:rowOff>36030</xdr:rowOff>
    </xdr:to>
    <xdr:sp macro="" textlink="">
      <xdr:nvSpPr>
        <xdr:cNvPr id="710" name="Line 14"/>
        <xdr:cNvSpPr>
          <a:spLocks noChangeShapeType="1"/>
        </xdr:cNvSpPr>
      </xdr:nvSpPr>
      <xdr:spPr bwMode="auto">
        <a:xfrm flipH="1">
          <a:off x="0" y="7184335"/>
          <a:ext cx="0" cy="2219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41</xdr:row>
      <xdr:rowOff>86140</xdr:rowOff>
    </xdr:from>
    <xdr:to>
      <xdr:col>0</xdr:col>
      <xdr:colOff>0</xdr:colOff>
      <xdr:row>53</xdr:row>
      <xdr:rowOff>19465</xdr:rowOff>
    </xdr:to>
    <xdr:sp macro="" textlink="">
      <xdr:nvSpPr>
        <xdr:cNvPr id="713" name="Line 14"/>
        <xdr:cNvSpPr>
          <a:spLocks noChangeShapeType="1"/>
        </xdr:cNvSpPr>
      </xdr:nvSpPr>
      <xdr:spPr bwMode="auto">
        <a:xfrm flipH="1">
          <a:off x="0" y="7167770"/>
          <a:ext cx="0" cy="2219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317501</xdr:colOff>
      <xdr:row>39</xdr:row>
      <xdr:rowOff>177799</xdr:rowOff>
    </xdr:from>
    <xdr:to>
      <xdr:col>8</xdr:col>
      <xdr:colOff>323057</xdr:colOff>
      <xdr:row>51</xdr:row>
      <xdr:rowOff>10318</xdr:rowOff>
    </xdr:to>
    <xdr:cxnSp macro="">
      <xdr:nvCxnSpPr>
        <xdr:cNvPr id="714" name="Straight Connector 713"/>
        <xdr:cNvCxnSpPr/>
      </xdr:nvCxnSpPr>
      <xdr:spPr bwMode="auto">
        <a:xfrm rot="16200000" flipH="1">
          <a:off x="4188619" y="7927181"/>
          <a:ext cx="2118519" cy="5556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12701</xdr:colOff>
      <xdr:row>40</xdr:row>
      <xdr:rowOff>20638</xdr:rowOff>
    </xdr:from>
    <xdr:to>
      <xdr:col>8</xdr:col>
      <xdr:colOff>311152</xdr:colOff>
      <xdr:row>40</xdr:row>
      <xdr:rowOff>25400</xdr:rowOff>
    </xdr:to>
    <xdr:cxnSp macro="">
      <xdr:nvCxnSpPr>
        <xdr:cNvPr id="715" name="Straight Connector 714"/>
        <xdr:cNvCxnSpPr/>
      </xdr:nvCxnSpPr>
      <xdr:spPr bwMode="auto">
        <a:xfrm rot="10800000" flipV="1">
          <a:off x="3721101" y="6904038"/>
          <a:ext cx="1517651" cy="4762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9525</xdr:colOff>
      <xdr:row>54</xdr:row>
      <xdr:rowOff>152400</xdr:rowOff>
    </xdr:to>
    <xdr:sp macro="" textlink="">
      <xdr:nvSpPr>
        <xdr:cNvPr id="719" name="Line 16"/>
        <xdr:cNvSpPr>
          <a:spLocks noChangeShapeType="1"/>
        </xdr:cNvSpPr>
      </xdr:nvSpPr>
      <xdr:spPr bwMode="auto">
        <a:xfrm>
          <a:off x="0" y="6883400"/>
          <a:ext cx="9525" cy="281940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8</xdr:col>
      <xdr:colOff>209550</xdr:colOff>
      <xdr:row>38</xdr:row>
      <xdr:rowOff>82550</xdr:rowOff>
    </xdr:from>
    <xdr:to>
      <xdr:col>8</xdr:col>
      <xdr:colOff>209550</xdr:colOff>
      <xdr:row>53</xdr:row>
      <xdr:rowOff>130175</xdr:rowOff>
    </xdr:to>
    <xdr:sp macro="" textlink="">
      <xdr:nvSpPr>
        <xdr:cNvPr id="720" name="Line 1017"/>
        <xdr:cNvSpPr>
          <a:spLocks noChangeShapeType="1"/>
        </xdr:cNvSpPr>
      </xdr:nvSpPr>
      <xdr:spPr bwMode="auto">
        <a:xfrm>
          <a:off x="5137150" y="6584950"/>
          <a:ext cx="0" cy="29051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1</xdr:col>
      <xdr:colOff>208758</xdr:colOff>
      <xdr:row>34</xdr:row>
      <xdr:rowOff>12703</xdr:rowOff>
    </xdr:from>
    <xdr:to>
      <xdr:col>1</xdr:col>
      <xdr:colOff>228600</xdr:colOff>
      <xdr:row>49</xdr:row>
      <xdr:rowOff>61117</xdr:rowOff>
    </xdr:to>
    <xdr:cxnSp macro="">
      <xdr:nvCxnSpPr>
        <xdr:cNvPr id="722" name="Straight Connector 721"/>
        <xdr:cNvCxnSpPr/>
      </xdr:nvCxnSpPr>
      <xdr:spPr bwMode="auto">
        <a:xfrm rot="5400000">
          <a:off x="-624678" y="7196139"/>
          <a:ext cx="2905914" cy="19842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602603</xdr:colOff>
      <xdr:row>34</xdr:row>
      <xdr:rowOff>9719</xdr:rowOff>
    </xdr:from>
    <xdr:to>
      <xdr:col>1</xdr:col>
      <xdr:colOff>19437</xdr:colOff>
      <xdr:row>48</xdr:row>
      <xdr:rowOff>171840</xdr:rowOff>
    </xdr:to>
    <xdr:cxnSp macro="">
      <xdr:nvCxnSpPr>
        <xdr:cNvPr id="724" name="Straight Connector 723"/>
        <xdr:cNvCxnSpPr/>
      </xdr:nvCxnSpPr>
      <xdr:spPr bwMode="auto">
        <a:xfrm rot="5400000">
          <a:off x="-824594" y="7219952"/>
          <a:ext cx="2883549" cy="2915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cxnSp>
    <xdr:clientData/>
  </xdr:twoCellAnchor>
  <xdr:twoCellAnchor>
    <xdr:from>
      <xdr:col>3</xdr:col>
      <xdr:colOff>609601</xdr:colOff>
      <xdr:row>34</xdr:row>
      <xdr:rowOff>152405</xdr:rowOff>
    </xdr:from>
    <xdr:to>
      <xdr:col>4</xdr:col>
      <xdr:colOff>25400</xdr:colOff>
      <xdr:row>55</xdr:row>
      <xdr:rowOff>177801</xdr:rowOff>
    </xdr:to>
    <xdr:cxnSp macro="">
      <xdr:nvCxnSpPr>
        <xdr:cNvPr id="728" name="Straight Connector 727"/>
        <xdr:cNvCxnSpPr/>
      </xdr:nvCxnSpPr>
      <xdr:spPr bwMode="auto">
        <a:xfrm rot="5400000">
          <a:off x="457203" y="7886703"/>
          <a:ext cx="4025896" cy="38099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cxnSp>
    <xdr:clientData/>
  </xdr:twoCellAnchor>
  <xdr:twoCellAnchor>
    <xdr:from>
      <xdr:col>6</xdr:col>
      <xdr:colOff>3177</xdr:colOff>
      <xdr:row>35</xdr:row>
      <xdr:rowOff>76203</xdr:rowOff>
    </xdr:from>
    <xdr:to>
      <xdr:col>6</xdr:col>
      <xdr:colOff>9529</xdr:colOff>
      <xdr:row>54</xdr:row>
      <xdr:rowOff>57152</xdr:rowOff>
    </xdr:to>
    <xdr:cxnSp macro="">
      <xdr:nvCxnSpPr>
        <xdr:cNvPr id="729" name="Straight Connector 728"/>
        <xdr:cNvCxnSpPr/>
      </xdr:nvCxnSpPr>
      <xdr:spPr bwMode="auto">
        <a:xfrm rot="16200000" flipH="1">
          <a:off x="1911353" y="7731127"/>
          <a:ext cx="3600449" cy="6352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cxnSp>
    <xdr:clientData/>
  </xdr:twoCellAnchor>
  <xdr:twoCellAnchor>
    <xdr:from>
      <xdr:col>1</xdr:col>
      <xdr:colOff>193675</xdr:colOff>
      <xdr:row>51</xdr:row>
      <xdr:rowOff>50800</xdr:rowOff>
    </xdr:from>
    <xdr:to>
      <xdr:col>1</xdr:col>
      <xdr:colOff>193675</xdr:colOff>
      <xdr:row>54</xdr:row>
      <xdr:rowOff>69850</xdr:rowOff>
    </xdr:to>
    <xdr:sp macro="" textlink="">
      <xdr:nvSpPr>
        <xdr:cNvPr id="730" name="Line 25"/>
        <xdr:cNvSpPr>
          <a:spLocks noChangeShapeType="1"/>
        </xdr:cNvSpPr>
      </xdr:nvSpPr>
      <xdr:spPr bwMode="auto">
        <a:xfrm flipH="1">
          <a:off x="803275" y="9029700"/>
          <a:ext cx="0" cy="59055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1</xdr:col>
      <xdr:colOff>222250</xdr:colOff>
      <xdr:row>32</xdr:row>
      <xdr:rowOff>47625</xdr:rowOff>
    </xdr:from>
    <xdr:to>
      <xdr:col>1</xdr:col>
      <xdr:colOff>222250</xdr:colOff>
      <xdr:row>33</xdr:row>
      <xdr:rowOff>133350</xdr:rowOff>
    </xdr:to>
    <xdr:sp macro="" textlink="">
      <xdr:nvSpPr>
        <xdr:cNvPr id="731" name="Line 26"/>
        <xdr:cNvSpPr>
          <a:spLocks noChangeShapeType="1"/>
        </xdr:cNvSpPr>
      </xdr:nvSpPr>
      <xdr:spPr bwMode="auto">
        <a:xfrm flipV="1">
          <a:off x="831850" y="5407025"/>
          <a:ext cx="0" cy="27622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</xdr:col>
      <xdr:colOff>574675</xdr:colOff>
      <xdr:row>32</xdr:row>
      <xdr:rowOff>127000</xdr:rowOff>
    </xdr:from>
    <xdr:to>
      <xdr:col>4</xdr:col>
      <xdr:colOff>209550</xdr:colOff>
      <xdr:row>34</xdr:row>
      <xdr:rowOff>60325</xdr:rowOff>
    </xdr:to>
    <xdr:sp macro="" textlink="">
      <xdr:nvSpPr>
        <xdr:cNvPr id="737" name="Oval 736"/>
        <xdr:cNvSpPr>
          <a:spLocks noChangeArrowheads="1"/>
        </xdr:cNvSpPr>
      </xdr:nvSpPr>
      <xdr:spPr bwMode="auto">
        <a:xfrm>
          <a:off x="2416175" y="5486400"/>
          <a:ext cx="257175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</xdr:col>
      <xdr:colOff>196850</xdr:colOff>
      <xdr:row>30</xdr:row>
      <xdr:rowOff>130175</xdr:rowOff>
    </xdr:from>
    <xdr:to>
      <xdr:col>2</xdr:col>
      <xdr:colOff>196850</xdr:colOff>
      <xdr:row>31</xdr:row>
      <xdr:rowOff>101600</xdr:rowOff>
    </xdr:to>
    <xdr:sp macro="" textlink="">
      <xdr:nvSpPr>
        <xdr:cNvPr id="746" name="Line 90"/>
        <xdr:cNvSpPr>
          <a:spLocks noChangeShapeType="1"/>
        </xdr:cNvSpPr>
      </xdr:nvSpPr>
      <xdr:spPr bwMode="auto">
        <a:xfrm flipV="1">
          <a:off x="1428750" y="51085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184537</xdr:colOff>
      <xdr:row>25</xdr:row>
      <xdr:rowOff>48597</xdr:rowOff>
    </xdr:from>
    <xdr:to>
      <xdr:col>1</xdr:col>
      <xdr:colOff>194389</xdr:colOff>
      <xdr:row>29</xdr:row>
      <xdr:rowOff>172453</xdr:rowOff>
    </xdr:to>
    <xdr:cxnSp macro="">
      <xdr:nvCxnSpPr>
        <xdr:cNvPr id="748" name="Straight Connector 747"/>
        <xdr:cNvCxnSpPr/>
      </xdr:nvCxnSpPr>
      <xdr:spPr bwMode="auto">
        <a:xfrm rot="5400000" flipH="1" flipV="1">
          <a:off x="351080" y="4527921"/>
          <a:ext cx="901407" cy="985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161925</xdr:colOff>
      <xdr:row>26</xdr:row>
      <xdr:rowOff>177800</xdr:rowOff>
    </xdr:from>
    <xdr:to>
      <xdr:col>6</xdr:col>
      <xdr:colOff>0</xdr:colOff>
      <xdr:row>27</xdr:row>
      <xdr:rowOff>0</xdr:rowOff>
    </xdr:to>
    <xdr:cxnSp macro="">
      <xdr:nvCxnSpPr>
        <xdr:cNvPr id="750" name="Straight Arrow Connector 749"/>
        <xdr:cNvCxnSpPr/>
      </xdr:nvCxnSpPr>
      <xdr:spPr bwMode="auto">
        <a:xfrm flipV="1">
          <a:off x="771525" y="4394200"/>
          <a:ext cx="2936875" cy="12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276225</xdr:colOff>
      <xdr:row>24</xdr:row>
      <xdr:rowOff>187524</xdr:rowOff>
    </xdr:from>
    <xdr:to>
      <xdr:col>8</xdr:col>
      <xdr:colOff>285558</xdr:colOff>
      <xdr:row>28</xdr:row>
      <xdr:rowOff>19051</xdr:rowOff>
    </xdr:to>
    <xdr:cxnSp macro="">
      <xdr:nvCxnSpPr>
        <xdr:cNvPr id="754" name="Straight Connector 753"/>
        <xdr:cNvCxnSpPr/>
      </xdr:nvCxnSpPr>
      <xdr:spPr bwMode="auto">
        <a:xfrm rot="5400000" flipH="1" flipV="1">
          <a:off x="4908553" y="4241996"/>
          <a:ext cx="593527" cy="933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204108</xdr:colOff>
      <xdr:row>56</xdr:row>
      <xdr:rowOff>4</xdr:rowOff>
    </xdr:from>
    <xdr:to>
      <xdr:col>1</xdr:col>
      <xdr:colOff>213831</xdr:colOff>
      <xdr:row>60</xdr:row>
      <xdr:rowOff>58321</xdr:rowOff>
    </xdr:to>
    <xdr:cxnSp macro="">
      <xdr:nvCxnSpPr>
        <xdr:cNvPr id="761" name="Straight Connector 760"/>
        <xdr:cNvCxnSpPr/>
      </xdr:nvCxnSpPr>
      <xdr:spPr bwMode="auto">
        <a:xfrm rot="5400000">
          <a:off x="403357" y="10472642"/>
          <a:ext cx="835868" cy="972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200609</xdr:colOff>
      <xdr:row>58</xdr:row>
      <xdr:rowOff>0</xdr:rowOff>
    </xdr:from>
    <xdr:to>
      <xdr:col>8</xdr:col>
      <xdr:colOff>320740</xdr:colOff>
      <xdr:row>58</xdr:row>
      <xdr:rowOff>1588</xdr:rowOff>
    </xdr:to>
    <xdr:cxnSp macro="">
      <xdr:nvCxnSpPr>
        <xdr:cNvPr id="766" name="Straight Arrow Connector 765"/>
        <xdr:cNvCxnSpPr/>
      </xdr:nvCxnSpPr>
      <xdr:spPr bwMode="auto">
        <a:xfrm>
          <a:off x="1434971" y="10448342"/>
          <a:ext cx="3832937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324045</xdr:colOff>
      <xdr:row>58</xdr:row>
      <xdr:rowOff>5830</xdr:rowOff>
    </xdr:from>
    <xdr:to>
      <xdr:col>9</xdr:col>
      <xdr:colOff>9719</xdr:colOff>
      <xdr:row>58</xdr:row>
      <xdr:rowOff>9719</xdr:rowOff>
    </xdr:to>
    <xdr:cxnSp macro="">
      <xdr:nvCxnSpPr>
        <xdr:cNvPr id="773" name="Straight Connector 772"/>
        <xdr:cNvCxnSpPr/>
      </xdr:nvCxnSpPr>
      <xdr:spPr bwMode="auto">
        <a:xfrm rot="10800000" flipV="1">
          <a:off x="5271213" y="10454172"/>
          <a:ext cx="297996" cy="388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494522</xdr:colOff>
      <xdr:row>49</xdr:row>
      <xdr:rowOff>0</xdr:rowOff>
    </xdr:from>
    <xdr:to>
      <xdr:col>1</xdr:col>
      <xdr:colOff>46848</xdr:colOff>
      <xdr:row>49</xdr:row>
      <xdr:rowOff>0</xdr:rowOff>
    </xdr:to>
    <xdr:sp macro="" textlink="">
      <xdr:nvSpPr>
        <xdr:cNvPr id="781" name="Line 58"/>
        <xdr:cNvSpPr>
          <a:spLocks noChangeShapeType="1"/>
        </xdr:cNvSpPr>
      </xdr:nvSpPr>
      <xdr:spPr bwMode="auto">
        <a:xfrm>
          <a:off x="494522" y="8698852"/>
          <a:ext cx="16464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605499</xdr:colOff>
      <xdr:row>48</xdr:row>
      <xdr:rowOff>179877</xdr:rowOff>
    </xdr:from>
    <xdr:to>
      <xdr:col>0</xdr:col>
      <xdr:colOff>605499</xdr:colOff>
      <xdr:row>50</xdr:row>
      <xdr:rowOff>103676</xdr:rowOff>
    </xdr:to>
    <xdr:sp macro="" textlink="">
      <xdr:nvSpPr>
        <xdr:cNvPr id="782" name="Line 60"/>
        <xdr:cNvSpPr>
          <a:spLocks noChangeShapeType="1"/>
        </xdr:cNvSpPr>
      </xdr:nvSpPr>
      <xdr:spPr bwMode="auto">
        <a:xfrm>
          <a:off x="605499" y="8523411"/>
          <a:ext cx="0" cy="308462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532622</xdr:colOff>
      <xdr:row>50</xdr:row>
      <xdr:rowOff>85725</xdr:rowOff>
    </xdr:from>
    <xdr:to>
      <xdr:col>1</xdr:col>
      <xdr:colOff>37323</xdr:colOff>
      <xdr:row>50</xdr:row>
      <xdr:rowOff>85725</xdr:rowOff>
    </xdr:to>
    <xdr:sp macro="" textlink="">
      <xdr:nvSpPr>
        <xdr:cNvPr id="783" name="Line 61"/>
        <xdr:cNvSpPr>
          <a:spLocks noChangeShapeType="1"/>
        </xdr:cNvSpPr>
      </xdr:nvSpPr>
      <xdr:spPr bwMode="auto">
        <a:xfrm flipV="1">
          <a:off x="532622" y="8978965"/>
          <a:ext cx="11702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220047</xdr:colOff>
      <xdr:row>40</xdr:row>
      <xdr:rowOff>9331</xdr:rowOff>
    </xdr:from>
    <xdr:to>
      <xdr:col>8</xdr:col>
      <xdr:colOff>330459</xdr:colOff>
      <xdr:row>46</xdr:row>
      <xdr:rowOff>9719</xdr:rowOff>
    </xdr:to>
    <xdr:sp macro="" textlink="">
      <xdr:nvSpPr>
        <xdr:cNvPr id="787" name="Line 24"/>
        <xdr:cNvSpPr>
          <a:spLocks noChangeShapeType="1"/>
        </xdr:cNvSpPr>
      </xdr:nvSpPr>
      <xdr:spPr bwMode="auto">
        <a:xfrm>
          <a:off x="832368" y="6958693"/>
          <a:ext cx="4445259" cy="1166715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</xdr:col>
      <xdr:colOff>152790</xdr:colOff>
      <xdr:row>32</xdr:row>
      <xdr:rowOff>132968</xdr:rowOff>
    </xdr:from>
    <xdr:to>
      <xdr:col>2</xdr:col>
      <xdr:colOff>190629</xdr:colOff>
      <xdr:row>53</xdr:row>
      <xdr:rowOff>158364</xdr:rowOff>
    </xdr:to>
    <xdr:cxnSp macro="">
      <xdr:nvCxnSpPr>
        <xdr:cNvPr id="788" name="Straight Connector 787"/>
        <xdr:cNvCxnSpPr/>
      </xdr:nvCxnSpPr>
      <xdr:spPr bwMode="auto">
        <a:xfrm rot="5400000">
          <a:off x="-647698" y="7562078"/>
          <a:ext cx="4107539" cy="37839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cxnSp>
    <xdr:clientData/>
  </xdr:twoCellAnchor>
  <xdr:twoCellAnchor>
    <xdr:from>
      <xdr:col>9</xdr:col>
      <xdr:colOff>282708</xdr:colOff>
      <xdr:row>39</xdr:row>
      <xdr:rowOff>187522</xdr:rowOff>
    </xdr:from>
    <xdr:to>
      <xdr:col>9</xdr:col>
      <xdr:colOff>288264</xdr:colOff>
      <xdr:row>51</xdr:row>
      <xdr:rowOff>20041</xdr:rowOff>
    </xdr:to>
    <xdr:cxnSp macro="">
      <xdr:nvCxnSpPr>
        <xdr:cNvPr id="790" name="Straight Connector 789"/>
        <xdr:cNvCxnSpPr/>
      </xdr:nvCxnSpPr>
      <xdr:spPr bwMode="auto">
        <a:xfrm rot="16200000" flipH="1">
          <a:off x="4760251" y="7863879"/>
          <a:ext cx="2118519" cy="5556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cxnSp>
    <xdr:clientData/>
  </xdr:twoCellAnchor>
  <xdr:twoCellAnchor>
    <xdr:from>
      <xdr:col>9</xdr:col>
      <xdr:colOff>43736</xdr:colOff>
      <xdr:row>50</xdr:row>
      <xdr:rowOff>192833</xdr:rowOff>
    </xdr:from>
    <xdr:to>
      <xdr:col>9</xdr:col>
      <xdr:colOff>396161</xdr:colOff>
      <xdr:row>50</xdr:row>
      <xdr:rowOff>192833</xdr:rowOff>
    </xdr:to>
    <xdr:sp macro="" textlink="">
      <xdr:nvSpPr>
        <xdr:cNvPr id="791" name="Line 39"/>
        <xdr:cNvSpPr>
          <a:spLocks noChangeShapeType="1"/>
        </xdr:cNvSpPr>
      </xdr:nvSpPr>
      <xdr:spPr bwMode="auto">
        <a:xfrm>
          <a:off x="5603226" y="908607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470614</xdr:colOff>
      <xdr:row>50</xdr:row>
      <xdr:rowOff>47236</xdr:rowOff>
    </xdr:from>
    <xdr:to>
      <xdr:col>4</xdr:col>
      <xdr:colOff>546814</xdr:colOff>
      <xdr:row>50</xdr:row>
      <xdr:rowOff>174949</xdr:rowOff>
    </xdr:to>
    <xdr:sp macro="" textlink="">
      <xdr:nvSpPr>
        <xdr:cNvPr id="800" name="AutoShape 29"/>
        <xdr:cNvSpPr>
          <a:spLocks noChangeArrowheads="1"/>
        </xdr:cNvSpPr>
      </xdr:nvSpPr>
      <xdr:spPr bwMode="auto">
        <a:xfrm>
          <a:off x="2939338" y="8940476"/>
          <a:ext cx="76200" cy="127713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2</xdr:col>
      <xdr:colOff>469640</xdr:colOff>
      <xdr:row>39</xdr:row>
      <xdr:rowOff>184474</xdr:rowOff>
    </xdr:from>
    <xdr:ext cx="123825" cy="180975"/>
    <xdr:sp macro="" textlink="">
      <xdr:nvSpPr>
        <xdr:cNvPr id="801" name="Text Box 70"/>
        <xdr:cNvSpPr txBox="1">
          <a:spLocks noChangeArrowheads="1"/>
        </xdr:cNvSpPr>
      </xdr:nvSpPr>
      <xdr:spPr bwMode="auto">
        <a:xfrm>
          <a:off x="1704002" y="6939448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333376</xdr:colOff>
      <xdr:row>61</xdr:row>
      <xdr:rowOff>181752</xdr:rowOff>
    </xdr:from>
    <xdr:to>
      <xdr:col>9</xdr:col>
      <xdr:colOff>0</xdr:colOff>
      <xdr:row>61</xdr:row>
      <xdr:rowOff>181752</xdr:rowOff>
    </xdr:to>
    <xdr:sp macro="" textlink="">
      <xdr:nvSpPr>
        <xdr:cNvPr id="804" name="Line 4343"/>
        <xdr:cNvSpPr>
          <a:spLocks noChangeShapeType="1"/>
        </xdr:cNvSpPr>
      </xdr:nvSpPr>
      <xdr:spPr bwMode="auto">
        <a:xfrm>
          <a:off x="5257801" y="10992627"/>
          <a:ext cx="276224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133350</xdr:colOff>
      <xdr:row>28</xdr:row>
      <xdr:rowOff>0</xdr:rowOff>
    </xdr:from>
    <xdr:to>
      <xdr:col>6</xdr:col>
      <xdr:colOff>0</xdr:colOff>
      <xdr:row>28</xdr:row>
      <xdr:rowOff>1588</xdr:rowOff>
    </xdr:to>
    <xdr:cxnSp macro="">
      <xdr:nvCxnSpPr>
        <xdr:cNvPr id="808" name="Straight Arrow Connector 807"/>
        <xdr:cNvCxnSpPr/>
      </xdr:nvCxnSpPr>
      <xdr:spPr bwMode="auto">
        <a:xfrm>
          <a:off x="1362075" y="4524375"/>
          <a:ext cx="2343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16</xdr:col>
      <xdr:colOff>8735</xdr:colOff>
      <xdr:row>45</xdr:row>
      <xdr:rowOff>4</xdr:rowOff>
    </xdr:from>
    <xdr:to>
      <xdr:col>16</xdr:col>
      <xdr:colOff>9528</xdr:colOff>
      <xdr:row>49</xdr:row>
      <xdr:rowOff>10320</xdr:rowOff>
    </xdr:to>
    <xdr:cxnSp macro="">
      <xdr:nvCxnSpPr>
        <xdr:cNvPr id="814" name="Straight Connector 813"/>
        <xdr:cNvCxnSpPr/>
      </xdr:nvCxnSpPr>
      <xdr:spPr bwMode="auto">
        <a:xfrm rot="5400000">
          <a:off x="8833649" y="8148640"/>
          <a:ext cx="772316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9525</xdr:colOff>
      <xdr:row>45</xdr:row>
      <xdr:rowOff>19050</xdr:rowOff>
    </xdr:from>
    <xdr:to>
      <xdr:col>16</xdr:col>
      <xdr:colOff>9525</xdr:colOff>
      <xdr:row>45</xdr:row>
      <xdr:rowOff>19053</xdr:rowOff>
    </xdr:to>
    <xdr:cxnSp macro="">
      <xdr:nvCxnSpPr>
        <xdr:cNvPr id="817" name="Straight Connector 816"/>
        <xdr:cNvCxnSpPr/>
      </xdr:nvCxnSpPr>
      <xdr:spPr bwMode="auto">
        <a:xfrm>
          <a:off x="7391400" y="7858125"/>
          <a:ext cx="1828800" cy="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295275</xdr:colOff>
      <xdr:row>48</xdr:row>
      <xdr:rowOff>161925</xdr:rowOff>
    </xdr:from>
    <xdr:to>
      <xdr:col>16</xdr:col>
      <xdr:colOff>19050</xdr:colOff>
      <xdr:row>48</xdr:row>
      <xdr:rowOff>180978</xdr:rowOff>
    </xdr:to>
    <xdr:cxnSp macro="">
      <xdr:nvCxnSpPr>
        <xdr:cNvPr id="820" name="Straight Connector 819"/>
        <xdr:cNvCxnSpPr/>
      </xdr:nvCxnSpPr>
      <xdr:spPr bwMode="auto">
        <a:xfrm>
          <a:off x="8286750" y="8496300"/>
          <a:ext cx="942975" cy="1905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495300</xdr:colOff>
      <xdr:row>47</xdr:row>
      <xdr:rowOff>19050</xdr:rowOff>
    </xdr:from>
    <xdr:to>
      <xdr:col>14</xdr:col>
      <xdr:colOff>314325</xdr:colOff>
      <xdr:row>48</xdr:row>
      <xdr:rowOff>171450</xdr:rowOff>
    </xdr:to>
    <xdr:cxnSp macro="">
      <xdr:nvCxnSpPr>
        <xdr:cNvPr id="822" name="Straight Connector 821"/>
        <xdr:cNvCxnSpPr/>
      </xdr:nvCxnSpPr>
      <xdr:spPr bwMode="auto">
        <a:xfrm>
          <a:off x="7877175" y="8239125"/>
          <a:ext cx="428625" cy="342900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608810</xdr:colOff>
      <xdr:row>40</xdr:row>
      <xdr:rowOff>180981</xdr:rowOff>
    </xdr:from>
    <xdr:to>
      <xdr:col>15</xdr:col>
      <xdr:colOff>3</xdr:colOff>
      <xdr:row>45</xdr:row>
      <xdr:rowOff>797</xdr:rowOff>
    </xdr:to>
    <xdr:cxnSp macro="">
      <xdr:nvCxnSpPr>
        <xdr:cNvPr id="825" name="Straight Connector 824"/>
        <xdr:cNvCxnSpPr/>
      </xdr:nvCxnSpPr>
      <xdr:spPr bwMode="auto">
        <a:xfrm rot="5400000">
          <a:off x="8214524" y="7377117"/>
          <a:ext cx="772316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199235</xdr:colOff>
      <xdr:row>46</xdr:row>
      <xdr:rowOff>142881</xdr:rowOff>
    </xdr:from>
    <xdr:to>
      <xdr:col>15</xdr:col>
      <xdr:colOff>200028</xdr:colOff>
      <xdr:row>50</xdr:row>
      <xdr:rowOff>153197</xdr:rowOff>
    </xdr:to>
    <xdr:cxnSp macro="">
      <xdr:nvCxnSpPr>
        <xdr:cNvPr id="826" name="Straight Connector 825"/>
        <xdr:cNvCxnSpPr/>
      </xdr:nvCxnSpPr>
      <xdr:spPr bwMode="auto">
        <a:xfrm rot="5400000">
          <a:off x="8414549" y="8482017"/>
          <a:ext cx="772316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9525</xdr:colOff>
      <xdr:row>47</xdr:row>
      <xdr:rowOff>19050</xdr:rowOff>
    </xdr:from>
    <xdr:to>
      <xdr:col>13</xdr:col>
      <xdr:colOff>495300</xdr:colOff>
      <xdr:row>47</xdr:row>
      <xdr:rowOff>19053</xdr:rowOff>
    </xdr:to>
    <xdr:cxnSp macro="">
      <xdr:nvCxnSpPr>
        <xdr:cNvPr id="827" name="Straight Connector 826"/>
        <xdr:cNvCxnSpPr/>
      </xdr:nvCxnSpPr>
      <xdr:spPr bwMode="auto">
        <a:xfrm>
          <a:off x="7391400" y="8239125"/>
          <a:ext cx="485775" cy="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</xdr:col>
      <xdr:colOff>314329</xdr:colOff>
      <xdr:row>50</xdr:row>
      <xdr:rowOff>180982</xdr:rowOff>
    </xdr:from>
    <xdr:to>
      <xdr:col>14</xdr:col>
      <xdr:colOff>323850</xdr:colOff>
      <xdr:row>53</xdr:row>
      <xdr:rowOff>47627</xdr:rowOff>
    </xdr:to>
    <xdr:cxnSp macro="">
      <xdr:nvCxnSpPr>
        <xdr:cNvPr id="830" name="Straight Connector 829"/>
        <xdr:cNvCxnSpPr/>
      </xdr:nvCxnSpPr>
      <xdr:spPr bwMode="auto">
        <a:xfrm rot="16200000" flipH="1">
          <a:off x="8091492" y="9110669"/>
          <a:ext cx="438145" cy="9521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16</xdr:col>
      <xdr:colOff>91361</xdr:colOff>
      <xdr:row>45</xdr:row>
      <xdr:rowOff>11858</xdr:rowOff>
    </xdr:from>
    <xdr:to>
      <xdr:col>16</xdr:col>
      <xdr:colOff>443786</xdr:colOff>
      <xdr:row>45</xdr:row>
      <xdr:rowOff>11858</xdr:rowOff>
    </xdr:to>
    <xdr:sp macro="" textlink="">
      <xdr:nvSpPr>
        <xdr:cNvPr id="832" name="Line 39"/>
        <xdr:cNvSpPr>
          <a:spLocks noChangeShapeType="1"/>
        </xdr:cNvSpPr>
      </xdr:nvSpPr>
      <xdr:spPr bwMode="auto">
        <a:xfrm>
          <a:off x="9302036" y="777473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53261</xdr:colOff>
      <xdr:row>46</xdr:row>
      <xdr:rowOff>183308</xdr:rowOff>
    </xdr:from>
    <xdr:to>
      <xdr:col>16</xdr:col>
      <xdr:colOff>405686</xdr:colOff>
      <xdr:row>46</xdr:row>
      <xdr:rowOff>183308</xdr:rowOff>
    </xdr:to>
    <xdr:sp macro="" textlink="">
      <xdr:nvSpPr>
        <xdr:cNvPr id="833" name="Line 39"/>
        <xdr:cNvSpPr>
          <a:spLocks noChangeShapeType="1"/>
        </xdr:cNvSpPr>
      </xdr:nvSpPr>
      <xdr:spPr bwMode="auto">
        <a:xfrm>
          <a:off x="9263936" y="813668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81836</xdr:colOff>
      <xdr:row>49</xdr:row>
      <xdr:rowOff>11858</xdr:rowOff>
    </xdr:from>
    <xdr:to>
      <xdr:col>16</xdr:col>
      <xdr:colOff>434261</xdr:colOff>
      <xdr:row>49</xdr:row>
      <xdr:rowOff>11858</xdr:rowOff>
    </xdr:to>
    <xdr:sp macro="" textlink="">
      <xdr:nvSpPr>
        <xdr:cNvPr id="834" name="Line 39"/>
        <xdr:cNvSpPr>
          <a:spLocks noChangeShapeType="1"/>
        </xdr:cNvSpPr>
      </xdr:nvSpPr>
      <xdr:spPr bwMode="auto">
        <a:xfrm>
          <a:off x="9292511" y="853673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523874</xdr:colOff>
      <xdr:row>47</xdr:row>
      <xdr:rowOff>161926</xdr:rowOff>
    </xdr:from>
    <xdr:to>
      <xdr:col>13</xdr:col>
      <xdr:colOff>533403</xdr:colOff>
      <xdr:row>54</xdr:row>
      <xdr:rowOff>76204</xdr:rowOff>
    </xdr:to>
    <xdr:cxnSp macro="">
      <xdr:nvCxnSpPr>
        <xdr:cNvPr id="835" name="Straight Connector 834"/>
        <xdr:cNvCxnSpPr/>
      </xdr:nvCxnSpPr>
      <xdr:spPr bwMode="auto">
        <a:xfrm rot="16200000" flipH="1">
          <a:off x="7286625" y="9001125"/>
          <a:ext cx="1247778" cy="9529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533401</xdr:colOff>
      <xdr:row>51</xdr:row>
      <xdr:rowOff>190499</xdr:rowOff>
    </xdr:from>
    <xdr:to>
      <xdr:col>14</xdr:col>
      <xdr:colOff>314328</xdr:colOff>
      <xdr:row>52</xdr:row>
      <xdr:rowOff>9524</xdr:rowOff>
    </xdr:to>
    <xdr:cxnSp macro="">
      <xdr:nvCxnSpPr>
        <xdr:cNvPr id="837" name="Straight Connector 836"/>
        <xdr:cNvCxnSpPr/>
      </xdr:nvCxnSpPr>
      <xdr:spPr bwMode="auto">
        <a:xfrm rot="10800000" flipV="1">
          <a:off x="7915276" y="9172574"/>
          <a:ext cx="390527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14</xdr:col>
      <xdr:colOff>333381</xdr:colOff>
      <xdr:row>51</xdr:row>
      <xdr:rowOff>171449</xdr:rowOff>
    </xdr:from>
    <xdr:to>
      <xdr:col>16</xdr:col>
      <xdr:colOff>9525</xdr:colOff>
      <xdr:row>51</xdr:row>
      <xdr:rowOff>190498</xdr:rowOff>
    </xdr:to>
    <xdr:cxnSp macro="">
      <xdr:nvCxnSpPr>
        <xdr:cNvPr id="839" name="Straight Connector 838"/>
        <xdr:cNvCxnSpPr/>
      </xdr:nvCxnSpPr>
      <xdr:spPr bwMode="auto">
        <a:xfrm rot="10800000" flipV="1">
          <a:off x="8324856" y="9077324"/>
          <a:ext cx="895344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13</xdr:col>
      <xdr:colOff>523876</xdr:colOff>
      <xdr:row>54</xdr:row>
      <xdr:rowOff>9525</xdr:rowOff>
    </xdr:from>
    <xdr:to>
      <xdr:col>16</xdr:col>
      <xdr:colOff>19051</xdr:colOff>
      <xdr:row>54</xdr:row>
      <xdr:rowOff>19053</xdr:rowOff>
    </xdr:to>
    <xdr:cxnSp macro="">
      <xdr:nvCxnSpPr>
        <xdr:cNvPr id="842" name="Straight Connector 841"/>
        <xdr:cNvCxnSpPr/>
      </xdr:nvCxnSpPr>
      <xdr:spPr bwMode="auto">
        <a:xfrm rot="10800000">
          <a:off x="7905751" y="9563100"/>
          <a:ext cx="1323975" cy="952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15</xdr:col>
      <xdr:colOff>609598</xdr:colOff>
      <xdr:row>49</xdr:row>
      <xdr:rowOff>57151</xdr:rowOff>
    </xdr:from>
    <xdr:to>
      <xdr:col>16</xdr:col>
      <xdr:colOff>9527</xdr:colOff>
      <xdr:row>55</xdr:row>
      <xdr:rowOff>38103</xdr:rowOff>
    </xdr:to>
    <xdr:cxnSp macro="">
      <xdr:nvCxnSpPr>
        <xdr:cNvPr id="844" name="Straight Connector 843"/>
        <xdr:cNvCxnSpPr/>
      </xdr:nvCxnSpPr>
      <xdr:spPr bwMode="auto">
        <a:xfrm rot="16200000" flipH="1">
          <a:off x="8653462" y="9139237"/>
          <a:ext cx="1123952" cy="9529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9525</xdr:colOff>
      <xdr:row>40</xdr:row>
      <xdr:rowOff>152400</xdr:rowOff>
    </xdr:from>
    <xdr:to>
      <xdr:col>14</xdr:col>
      <xdr:colOff>600075</xdr:colOff>
      <xdr:row>41</xdr:row>
      <xdr:rowOff>3</xdr:rowOff>
    </xdr:to>
    <xdr:cxnSp macro="">
      <xdr:nvCxnSpPr>
        <xdr:cNvPr id="846" name="Straight Connector 845"/>
        <xdr:cNvCxnSpPr/>
      </xdr:nvCxnSpPr>
      <xdr:spPr bwMode="auto">
        <a:xfrm>
          <a:off x="7391400" y="7067550"/>
          <a:ext cx="1200150" cy="952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16</xdr:col>
      <xdr:colOff>160175</xdr:colOff>
      <xdr:row>46</xdr:row>
      <xdr:rowOff>172247</xdr:rowOff>
    </xdr:from>
    <xdr:to>
      <xdr:col>16</xdr:col>
      <xdr:colOff>162720</xdr:colOff>
      <xdr:row>48</xdr:row>
      <xdr:rowOff>171453</xdr:rowOff>
    </xdr:to>
    <xdr:cxnSp macro="">
      <xdr:nvCxnSpPr>
        <xdr:cNvPr id="849" name="Straight Arrow Connector 848"/>
        <xdr:cNvCxnSpPr/>
      </xdr:nvCxnSpPr>
      <xdr:spPr bwMode="auto">
        <a:xfrm rot="5400000">
          <a:off x="9182020" y="8314452"/>
          <a:ext cx="380206" cy="25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16</xdr:col>
      <xdr:colOff>160175</xdr:colOff>
      <xdr:row>45</xdr:row>
      <xdr:rowOff>798</xdr:rowOff>
    </xdr:from>
    <xdr:to>
      <xdr:col>16</xdr:col>
      <xdr:colOff>162720</xdr:colOff>
      <xdr:row>47</xdr:row>
      <xdr:rowOff>4</xdr:rowOff>
    </xdr:to>
    <xdr:cxnSp macro="">
      <xdr:nvCxnSpPr>
        <xdr:cNvPr id="850" name="Straight Arrow Connector 849"/>
        <xdr:cNvCxnSpPr/>
      </xdr:nvCxnSpPr>
      <xdr:spPr bwMode="auto">
        <a:xfrm rot="5400000">
          <a:off x="9182020" y="7952503"/>
          <a:ext cx="380206" cy="25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7</xdr:col>
      <xdr:colOff>180977</xdr:colOff>
      <xdr:row>214</xdr:row>
      <xdr:rowOff>38102</xdr:rowOff>
    </xdr:from>
    <xdr:to>
      <xdr:col>7</xdr:col>
      <xdr:colOff>190696</xdr:colOff>
      <xdr:row>226</xdr:row>
      <xdr:rowOff>8944</xdr:rowOff>
    </xdr:to>
    <xdr:cxnSp macro="">
      <xdr:nvCxnSpPr>
        <xdr:cNvPr id="854" name="Straight Connector 853"/>
        <xdr:cNvCxnSpPr/>
      </xdr:nvCxnSpPr>
      <xdr:spPr bwMode="auto">
        <a:xfrm rot="16200000" flipH="1">
          <a:off x="3543691" y="38499663"/>
          <a:ext cx="1913942" cy="9719"/>
        </a:xfrm>
        <a:prstGeom prst="line">
          <a:avLst/>
        </a:prstGeom>
        <a:solidFill>
          <a:srgbClr val="FFFFFF"/>
        </a:solidFill>
        <a:ln w="2857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171452</xdr:colOff>
      <xdr:row>462</xdr:row>
      <xdr:rowOff>19052</xdr:rowOff>
    </xdr:from>
    <xdr:to>
      <xdr:col>7</xdr:col>
      <xdr:colOff>181171</xdr:colOff>
      <xdr:row>473</xdr:row>
      <xdr:rowOff>151819</xdr:rowOff>
    </xdr:to>
    <xdr:cxnSp macro="">
      <xdr:nvCxnSpPr>
        <xdr:cNvPr id="712" name="Straight Connector 711"/>
        <xdr:cNvCxnSpPr/>
      </xdr:nvCxnSpPr>
      <xdr:spPr bwMode="auto">
        <a:xfrm rot="16200000" flipH="1">
          <a:off x="3534166" y="74304138"/>
          <a:ext cx="1913942" cy="9719"/>
        </a:xfrm>
        <a:prstGeom prst="line">
          <a:avLst/>
        </a:prstGeom>
        <a:solidFill>
          <a:srgbClr val="FFFFFF"/>
        </a:solidFill>
        <a:ln w="2857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171451</xdr:colOff>
      <xdr:row>710</xdr:row>
      <xdr:rowOff>104776</xdr:rowOff>
    </xdr:from>
    <xdr:to>
      <xdr:col>7</xdr:col>
      <xdr:colOff>181170</xdr:colOff>
      <xdr:row>722</xdr:row>
      <xdr:rowOff>75618</xdr:rowOff>
    </xdr:to>
    <xdr:cxnSp macro="">
      <xdr:nvCxnSpPr>
        <xdr:cNvPr id="716" name="Straight Connector 715"/>
        <xdr:cNvCxnSpPr/>
      </xdr:nvCxnSpPr>
      <xdr:spPr bwMode="auto">
        <a:xfrm rot="16200000" flipH="1">
          <a:off x="3534165" y="110089562"/>
          <a:ext cx="1913942" cy="9719"/>
        </a:xfrm>
        <a:prstGeom prst="line">
          <a:avLst/>
        </a:prstGeom>
        <a:solidFill>
          <a:srgbClr val="FFFFFF"/>
        </a:solidFill>
        <a:ln w="2857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190501</xdr:colOff>
      <xdr:row>960</xdr:row>
      <xdr:rowOff>28576</xdr:rowOff>
    </xdr:from>
    <xdr:to>
      <xdr:col>7</xdr:col>
      <xdr:colOff>200220</xdr:colOff>
      <xdr:row>971</xdr:row>
      <xdr:rowOff>161343</xdr:rowOff>
    </xdr:to>
    <xdr:cxnSp macro="">
      <xdr:nvCxnSpPr>
        <xdr:cNvPr id="717" name="Straight Connector 716"/>
        <xdr:cNvCxnSpPr/>
      </xdr:nvCxnSpPr>
      <xdr:spPr bwMode="auto">
        <a:xfrm rot="16200000" flipH="1">
          <a:off x="3553215" y="146170262"/>
          <a:ext cx="1913942" cy="9719"/>
        </a:xfrm>
        <a:prstGeom prst="line">
          <a:avLst/>
        </a:prstGeom>
        <a:solidFill>
          <a:srgbClr val="FFFFFF"/>
        </a:solidFill>
        <a:ln w="2857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190501</xdr:colOff>
      <xdr:row>1208</xdr:row>
      <xdr:rowOff>152401</xdr:rowOff>
    </xdr:from>
    <xdr:to>
      <xdr:col>7</xdr:col>
      <xdr:colOff>200220</xdr:colOff>
      <xdr:row>1220</xdr:row>
      <xdr:rowOff>123243</xdr:rowOff>
    </xdr:to>
    <xdr:cxnSp macro="">
      <xdr:nvCxnSpPr>
        <xdr:cNvPr id="718" name="Straight Connector 717"/>
        <xdr:cNvCxnSpPr/>
      </xdr:nvCxnSpPr>
      <xdr:spPr bwMode="auto">
        <a:xfrm rot="16200000" flipH="1">
          <a:off x="3553215" y="182555762"/>
          <a:ext cx="1913942" cy="9719"/>
        </a:xfrm>
        <a:prstGeom prst="line">
          <a:avLst/>
        </a:prstGeom>
        <a:solidFill>
          <a:srgbClr val="FFFFFF"/>
        </a:solidFill>
        <a:ln w="2857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304803</xdr:colOff>
      <xdr:row>618</xdr:row>
      <xdr:rowOff>142874</xdr:rowOff>
    </xdr:from>
    <xdr:to>
      <xdr:col>1</xdr:col>
      <xdr:colOff>323851</xdr:colOff>
      <xdr:row>627</xdr:row>
      <xdr:rowOff>2</xdr:rowOff>
    </xdr:to>
    <xdr:cxnSp macro="">
      <xdr:nvCxnSpPr>
        <xdr:cNvPr id="765" name="Straight Connector 764"/>
        <xdr:cNvCxnSpPr/>
      </xdr:nvCxnSpPr>
      <xdr:spPr bwMode="auto">
        <a:xfrm rot="5400000">
          <a:off x="-38100" y="94011752"/>
          <a:ext cx="1314453" cy="62864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501663</xdr:colOff>
      <xdr:row>39</xdr:row>
      <xdr:rowOff>104775</xdr:rowOff>
    </xdr:from>
    <xdr:to>
      <xdr:col>13</xdr:col>
      <xdr:colOff>114300</xdr:colOff>
      <xdr:row>49</xdr:row>
      <xdr:rowOff>28575</xdr:rowOff>
    </xdr:to>
    <xdr:sp macro="" textlink="">
      <xdr:nvSpPr>
        <xdr:cNvPr id="723" name="Freeform 722"/>
        <xdr:cNvSpPr/>
      </xdr:nvSpPr>
      <xdr:spPr bwMode="auto">
        <a:xfrm>
          <a:off x="7273938" y="6829425"/>
          <a:ext cx="222237" cy="1800225"/>
        </a:xfrm>
        <a:custGeom>
          <a:avLst/>
          <a:gdLst>
            <a:gd name="connsiteX0" fmla="*/ 117462 w 222237"/>
            <a:gd name="connsiteY0" fmla="*/ 0 h 1800225"/>
            <a:gd name="connsiteX1" fmla="*/ 107937 w 222237"/>
            <a:gd name="connsiteY1" fmla="*/ 95250 h 1800225"/>
            <a:gd name="connsiteX2" fmla="*/ 126987 w 222237"/>
            <a:gd name="connsiteY2" fmla="*/ 619125 h 1800225"/>
            <a:gd name="connsiteX3" fmla="*/ 136512 w 222237"/>
            <a:gd name="connsiteY3" fmla="*/ 1133475 h 1800225"/>
            <a:gd name="connsiteX4" fmla="*/ 98412 w 222237"/>
            <a:gd name="connsiteY4" fmla="*/ 1219200 h 1800225"/>
            <a:gd name="connsiteX5" fmla="*/ 88887 w 222237"/>
            <a:gd name="connsiteY5" fmla="*/ 1247775 h 1800225"/>
            <a:gd name="connsiteX6" fmla="*/ 69837 w 222237"/>
            <a:gd name="connsiteY6" fmla="*/ 1276350 h 1800225"/>
            <a:gd name="connsiteX7" fmla="*/ 60312 w 222237"/>
            <a:gd name="connsiteY7" fmla="*/ 1304925 h 1800225"/>
            <a:gd name="connsiteX8" fmla="*/ 22212 w 222237"/>
            <a:gd name="connsiteY8" fmla="*/ 1362075 h 1800225"/>
            <a:gd name="connsiteX9" fmla="*/ 88887 w 222237"/>
            <a:gd name="connsiteY9" fmla="*/ 1343025 h 1800225"/>
            <a:gd name="connsiteX10" fmla="*/ 107937 w 222237"/>
            <a:gd name="connsiteY10" fmla="*/ 1314450 h 1800225"/>
            <a:gd name="connsiteX11" fmla="*/ 193662 w 222237"/>
            <a:gd name="connsiteY11" fmla="*/ 1247775 h 1800225"/>
            <a:gd name="connsiteX12" fmla="*/ 222237 w 222237"/>
            <a:gd name="connsiteY12" fmla="*/ 1228725 h 1800225"/>
            <a:gd name="connsiteX13" fmla="*/ 212712 w 222237"/>
            <a:gd name="connsiteY13" fmla="*/ 1257300 h 1800225"/>
            <a:gd name="connsiteX14" fmla="*/ 193662 w 222237"/>
            <a:gd name="connsiteY14" fmla="*/ 1285875 h 1800225"/>
            <a:gd name="connsiteX15" fmla="*/ 107937 w 222237"/>
            <a:gd name="connsiteY15" fmla="*/ 1362075 h 1800225"/>
            <a:gd name="connsiteX16" fmla="*/ 88887 w 222237"/>
            <a:gd name="connsiteY16" fmla="*/ 1800225 h 18002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222237" h="1800225">
              <a:moveTo>
                <a:pt x="117462" y="0"/>
              </a:moveTo>
              <a:cubicBezTo>
                <a:pt x="114287" y="31750"/>
                <a:pt x="107937" y="63342"/>
                <a:pt x="107937" y="95250"/>
              </a:cubicBezTo>
              <a:cubicBezTo>
                <a:pt x="107937" y="504947"/>
                <a:pt x="97376" y="411851"/>
                <a:pt x="126987" y="619125"/>
              </a:cubicBezTo>
              <a:cubicBezTo>
                <a:pt x="130162" y="790575"/>
                <a:pt x="139370" y="962019"/>
                <a:pt x="136512" y="1133475"/>
              </a:cubicBezTo>
              <a:cubicBezTo>
                <a:pt x="135665" y="1184317"/>
                <a:pt x="116160" y="1183704"/>
                <a:pt x="98412" y="1219200"/>
              </a:cubicBezTo>
              <a:cubicBezTo>
                <a:pt x="93922" y="1228180"/>
                <a:pt x="93377" y="1238795"/>
                <a:pt x="88887" y="1247775"/>
              </a:cubicBezTo>
              <a:cubicBezTo>
                <a:pt x="83767" y="1258014"/>
                <a:pt x="74957" y="1266111"/>
                <a:pt x="69837" y="1276350"/>
              </a:cubicBezTo>
              <a:cubicBezTo>
                <a:pt x="65347" y="1285330"/>
                <a:pt x="65188" y="1296148"/>
                <a:pt x="60312" y="1304925"/>
              </a:cubicBezTo>
              <a:cubicBezTo>
                <a:pt x="49193" y="1324939"/>
                <a:pt x="0" y="1367628"/>
                <a:pt x="22212" y="1362075"/>
              </a:cubicBezTo>
              <a:cubicBezTo>
                <a:pt x="70052" y="1350115"/>
                <a:pt x="47893" y="1356690"/>
                <a:pt x="88887" y="1343025"/>
              </a:cubicBezTo>
              <a:cubicBezTo>
                <a:pt x="95237" y="1333500"/>
                <a:pt x="100608" y="1323244"/>
                <a:pt x="107937" y="1314450"/>
              </a:cubicBezTo>
              <a:cubicBezTo>
                <a:pt x="135915" y="1280877"/>
                <a:pt x="153836" y="1274326"/>
                <a:pt x="193662" y="1247775"/>
              </a:cubicBezTo>
              <a:lnTo>
                <a:pt x="222237" y="1228725"/>
              </a:lnTo>
              <a:cubicBezTo>
                <a:pt x="219062" y="1238250"/>
                <a:pt x="217202" y="1248320"/>
                <a:pt x="212712" y="1257300"/>
              </a:cubicBezTo>
              <a:cubicBezTo>
                <a:pt x="207592" y="1267539"/>
                <a:pt x="201267" y="1277319"/>
                <a:pt x="193662" y="1285875"/>
              </a:cubicBezTo>
              <a:cubicBezTo>
                <a:pt x="146211" y="1339257"/>
                <a:pt x="151367" y="1333122"/>
                <a:pt x="107937" y="1362075"/>
              </a:cubicBezTo>
              <a:cubicBezTo>
                <a:pt x="48726" y="1539708"/>
                <a:pt x="88887" y="1399145"/>
                <a:pt x="88887" y="1800225"/>
              </a:cubicBez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24</xdr:row>
      <xdr:rowOff>0</xdr:rowOff>
    </xdr:from>
    <xdr:to>
      <xdr:col>4</xdr:col>
      <xdr:colOff>361950</xdr:colOff>
      <xdr:row>24</xdr:row>
      <xdr:rowOff>9525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809625" y="4114800"/>
          <a:ext cx="20955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24</xdr:row>
      <xdr:rowOff>0</xdr:rowOff>
    </xdr:from>
    <xdr:to>
      <xdr:col>5</xdr:col>
      <xdr:colOff>0</xdr:colOff>
      <xdr:row>38</xdr:row>
      <xdr:rowOff>9525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3181350" y="4114800"/>
          <a:ext cx="0" cy="22764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38</xdr:row>
      <xdr:rowOff>0</xdr:rowOff>
    </xdr:from>
    <xdr:to>
      <xdr:col>5</xdr:col>
      <xdr:colOff>476250</xdr:colOff>
      <xdr:row>38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3181350" y="6381750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38</xdr:row>
      <xdr:rowOff>9525</xdr:rowOff>
    </xdr:from>
    <xdr:to>
      <xdr:col>5</xdr:col>
      <xdr:colOff>476250</xdr:colOff>
      <xdr:row>41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3657600" y="6391275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40</xdr:row>
      <xdr:rowOff>152400</xdr:rowOff>
    </xdr:from>
    <xdr:to>
      <xdr:col>5</xdr:col>
      <xdr:colOff>161925</xdr:colOff>
      <xdr:row>41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 flipH="1" flipV="1">
          <a:off x="1314450" y="6858000"/>
          <a:ext cx="202882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37</xdr:row>
      <xdr:rowOff>152400</xdr:rowOff>
    </xdr:from>
    <xdr:to>
      <xdr:col>2</xdr:col>
      <xdr:colOff>0</xdr:colOff>
      <xdr:row>40</xdr:row>
      <xdr:rowOff>152400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 flipV="1">
          <a:off x="1323975" y="6372225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314450" y="6381750"/>
          <a:ext cx="1228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24</xdr:row>
      <xdr:rowOff>0</xdr:rowOff>
    </xdr:from>
    <xdr:to>
      <xdr:col>4</xdr:col>
      <xdr:colOff>381000</xdr:colOff>
      <xdr:row>38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 flipV="1">
          <a:off x="2552700" y="4114800"/>
          <a:ext cx="371475" cy="22669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41</xdr:row>
      <xdr:rowOff>0</xdr:rowOff>
    </xdr:from>
    <xdr:to>
      <xdr:col>5</xdr:col>
      <xdr:colOff>476250</xdr:colOff>
      <xdr:row>42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657600" y="6867525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42</xdr:row>
      <xdr:rowOff>9525</xdr:rowOff>
    </xdr:from>
    <xdr:to>
      <xdr:col>5</xdr:col>
      <xdr:colOff>476250</xdr:colOff>
      <xdr:row>42</xdr:row>
      <xdr:rowOff>9525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 flipH="1">
          <a:off x="3524250" y="7038975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40</xdr:row>
      <xdr:rowOff>152400</xdr:rowOff>
    </xdr:from>
    <xdr:to>
      <xdr:col>5</xdr:col>
      <xdr:colOff>352425</xdr:colOff>
      <xdr:row>42</xdr:row>
      <xdr:rowOff>19050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 flipH="1" flipV="1">
          <a:off x="3343275" y="6858000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38</xdr:row>
      <xdr:rowOff>0</xdr:rowOff>
    </xdr:from>
    <xdr:to>
      <xdr:col>6</xdr:col>
      <xdr:colOff>9525</xdr:colOff>
      <xdr:row>41</xdr:row>
      <xdr:rowOff>0</xdr:rowOff>
    </xdr:to>
    <xdr:sp macro="" textlink="">
      <xdr:nvSpPr>
        <xdr:cNvPr id="13" name="Line 13"/>
        <xdr:cNvSpPr>
          <a:spLocks noChangeShapeType="1"/>
        </xdr:cNvSpPr>
      </xdr:nvSpPr>
      <xdr:spPr bwMode="auto">
        <a:xfrm>
          <a:off x="3800475" y="6381750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41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14" name="Line 14"/>
        <xdr:cNvSpPr>
          <a:spLocks noChangeShapeType="1"/>
        </xdr:cNvSpPr>
      </xdr:nvSpPr>
      <xdr:spPr bwMode="auto">
        <a:xfrm>
          <a:off x="3790950" y="68675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7</xdr:col>
      <xdr:colOff>438150</xdr:colOff>
      <xdr:row>41</xdr:row>
      <xdr:rowOff>0</xdr:rowOff>
    </xdr:from>
    <xdr:to>
      <xdr:col>8</xdr:col>
      <xdr:colOff>171450</xdr:colOff>
      <xdr:row>41</xdr:row>
      <xdr:rowOff>0</xdr:rowOff>
    </xdr:to>
    <xdr:sp macro="" textlink="">
      <xdr:nvSpPr>
        <xdr:cNvPr id="15" name="Line 15"/>
        <xdr:cNvSpPr>
          <a:spLocks noChangeShapeType="1"/>
        </xdr:cNvSpPr>
      </xdr:nvSpPr>
      <xdr:spPr bwMode="auto">
        <a:xfrm>
          <a:off x="4838700" y="6867525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542925</xdr:colOff>
      <xdr:row>38</xdr:row>
      <xdr:rowOff>9525</xdr:rowOff>
    </xdr:from>
    <xdr:to>
      <xdr:col>6</xdr:col>
      <xdr:colOff>95250</xdr:colOff>
      <xdr:row>38</xdr:row>
      <xdr:rowOff>9525</xdr:rowOff>
    </xdr:to>
    <xdr:sp macro="" textlink="">
      <xdr:nvSpPr>
        <xdr:cNvPr id="16" name="Line 16"/>
        <xdr:cNvSpPr>
          <a:spLocks noChangeShapeType="1"/>
        </xdr:cNvSpPr>
      </xdr:nvSpPr>
      <xdr:spPr bwMode="auto">
        <a:xfrm>
          <a:off x="3724275" y="63912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542925</xdr:colOff>
      <xdr:row>41</xdr:row>
      <xdr:rowOff>0</xdr:rowOff>
    </xdr:from>
    <xdr:to>
      <xdr:col>6</xdr:col>
      <xdr:colOff>95250</xdr:colOff>
      <xdr:row>41</xdr:row>
      <xdr:rowOff>0</xdr:rowOff>
    </xdr:to>
    <xdr:sp macro="" textlink="">
      <xdr:nvSpPr>
        <xdr:cNvPr id="17" name="Line 17"/>
        <xdr:cNvSpPr>
          <a:spLocks noChangeShapeType="1"/>
        </xdr:cNvSpPr>
      </xdr:nvSpPr>
      <xdr:spPr bwMode="auto">
        <a:xfrm>
          <a:off x="3724275" y="686752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552450</xdr:colOff>
      <xdr:row>42</xdr:row>
      <xdr:rowOff>0</xdr:rowOff>
    </xdr:from>
    <xdr:to>
      <xdr:col>6</xdr:col>
      <xdr:colOff>85725</xdr:colOff>
      <xdr:row>42</xdr:row>
      <xdr:rowOff>0</xdr:rowOff>
    </xdr:to>
    <xdr:sp macro="" textlink="">
      <xdr:nvSpPr>
        <xdr:cNvPr id="18" name="Line 18"/>
        <xdr:cNvSpPr>
          <a:spLocks noChangeShapeType="1"/>
        </xdr:cNvSpPr>
      </xdr:nvSpPr>
      <xdr:spPr bwMode="auto">
        <a:xfrm>
          <a:off x="3733800" y="70294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42</xdr:row>
      <xdr:rowOff>76200</xdr:rowOff>
    </xdr:from>
    <xdr:to>
      <xdr:col>5</xdr:col>
      <xdr:colOff>485775</xdr:colOff>
      <xdr:row>43</xdr:row>
      <xdr:rowOff>28575</xdr:rowOff>
    </xdr:to>
    <xdr:sp macro="" textlink="">
      <xdr:nvSpPr>
        <xdr:cNvPr id="19" name="Line 19"/>
        <xdr:cNvSpPr>
          <a:spLocks noChangeShapeType="1"/>
        </xdr:cNvSpPr>
      </xdr:nvSpPr>
      <xdr:spPr bwMode="auto">
        <a:xfrm>
          <a:off x="3667125" y="71056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42</xdr:row>
      <xdr:rowOff>76200</xdr:rowOff>
    </xdr:from>
    <xdr:to>
      <xdr:col>5</xdr:col>
      <xdr:colOff>352425</xdr:colOff>
      <xdr:row>43</xdr:row>
      <xdr:rowOff>38100</xdr:rowOff>
    </xdr:to>
    <xdr:sp macro="" textlink="">
      <xdr:nvSpPr>
        <xdr:cNvPr id="20" name="Line 20"/>
        <xdr:cNvSpPr>
          <a:spLocks noChangeShapeType="1"/>
        </xdr:cNvSpPr>
      </xdr:nvSpPr>
      <xdr:spPr bwMode="auto">
        <a:xfrm>
          <a:off x="3533775" y="710565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43</xdr:row>
      <xdr:rowOff>0</xdr:rowOff>
    </xdr:from>
    <xdr:to>
      <xdr:col>5</xdr:col>
      <xdr:colOff>485775</xdr:colOff>
      <xdr:row>43</xdr:row>
      <xdr:rowOff>0</xdr:rowOff>
    </xdr:to>
    <xdr:sp macro="" textlink="">
      <xdr:nvSpPr>
        <xdr:cNvPr id="21" name="Line 21"/>
        <xdr:cNvSpPr>
          <a:spLocks noChangeShapeType="1"/>
        </xdr:cNvSpPr>
      </xdr:nvSpPr>
      <xdr:spPr bwMode="auto">
        <a:xfrm>
          <a:off x="3533775" y="71913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42</xdr:row>
      <xdr:rowOff>114300</xdr:rowOff>
    </xdr:from>
    <xdr:to>
      <xdr:col>5</xdr:col>
      <xdr:colOff>180975</xdr:colOff>
      <xdr:row>43</xdr:row>
      <xdr:rowOff>28575</xdr:rowOff>
    </xdr:to>
    <xdr:sp macro="" textlink="">
      <xdr:nvSpPr>
        <xdr:cNvPr id="22" name="Line 22"/>
        <xdr:cNvSpPr>
          <a:spLocks noChangeShapeType="1"/>
        </xdr:cNvSpPr>
      </xdr:nvSpPr>
      <xdr:spPr bwMode="auto">
        <a:xfrm>
          <a:off x="3362325" y="714375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43</xdr:row>
      <xdr:rowOff>0</xdr:rowOff>
    </xdr:from>
    <xdr:to>
      <xdr:col>5</xdr:col>
      <xdr:colOff>352425</xdr:colOff>
      <xdr:row>43</xdr:row>
      <xdr:rowOff>0</xdr:rowOff>
    </xdr:to>
    <xdr:sp macro="" textlink="">
      <xdr:nvSpPr>
        <xdr:cNvPr id="23" name="Line 23"/>
        <xdr:cNvSpPr>
          <a:spLocks noChangeShapeType="1"/>
        </xdr:cNvSpPr>
      </xdr:nvSpPr>
      <xdr:spPr bwMode="auto">
        <a:xfrm>
          <a:off x="3362325" y="71913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43</xdr:row>
      <xdr:rowOff>19050</xdr:rowOff>
    </xdr:from>
    <xdr:to>
      <xdr:col>5</xdr:col>
      <xdr:colOff>428625</xdr:colOff>
      <xdr:row>43</xdr:row>
      <xdr:rowOff>104775</xdr:rowOff>
    </xdr:to>
    <xdr:sp macro="" textlink="">
      <xdr:nvSpPr>
        <xdr:cNvPr id="24" name="Line 24"/>
        <xdr:cNvSpPr>
          <a:spLocks noChangeShapeType="1"/>
        </xdr:cNvSpPr>
      </xdr:nvSpPr>
      <xdr:spPr bwMode="auto">
        <a:xfrm flipV="1">
          <a:off x="3609975" y="72104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43</xdr:row>
      <xdr:rowOff>104775</xdr:rowOff>
    </xdr:from>
    <xdr:to>
      <xdr:col>6</xdr:col>
      <xdr:colOff>76200</xdr:colOff>
      <xdr:row>43</xdr:row>
      <xdr:rowOff>104775</xdr:rowOff>
    </xdr:to>
    <xdr:sp macro="" textlink="">
      <xdr:nvSpPr>
        <xdr:cNvPr id="25" name="Line 25"/>
        <xdr:cNvSpPr>
          <a:spLocks noChangeShapeType="1"/>
        </xdr:cNvSpPr>
      </xdr:nvSpPr>
      <xdr:spPr bwMode="auto">
        <a:xfrm>
          <a:off x="3629025" y="729615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43</xdr:row>
      <xdr:rowOff>0</xdr:rowOff>
    </xdr:from>
    <xdr:to>
      <xdr:col>5</xdr:col>
      <xdr:colOff>285750</xdr:colOff>
      <xdr:row>44</xdr:row>
      <xdr:rowOff>57150</xdr:rowOff>
    </xdr:to>
    <xdr:sp macro="" textlink="">
      <xdr:nvSpPr>
        <xdr:cNvPr id="26" name="Line 26"/>
        <xdr:cNvSpPr>
          <a:spLocks noChangeShapeType="1"/>
        </xdr:cNvSpPr>
      </xdr:nvSpPr>
      <xdr:spPr bwMode="auto">
        <a:xfrm flipV="1">
          <a:off x="3467100" y="7191375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44</xdr:row>
      <xdr:rowOff>47625</xdr:rowOff>
    </xdr:from>
    <xdr:to>
      <xdr:col>6</xdr:col>
      <xdr:colOff>76200</xdr:colOff>
      <xdr:row>44</xdr:row>
      <xdr:rowOff>47625</xdr:rowOff>
    </xdr:to>
    <xdr:sp macro="" textlink="">
      <xdr:nvSpPr>
        <xdr:cNvPr id="27" name="Line 27"/>
        <xdr:cNvSpPr>
          <a:spLocks noChangeShapeType="1"/>
        </xdr:cNvSpPr>
      </xdr:nvSpPr>
      <xdr:spPr bwMode="auto">
        <a:xfrm>
          <a:off x="3467100" y="7400925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45</xdr:row>
      <xdr:rowOff>152400</xdr:rowOff>
    </xdr:from>
    <xdr:to>
      <xdr:col>5</xdr:col>
      <xdr:colOff>504825</xdr:colOff>
      <xdr:row>46</xdr:row>
      <xdr:rowOff>0</xdr:rowOff>
    </xdr:to>
    <xdr:sp macro="" textlink="">
      <xdr:nvSpPr>
        <xdr:cNvPr id="28" name="Line 28"/>
        <xdr:cNvSpPr>
          <a:spLocks noChangeShapeType="1"/>
        </xdr:cNvSpPr>
      </xdr:nvSpPr>
      <xdr:spPr bwMode="auto">
        <a:xfrm flipH="1">
          <a:off x="3181350" y="7667625"/>
          <a:ext cx="5048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0</xdr:colOff>
      <xdr:row>46</xdr:row>
      <xdr:rowOff>9525</xdr:rowOff>
    </xdr:from>
    <xdr:to>
      <xdr:col>5</xdr:col>
      <xdr:colOff>0</xdr:colOff>
      <xdr:row>46</xdr:row>
      <xdr:rowOff>9525</xdr:rowOff>
    </xdr:to>
    <xdr:sp macro="" textlink="">
      <xdr:nvSpPr>
        <xdr:cNvPr id="29" name="Line 29"/>
        <xdr:cNvSpPr>
          <a:spLocks noChangeShapeType="1"/>
        </xdr:cNvSpPr>
      </xdr:nvSpPr>
      <xdr:spPr bwMode="auto">
        <a:xfrm flipH="1">
          <a:off x="2543175" y="7686675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600075</xdr:colOff>
      <xdr:row>46</xdr:row>
      <xdr:rowOff>9525</xdr:rowOff>
    </xdr:from>
    <xdr:to>
      <xdr:col>4</xdr:col>
      <xdr:colOff>19050</xdr:colOff>
      <xdr:row>46</xdr:row>
      <xdr:rowOff>9525</xdr:rowOff>
    </xdr:to>
    <xdr:sp macro="" textlink="">
      <xdr:nvSpPr>
        <xdr:cNvPr id="30" name="Line 31"/>
        <xdr:cNvSpPr>
          <a:spLocks noChangeShapeType="1"/>
        </xdr:cNvSpPr>
      </xdr:nvSpPr>
      <xdr:spPr bwMode="auto">
        <a:xfrm flipH="1">
          <a:off x="1314450" y="7686675"/>
          <a:ext cx="1247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45</xdr:row>
      <xdr:rowOff>104775</xdr:rowOff>
    </xdr:from>
    <xdr:to>
      <xdr:col>2</xdr:col>
      <xdr:colOff>0</xdr:colOff>
      <xdr:row>46</xdr:row>
      <xdr:rowOff>95250</xdr:rowOff>
    </xdr:to>
    <xdr:sp macro="" textlink="">
      <xdr:nvSpPr>
        <xdr:cNvPr id="31" name="Line 32"/>
        <xdr:cNvSpPr>
          <a:spLocks noChangeShapeType="1"/>
        </xdr:cNvSpPr>
      </xdr:nvSpPr>
      <xdr:spPr bwMode="auto">
        <a:xfrm>
          <a:off x="1323975" y="76200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45</xdr:row>
      <xdr:rowOff>104775</xdr:rowOff>
    </xdr:from>
    <xdr:to>
      <xdr:col>4</xdr:col>
      <xdr:colOff>0</xdr:colOff>
      <xdr:row>46</xdr:row>
      <xdr:rowOff>47625</xdr:rowOff>
    </xdr:to>
    <xdr:sp macro="" textlink="">
      <xdr:nvSpPr>
        <xdr:cNvPr id="32" name="Line 33"/>
        <xdr:cNvSpPr>
          <a:spLocks noChangeShapeType="1"/>
        </xdr:cNvSpPr>
      </xdr:nvSpPr>
      <xdr:spPr bwMode="auto">
        <a:xfrm>
          <a:off x="2543175" y="76200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45</xdr:row>
      <xdr:rowOff>104775</xdr:rowOff>
    </xdr:from>
    <xdr:to>
      <xdr:col>5</xdr:col>
      <xdr:colOff>0</xdr:colOff>
      <xdr:row>46</xdr:row>
      <xdr:rowOff>38100</xdr:rowOff>
    </xdr:to>
    <xdr:sp macro="" textlink="">
      <xdr:nvSpPr>
        <xdr:cNvPr id="33" name="Line 34"/>
        <xdr:cNvSpPr>
          <a:spLocks noChangeShapeType="1"/>
        </xdr:cNvSpPr>
      </xdr:nvSpPr>
      <xdr:spPr bwMode="auto">
        <a:xfrm>
          <a:off x="3181350" y="76200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45</xdr:row>
      <xdr:rowOff>123825</xdr:rowOff>
    </xdr:from>
    <xdr:to>
      <xdr:col>5</xdr:col>
      <xdr:colOff>514350</xdr:colOff>
      <xdr:row>46</xdr:row>
      <xdr:rowOff>57150</xdr:rowOff>
    </xdr:to>
    <xdr:sp macro="" textlink="">
      <xdr:nvSpPr>
        <xdr:cNvPr id="34" name="Line 35"/>
        <xdr:cNvSpPr>
          <a:spLocks noChangeShapeType="1"/>
        </xdr:cNvSpPr>
      </xdr:nvSpPr>
      <xdr:spPr bwMode="auto">
        <a:xfrm>
          <a:off x="3695700" y="76390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23</xdr:row>
      <xdr:rowOff>133350</xdr:rowOff>
    </xdr:from>
    <xdr:to>
      <xdr:col>4</xdr:col>
      <xdr:colOff>0</xdr:colOff>
      <xdr:row>38</xdr:row>
      <xdr:rowOff>0</xdr:rowOff>
    </xdr:to>
    <xdr:sp macro="" textlink="">
      <xdr:nvSpPr>
        <xdr:cNvPr id="35" name="Line 36"/>
        <xdr:cNvSpPr>
          <a:spLocks noChangeShapeType="1"/>
        </xdr:cNvSpPr>
      </xdr:nvSpPr>
      <xdr:spPr bwMode="auto">
        <a:xfrm>
          <a:off x="2543175" y="4086225"/>
          <a:ext cx="0" cy="229552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381000</xdr:colOff>
      <xdr:row>24</xdr:row>
      <xdr:rowOff>0</xdr:rowOff>
    </xdr:from>
    <xdr:to>
      <xdr:col>4</xdr:col>
      <xdr:colOff>381000</xdr:colOff>
      <xdr:row>38</xdr:row>
      <xdr:rowOff>0</xdr:rowOff>
    </xdr:to>
    <xdr:sp macro="" textlink="">
      <xdr:nvSpPr>
        <xdr:cNvPr id="36" name="Line 37"/>
        <xdr:cNvSpPr>
          <a:spLocks noChangeShapeType="1"/>
        </xdr:cNvSpPr>
      </xdr:nvSpPr>
      <xdr:spPr bwMode="auto">
        <a:xfrm>
          <a:off x="2924175" y="4114800"/>
          <a:ext cx="0" cy="226695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28575</xdr:colOff>
      <xdr:row>38</xdr:row>
      <xdr:rowOff>0</xdr:rowOff>
    </xdr:from>
    <xdr:to>
      <xdr:col>5</xdr:col>
      <xdr:colOff>0</xdr:colOff>
      <xdr:row>38</xdr:row>
      <xdr:rowOff>0</xdr:rowOff>
    </xdr:to>
    <xdr:sp macro="" textlink="">
      <xdr:nvSpPr>
        <xdr:cNvPr id="37" name="Line 38"/>
        <xdr:cNvSpPr>
          <a:spLocks noChangeShapeType="1"/>
        </xdr:cNvSpPr>
      </xdr:nvSpPr>
      <xdr:spPr bwMode="auto">
        <a:xfrm>
          <a:off x="2571750" y="6381750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171450</xdr:colOff>
      <xdr:row>40</xdr:row>
      <xdr:rowOff>152400</xdr:rowOff>
    </xdr:from>
    <xdr:to>
      <xdr:col>5</xdr:col>
      <xdr:colOff>476250</xdr:colOff>
      <xdr:row>41</xdr:row>
      <xdr:rowOff>0</xdr:rowOff>
    </xdr:to>
    <xdr:sp macro="" textlink="">
      <xdr:nvSpPr>
        <xdr:cNvPr id="38" name="Line 40"/>
        <xdr:cNvSpPr>
          <a:spLocks noChangeShapeType="1"/>
        </xdr:cNvSpPr>
      </xdr:nvSpPr>
      <xdr:spPr bwMode="auto">
        <a:xfrm>
          <a:off x="3352800" y="6858000"/>
          <a:ext cx="30480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342900</xdr:colOff>
      <xdr:row>41</xdr:row>
      <xdr:rowOff>0</xdr:rowOff>
    </xdr:from>
    <xdr:to>
      <xdr:col>5</xdr:col>
      <xdr:colOff>342900</xdr:colOff>
      <xdr:row>42</xdr:row>
      <xdr:rowOff>9525</xdr:rowOff>
    </xdr:to>
    <xdr:sp macro="" textlink="">
      <xdr:nvSpPr>
        <xdr:cNvPr id="39" name="Line 41"/>
        <xdr:cNvSpPr>
          <a:spLocks noChangeShapeType="1"/>
        </xdr:cNvSpPr>
      </xdr:nvSpPr>
      <xdr:spPr bwMode="auto">
        <a:xfrm flipV="1">
          <a:off x="3524250" y="6867525"/>
          <a:ext cx="0" cy="17145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 editAs="oneCell">
    <xdr:from>
      <xdr:col>5</xdr:col>
      <xdr:colOff>314325</xdr:colOff>
      <xdr:row>41</xdr:row>
      <xdr:rowOff>0</xdr:rowOff>
    </xdr:from>
    <xdr:to>
      <xdr:col>5</xdr:col>
      <xdr:colOff>390525</xdr:colOff>
      <xdr:row>41</xdr:row>
      <xdr:rowOff>152400</xdr:rowOff>
    </xdr:to>
    <xdr:sp macro="" textlink="">
      <xdr:nvSpPr>
        <xdr:cNvPr id="40" name="Text Box 42"/>
        <xdr:cNvSpPr txBox="1">
          <a:spLocks noChangeArrowheads="1"/>
        </xdr:cNvSpPr>
      </xdr:nvSpPr>
      <xdr:spPr bwMode="auto">
        <a:xfrm>
          <a:off x="3495675" y="6867525"/>
          <a:ext cx="762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41</xdr:row>
      <xdr:rowOff>57150</xdr:rowOff>
    </xdr:from>
    <xdr:to>
      <xdr:col>5</xdr:col>
      <xdr:colOff>285750</xdr:colOff>
      <xdr:row>42</xdr:row>
      <xdr:rowOff>66675</xdr:rowOff>
    </xdr:to>
    <xdr:sp macro="" textlink="">
      <xdr:nvSpPr>
        <xdr:cNvPr id="41" name="Line 44"/>
        <xdr:cNvSpPr>
          <a:spLocks noChangeShapeType="1"/>
        </xdr:cNvSpPr>
      </xdr:nvSpPr>
      <xdr:spPr bwMode="auto">
        <a:xfrm flipV="1">
          <a:off x="3181350" y="6924675"/>
          <a:ext cx="2857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419100</xdr:colOff>
      <xdr:row>41</xdr:row>
      <xdr:rowOff>104775</xdr:rowOff>
    </xdr:from>
    <xdr:to>
      <xdr:col>6</xdr:col>
      <xdr:colOff>0</xdr:colOff>
      <xdr:row>42</xdr:row>
      <xdr:rowOff>85725</xdr:rowOff>
    </xdr:to>
    <xdr:sp macro="" textlink="">
      <xdr:nvSpPr>
        <xdr:cNvPr id="42" name="Line 45"/>
        <xdr:cNvSpPr>
          <a:spLocks noChangeShapeType="1"/>
        </xdr:cNvSpPr>
      </xdr:nvSpPr>
      <xdr:spPr bwMode="auto">
        <a:xfrm flipH="1" flipV="1">
          <a:off x="3600450" y="6972300"/>
          <a:ext cx="19050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228600</xdr:colOff>
      <xdr:row>24</xdr:row>
      <xdr:rowOff>9525</xdr:rowOff>
    </xdr:from>
    <xdr:to>
      <xdr:col>2</xdr:col>
      <xdr:colOff>381000</xdr:colOff>
      <xdr:row>24</xdr:row>
      <xdr:rowOff>104775</xdr:rowOff>
    </xdr:to>
    <xdr:sp macro="" textlink="">
      <xdr:nvSpPr>
        <xdr:cNvPr id="43" name="Line 46"/>
        <xdr:cNvSpPr>
          <a:spLocks noChangeShapeType="1"/>
        </xdr:cNvSpPr>
      </xdr:nvSpPr>
      <xdr:spPr bwMode="auto">
        <a:xfrm flipH="1">
          <a:off x="1552575" y="412432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24</xdr:row>
      <xdr:rowOff>0</xdr:rowOff>
    </xdr:from>
    <xdr:to>
      <xdr:col>2</xdr:col>
      <xdr:colOff>514350</xdr:colOff>
      <xdr:row>24</xdr:row>
      <xdr:rowOff>123825</xdr:rowOff>
    </xdr:to>
    <xdr:sp macro="" textlink="">
      <xdr:nvSpPr>
        <xdr:cNvPr id="44" name="Line 47"/>
        <xdr:cNvSpPr>
          <a:spLocks noChangeShapeType="1"/>
        </xdr:cNvSpPr>
      </xdr:nvSpPr>
      <xdr:spPr bwMode="auto">
        <a:xfrm>
          <a:off x="1714500" y="411480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24</xdr:row>
      <xdr:rowOff>0</xdr:rowOff>
    </xdr:from>
    <xdr:to>
      <xdr:col>2</xdr:col>
      <xdr:colOff>514350</xdr:colOff>
      <xdr:row>24</xdr:row>
      <xdr:rowOff>114300</xdr:rowOff>
    </xdr:to>
    <xdr:sp macro="" textlink="">
      <xdr:nvSpPr>
        <xdr:cNvPr id="45" name="Line 48"/>
        <xdr:cNvSpPr>
          <a:spLocks noChangeShapeType="1"/>
        </xdr:cNvSpPr>
      </xdr:nvSpPr>
      <xdr:spPr bwMode="auto">
        <a:xfrm flipV="1">
          <a:off x="1695450" y="411480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523875</xdr:colOff>
      <xdr:row>24</xdr:row>
      <xdr:rowOff>9525</xdr:rowOff>
    </xdr:from>
    <xdr:to>
      <xdr:col>3</xdr:col>
      <xdr:colOff>638175</xdr:colOff>
      <xdr:row>24</xdr:row>
      <xdr:rowOff>133350</xdr:rowOff>
    </xdr:to>
    <xdr:sp macro="" textlink="">
      <xdr:nvSpPr>
        <xdr:cNvPr id="46" name="Line 49"/>
        <xdr:cNvSpPr>
          <a:spLocks noChangeShapeType="1"/>
        </xdr:cNvSpPr>
      </xdr:nvSpPr>
      <xdr:spPr bwMode="auto">
        <a:xfrm>
          <a:off x="2457450" y="4124325"/>
          <a:ext cx="857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24</xdr:row>
      <xdr:rowOff>9525</xdr:rowOff>
    </xdr:from>
    <xdr:to>
      <xdr:col>3</xdr:col>
      <xdr:colOff>381000</xdr:colOff>
      <xdr:row>24</xdr:row>
      <xdr:rowOff>104775</xdr:rowOff>
    </xdr:to>
    <xdr:sp macro="" textlink="">
      <xdr:nvSpPr>
        <xdr:cNvPr id="47" name="Line 50"/>
        <xdr:cNvSpPr>
          <a:spLocks noChangeShapeType="1"/>
        </xdr:cNvSpPr>
      </xdr:nvSpPr>
      <xdr:spPr bwMode="auto">
        <a:xfrm flipH="1">
          <a:off x="2162175" y="412432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24</xdr:row>
      <xdr:rowOff>0</xdr:rowOff>
    </xdr:from>
    <xdr:to>
      <xdr:col>3</xdr:col>
      <xdr:colOff>514350</xdr:colOff>
      <xdr:row>24</xdr:row>
      <xdr:rowOff>123825</xdr:rowOff>
    </xdr:to>
    <xdr:sp macro="" textlink="">
      <xdr:nvSpPr>
        <xdr:cNvPr id="48" name="Line 51"/>
        <xdr:cNvSpPr>
          <a:spLocks noChangeShapeType="1"/>
        </xdr:cNvSpPr>
      </xdr:nvSpPr>
      <xdr:spPr bwMode="auto">
        <a:xfrm>
          <a:off x="2324100" y="411480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24</xdr:row>
      <xdr:rowOff>0</xdr:rowOff>
    </xdr:from>
    <xdr:to>
      <xdr:col>3</xdr:col>
      <xdr:colOff>514350</xdr:colOff>
      <xdr:row>24</xdr:row>
      <xdr:rowOff>114300</xdr:rowOff>
    </xdr:to>
    <xdr:sp macro="" textlink="">
      <xdr:nvSpPr>
        <xdr:cNvPr id="49" name="Line 52"/>
        <xdr:cNvSpPr>
          <a:spLocks noChangeShapeType="1"/>
        </xdr:cNvSpPr>
      </xdr:nvSpPr>
      <xdr:spPr bwMode="auto">
        <a:xfrm flipV="1">
          <a:off x="2305050" y="411480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504825</xdr:colOff>
      <xdr:row>23</xdr:row>
      <xdr:rowOff>152400</xdr:rowOff>
    </xdr:from>
    <xdr:to>
      <xdr:col>3</xdr:col>
      <xdr:colOff>9525</xdr:colOff>
      <xdr:row>24</xdr:row>
      <xdr:rowOff>114300</xdr:rowOff>
    </xdr:to>
    <xdr:sp macro="" textlink="">
      <xdr:nvSpPr>
        <xdr:cNvPr id="50" name="Line 53"/>
        <xdr:cNvSpPr>
          <a:spLocks noChangeShapeType="1"/>
        </xdr:cNvSpPr>
      </xdr:nvSpPr>
      <xdr:spPr bwMode="auto">
        <a:xfrm>
          <a:off x="1828800" y="4105275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24</xdr:row>
      <xdr:rowOff>9525</xdr:rowOff>
    </xdr:from>
    <xdr:to>
      <xdr:col>3</xdr:col>
      <xdr:colOff>381000</xdr:colOff>
      <xdr:row>24</xdr:row>
      <xdr:rowOff>104775</xdr:rowOff>
    </xdr:to>
    <xdr:sp macro="" textlink="">
      <xdr:nvSpPr>
        <xdr:cNvPr id="51" name="Line 54"/>
        <xdr:cNvSpPr>
          <a:spLocks noChangeShapeType="1"/>
        </xdr:cNvSpPr>
      </xdr:nvSpPr>
      <xdr:spPr bwMode="auto">
        <a:xfrm flipH="1">
          <a:off x="2162175" y="412432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24</xdr:row>
      <xdr:rowOff>0</xdr:rowOff>
    </xdr:from>
    <xdr:to>
      <xdr:col>3</xdr:col>
      <xdr:colOff>514350</xdr:colOff>
      <xdr:row>24</xdr:row>
      <xdr:rowOff>123825</xdr:rowOff>
    </xdr:to>
    <xdr:sp macro="" textlink="">
      <xdr:nvSpPr>
        <xdr:cNvPr id="52" name="Line 55"/>
        <xdr:cNvSpPr>
          <a:spLocks noChangeShapeType="1"/>
        </xdr:cNvSpPr>
      </xdr:nvSpPr>
      <xdr:spPr bwMode="auto">
        <a:xfrm>
          <a:off x="2324100" y="411480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24</xdr:row>
      <xdr:rowOff>0</xdr:rowOff>
    </xdr:from>
    <xdr:to>
      <xdr:col>3</xdr:col>
      <xdr:colOff>514350</xdr:colOff>
      <xdr:row>24</xdr:row>
      <xdr:rowOff>114300</xdr:rowOff>
    </xdr:to>
    <xdr:sp macro="" textlink="">
      <xdr:nvSpPr>
        <xdr:cNvPr id="53" name="Line 56"/>
        <xdr:cNvSpPr>
          <a:spLocks noChangeShapeType="1"/>
        </xdr:cNvSpPr>
      </xdr:nvSpPr>
      <xdr:spPr bwMode="auto">
        <a:xfrm flipV="1">
          <a:off x="2305050" y="411480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24</xdr:row>
      <xdr:rowOff>38100</xdr:rowOff>
    </xdr:from>
    <xdr:to>
      <xdr:col>3</xdr:col>
      <xdr:colOff>809625</xdr:colOff>
      <xdr:row>25</xdr:row>
      <xdr:rowOff>0</xdr:rowOff>
    </xdr:to>
    <xdr:sp macro="" textlink="">
      <xdr:nvSpPr>
        <xdr:cNvPr id="54" name="Line 57"/>
        <xdr:cNvSpPr>
          <a:spLocks noChangeShapeType="1"/>
        </xdr:cNvSpPr>
      </xdr:nvSpPr>
      <xdr:spPr bwMode="auto">
        <a:xfrm>
          <a:off x="2400300" y="4152900"/>
          <a:ext cx="14287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24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55" name="Line 58"/>
        <xdr:cNvSpPr>
          <a:spLocks noChangeShapeType="1"/>
        </xdr:cNvSpPr>
      </xdr:nvSpPr>
      <xdr:spPr bwMode="auto">
        <a:xfrm>
          <a:off x="2914650" y="4114800"/>
          <a:ext cx="2667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23</xdr:row>
      <xdr:rowOff>0</xdr:rowOff>
    </xdr:from>
    <xdr:to>
      <xdr:col>4</xdr:col>
      <xdr:colOff>371475</xdr:colOff>
      <xdr:row>23</xdr:row>
      <xdr:rowOff>85725</xdr:rowOff>
    </xdr:to>
    <xdr:sp macro="" textlink="">
      <xdr:nvSpPr>
        <xdr:cNvPr id="56" name="Line 59"/>
        <xdr:cNvSpPr>
          <a:spLocks noChangeShapeType="1"/>
        </xdr:cNvSpPr>
      </xdr:nvSpPr>
      <xdr:spPr bwMode="auto">
        <a:xfrm>
          <a:off x="2914650" y="39528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22</xdr:row>
      <xdr:rowOff>152400</xdr:rowOff>
    </xdr:from>
    <xdr:to>
      <xdr:col>5</xdr:col>
      <xdr:colOff>0</xdr:colOff>
      <xdr:row>23</xdr:row>
      <xdr:rowOff>85725</xdr:rowOff>
    </xdr:to>
    <xdr:sp macro="" textlink="">
      <xdr:nvSpPr>
        <xdr:cNvPr id="57" name="Line 60"/>
        <xdr:cNvSpPr>
          <a:spLocks noChangeShapeType="1"/>
        </xdr:cNvSpPr>
      </xdr:nvSpPr>
      <xdr:spPr bwMode="auto">
        <a:xfrm>
          <a:off x="3181350" y="39433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23</xdr:row>
      <xdr:rowOff>47625</xdr:rowOff>
    </xdr:from>
    <xdr:to>
      <xdr:col>5</xdr:col>
      <xdr:colOff>0</xdr:colOff>
      <xdr:row>23</xdr:row>
      <xdr:rowOff>47625</xdr:rowOff>
    </xdr:to>
    <xdr:sp macro="" textlink="">
      <xdr:nvSpPr>
        <xdr:cNvPr id="58" name="Line 61"/>
        <xdr:cNvSpPr>
          <a:spLocks noChangeShapeType="1"/>
        </xdr:cNvSpPr>
      </xdr:nvSpPr>
      <xdr:spPr bwMode="auto">
        <a:xfrm>
          <a:off x="2905125" y="400050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142872</xdr:colOff>
      <xdr:row>23</xdr:row>
      <xdr:rowOff>152401</xdr:rowOff>
    </xdr:from>
    <xdr:to>
      <xdr:col>1</xdr:col>
      <xdr:colOff>609599</xdr:colOff>
      <xdr:row>41</xdr:row>
      <xdr:rowOff>9526</xdr:rowOff>
    </xdr:to>
    <xdr:sp macro="" textlink="">
      <xdr:nvSpPr>
        <xdr:cNvPr id="59" name="Line 62"/>
        <xdr:cNvSpPr>
          <a:spLocks noChangeShapeType="1"/>
        </xdr:cNvSpPr>
      </xdr:nvSpPr>
      <xdr:spPr bwMode="auto">
        <a:xfrm flipH="1">
          <a:off x="857247" y="4105276"/>
          <a:ext cx="466727" cy="2771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133350</xdr:colOff>
      <xdr:row>40</xdr:row>
      <xdr:rowOff>152400</xdr:rowOff>
    </xdr:from>
    <xdr:to>
      <xdr:col>1</xdr:col>
      <xdr:colOff>600075</xdr:colOff>
      <xdr:row>40</xdr:row>
      <xdr:rowOff>152400</xdr:rowOff>
    </xdr:to>
    <xdr:sp macro="" textlink="">
      <xdr:nvSpPr>
        <xdr:cNvPr id="60" name="Line 63"/>
        <xdr:cNvSpPr>
          <a:spLocks noChangeShapeType="1"/>
        </xdr:cNvSpPr>
      </xdr:nvSpPr>
      <xdr:spPr bwMode="auto">
        <a:xfrm>
          <a:off x="847725" y="685800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247650</xdr:colOff>
      <xdr:row>38</xdr:row>
      <xdr:rowOff>0</xdr:rowOff>
    </xdr:from>
    <xdr:to>
      <xdr:col>1</xdr:col>
      <xdr:colOff>590550</xdr:colOff>
      <xdr:row>38</xdr:row>
      <xdr:rowOff>0</xdr:rowOff>
    </xdr:to>
    <xdr:sp macro="" textlink="">
      <xdr:nvSpPr>
        <xdr:cNvPr id="61" name="Line 64"/>
        <xdr:cNvSpPr>
          <a:spLocks noChangeShapeType="1"/>
        </xdr:cNvSpPr>
      </xdr:nvSpPr>
      <xdr:spPr bwMode="auto">
        <a:xfrm>
          <a:off x="962025" y="638175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361950</xdr:colOff>
      <xdr:row>34</xdr:row>
      <xdr:rowOff>66675</xdr:rowOff>
    </xdr:from>
    <xdr:to>
      <xdr:col>2</xdr:col>
      <xdr:colOff>9525</xdr:colOff>
      <xdr:row>34</xdr:row>
      <xdr:rowOff>66675</xdr:rowOff>
    </xdr:to>
    <xdr:sp macro="" textlink="">
      <xdr:nvSpPr>
        <xdr:cNvPr id="62" name="Line 65"/>
        <xdr:cNvSpPr>
          <a:spLocks noChangeShapeType="1"/>
        </xdr:cNvSpPr>
      </xdr:nvSpPr>
      <xdr:spPr bwMode="auto">
        <a:xfrm>
          <a:off x="1076325" y="5800725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447675</xdr:colOff>
      <xdr:row>31</xdr:row>
      <xdr:rowOff>76200</xdr:rowOff>
    </xdr:from>
    <xdr:to>
      <xdr:col>1</xdr:col>
      <xdr:colOff>590550</xdr:colOff>
      <xdr:row>31</xdr:row>
      <xdr:rowOff>76200</xdr:rowOff>
    </xdr:to>
    <xdr:sp macro="" textlink="">
      <xdr:nvSpPr>
        <xdr:cNvPr id="63" name="Line 66"/>
        <xdr:cNvSpPr>
          <a:spLocks noChangeShapeType="1"/>
        </xdr:cNvSpPr>
      </xdr:nvSpPr>
      <xdr:spPr bwMode="auto">
        <a:xfrm>
          <a:off x="1162050" y="53244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400050</xdr:colOff>
      <xdr:row>33</xdr:row>
      <xdr:rowOff>0</xdr:rowOff>
    </xdr:from>
    <xdr:to>
      <xdr:col>1</xdr:col>
      <xdr:colOff>590550</xdr:colOff>
      <xdr:row>33</xdr:row>
      <xdr:rowOff>0</xdr:rowOff>
    </xdr:to>
    <xdr:sp macro="" textlink="">
      <xdr:nvSpPr>
        <xdr:cNvPr id="64" name="Line 67"/>
        <xdr:cNvSpPr>
          <a:spLocks noChangeShapeType="1"/>
        </xdr:cNvSpPr>
      </xdr:nvSpPr>
      <xdr:spPr bwMode="auto">
        <a:xfrm>
          <a:off x="1114425" y="557212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171450</xdr:colOff>
      <xdr:row>39</xdr:row>
      <xdr:rowOff>104775</xdr:rowOff>
    </xdr:from>
    <xdr:to>
      <xdr:col>1</xdr:col>
      <xdr:colOff>600075</xdr:colOff>
      <xdr:row>39</xdr:row>
      <xdr:rowOff>114300</xdr:rowOff>
    </xdr:to>
    <xdr:sp macro="" textlink="">
      <xdr:nvSpPr>
        <xdr:cNvPr id="65" name="Line 69"/>
        <xdr:cNvSpPr>
          <a:spLocks noChangeShapeType="1"/>
        </xdr:cNvSpPr>
      </xdr:nvSpPr>
      <xdr:spPr bwMode="auto">
        <a:xfrm>
          <a:off x="885825" y="6648450"/>
          <a:ext cx="4286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514350</xdr:colOff>
      <xdr:row>29</xdr:row>
      <xdr:rowOff>152400</xdr:rowOff>
    </xdr:from>
    <xdr:to>
      <xdr:col>1</xdr:col>
      <xdr:colOff>600075</xdr:colOff>
      <xdr:row>29</xdr:row>
      <xdr:rowOff>152400</xdr:rowOff>
    </xdr:to>
    <xdr:sp macro="" textlink="">
      <xdr:nvSpPr>
        <xdr:cNvPr id="66" name="Line 70"/>
        <xdr:cNvSpPr>
          <a:spLocks noChangeShapeType="1"/>
        </xdr:cNvSpPr>
      </xdr:nvSpPr>
      <xdr:spPr bwMode="auto">
        <a:xfrm>
          <a:off x="1228725" y="5076825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600075</xdr:colOff>
      <xdr:row>47</xdr:row>
      <xdr:rowOff>0</xdr:rowOff>
    </xdr:from>
    <xdr:to>
      <xdr:col>5</xdr:col>
      <xdr:colOff>485775</xdr:colOff>
      <xdr:row>47</xdr:row>
      <xdr:rowOff>0</xdr:rowOff>
    </xdr:to>
    <xdr:sp macro="" textlink="">
      <xdr:nvSpPr>
        <xdr:cNvPr id="67" name="Line 71"/>
        <xdr:cNvSpPr>
          <a:spLocks noChangeShapeType="1"/>
        </xdr:cNvSpPr>
      </xdr:nvSpPr>
      <xdr:spPr bwMode="auto">
        <a:xfrm>
          <a:off x="1314450" y="7839075"/>
          <a:ext cx="2352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46</xdr:row>
      <xdr:rowOff>76200</xdr:rowOff>
    </xdr:from>
    <xdr:to>
      <xdr:col>2</xdr:col>
      <xdr:colOff>0</xdr:colOff>
      <xdr:row>47</xdr:row>
      <xdr:rowOff>95250</xdr:rowOff>
    </xdr:to>
    <xdr:sp macro="" textlink="">
      <xdr:nvSpPr>
        <xdr:cNvPr id="68" name="Line 84"/>
        <xdr:cNvSpPr>
          <a:spLocks noChangeShapeType="1"/>
        </xdr:cNvSpPr>
      </xdr:nvSpPr>
      <xdr:spPr bwMode="auto">
        <a:xfrm>
          <a:off x="1323975" y="775335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504825</xdr:colOff>
      <xdr:row>46</xdr:row>
      <xdr:rowOff>66675</xdr:rowOff>
    </xdr:from>
    <xdr:to>
      <xdr:col>5</xdr:col>
      <xdr:colOff>504825</xdr:colOff>
      <xdr:row>47</xdr:row>
      <xdr:rowOff>19050</xdr:rowOff>
    </xdr:to>
    <xdr:sp macro="" textlink="">
      <xdr:nvSpPr>
        <xdr:cNvPr id="69" name="Line 85"/>
        <xdr:cNvSpPr>
          <a:spLocks noChangeShapeType="1"/>
        </xdr:cNvSpPr>
      </xdr:nvSpPr>
      <xdr:spPr bwMode="auto">
        <a:xfrm>
          <a:off x="3686175" y="77438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95</xdr:row>
      <xdr:rowOff>0</xdr:rowOff>
    </xdr:from>
    <xdr:to>
      <xdr:col>5</xdr:col>
      <xdr:colOff>0</xdr:colOff>
      <xdr:row>111</xdr:row>
      <xdr:rowOff>9525</xdr:rowOff>
    </xdr:to>
    <xdr:sp macro="" textlink="">
      <xdr:nvSpPr>
        <xdr:cNvPr id="70" name="Line 89"/>
        <xdr:cNvSpPr>
          <a:spLocks noChangeShapeType="1"/>
        </xdr:cNvSpPr>
      </xdr:nvSpPr>
      <xdr:spPr bwMode="auto">
        <a:xfrm>
          <a:off x="3181350" y="15916275"/>
          <a:ext cx="0" cy="2600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111</xdr:row>
      <xdr:rowOff>0</xdr:rowOff>
    </xdr:from>
    <xdr:to>
      <xdr:col>5</xdr:col>
      <xdr:colOff>476250</xdr:colOff>
      <xdr:row>111</xdr:row>
      <xdr:rowOff>0</xdr:rowOff>
    </xdr:to>
    <xdr:sp macro="" textlink="">
      <xdr:nvSpPr>
        <xdr:cNvPr id="71" name="Line 90"/>
        <xdr:cNvSpPr>
          <a:spLocks noChangeShapeType="1"/>
        </xdr:cNvSpPr>
      </xdr:nvSpPr>
      <xdr:spPr bwMode="auto">
        <a:xfrm>
          <a:off x="3181350" y="18507075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111</xdr:row>
      <xdr:rowOff>9525</xdr:rowOff>
    </xdr:from>
    <xdr:to>
      <xdr:col>5</xdr:col>
      <xdr:colOff>476250</xdr:colOff>
      <xdr:row>114</xdr:row>
      <xdr:rowOff>0</xdr:rowOff>
    </xdr:to>
    <xdr:sp macro="" textlink="">
      <xdr:nvSpPr>
        <xdr:cNvPr id="72" name="Line 91"/>
        <xdr:cNvSpPr>
          <a:spLocks noChangeShapeType="1"/>
        </xdr:cNvSpPr>
      </xdr:nvSpPr>
      <xdr:spPr bwMode="auto">
        <a:xfrm>
          <a:off x="3657600" y="18516600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113</xdr:row>
      <xdr:rowOff>152400</xdr:rowOff>
    </xdr:from>
    <xdr:to>
      <xdr:col>5</xdr:col>
      <xdr:colOff>161925</xdr:colOff>
      <xdr:row>114</xdr:row>
      <xdr:rowOff>0</xdr:rowOff>
    </xdr:to>
    <xdr:sp macro="" textlink="">
      <xdr:nvSpPr>
        <xdr:cNvPr id="73" name="Line 92"/>
        <xdr:cNvSpPr>
          <a:spLocks noChangeShapeType="1"/>
        </xdr:cNvSpPr>
      </xdr:nvSpPr>
      <xdr:spPr bwMode="auto">
        <a:xfrm flipH="1" flipV="1">
          <a:off x="1314450" y="18983325"/>
          <a:ext cx="202882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110</xdr:row>
      <xdr:rowOff>152400</xdr:rowOff>
    </xdr:from>
    <xdr:to>
      <xdr:col>2</xdr:col>
      <xdr:colOff>0</xdr:colOff>
      <xdr:row>113</xdr:row>
      <xdr:rowOff>152400</xdr:rowOff>
    </xdr:to>
    <xdr:sp macro="" textlink="">
      <xdr:nvSpPr>
        <xdr:cNvPr id="74" name="Line 93"/>
        <xdr:cNvSpPr>
          <a:spLocks noChangeShapeType="1"/>
        </xdr:cNvSpPr>
      </xdr:nvSpPr>
      <xdr:spPr bwMode="auto">
        <a:xfrm flipV="1">
          <a:off x="1323975" y="18497550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111</xdr:row>
      <xdr:rowOff>0</xdr:rowOff>
    </xdr:from>
    <xdr:to>
      <xdr:col>4</xdr:col>
      <xdr:colOff>0</xdr:colOff>
      <xdr:row>111</xdr:row>
      <xdr:rowOff>0</xdr:rowOff>
    </xdr:to>
    <xdr:sp macro="" textlink="">
      <xdr:nvSpPr>
        <xdr:cNvPr id="75" name="Line 94"/>
        <xdr:cNvSpPr>
          <a:spLocks noChangeShapeType="1"/>
        </xdr:cNvSpPr>
      </xdr:nvSpPr>
      <xdr:spPr bwMode="auto">
        <a:xfrm>
          <a:off x="1314450" y="18507075"/>
          <a:ext cx="1228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95</xdr:row>
      <xdr:rowOff>0</xdr:rowOff>
    </xdr:from>
    <xdr:to>
      <xdr:col>4</xdr:col>
      <xdr:colOff>381000</xdr:colOff>
      <xdr:row>111</xdr:row>
      <xdr:rowOff>0</xdr:rowOff>
    </xdr:to>
    <xdr:sp macro="" textlink="">
      <xdr:nvSpPr>
        <xdr:cNvPr id="76" name="Line 95"/>
        <xdr:cNvSpPr>
          <a:spLocks noChangeShapeType="1"/>
        </xdr:cNvSpPr>
      </xdr:nvSpPr>
      <xdr:spPr bwMode="auto">
        <a:xfrm flipV="1">
          <a:off x="2552700" y="15916275"/>
          <a:ext cx="371475" cy="25908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114</xdr:row>
      <xdr:rowOff>0</xdr:rowOff>
    </xdr:from>
    <xdr:to>
      <xdr:col>5</xdr:col>
      <xdr:colOff>476250</xdr:colOff>
      <xdr:row>115</xdr:row>
      <xdr:rowOff>0</xdr:rowOff>
    </xdr:to>
    <xdr:sp macro="" textlink="">
      <xdr:nvSpPr>
        <xdr:cNvPr id="77" name="Line 96"/>
        <xdr:cNvSpPr>
          <a:spLocks noChangeShapeType="1"/>
        </xdr:cNvSpPr>
      </xdr:nvSpPr>
      <xdr:spPr bwMode="auto">
        <a:xfrm>
          <a:off x="3657600" y="18992850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115</xdr:row>
      <xdr:rowOff>9525</xdr:rowOff>
    </xdr:from>
    <xdr:to>
      <xdr:col>5</xdr:col>
      <xdr:colOff>476250</xdr:colOff>
      <xdr:row>115</xdr:row>
      <xdr:rowOff>9525</xdr:rowOff>
    </xdr:to>
    <xdr:sp macro="" textlink="">
      <xdr:nvSpPr>
        <xdr:cNvPr id="78" name="Line 97"/>
        <xdr:cNvSpPr>
          <a:spLocks noChangeShapeType="1"/>
        </xdr:cNvSpPr>
      </xdr:nvSpPr>
      <xdr:spPr bwMode="auto">
        <a:xfrm flipH="1">
          <a:off x="3524250" y="19164300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113</xdr:row>
      <xdr:rowOff>152400</xdr:rowOff>
    </xdr:from>
    <xdr:to>
      <xdr:col>5</xdr:col>
      <xdr:colOff>352425</xdr:colOff>
      <xdr:row>115</xdr:row>
      <xdr:rowOff>19050</xdr:rowOff>
    </xdr:to>
    <xdr:sp macro="" textlink="">
      <xdr:nvSpPr>
        <xdr:cNvPr id="79" name="Line 98"/>
        <xdr:cNvSpPr>
          <a:spLocks noChangeShapeType="1"/>
        </xdr:cNvSpPr>
      </xdr:nvSpPr>
      <xdr:spPr bwMode="auto">
        <a:xfrm flipH="1" flipV="1">
          <a:off x="3343275" y="18983325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115</xdr:row>
      <xdr:rowOff>76200</xdr:rowOff>
    </xdr:from>
    <xdr:to>
      <xdr:col>5</xdr:col>
      <xdr:colOff>485775</xdr:colOff>
      <xdr:row>116</xdr:row>
      <xdr:rowOff>28575</xdr:rowOff>
    </xdr:to>
    <xdr:sp macro="" textlink="">
      <xdr:nvSpPr>
        <xdr:cNvPr id="80" name="Line 106"/>
        <xdr:cNvSpPr>
          <a:spLocks noChangeShapeType="1"/>
        </xdr:cNvSpPr>
      </xdr:nvSpPr>
      <xdr:spPr bwMode="auto">
        <a:xfrm>
          <a:off x="3667125" y="192309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115</xdr:row>
      <xdr:rowOff>76200</xdr:rowOff>
    </xdr:from>
    <xdr:to>
      <xdr:col>5</xdr:col>
      <xdr:colOff>352425</xdr:colOff>
      <xdr:row>116</xdr:row>
      <xdr:rowOff>38100</xdr:rowOff>
    </xdr:to>
    <xdr:sp macro="" textlink="">
      <xdr:nvSpPr>
        <xdr:cNvPr id="81" name="Line 107"/>
        <xdr:cNvSpPr>
          <a:spLocks noChangeShapeType="1"/>
        </xdr:cNvSpPr>
      </xdr:nvSpPr>
      <xdr:spPr bwMode="auto">
        <a:xfrm>
          <a:off x="3533775" y="192309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116</xdr:row>
      <xdr:rowOff>0</xdr:rowOff>
    </xdr:from>
    <xdr:to>
      <xdr:col>5</xdr:col>
      <xdr:colOff>485775</xdr:colOff>
      <xdr:row>116</xdr:row>
      <xdr:rowOff>0</xdr:rowOff>
    </xdr:to>
    <xdr:sp macro="" textlink="">
      <xdr:nvSpPr>
        <xdr:cNvPr id="82" name="Line 108"/>
        <xdr:cNvSpPr>
          <a:spLocks noChangeShapeType="1"/>
        </xdr:cNvSpPr>
      </xdr:nvSpPr>
      <xdr:spPr bwMode="auto">
        <a:xfrm>
          <a:off x="3533775" y="193167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115</xdr:row>
      <xdr:rowOff>114300</xdr:rowOff>
    </xdr:from>
    <xdr:to>
      <xdr:col>5</xdr:col>
      <xdr:colOff>180975</xdr:colOff>
      <xdr:row>116</xdr:row>
      <xdr:rowOff>28575</xdr:rowOff>
    </xdr:to>
    <xdr:sp macro="" textlink="">
      <xdr:nvSpPr>
        <xdr:cNvPr id="83" name="Line 109"/>
        <xdr:cNvSpPr>
          <a:spLocks noChangeShapeType="1"/>
        </xdr:cNvSpPr>
      </xdr:nvSpPr>
      <xdr:spPr bwMode="auto">
        <a:xfrm>
          <a:off x="3362325" y="1926907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116</xdr:row>
      <xdr:rowOff>0</xdr:rowOff>
    </xdr:from>
    <xdr:to>
      <xdr:col>5</xdr:col>
      <xdr:colOff>352425</xdr:colOff>
      <xdr:row>116</xdr:row>
      <xdr:rowOff>0</xdr:rowOff>
    </xdr:to>
    <xdr:sp macro="" textlink="">
      <xdr:nvSpPr>
        <xdr:cNvPr id="84" name="Line 110"/>
        <xdr:cNvSpPr>
          <a:spLocks noChangeShapeType="1"/>
        </xdr:cNvSpPr>
      </xdr:nvSpPr>
      <xdr:spPr bwMode="auto">
        <a:xfrm>
          <a:off x="3362325" y="193167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116</xdr:row>
      <xdr:rowOff>19050</xdr:rowOff>
    </xdr:from>
    <xdr:to>
      <xdr:col>5</xdr:col>
      <xdr:colOff>428625</xdr:colOff>
      <xdr:row>116</xdr:row>
      <xdr:rowOff>104775</xdr:rowOff>
    </xdr:to>
    <xdr:sp macro="" textlink="">
      <xdr:nvSpPr>
        <xdr:cNvPr id="85" name="Line 111"/>
        <xdr:cNvSpPr>
          <a:spLocks noChangeShapeType="1"/>
        </xdr:cNvSpPr>
      </xdr:nvSpPr>
      <xdr:spPr bwMode="auto">
        <a:xfrm flipV="1">
          <a:off x="3609975" y="193357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116</xdr:row>
      <xdr:rowOff>104775</xdr:rowOff>
    </xdr:from>
    <xdr:to>
      <xdr:col>6</xdr:col>
      <xdr:colOff>76200</xdr:colOff>
      <xdr:row>116</xdr:row>
      <xdr:rowOff>104775</xdr:rowOff>
    </xdr:to>
    <xdr:sp macro="" textlink="">
      <xdr:nvSpPr>
        <xdr:cNvPr id="86" name="Line 112"/>
        <xdr:cNvSpPr>
          <a:spLocks noChangeShapeType="1"/>
        </xdr:cNvSpPr>
      </xdr:nvSpPr>
      <xdr:spPr bwMode="auto">
        <a:xfrm>
          <a:off x="3629025" y="19421475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116</xdr:row>
      <xdr:rowOff>0</xdr:rowOff>
    </xdr:from>
    <xdr:to>
      <xdr:col>5</xdr:col>
      <xdr:colOff>285750</xdr:colOff>
      <xdr:row>117</xdr:row>
      <xdr:rowOff>57150</xdr:rowOff>
    </xdr:to>
    <xdr:sp macro="" textlink="">
      <xdr:nvSpPr>
        <xdr:cNvPr id="87" name="Line 113"/>
        <xdr:cNvSpPr>
          <a:spLocks noChangeShapeType="1"/>
        </xdr:cNvSpPr>
      </xdr:nvSpPr>
      <xdr:spPr bwMode="auto">
        <a:xfrm flipV="1">
          <a:off x="3467100" y="19316700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117</xdr:row>
      <xdr:rowOff>47625</xdr:rowOff>
    </xdr:from>
    <xdr:to>
      <xdr:col>6</xdr:col>
      <xdr:colOff>76200</xdr:colOff>
      <xdr:row>117</xdr:row>
      <xdr:rowOff>47625</xdr:rowOff>
    </xdr:to>
    <xdr:sp macro="" textlink="">
      <xdr:nvSpPr>
        <xdr:cNvPr id="88" name="Line 114"/>
        <xdr:cNvSpPr>
          <a:spLocks noChangeShapeType="1"/>
        </xdr:cNvSpPr>
      </xdr:nvSpPr>
      <xdr:spPr bwMode="auto">
        <a:xfrm>
          <a:off x="3467100" y="19526250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122</xdr:row>
      <xdr:rowOff>152400</xdr:rowOff>
    </xdr:from>
    <xdr:to>
      <xdr:col>5</xdr:col>
      <xdr:colOff>504825</xdr:colOff>
      <xdr:row>123</xdr:row>
      <xdr:rowOff>0</xdr:rowOff>
    </xdr:to>
    <xdr:sp macro="" textlink="">
      <xdr:nvSpPr>
        <xdr:cNvPr id="89" name="Line 115"/>
        <xdr:cNvSpPr>
          <a:spLocks noChangeShapeType="1"/>
        </xdr:cNvSpPr>
      </xdr:nvSpPr>
      <xdr:spPr bwMode="auto">
        <a:xfrm flipH="1">
          <a:off x="3181350" y="20440650"/>
          <a:ext cx="5048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0</xdr:colOff>
      <xdr:row>123</xdr:row>
      <xdr:rowOff>9525</xdr:rowOff>
    </xdr:from>
    <xdr:to>
      <xdr:col>5</xdr:col>
      <xdr:colOff>0</xdr:colOff>
      <xdr:row>123</xdr:row>
      <xdr:rowOff>9525</xdr:rowOff>
    </xdr:to>
    <xdr:sp macro="" textlink="">
      <xdr:nvSpPr>
        <xdr:cNvPr id="90" name="Line 116"/>
        <xdr:cNvSpPr>
          <a:spLocks noChangeShapeType="1"/>
        </xdr:cNvSpPr>
      </xdr:nvSpPr>
      <xdr:spPr bwMode="auto">
        <a:xfrm flipH="1">
          <a:off x="2543175" y="20459700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600075</xdr:colOff>
      <xdr:row>123</xdr:row>
      <xdr:rowOff>9525</xdr:rowOff>
    </xdr:from>
    <xdr:to>
      <xdr:col>4</xdr:col>
      <xdr:colOff>19050</xdr:colOff>
      <xdr:row>123</xdr:row>
      <xdr:rowOff>9525</xdr:rowOff>
    </xdr:to>
    <xdr:sp macro="" textlink="">
      <xdr:nvSpPr>
        <xdr:cNvPr id="91" name="Line 117"/>
        <xdr:cNvSpPr>
          <a:spLocks noChangeShapeType="1"/>
        </xdr:cNvSpPr>
      </xdr:nvSpPr>
      <xdr:spPr bwMode="auto">
        <a:xfrm flipH="1">
          <a:off x="1314450" y="20459700"/>
          <a:ext cx="1247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122</xdr:row>
      <xdr:rowOff>104775</xdr:rowOff>
    </xdr:from>
    <xdr:to>
      <xdr:col>2</xdr:col>
      <xdr:colOff>0</xdr:colOff>
      <xdr:row>123</xdr:row>
      <xdr:rowOff>95250</xdr:rowOff>
    </xdr:to>
    <xdr:sp macro="" textlink="">
      <xdr:nvSpPr>
        <xdr:cNvPr id="92" name="Line 118"/>
        <xdr:cNvSpPr>
          <a:spLocks noChangeShapeType="1"/>
        </xdr:cNvSpPr>
      </xdr:nvSpPr>
      <xdr:spPr bwMode="auto">
        <a:xfrm>
          <a:off x="1323975" y="203930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122</xdr:row>
      <xdr:rowOff>104775</xdr:rowOff>
    </xdr:from>
    <xdr:to>
      <xdr:col>4</xdr:col>
      <xdr:colOff>0</xdr:colOff>
      <xdr:row>123</xdr:row>
      <xdr:rowOff>47625</xdr:rowOff>
    </xdr:to>
    <xdr:sp macro="" textlink="">
      <xdr:nvSpPr>
        <xdr:cNvPr id="93" name="Line 119"/>
        <xdr:cNvSpPr>
          <a:spLocks noChangeShapeType="1"/>
        </xdr:cNvSpPr>
      </xdr:nvSpPr>
      <xdr:spPr bwMode="auto">
        <a:xfrm>
          <a:off x="2543175" y="203930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122</xdr:row>
      <xdr:rowOff>104775</xdr:rowOff>
    </xdr:from>
    <xdr:to>
      <xdr:col>5</xdr:col>
      <xdr:colOff>0</xdr:colOff>
      <xdr:row>123</xdr:row>
      <xdr:rowOff>38100</xdr:rowOff>
    </xdr:to>
    <xdr:sp macro="" textlink="">
      <xdr:nvSpPr>
        <xdr:cNvPr id="94" name="Line 120"/>
        <xdr:cNvSpPr>
          <a:spLocks noChangeShapeType="1"/>
        </xdr:cNvSpPr>
      </xdr:nvSpPr>
      <xdr:spPr bwMode="auto">
        <a:xfrm>
          <a:off x="3181350" y="203930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122</xdr:row>
      <xdr:rowOff>123825</xdr:rowOff>
    </xdr:from>
    <xdr:to>
      <xdr:col>5</xdr:col>
      <xdr:colOff>514350</xdr:colOff>
      <xdr:row>123</xdr:row>
      <xdr:rowOff>57150</xdr:rowOff>
    </xdr:to>
    <xdr:sp macro="" textlink="">
      <xdr:nvSpPr>
        <xdr:cNvPr id="95" name="Line 121"/>
        <xdr:cNvSpPr>
          <a:spLocks noChangeShapeType="1"/>
        </xdr:cNvSpPr>
      </xdr:nvSpPr>
      <xdr:spPr bwMode="auto">
        <a:xfrm>
          <a:off x="3695700" y="204120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103</xdr:row>
      <xdr:rowOff>152400</xdr:rowOff>
    </xdr:from>
    <xdr:to>
      <xdr:col>4</xdr:col>
      <xdr:colOff>0</xdr:colOff>
      <xdr:row>111</xdr:row>
      <xdr:rowOff>0</xdr:rowOff>
    </xdr:to>
    <xdr:sp macro="" textlink="">
      <xdr:nvSpPr>
        <xdr:cNvPr id="96" name="Line 122"/>
        <xdr:cNvSpPr>
          <a:spLocks noChangeShapeType="1"/>
        </xdr:cNvSpPr>
      </xdr:nvSpPr>
      <xdr:spPr bwMode="auto">
        <a:xfrm>
          <a:off x="2543175" y="17364075"/>
          <a:ext cx="0" cy="114300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381000</xdr:colOff>
      <xdr:row>95</xdr:row>
      <xdr:rowOff>0</xdr:rowOff>
    </xdr:from>
    <xdr:to>
      <xdr:col>4</xdr:col>
      <xdr:colOff>381000</xdr:colOff>
      <xdr:row>111</xdr:row>
      <xdr:rowOff>0</xdr:rowOff>
    </xdr:to>
    <xdr:sp macro="" textlink="">
      <xdr:nvSpPr>
        <xdr:cNvPr id="97" name="Line 123"/>
        <xdr:cNvSpPr>
          <a:spLocks noChangeShapeType="1"/>
        </xdr:cNvSpPr>
      </xdr:nvSpPr>
      <xdr:spPr bwMode="auto">
        <a:xfrm>
          <a:off x="2924175" y="15916275"/>
          <a:ext cx="0" cy="259080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28575</xdr:colOff>
      <xdr:row>111</xdr:row>
      <xdr:rowOff>0</xdr:rowOff>
    </xdr:from>
    <xdr:to>
      <xdr:col>5</xdr:col>
      <xdr:colOff>0</xdr:colOff>
      <xdr:row>111</xdr:row>
      <xdr:rowOff>0</xdr:rowOff>
    </xdr:to>
    <xdr:sp macro="" textlink="">
      <xdr:nvSpPr>
        <xdr:cNvPr id="98" name="Line 124"/>
        <xdr:cNvSpPr>
          <a:spLocks noChangeShapeType="1"/>
        </xdr:cNvSpPr>
      </xdr:nvSpPr>
      <xdr:spPr bwMode="auto">
        <a:xfrm>
          <a:off x="2571750" y="18507075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171450</xdr:colOff>
      <xdr:row>113</xdr:row>
      <xdr:rowOff>152400</xdr:rowOff>
    </xdr:from>
    <xdr:to>
      <xdr:col>5</xdr:col>
      <xdr:colOff>476250</xdr:colOff>
      <xdr:row>114</xdr:row>
      <xdr:rowOff>0</xdr:rowOff>
    </xdr:to>
    <xdr:sp macro="" textlink="">
      <xdr:nvSpPr>
        <xdr:cNvPr id="99" name="Line 126"/>
        <xdr:cNvSpPr>
          <a:spLocks noChangeShapeType="1"/>
        </xdr:cNvSpPr>
      </xdr:nvSpPr>
      <xdr:spPr bwMode="auto">
        <a:xfrm>
          <a:off x="3352800" y="18983325"/>
          <a:ext cx="30480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114</xdr:row>
      <xdr:rowOff>0</xdr:rowOff>
    </xdr:from>
    <xdr:to>
      <xdr:col>5</xdr:col>
      <xdr:colOff>342900</xdr:colOff>
      <xdr:row>115</xdr:row>
      <xdr:rowOff>9525</xdr:rowOff>
    </xdr:to>
    <xdr:sp macro="" textlink="">
      <xdr:nvSpPr>
        <xdr:cNvPr id="100" name="Line 127"/>
        <xdr:cNvSpPr>
          <a:spLocks noChangeShapeType="1"/>
        </xdr:cNvSpPr>
      </xdr:nvSpPr>
      <xdr:spPr bwMode="auto">
        <a:xfrm flipV="1">
          <a:off x="3524250" y="18992850"/>
          <a:ext cx="0" cy="17145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 editAs="oneCell">
    <xdr:from>
      <xdr:col>5</xdr:col>
      <xdr:colOff>314325</xdr:colOff>
      <xdr:row>178</xdr:row>
      <xdr:rowOff>0</xdr:rowOff>
    </xdr:from>
    <xdr:to>
      <xdr:col>5</xdr:col>
      <xdr:colOff>390525</xdr:colOff>
      <xdr:row>178</xdr:row>
      <xdr:rowOff>152400</xdr:rowOff>
    </xdr:to>
    <xdr:sp macro="" textlink="">
      <xdr:nvSpPr>
        <xdr:cNvPr id="101" name="Text Box 128"/>
        <xdr:cNvSpPr txBox="1">
          <a:spLocks noChangeArrowheads="1"/>
        </xdr:cNvSpPr>
      </xdr:nvSpPr>
      <xdr:spPr bwMode="auto">
        <a:xfrm>
          <a:off x="3495675" y="29613225"/>
          <a:ext cx="762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114</xdr:row>
      <xdr:rowOff>57150</xdr:rowOff>
    </xdr:from>
    <xdr:to>
      <xdr:col>5</xdr:col>
      <xdr:colOff>285750</xdr:colOff>
      <xdr:row>115</xdr:row>
      <xdr:rowOff>66675</xdr:rowOff>
    </xdr:to>
    <xdr:sp macro="" textlink="">
      <xdr:nvSpPr>
        <xdr:cNvPr id="102" name="Line 129"/>
        <xdr:cNvSpPr>
          <a:spLocks noChangeShapeType="1"/>
        </xdr:cNvSpPr>
      </xdr:nvSpPr>
      <xdr:spPr bwMode="auto">
        <a:xfrm flipV="1">
          <a:off x="3181350" y="19050000"/>
          <a:ext cx="2857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419100</xdr:colOff>
      <xdr:row>114</xdr:row>
      <xdr:rowOff>104775</xdr:rowOff>
    </xdr:from>
    <xdr:to>
      <xdr:col>6</xdr:col>
      <xdr:colOff>0</xdr:colOff>
      <xdr:row>115</xdr:row>
      <xdr:rowOff>85725</xdr:rowOff>
    </xdr:to>
    <xdr:sp macro="" textlink="">
      <xdr:nvSpPr>
        <xdr:cNvPr id="103" name="Line 130"/>
        <xdr:cNvSpPr>
          <a:spLocks noChangeShapeType="1"/>
        </xdr:cNvSpPr>
      </xdr:nvSpPr>
      <xdr:spPr bwMode="auto">
        <a:xfrm flipH="1" flipV="1">
          <a:off x="3600450" y="19097625"/>
          <a:ext cx="19050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228600</xdr:colOff>
      <xdr:row>95</xdr:row>
      <xdr:rowOff>9525</xdr:rowOff>
    </xdr:from>
    <xdr:to>
      <xdr:col>2</xdr:col>
      <xdr:colOff>381000</xdr:colOff>
      <xdr:row>95</xdr:row>
      <xdr:rowOff>104775</xdr:rowOff>
    </xdr:to>
    <xdr:sp macro="" textlink="">
      <xdr:nvSpPr>
        <xdr:cNvPr id="104" name="Line 131"/>
        <xdr:cNvSpPr>
          <a:spLocks noChangeShapeType="1"/>
        </xdr:cNvSpPr>
      </xdr:nvSpPr>
      <xdr:spPr bwMode="auto">
        <a:xfrm flipH="1">
          <a:off x="1552575" y="1592580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95</xdr:row>
      <xdr:rowOff>0</xdr:rowOff>
    </xdr:from>
    <xdr:to>
      <xdr:col>2</xdr:col>
      <xdr:colOff>514350</xdr:colOff>
      <xdr:row>95</xdr:row>
      <xdr:rowOff>123825</xdr:rowOff>
    </xdr:to>
    <xdr:sp macro="" textlink="">
      <xdr:nvSpPr>
        <xdr:cNvPr id="105" name="Line 132"/>
        <xdr:cNvSpPr>
          <a:spLocks noChangeShapeType="1"/>
        </xdr:cNvSpPr>
      </xdr:nvSpPr>
      <xdr:spPr bwMode="auto">
        <a:xfrm>
          <a:off x="1714500" y="1591627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95</xdr:row>
      <xdr:rowOff>0</xdr:rowOff>
    </xdr:from>
    <xdr:to>
      <xdr:col>2</xdr:col>
      <xdr:colOff>514350</xdr:colOff>
      <xdr:row>95</xdr:row>
      <xdr:rowOff>114300</xdr:rowOff>
    </xdr:to>
    <xdr:sp macro="" textlink="">
      <xdr:nvSpPr>
        <xdr:cNvPr id="106" name="Line 133"/>
        <xdr:cNvSpPr>
          <a:spLocks noChangeShapeType="1"/>
        </xdr:cNvSpPr>
      </xdr:nvSpPr>
      <xdr:spPr bwMode="auto">
        <a:xfrm flipV="1">
          <a:off x="1695450" y="1591627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657225</xdr:colOff>
      <xdr:row>95</xdr:row>
      <xdr:rowOff>38100</xdr:rowOff>
    </xdr:from>
    <xdr:to>
      <xdr:col>2</xdr:col>
      <xdr:colOff>771525</xdr:colOff>
      <xdr:row>96</xdr:row>
      <xdr:rowOff>0</xdr:rowOff>
    </xdr:to>
    <xdr:sp macro="" textlink="">
      <xdr:nvSpPr>
        <xdr:cNvPr id="107" name="Line 134"/>
        <xdr:cNvSpPr>
          <a:spLocks noChangeShapeType="1"/>
        </xdr:cNvSpPr>
      </xdr:nvSpPr>
      <xdr:spPr bwMode="auto">
        <a:xfrm>
          <a:off x="1933575" y="159543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95</xdr:row>
      <xdr:rowOff>9525</xdr:rowOff>
    </xdr:from>
    <xdr:to>
      <xdr:col>3</xdr:col>
      <xdr:colOff>381000</xdr:colOff>
      <xdr:row>95</xdr:row>
      <xdr:rowOff>104775</xdr:rowOff>
    </xdr:to>
    <xdr:sp macro="" textlink="">
      <xdr:nvSpPr>
        <xdr:cNvPr id="108" name="Line 135"/>
        <xdr:cNvSpPr>
          <a:spLocks noChangeShapeType="1"/>
        </xdr:cNvSpPr>
      </xdr:nvSpPr>
      <xdr:spPr bwMode="auto">
        <a:xfrm flipH="1">
          <a:off x="2162175" y="1592580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95</xdr:row>
      <xdr:rowOff>0</xdr:rowOff>
    </xdr:from>
    <xdr:to>
      <xdr:col>3</xdr:col>
      <xdr:colOff>514350</xdr:colOff>
      <xdr:row>95</xdr:row>
      <xdr:rowOff>123825</xdr:rowOff>
    </xdr:to>
    <xdr:sp macro="" textlink="">
      <xdr:nvSpPr>
        <xdr:cNvPr id="109" name="Line 136"/>
        <xdr:cNvSpPr>
          <a:spLocks noChangeShapeType="1"/>
        </xdr:cNvSpPr>
      </xdr:nvSpPr>
      <xdr:spPr bwMode="auto">
        <a:xfrm>
          <a:off x="2324100" y="1591627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95</xdr:row>
      <xdr:rowOff>0</xdr:rowOff>
    </xdr:from>
    <xdr:to>
      <xdr:col>3</xdr:col>
      <xdr:colOff>514350</xdr:colOff>
      <xdr:row>95</xdr:row>
      <xdr:rowOff>114300</xdr:rowOff>
    </xdr:to>
    <xdr:sp macro="" textlink="">
      <xdr:nvSpPr>
        <xdr:cNvPr id="110" name="Line 137"/>
        <xdr:cNvSpPr>
          <a:spLocks noChangeShapeType="1"/>
        </xdr:cNvSpPr>
      </xdr:nvSpPr>
      <xdr:spPr bwMode="auto">
        <a:xfrm flipV="1">
          <a:off x="2305050" y="1591627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95</xdr:row>
      <xdr:rowOff>9525</xdr:rowOff>
    </xdr:from>
    <xdr:to>
      <xdr:col>3</xdr:col>
      <xdr:colOff>381000</xdr:colOff>
      <xdr:row>95</xdr:row>
      <xdr:rowOff>104775</xdr:rowOff>
    </xdr:to>
    <xdr:sp macro="" textlink="">
      <xdr:nvSpPr>
        <xdr:cNvPr id="111" name="Line 139"/>
        <xdr:cNvSpPr>
          <a:spLocks noChangeShapeType="1"/>
        </xdr:cNvSpPr>
      </xdr:nvSpPr>
      <xdr:spPr bwMode="auto">
        <a:xfrm flipH="1">
          <a:off x="2162175" y="1592580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95</xdr:row>
      <xdr:rowOff>0</xdr:rowOff>
    </xdr:from>
    <xdr:to>
      <xdr:col>3</xdr:col>
      <xdr:colOff>514350</xdr:colOff>
      <xdr:row>95</xdr:row>
      <xdr:rowOff>123825</xdr:rowOff>
    </xdr:to>
    <xdr:sp macro="" textlink="">
      <xdr:nvSpPr>
        <xdr:cNvPr id="112" name="Line 140"/>
        <xdr:cNvSpPr>
          <a:spLocks noChangeShapeType="1"/>
        </xdr:cNvSpPr>
      </xdr:nvSpPr>
      <xdr:spPr bwMode="auto">
        <a:xfrm>
          <a:off x="2324100" y="1591627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95</xdr:row>
      <xdr:rowOff>0</xdr:rowOff>
    </xdr:from>
    <xdr:to>
      <xdr:col>3</xdr:col>
      <xdr:colOff>514350</xdr:colOff>
      <xdr:row>95</xdr:row>
      <xdr:rowOff>114300</xdr:rowOff>
    </xdr:to>
    <xdr:sp macro="" textlink="">
      <xdr:nvSpPr>
        <xdr:cNvPr id="113" name="Line 141"/>
        <xdr:cNvSpPr>
          <a:spLocks noChangeShapeType="1"/>
        </xdr:cNvSpPr>
      </xdr:nvSpPr>
      <xdr:spPr bwMode="auto">
        <a:xfrm flipV="1">
          <a:off x="2305050" y="1591627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95</xdr:row>
      <xdr:rowOff>38100</xdr:rowOff>
    </xdr:from>
    <xdr:to>
      <xdr:col>3</xdr:col>
      <xdr:colOff>809625</xdr:colOff>
      <xdr:row>96</xdr:row>
      <xdr:rowOff>0</xdr:rowOff>
    </xdr:to>
    <xdr:sp macro="" textlink="">
      <xdr:nvSpPr>
        <xdr:cNvPr id="114" name="Line 142"/>
        <xdr:cNvSpPr>
          <a:spLocks noChangeShapeType="1"/>
        </xdr:cNvSpPr>
      </xdr:nvSpPr>
      <xdr:spPr bwMode="auto">
        <a:xfrm>
          <a:off x="2400300" y="15954375"/>
          <a:ext cx="14287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95</xdr:row>
      <xdr:rowOff>0</xdr:rowOff>
    </xdr:from>
    <xdr:to>
      <xdr:col>5</xdr:col>
      <xdr:colOff>0</xdr:colOff>
      <xdr:row>95</xdr:row>
      <xdr:rowOff>0</xdr:rowOff>
    </xdr:to>
    <xdr:sp macro="" textlink="">
      <xdr:nvSpPr>
        <xdr:cNvPr id="115" name="Line 143"/>
        <xdr:cNvSpPr>
          <a:spLocks noChangeShapeType="1"/>
        </xdr:cNvSpPr>
      </xdr:nvSpPr>
      <xdr:spPr bwMode="auto">
        <a:xfrm>
          <a:off x="2914650" y="15916275"/>
          <a:ext cx="2667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94</xdr:row>
      <xdr:rowOff>0</xdr:rowOff>
    </xdr:from>
    <xdr:to>
      <xdr:col>4</xdr:col>
      <xdr:colOff>371475</xdr:colOff>
      <xdr:row>94</xdr:row>
      <xdr:rowOff>85725</xdr:rowOff>
    </xdr:to>
    <xdr:sp macro="" textlink="">
      <xdr:nvSpPr>
        <xdr:cNvPr id="116" name="Line 144"/>
        <xdr:cNvSpPr>
          <a:spLocks noChangeShapeType="1"/>
        </xdr:cNvSpPr>
      </xdr:nvSpPr>
      <xdr:spPr bwMode="auto">
        <a:xfrm>
          <a:off x="2914650" y="157543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93</xdr:row>
      <xdr:rowOff>152400</xdr:rowOff>
    </xdr:from>
    <xdr:to>
      <xdr:col>5</xdr:col>
      <xdr:colOff>0</xdr:colOff>
      <xdr:row>94</xdr:row>
      <xdr:rowOff>85725</xdr:rowOff>
    </xdr:to>
    <xdr:sp macro="" textlink="">
      <xdr:nvSpPr>
        <xdr:cNvPr id="117" name="Line 145"/>
        <xdr:cNvSpPr>
          <a:spLocks noChangeShapeType="1"/>
        </xdr:cNvSpPr>
      </xdr:nvSpPr>
      <xdr:spPr bwMode="auto">
        <a:xfrm>
          <a:off x="3181350" y="157448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94</xdr:row>
      <xdr:rowOff>47625</xdr:rowOff>
    </xdr:from>
    <xdr:to>
      <xdr:col>5</xdr:col>
      <xdr:colOff>0</xdr:colOff>
      <xdr:row>94</xdr:row>
      <xdr:rowOff>47625</xdr:rowOff>
    </xdr:to>
    <xdr:sp macro="" textlink="">
      <xdr:nvSpPr>
        <xdr:cNvPr id="118" name="Line 146"/>
        <xdr:cNvSpPr>
          <a:spLocks noChangeShapeType="1"/>
        </xdr:cNvSpPr>
      </xdr:nvSpPr>
      <xdr:spPr bwMode="auto">
        <a:xfrm>
          <a:off x="2905125" y="1580197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133350</xdr:colOff>
      <xdr:row>113</xdr:row>
      <xdr:rowOff>152400</xdr:rowOff>
    </xdr:from>
    <xdr:to>
      <xdr:col>1</xdr:col>
      <xdr:colOff>600075</xdr:colOff>
      <xdr:row>113</xdr:row>
      <xdr:rowOff>152400</xdr:rowOff>
    </xdr:to>
    <xdr:sp macro="" textlink="">
      <xdr:nvSpPr>
        <xdr:cNvPr id="119" name="Line 148"/>
        <xdr:cNvSpPr>
          <a:spLocks noChangeShapeType="1"/>
        </xdr:cNvSpPr>
      </xdr:nvSpPr>
      <xdr:spPr bwMode="auto">
        <a:xfrm>
          <a:off x="847725" y="1898332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514350</xdr:colOff>
      <xdr:row>101</xdr:row>
      <xdr:rowOff>152400</xdr:rowOff>
    </xdr:from>
    <xdr:to>
      <xdr:col>1</xdr:col>
      <xdr:colOff>600075</xdr:colOff>
      <xdr:row>101</xdr:row>
      <xdr:rowOff>152400</xdr:rowOff>
    </xdr:to>
    <xdr:sp macro="" textlink="">
      <xdr:nvSpPr>
        <xdr:cNvPr id="120" name="Line 155"/>
        <xdr:cNvSpPr>
          <a:spLocks noChangeShapeType="1"/>
        </xdr:cNvSpPr>
      </xdr:nvSpPr>
      <xdr:spPr bwMode="auto">
        <a:xfrm>
          <a:off x="1228725" y="17040225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0</xdr:colOff>
      <xdr:row>125</xdr:row>
      <xdr:rowOff>0</xdr:rowOff>
    </xdr:from>
    <xdr:to>
      <xdr:col>5</xdr:col>
      <xdr:colOff>495300</xdr:colOff>
      <xdr:row>125</xdr:row>
      <xdr:rowOff>0</xdr:rowOff>
    </xdr:to>
    <xdr:sp macro="" textlink="">
      <xdr:nvSpPr>
        <xdr:cNvPr id="121" name="Line 156"/>
        <xdr:cNvSpPr>
          <a:spLocks noChangeShapeType="1"/>
        </xdr:cNvSpPr>
      </xdr:nvSpPr>
      <xdr:spPr bwMode="auto">
        <a:xfrm>
          <a:off x="1323975" y="20774025"/>
          <a:ext cx="2352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124</xdr:row>
      <xdr:rowOff>66675</xdr:rowOff>
    </xdr:from>
    <xdr:to>
      <xdr:col>2</xdr:col>
      <xdr:colOff>0</xdr:colOff>
      <xdr:row>125</xdr:row>
      <xdr:rowOff>85725</xdr:rowOff>
    </xdr:to>
    <xdr:sp macro="" textlink="">
      <xdr:nvSpPr>
        <xdr:cNvPr id="122" name="Line 160"/>
        <xdr:cNvSpPr>
          <a:spLocks noChangeShapeType="1"/>
        </xdr:cNvSpPr>
      </xdr:nvSpPr>
      <xdr:spPr bwMode="auto">
        <a:xfrm>
          <a:off x="1323975" y="206787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124</xdr:row>
      <xdr:rowOff>95250</xdr:rowOff>
    </xdr:from>
    <xdr:to>
      <xdr:col>5</xdr:col>
      <xdr:colOff>514350</xdr:colOff>
      <xdr:row>125</xdr:row>
      <xdr:rowOff>47625</xdr:rowOff>
    </xdr:to>
    <xdr:sp macro="" textlink="">
      <xdr:nvSpPr>
        <xdr:cNvPr id="123" name="Line 161"/>
        <xdr:cNvSpPr>
          <a:spLocks noChangeShapeType="1"/>
        </xdr:cNvSpPr>
      </xdr:nvSpPr>
      <xdr:spPr bwMode="auto">
        <a:xfrm>
          <a:off x="3695700" y="207073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95</xdr:row>
      <xdr:rowOff>0</xdr:rowOff>
    </xdr:from>
    <xdr:to>
      <xdr:col>5</xdr:col>
      <xdr:colOff>0</xdr:colOff>
      <xdr:row>111</xdr:row>
      <xdr:rowOff>9525</xdr:rowOff>
    </xdr:to>
    <xdr:sp macro="" textlink="">
      <xdr:nvSpPr>
        <xdr:cNvPr id="124" name="Line 163"/>
        <xdr:cNvSpPr>
          <a:spLocks noChangeShapeType="1"/>
        </xdr:cNvSpPr>
      </xdr:nvSpPr>
      <xdr:spPr bwMode="auto">
        <a:xfrm>
          <a:off x="3181350" y="15916275"/>
          <a:ext cx="0" cy="2600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111</xdr:row>
      <xdr:rowOff>0</xdr:rowOff>
    </xdr:from>
    <xdr:to>
      <xdr:col>5</xdr:col>
      <xdr:colOff>476250</xdr:colOff>
      <xdr:row>111</xdr:row>
      <xdr:rowOff>0</xdr:rowOff>
    </xdr:to>
    <xdr:sp macro="" textlink="">
      <xdr:nvSpPr>
        <xdr:cNvPr id="125" name="Line 164"/>
        <xdr:cNvSpPr>
          <a:spLocks noChangeShapeType="1"/>
        </xdr:cNvSpPr>
      </xdr:nvSpPr>
      <xdr:spPr bwMode="auto">
        <a:xfrm>
          <a:off x="3181350" y="18507075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111</xdr:row>
      <xdr:rowOff>9525</xdr:rowOff>
    </xdr:from>
    <xdr:to>
      <xdr:col>5</xdr:col>
      <xdr:colOff>476250</xdr:colOff>
      <xdr:row>114</xdr:row>
      <xdr:rowOff>0</xdr:rowOff>
    </xdr:to>
    <xdr:sp macro="" textlink="">
      <xdr:nvSpPr>
        <xdr:cNvPr id="126" name="Line 165"/>
        <xdr:cNvSpPr>
          <a:spLocks noChangeShapeType="1"/>
        </xdr:cNvSpPr>
      </xdr:nvSpPr>
      <xdr:spPr bwMode="auto">
        <a:xfrm>
          <a:off x="3657600" y="18516600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113</xdr:row>
      <xdr:rowOff>152400</xdr:rowOff>
    </xdr:from>
    <xdr:to>
      <xdr:col>5</xdr:col>
      <xdr:colOff>161925</xdr:colOff>
      <xdr:row>114</xdr:row>
      <xdr:rowOff>0</xdr:rowOff>
    </xdr:to>
    <xdr:sp macro="" textlink="">
      <xdr:nvSpPr>
        <xdr:cNvPr id="127" name="Line 166"/>
        <xdr:cNvSpPr>
          <a:spLocks noChangeShapeType="1"/>
        </xdr:cNvSpPr>
      </xdr:nvSpPr>
      <xdr:spPr bwMode="auto">
        <a:xfrm flipH="1" flipV="1">
          <a:off x="1314450" y="18983325"/>
          <a:ext cx="202882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110</xdr:row>
      <xdr:rowOff>152400</xdr:rowOff>
    </xdr:from>
    <xdr:to>
      <xdr:col>2</xdr:col>
      <xdr:colOff>0</xdr:colOff>
      <xdr:row>113</xdr:row>
      <xdr:rowOff>152400</xdr:rowOff>
    </xdr:to>
    <xdr:sp macro="" textlink="">
      <xdr:nvSpPr>
        <xdr:cNvPr id="128" name="Line 167"/>
        <xdr:cNvSpPr>
          <a:spLocks noChangeShapeType="1"/>
        </xdr:cNvSpPr>
      </xdr:nvSpPr>
      <xdr:spPr bwMode="auto">
        <a:xfrm flipV="1">
          <a:off x="1323975" y="18497550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111</xdr:row>
      <xdr:rowOff>0</xdr:rowOff>
    </xdr:from>
    <xdr:to>
      <xdr:col>4</xdr:col>
      <xdr:colOff>0</xdr:colOff>
      <xdr:row>111</xdr:row>
      <xdr:rowOff>0</xdr:rowOff>
    </xdr:to>
    <xdr:sp macro="" textlink="">
      <xdr:nvSpPr>
        <xdr:cNvPr id="129" name="Line 168"/>
        <xdr:cNvSpPr>
          <a:spLocks noChangeShapeType="1"/>
        </xdr:cNvSpPr>
      </xdr:nvSpPr>
      <xdr:spPr bwMode="auto">
        <a:xfrm>
          <a:off x="1314450" y="18507075"/>
          <a:ext cx="1228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95</xdr:row>
      <xdr:rowOff>0</xdr:rowOff>
    </xdr:from>
    <xdr:to>
      <xdr:col>4</xdr:col>
      <xdr:colOff>381000</xdr:colOff>
      <xdr:row>111</xdr:row>
      <xdr:rowOff>0</xdr:rowOff>
    </xdr:to>
    <xdr:sp macro="" textlink="">
      <xdr:nvSpPr>
        <xdr:cNvPr id="130" name="Line 169"/>
        <xdr:cNvSpPr>
          <a:spLocks noChangeShapeType="1"/>
        </xdr:cNvSpPr>
      </xdr:nvSpPr>
      <xdr:spPr bwMode="auto">
        <a:xfrm flipV="1">
          <a:off x="2552700" y="15916275"/>
          <a:ext cx="371475" cy="25908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114</xdr:row>
      <xdr:rowOff>0</xdr:rowOff>
    </xdr:from>
    <xdr:to>
      <xdr:col>5</xdr:col>
      <xdr:colOff>476250</xdr:colOff>
      <xdr:row>115</xdr:row>
      <xdr:rowOff>0</xdr:rowOff>
    </xdr:to>
    <xdr:sp macro="" textlink="">
      <xdr:nvSpPr>
        <xdr:cNvPr id="131" name="Line 170"/>
        <xdr:cNvSpPr>
          <a:spLocks noChangeShapeType="1"/>
        </xdr:cNvSpPr>
      </xdr:nvSpPr>
      <xdr:spPr bwMode="auto">
        <a:xfrm>
          <a:off x="3657600" y="18992850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115</xdr:row>
      <xdr:rowOff>9525</xdr:rowOff>
    </xdr:from>
    <xdr:to>
      <xdr:col>5</xdr:col>
      <xdr:colOff>476250</xdr:colOff>
      <xdr:row>115</xdr:row>
      <xdr:rowOff>9525</xdr:rowOff>
    </xdr:to>
    <xdr:sp macro="" textlink="">
      <xdr:nvSpPr>
        <xdr:cNvPr id="132" name="Line 171"/>
        <xdr:cNvSpPr>
          <a:spLocks noChangeShapeType="1"/>
        </xdr:cNvSpPr>
      </xdr:nvSpPr>
      <xdr:spPr bwMode="auto">
        <a:xfrm flipH="1">
          <a:off x="3524250" y="19164300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113</xdr:row>
      <xdr:rowOff>152400</xdr:rowOff>
    </xdr:from>
    <xdr:to>
      <xdr:col>5</xdr:col>
      <xdr:colOff>352425</xdr:colOff>
      <xdr:row>115</xdr:row>
      <xdr:rowOff>19050</xdr:rowOff>
    </xdr:to>
    <xdr:sp macro="" textlink="">
      <xdr:nvSpPr>
        <xdr:cNvPr id="133" name="Line 172"/>
        <xdr:cNvSpPr>
          <a:spLocks noChangeShapeType="1"/>
        </xdr:cNvSpPr>
      </xdr:nvSpPr>
      <xdr:spPr bwMode="auto">
        <a:xfrm flipH="1" flipV="1">
          <a:off x="3343275" y="18983325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115</xdr:row>
      <xdr:rowOff>76200</xdr:rowOff>
    </xdr:from>
    <xdr:to>
      <xdr:col>5</xdr:col>
      <xdr:colOff>485775</xdr:colOff>
      <xdr:row>116</xdr:row>
      <xdr:rowOff>28575</xdr:rowOff>
    </xdr:to>
    <xdr:sp macro="" textlink="">
      <xdr:nvSpPr>
        <xdr:cNvPr id="134" name="Line 180"/>
        <xdr:cNvSpPr>
          <a:spLocks noChangeShapeType="1"/>
        </xdr:cNvSpPr>
      </xdr:nvSpPr>
      <xdr:spPr bwMode="auto">
        <a:xfrm>
          <a:off x="3667125" y="192309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116</xdr:row>
      <xdr:rowOff>0</xdr:rowOff>
    </xdr:from>
    <xdr:to>
      <xdr:col>5</xdr:col>
      <xdr:colOff>485775</xdr:colOff>
      <xdr:row>116</xdr:row>
      <xdr:rowOff>0</xdr:rowOff>
    </xdr:to>
    <xdr:sp macro="" textlink="">
      <xdr:nvSpPr>
        <xdr:cNvPr id="135" name="Line 182"/>
        <xdr:cNvSpPr>
          <a:spLocks noChangeShapeType="1"/>
        </xdr:cNvSpPr>
      </xdr:nvSpPr>
      <xdr:spPr bwMode="auto">
        <a:xfrm>
          <a:off x="3533775" y="193167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115</xdr:row>
      <xdr:rowOff>114300</xdr:rowOff>
    </xdr:from>
    <xdr:to>
      <xdr:col>5</xdr:col>
      <xdr:colOff>180975</xdr:colOff>
      <xdr:row>116</xdr:row>
      <xdr:rowOff>28575</xdr:rowOff>
    </xdr:to>
    <xdr:sp macro="" textlink="">
      <xdr:nvSpPr>
        <xdr:cNvPr id="136" name="Line 183"/>
        <xdr:cNvSpPr>
          <a:spLocks noChangeShapeType="1"/>
        </xdr:cNvSpPr>
      </xdr:nvSpPr>
      <xdr:spPr bwMode="auto">
        <a:xfrm>
          <a:off x="3362325" y="1926907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116</xdr:row>
      <xdr:rowOff>0</xdr:rowOff>
    </xdr:from>
    <xdr:to>
      <xdr:col>5</xdr:col>
      <xdr:colOff>352425</xdr:colOff>
      <xdr:row>116</xdr:row>
      <xdr:rowOff>0</xdr:rowOff>
    </xdr:to>
    <xdr:sp macro="" textlink="">
      <xdr:nvSpPr>
        <xdr:cNvPr id="137" name="Line 184"/>
        <xdr:cNvSpPr>
          <a:spLocks noChangeShapeType="1"/>
        </xdr:cNvSpPr>
      </xdr:nvSpPr>
      <xdr:spPr bwMode="auto">
        <a:xfrm>
          <a:off x="3362325" y="193167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116</xdr:row>
      <xdr:rowOff>19050</xdr:rowOff>
    </xdr:from>
    <xdr:to>
      <xdr:col>5</xdr:col>
      <xdr:colOff>428625</xdr:colOff>
      <xdr:row>116</xdr:row>
      <xdr:rowOff>104775</xdr:rowOff>
    </xdr:to>
    <xdr:sp macro="" textlink="">
      <xdr:nvSpPr>
        <xdr:cNvPr id="138" name="Line 185"/>
        <xdr:cNvSpPr>
          <a:spLocks noChangeShapeType="1"/>
        </xdr:cNvSpPr>
      </xdr:nvSpPr>
      <xdr:spPr bwMode="auto">
        <a:xfrm flipV="1">
          <a:off x="3609975" y="193357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116</xdr:row>
      <xdr:rowOff>104775</xdr:rowOff>
    </xdr:from>
    <xdr:to>
      <xdr:col>6</xdr:col>
      <xdr:colOff>76200</xdr:colOff>
      <xdr:row>116</xdr:row>
      <xdr:rowOff>104775</xdr:rowOff>
    </xdr:to>
    <xdr:sp macro="" textlink="">
      <xdr:nvSpPr>
        <xdr:cNvPr id="139" name="Line 186"/>
        <xdr:cNvSpPr>
          <a:spLocks noChangeShapeType="1"/>
        </xdr:cNvSpPr>
      </xdr:nvSpPr>
      <xdr:spPr bwMode="auto">
        <a:xfrm>
          <a:off x="3629025" y="19421475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116</xdr:row>
      <xdr:rowOff>0</xdr:rowOff>
    </xdr:from>
    <xdr:to>
      <xdr:col>5</xdr:col>
      <xdr:colOff>285750</xdr:colOff>
      <xdr:row>117</xdr:row>
      <xdr:rowOff>57150</xdr:rowOff>
    </xdr:to>
    <xdr:sp macro="" textlink="">
      <xdr:nvSpPr>
        <xdr:cNvPr id="140" name="Line 187"/>
        <xdr:cNvSpPr>
          <a:spLocks noChangeShapeType="1"/>
        </xdr:cNvSpPr>
      </xdr:nvSpPr>
      <xdr:spPr bwMode="auto">
        <a:xfrm flipV="1">
          <a:off x="3467100" y="19316700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117</xdr:row>
      <xdr:rowOff>47625</xdr:rowOff>
    </xdr:from>
    <xdr:to>
      <xdr:col>6</xdr:col>
      <xdr:colOff>76200</xdr:colOff>
      <xdr:row>117</xdr:row>
      <xdr:rowOff>47625</xdr:rowOff>
    </xdr:to>
    <xdr:sp macro="" textlink="">
      <xdr:nvSpPr>
        <xdr:cNvPr id="141" name="Line 188"/>
        <xdr:cNvSpPr>
          <a:spLocks noChangeShapeType="1"/>
        </xdr:cNvSpPr>
      </xdr:nvSpPr>
      <xdr:spPr bwMode="auto">
        <a:xfrm>
          <a:off x="3467100" y="19526250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122</xdr:row>
      <xdr:rowOff>152400</xdr:rowOff>
    </xdr:from>
    <xdr:to>
      <xdr:col>5</xdr:col>
      <xdr:colOff>504825</xdr:colOff>
      <xdr:row>123</xdr:row>
      <xdr:rowOff>0</xdr:rowOff>
    </xdr:to>
    <xdr:sp macro="" textlink="">
      <xdr:nvSpPr>
        <xdr:cNvPr id="142" name="Line 189"/>
        <xdr:cNvSpPr>
          <a:spLocks noChangeShapeType="1"/>
        </xdr:cNvSpPr>
      </xdr:nvSpPr>
      <xdr:spPr bwMode="auto">
        <a:xfrm flipH="1">
          <a:off x="3181350" y="20440650"/>
          <a:ext cx="5048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0</xdr:colOff>
      <xdr:row>123</xdr:row>
      <xdr:rowOff>9525</xdr:rowOff>
    </xdr:from>
    <xdr:to>
      <xdr:col>5</xdr:col>
      <xdr:colOff>0</xdr:colOff>
      <xdr:row>123</xdr:row>
      <xdr:rowOff>9525</xdr:rowOff>
    </xdr:to>
    <xdr:sp macro="" textlink="">
      <xdr:nvSpPr>
        <xdr:cNvPr id="143" name="Line 190"/>
        <xdr:cNvSpPr>
          <a:spLocks noChangeShapeType="1"/>
        </xdr:cNvSpPr>
      </xdr:nvSpPr>
      <xdr:spPr bwMode="auto">
        <a:xfrm flipH="1">
          <a:off x="2543175" y="20459700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600075</xdr:colOff>
      <xdr:row>123</xdr:row>
      <xdr:rowOff>9525</xdr:rowOff>
    </xdr:from>
    <xdr:to>
      <xdr:col>4</xdr:col>
      <xdr:colOff>19050</xdr:colOff>
      <xdr:row>123</xdr:row>
      <xdr:rowOff>9525</xdr:rowOff>
    </xdr:to>
    <xdr:sp macro="" textlink="">
      <xdr:nvSpPr>
        <xdr:cNvPr id="144" name="Line 191"/>
        <xdr:cNvSpPr>
          <a:spLocks noChangeShapeType="1"/>
        </xdr:cNvSpPr>
      </xdr:nvSpPr>
      <xdr:spPr bwMode="auto">
        <a:xfrm flipH="1">
          <a:off x="1314450" y="20459700"/>
          <a:ext cx="1247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122</xdr:row>
      <xdr:rowOff>104775</xdr:rowOff>
    </xdr:from>
    <xdr:to>
      <xdr:col>2</xdr:col>
      <xdr:colOff>0</xdr:colOff>
      <xdr:row>123</xdr:row>
      <xdr:rowOff>95250</xdr:rowOff>
    </xdr:to>
    <xdr:sp macro="" textlink="">
      <xdr:nvSpPr>
        <xdr:cNvPr id="145" name="Line 192"/>
        <xdr:cNvSpPr>
          <a:spLocks noChangeShapeType="1"/>
        </xdr:cNvSpPr>
      </xdr:nvSpPr>
      <xdr:spPr bwMode="auto">
        <a:xfrm>
          <a:off x="1323975" y="203930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122</xdr:row>
      <xdr:rowOff>104775</xdr:rowOff>
    </xdr:from>
    <xdr:to>
      <xdr:col>4</xdr:col>
      <xdr:colOff>0</xdr:colOff>
      <xdr:row>123</xdr:row>
      <xdr:rowOff>47625</xdr:rowOff>
    </xdr:to>
    <xdr:sp macro="" textlink="">
      <xdr:nvSpPr>
        <xdr:cNvPr id="146" name="Line 193"/>
        <xdr:cNvSpPr>
          <a:spLocks noChangeShapeType="1"/>
        </xdr:cNvSpPr>
      </xdr:nvSpPr>
      <xdr:spPr bwMode="auto">
        <a:xfrm>
          <a:off x="2543175" y="203930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122</xdr:row>
      <xdr:rowOff>104775</xdr:rowOff>
    </xdr:from>
    <xdr:to>
      <xdr:col>5</xdr:col>
      <xdr:colOff>0</xdr:colOff>
      <xdr:row>123</xdr:row>
      <xdr:rowOff>38100</xdr:rowOff>
    </xdr:to>
    <xdr:sp macro="" textlink="">
      <xdr:nvSpPr>
        <xdr:cNvPr id="147" name="Line 194"/>
        <xdr:cNvSpPr>
          <a:spLocks noChangeShapeType="1"/>
        </xdr:cNvSpPr>
      </xdr:nvSpPr>
      <xdr:spPr bwMode="auto">
        <a:xfrm>
          <a:off x="3181350" y="203930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122</xdr:row>
      <xdr:rowOff>123825</xdr:rowOff>
    </xdr:from>
    <xdr:to>
      <xdr:col>5</xdr:col>
      <xdr:colOff>514350</xdr:colOff>
      <xdr:row>123</xdr:row>
      <xdr:rowOff>57150</xdr:rowOff>
    </xdr:to>
    <xdr:sp macro="" textlink="">
      <xdr:nvSpPr>
        <xdr:cNvPr id="148" name="Line 195"/>
        <xdr:cNvSpPr>
          <a:spLocks noChangeShapeType="1"/>
        </xdr:cNvSpPr>
      </xdr:nvSpPr>
      <xdr:spPr bwMode="auto">
        <a:xfrm>
          <a:off x="3695700" y="204120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103</xdr:row>
      <xdr:rowOff>142875</xdr:rowOff>
    </xdr:from>
    <xdr:to>
      <xdr:col>4</xdr:col>
      <xdr:colOff>0</xdr:colOff>
      <xdr:row>111</xdr:row>
      <xdr:rowOff>0</xdr:rowOff>
    </xdr:to>
    <xdr:sp macro="" textlink="">
      <xdr:nvSpPr>
        <xdr:cNvPr id="149" name="Line 196"/>
        <xdr:cNvSpPr>
          <a:spLocks noChangeShapeType="1"/>
        </xdr:cNvSpPr>
      </xdr:nvSpPr>
      <xdr:spPr bwMode="auto">
        <a:xfrm>
          <a:off x="2543175" y="17354550"/>
          <a:ext cx="0" cy="115252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381000</xdr:colOff>
      <xdr:row>95</xdr:row>
      <xdr:rowOff>0</xdr:rowOff>
    </xdr:from>
    <xdr:to>
      <xdr:col>4</xdr:col>
      <xdr:colOff>381000</xdr:colOff>
      <xdr:row>111</xdr:row>
      <xdr:rowOff>0</xdr:rowOff>
    </xdr:to>
    <xdr:sp macro="" textlink="">
      <xdr:nvSpPr>
        <xdr:cNvPr id="150" name="Line 197"/>
        <xdr:cNvSpPr>
          <a:spLocks noChangeShapeType="1"/>
        </xdr:cNvSpPr>
      </xdr:nvSpPr>
      <xdr:spPr bwMode="auto">
        <a:xfrm>
          <a:off x="2924175" y="15916275"/>
          <a:ext cx="0" cy="259080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28575</xdr:colOff>
      <xdr:row>111</xdr:row>
      <xdr:rowOff>0</xdr:rowOff>
    </xdr:from>
    <xdr:to>
      <xdr:col>5</xdr:col>
      <xdr:colOff>0</xdr:colOff>
      <xdr:row>111</xdr:row>
      <xdr:rowOff>0</xdr:rowOff>
    </xdr:to>
    <xdr:sp macro="" textlink="">
      <xdr:nvSpPr>
        <xdr:cNvPr id="151" name="Line 198"/>
        <xdr:cNvSpPr>
          <a:spLocks noChangeShapeType="1"/>
        </xdr:cNvSpPr>
      </xdr:nvSpPr>
      <xdr:spPr bwMode="auto">
        <a:xfrm>
          <a:off x="2571750" y="18507075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171450</xdr:colOff>
      <xdr:row>113</xdr:row>
      <xdr:rowOff>152400</xdr:rowOff>
    </xdr:from>
    <xdr:to>
      <xdr:col>5</xdr:col>
      <xdr:colOff>476250</xdr:colOff>
      <xdr:row>114</xdr:row>
      <xdr:rowOff>0</xdr:rowOff>
    </xdr:to>
    <xdr:sp macro="" textlink="">
      <xdr:nvSpPr>
        <xdr:cNvPr id="152" name="Line 200"/>
        <xdr:cNvSpPr>
          <a:spLocks noChangeShapeType="1"/>
        </xdr:cNvSpPr>
      </xdr:nvSpPr>
      <xdr:spPr bwMode="auto">
        <a:xfrm>
          <a:off x="3352800" y="18983325"/>
          <a:ext cx="30480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114</xdr:row>
      <xdr:rowOff>0</xdr:rowOff>
    </xdr:from>
    <xdr:to>
      <xdr:col>5</xdr:col>
      <xdr:colOff>342900</xdr:colOff>
      <xdr:row>115</xdr:row>
      <xdr:rowOff>9525</xdr:rowOff>
    </xdr:to>
    <xdr:sp macro="" textlink="">
      <xdr:nvSpPr>
        <xdr:cNvPr id="153" name="Line 201"/>
        <xdr:cNvSpPr>
          <a:spLocks noChangeShapeType="1"/>
        </xdr:cNvSpPr>
      </xdr:nvSpPr>
      <xdr:spPr bwMode="auto">
        <a:xfrm flipV="1">
          <a:off x="3524250" y="18992850"/>
          <a:ext cx="0" cy="17145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 editAs="oneCell">
    <xdr:from>
      <xdr:col>5</xdr:col>
      <xdr:colOff>314325</xdr:colOff>
      <xdr:row>178</xdr:row>
      <xdr:rowOff>0</xdr:rowOff>
    </xdr:from>
    <xdr:to>
      <xdr:col>5</xdr:col>
      <xdr:colOff>390525</xdr:colOff>
      <xdr:row>178</xdr:row>
      <xdr:rowOff>152400</xdr:rowOff>
    </xdr:to>
    <xdr:sp macro="" textlink="">
      <xdr:nvSpPr>
        <xdr:cNvPr id="154" name="Text Box 202"/>
        <xdr:cNvSpPr txBox="1">
          <a:spLocks noChangeArrowheads="1"/>
        </xdr:cNvSpPr>
      </xdr:nvSpPr>
      <xdr:spPr bwMode="auto">
        <a:xfrm>
          <a:off x="3495675" y="29613225"/>
          <a:ext cx="762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114</xdr:row>
      <xdr:rowOff>57150</xdr:rowOff>
    </xdr:from>
    <xdr:to>
      <xdr:col>5</xdr:col>
      <xdr:colOff>285750</xdr:colOff>
      <xdr:row>115</xdr:row>
      <xdr:rowOff>66675</xdr:rowOff>
    </xdr:to>
    <xdr:sp macro="" textlink="">
      <xdr:nvSpPr>
        <xdr:cNvPr id="155" name="Line 203"/>
        <xdr:cNvSpPr>
          <a:spLocks noChangeShapeType="1"/>
        </xdr:cNvSpPr>
      </xdr:nvSpPr>
      <xdr:spPr bwMode="auto">
        <a:xfrm flipV="1">
          <a:off x="3181350" y="19050000"/>
          <a:ext cx="2857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419100</xdr:colOff>
      <xdr:row>114</xdr:row>
      <xdr:rowOff>104775</xdr:rowOff>
    </xdr:from>
    <xdr:to>
      <xdr:col>6</xdr:col>
      <xdr:colOff>0</xdr:colOff>
      <xdr:row>115</xdr:row>
      <xdr:rowOff>85725</xdr:rowOff>
    </xdr:to>
    <xdr:sp macro="" textlink="">
      <xdr:nvSpPr>
        <xdr:cNvPr id="156" name="Line 204"/>
        <xdr:cNvSpPr>
          <a:spLocks noChangeShapeType="1"/>
        </xdr:cNvSpPr>
      </xdr:nvSpPr>
      <xdr:spPr bwMode="auto">
        <a:xfrm flipH="1" flipV="1">
          <a:off x="3600450" y="19097625"/>
          <a:ext cx="19050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228600</xdr:colOff>
      <xdr:row>95</xdr:row>
      <xdr:rowOff>9525</xdr:rowOff>
    </xdr:from>
    <xdr:to>
      <xdr:col>2</xdr:col>
      <xdr:colOff>381000</xdr:colOff>
      <xdr:row>95</xdr:row>
      <xdr:rowOff>104775</xdr:rowOff>
    </xdr:to>
    <xdr:sp macro="" textlink="">
      <xdr:nvSpPr>
        <xdr:cNvPr id="157" name="Line 205"/>
        <xdr:cNvSpPr>
          <a:spLocks noChangeShapeType="1"/>
        </xdr:cNvSpPr>
      </xdr:nvSpPr>
      <xdr:spPr bwMode="auto">
        <a:xfrm flipH="1">
          <a:off x="1552575" y="1592580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95</xdr:row>
      <xdr:rowOff>0</xdr:rowOff>
    </xdr:from>
    <xdr:to>
      <xdr:col>2</xdr:col>
      <xdr:colOff>514350</xdr:colOff>
      <xdr:row>95</xdr:row>
      <xdr:rowOff>123825</xdr:rowOff>
    </xdr:to>
    <xdr:sp macro="" textlink="">
      <xdr:nvSpPr>
        <xdr:cNvPr id="158" name="Line 206"/>
        <xdr:cNvSpPr>
          <a:spLocks noChangeShapeType="1"/>
        </xdr:cNvSpPr>
      </xdr:nvSpPr>
      <xdr:spPr bwMode="auto">
        <a:xfrm>
          <a:off x="1714500" y="1591627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95</xdr:row>
      <xdr:rowOff>0</xdr:rowOff>
    </xdr:from>
    <xdr:to>
      <xdr:col>2</xdr:col>
      <xdr:colOff>514350</xdr:colOff>
      <xdr:row>95</xdr:row>
      <xdr:rowOff>114300</xdr:rowOff>
    </xdr:to>
    <xdr:sp macro="" textlink="">
      <xdr:nvSpPr>
        <xdr:cNvPr id="159" name="Line 207"/>
        <xdr:cNvSpPr>
          <a:spLocks noChangeShapeType="1"/>
        </xdr:cNvSpPr>
      </xdr:nvSpPr>
      <xdr:spPr bwMode="auto">
        <a:xfrm flipV="1">
          <a:off x="1695450" y="1591627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581025</xdr:colOff>
      <xdr:row>95</xdr:row>
      <xdr:rowOff>0</xdr:rowOff>
    </xdr:from>
    <xdr:to>
      <xdr:col>3</xdr:col>
      <xdr:colOff>695325</xdr:colOff>
      <xdr:row>95</xdr:row>
      <xdr:rowOff>123825</xdr:rowOff>
    </xdr:to>
    <xdr:sp macro="" textlink="">
      <xdr:nvSpPr>
        <xdr:cNvPr id="160" name="Line 208"/>
        <xdr:cNvSpPr>
          <a:spLocks noChangeShapeType="1"/>
        </xdr:cNvSpPr>
      </xdr:nvSpPr>
      <xdr:spPr bwMode="auto">
        <a:xfrm>
          <a:off x="2514600" y="15916275"/>
          <a:ext cx="2857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95</xdr:row>
      <xdr:rowOff>9525</xdr:rowOff>
    </xdr:from>
    <xdr:to>
      <xdr:col>3</xdr:col>
      <xdr:colOff>381000</xdr:colOff>
      <xdr:row>95</xdr:row>
      <xdr:rowOff>104775</xdr:rowOff>
    </xdr:to>
    <xdr:sp macro="" textlink="">
      <xdr:nvSpPr>
        <xdr:cNvPr id="161" name="Line 209"/>
        <xdr:cNvSpPr>
          <a:spLocks noChangeShapeType="1"/>
        </xdr:cNvSpPr>
      </xdr:nvSpPr>
      <xdr:spPr bwMode="auto">
        <a:xfrm flipH="1">
          <a:off x="2162175" y="1592580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95</xdr:row>
      <xdr:rowOff>0</xdr:rowOff>
    </xdr:from>
    <xdr:to>
      <xdr:col>3</xdr:col>
      <xdr:colOff>514350</xdr:colOff>
      <xdr:row>95</xdr:row>
      <xdr:rowOff>123825</xdr:rowOff>
    </xdr:to>
    <xdr:sp macro="" textlink="">
      <xdr:nvSpPr>
        <xdr:cNvPr id="162" name="Line 210"/>
        <xdr:cNvSpPr>
          <a:spLocks noChangeShapeType="1"/>
        </xdr:cNvSpPr>
      </xdr:nvSpPr>
      <xdr:spPr bwMode="auto">
        <a:xfrm>
          <a:off x="2324100" y="1591627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95</xdr:row>
      <xdr:rowOff>0</xdr:rowOff>
    </xdr:from>
    <xdr:to>
      <xdr:col>3</xdr:col>
      <xdr:colOff>514350</xdr:colOff>
      <xdr:row>95</xdr:row>
      <xdr:rowOff>114300</xdr:rowOff>
    </xdr:to>
    <xdr:sp macro="" textlink="">
      <xdr:nvSpPr>
        <xdr:cNvPr id="163" name="Line 211"/>
        <xdr:cNvSpPr>
          <a:spLocks noChangeShapeType="1"/>
        </xdr:cNvSpPr>
      </xdr:nvSpPr>
      <xdr:spPr bwMode="auto">
        <a:xfrm flipV="1">
          <a:off x="2305050" y="1591627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590550</xdr:colOff>
      <xdr:row>95</xdr:row>
      <xdr:rowOff>9525</xdr:rowOff>
    </xdr:from>
    <xdr:to>
      <xdr:col>4</xdr:col>
      <xdr:colOff>95250</xdr:colOff>
      <xdr:row>95</xdr:row>
      <xdr:rowOff>133350</xdr:rowOff>
    </xdr:to>
    <xdr:sp macro="" textlink="">
      <xdr:nvSpPr>
        <xdr:cNvPr id="164" name="Line 212"/>
        <xdr:cNvSpPr>
          <a:spLocks noChangeShapeType="1"/>
        </xdr:cNvSpPr>
      </xdr:nvSpPr>
      <xdr:spPr bwMode="auto">
        <a:xfrm>
          <a:off x="2524125" y="15925800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95</xdr:row>
      <xdr:rowOff>9525</xdr:rowOff>
    </xdr:from>
    <xdr:to>
      <xdr:col>3</xdr:col>
      <xdr:colOff>381000</xdr:colOff>
      <xdr:row>95</xdr:row>
      <xdr:rowOff>104775</xdr:rowOff>
    </xdr:to>
    <xdr:sp macro="" textlink="">
      <xdr:nvSpPr>
        <xdr:cNvPr id="165" name="Line 213"/>
        <xdr:cNvSpPr>
          <a:spLocks noChangeShapeType="1"/>
        </xdr:cNvSpPr>
      </xdr:nvSpPr>
      <xdr:spPr bwMode="auto">
        <a:xfrm flipH="1">
          <a:off x="2162175" y="1592580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95</xdr:row>
      <xdr:rowOff>0</xdr:rowOff>
    </xdr:from>
    <xdr:to>
      <xdr:col>3</xdr:col>
      <xdr:colOff>514350</xdr:colOff>
      <xdr:row>95</xdr:row>
      <xdr:rowOff>123825</xdr:rowOff>
    </xdr:to>
    <xdr:sp macro="" textlink="">
      <xdr:nvSpPr>
        <xdr:cNvPr id="166" name="Line 214"/>
        <xdr:cNvSpPr>
          <a:spLocks noChangeShapeType="1"/>
        </xdr:cNvSpPr>
      </xdr:nvSpPr>
      <xdr:spPr bwMode="auto">
        <a:xfrm>
          <a:off x="2324100" y="1591627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95</xdr:row>
      <xdr:rowOff>0</xdr:rowOff>
    </xdr:from>
    <xdr:to>
      <xdr:col>3</xdr:col>
      <xdr:colOff>514350</xdr:colOff>
      <xdr:row>95</xdr:row>
      <xdr:rowOff>114300</xdr:rowOff>
    </xdr:to>
    <xdr:sp macro="" textlink="">
      <xdr:nvSpPr>
        <xdr:cNvPr id="167" name="Line 215"/>
        <xdr:cNvSpPr>
          <a:spLocks noChangeShapeType="1"/>
        </xdr:cNvSpPr>
      </xdr:nvSpPr>
      <xdr:spPr bwMode="auto">
        <a:xfrm flipV="1">
          <a:off x="2305050" y="1591627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95</xdr:row>
      <xdr:rowOff>38100</xdr:rowOff>
    </xdr:from>
    <xdr:to>
      <xdr:col>3</xdr:col>
      <xdr:colOff>809625</xdr:colOff>
      <xdr:row>96</xdr:row>
      <xdr:rowOff>0</xdr:rowOff>
    </xdr:to>
    <xdr:sp macro="" textlink="">
      <xdr:nvSpPr>
        <xdr:cNvPr id="168" name="Line 216"/>
        <xdr:cNvSpPr>
          <a:spLocks noChangeShapeType="1"/>
        </xdr:cNvSpPr>
      </xdr:nvSpPr>
      <xdr:spPr bwMode="auto">
        <a:xfrm>
          <a:off x="2400300" y="15954375"/>
          <a:ext cx="14287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95</xdr:row>
      <xdr:rowOff>0</xdr:rowOff>
    </xdr:from>
    <xdr:to>
      <xdr:col>5</xdr:col>
      <xdr:colOff>0</xdr:colOff>
      <xdr:row>95</xdr:row>
      <xdr:rowOff>0</xdr:rowOff>
    </xdr:to>
    <xdr:sp macro="" textlink="">
      <xdr:nvSpPr>
        <xdr:cNvPr id="169" name="Line 217"/>
        <xdr:cNvSpPr>
          <a:spLocks noChangeShapeType="1"/>
        </xdr:cNvSpPr>
      </xdr:nvSpPr>
      <xdr:spPr bwMode="auto">
        <a:xfrm>
          <a:off x="2914650" y="15916275"/>
          <a:ext cx="2667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94</xdr:row>
      <xdr:rowOff>0</xdr:rowOff>
    </xdr:from>
    <xdr:to>
      <xdr:col>4</xdr:col>
      <xdr:colOff>371475</xdr:colOff>
      <xdr:row>94</xdr:row>
      <xdr:rowOff>85725</xdr:rowOff>
    </xdr:to>
    <xdr:sp macro="" textlink="">
      <xdr:nvSpPr>
        <xdr:cNvPr id="170" name="Line 218"/>
        <xdr:cNvSpPr>
          <a:spLocks noChangeShapeType="1"/>
        </xdr:cNvSpPr>
      </xdr:nvSpPr>
      <xdr:spPr bwMode="auto">
        <a:xfrm>
          <a:off x="2914650" y="157543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93</xdr:row>
      <xdr:rowOff>152400</xdr:rowOff>
    </xdr:from>
    <xdr:to>
      <xdr:col>5</xdr:col>
      <xdr:colOff>0</xdr:colOff>
      <xdr:row>94</xdr:row>
      <xdr:rowOff>85725</xdr:rowOff>
    </xdr:to>
    <xdr:sp macro="" textlink="">
      <xdr:nvSpPr>
        <xdr:cNvPr id="171" name="Line 219"/>
        <xdr:cNvSpPr>
          <a:spLocks noChangeShapeType="1"/>
        </xdr:cNvSpPr>
      </xdr:nvSpPr>
      <xdr:spPr bwMode="auto">
        <a:xfrm>
          <a:off x="3181350" y="157448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94</xdr:row>
      <xdr:rowOff>47625</xdr:rowOff>
    </xdr:from>
    <xdr:to>
      <xdr:col>5</xdr:col>
      <xdr:colOff>0</xdr:colOff>
      <xdr:row>94</xdr:row>
      <xdr:rowOff>47625</xdr:rowOff>
    </xdr:to>
    <xdr:sp macro="" textlink="">
      <xdr:nvSpPr>
        <xdr:cNvPr id="172" name="Line 220"/>
        <xdr:cNvSpPr>
          <a:spLocks noChangeShapeType="1"/>
        </xdr:cNvSpPr>
      </xdr:nvSpPr>
      <xdr:spPr bwMode="auto">
        <a:xfrm>
          <a:off x="2905125" y="1580197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142873</xdr:colOff>
      <xdr:row>95</xdr:row>
      <xdr:rowOff>9525</xdr:rowOff>
    </xdr:from>
    <xdr:to>
      <xdr:col>1</xdr:col>
      <xdr:colOff>600075</xdr:colOff>
      <xdr:row>114</xdr:row>
      <xdr:rowOff>9526</xdr:rowOff>
    </xdr:to>
    <xdr:sp macro="" textlink="">
      <xdr:nvSpPr>
        <xdr:cNvPr id="173" name="Line 221"/>
        <xdr:cNvSpPr>
          <a:spLocks noChangeShapeType="1"/>
        </xdr:cNvSpPr>
      </xdr:nvSpPr>
      <xdr:spPr bwMode="auto">
        <a:xfrm flipH="1">
          <a:off x="857248" y="15925800"/>
          <a:ext cx="457202" cy="307657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133350</xdr:colOff>
      <xdr:row>113</xdr:row>
      <xdr:rowOff>152400</xdr:rowOff>
    </xdr:from>
    <xdr:to>
      <xdr:col>1</xdr:col>
      <xdr:colOff>600075</xdr:colOff>
      <xdr:row>113</xdr:row>
      <xdr:rowOff>152400</xdr:rowOff>
    </xdr:to>
    <xdr:sp macro="" textlink="">
      <xdr:nvSpPr>
        <xdr:cNvPr id="174" name="Line 222"/>
        <xdr:cNvSpPr>
          <a:spLocks noChangeShapeType="1"/>
        </xdr:cNvSpPr>
      </xdr:nvSpPr>
      <xdr:spPr bwMode="auto">
        <a:xfrm>
          <a:off x="847725" y="1898332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125</xdr:row>
      <xdr:rowOff>0</xdr:rowOff>
    </xdr:from>
    <xdr:to>
      <xdr:col>5</xdr:col>
      <xdr:colOff>495300</xdr:colOff>
      <xdr:row>125</xdr:row>
      <xdr:rowOff>0</xdr:rowOff>
    </xdr:to>
    <xdr:sp macro="" textlink="">
      <xdr:nvSpPr>
        <xdr:cNvPr id="175" name="Line 230"/>
        <xdr:cNvSpPr>
          <a:spLocks noChangeShapeType="1"/>
        </xdr:cNvSpPr>
      </xdr:nvSpPr>
      <xdr:spPr bwMode="auto">
        <a:xfrm>
          <a:off x="1323975" y="20774025"/>
          <a:ext cx="2352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124</xdr:row>
      <xdr:rowOff>66675</xdr:rowOff>
    </xdr:from>
    <xdr:to>
      <xdr:col>2</xdr:col>
      <xdr:colOff>0</xdr:colOff>
      <xdr:row>125</xdr:row>
      <xdr:rowOff>85725</xdr:rowOff>
    </xdr:to>
    <xdr:sp macro="" textlink="">
      <xdr:nvSpPr>
        <xdr:cNvPr id="176" name="Line 234"/>
        <xdr:cNvSpPr>
          <a:spLocks noChangeShapeType="1"/>
        </xdr:cNvSpPr>
      </xdr:nvSpPr>
      <xdr:spPr bwMode="auto">
        <a:xfrm>
          <a:off x="1323975" y="206787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124</xdr:row>
      <xdr:rowOff>95250</xdr:rowOff>
    </xdr:from>
    <xdr:to>
      <xdr:col>5</xdr:col>
      <xdr:colOff>514350</xdr:colOff>
      <xdr:row>125</xdr:row>
      <xdr:rowOff>47625</xdr:rowOff>
    </xdr:to>
    <xdr:sp macro="" textlink="">
      <xdr:nvSpPr>
        <xdr:cNvPr id="177" name="Line 235"/>
        <xdr:cNvSpPr>
          <a:spLocks noChangeShapeType="1"/>
        </xdr:cNvSpPr>
      </xdr:nvSpPr>
      <xdr:spPr bwMode="auto">
        <a:xfrm>
          <a:off x="3695700" y="207073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104775</xdr:colOff>
      <xdr:row>104</xdr:row>
      <xdr:rowOff>0</xdr:rowOff>
    </xdr:from>
    <xdr:to>
      <xdr:col>4</xdr:col>
      <xdr:colOff>190500</xdr:colOff>
      <xdr:row>104</xdr:row>
      <xdr:rowOff>0</xdr:rowOff>
    </xdr:to>
    <xdr:sp macro="" textlink="">
      <xdr:nvSpPr>
        <xdr:cNvPr id="178" name="Line 237"/>
        <xdr:cNvSpPr>
          <a:spLocks noChangeShapeType="1"/>
        </xdr:cNvSpPr>
      </xdr:nvSpPr>
      <xdr:spPr bwMode="auto">
        <a:xfrm flipH="1">
          <a:off x="819150" y="17373600"/>
          <a:ext cx="1914525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390525</xdr:colOff>
      <xdr:row>103</xdr:row>
      <xdr:rowOff>152400</xdr:rowOff>
    </xdr:from>
    <xdr:to>
      <xdr:col>1</xdr:col>
      <xdr:colOff>390525</xdr:colOff>
      <xdr:row>113</xdr:row>
      <xdr:rowOff>133350</xdr:rowOff>
    </xdr:to>
    <xdr:sp macro="" textlink="">
      <xdr:nvSpPr>
        <xdr:cNvPr id="179" name="Line 238"/>
        <xdr:cNvSpPr>
          <a:spLocks noChangeShapeType="1"/>
        </xdr:cNvSpPr>
      </xdr:nvSpPr>
      <xdr:spPr bwMode="auto">
        <a:xfrm>
          <a:off x="1104900" y="17364075"/>
          <a:ext cx="0" cy="1600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257175</xdr:colOff>
      <xdr:row>102</xdr:row>
      <xdr:rowOff>85725</xdr:rowOff>
    </xdr:from>
    <xdr:to>
      <xdr:col>1</xdr:col>
      <xdr:colOff>600075</xdr:colOff>
      <xdr:row>102</xdr:row>
      <xdr:rowOff>85725</xdr:rowOff>
    </xdr:to>
    <xdr:sp macro="" textlink="">
      <xdr:nvSpPr>
        <xdr:cNvPr id="180" name="Line 239"/>
        <xdr:cNvSpPr>
          <a:spLocks noChangeShapeType="1"/>
        </xdr:cNvSpPr>
      </xdr:nvSpPr>
      <xdr:spPr bwMode="auto">
        <a:xfrm>
          <a:off x="971550" y="17135475"/>
          <a:ext cx="3429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438150</xdr:colOff>
      <xdr:row>99</xdr:row>
      <xdr:rowOff>66675</xdr:rowOff>
    </xdr:from>
    <xdr:to>
      <xdr:col>5</xdr:col>
      <xdr:colOff>561975</xdr:colOff>
      <xdr:row>99</xdr:row>
      <xdr:rowOff>142875</xdr:rowOff>
    </xdr:to>
    <xdr:sp macro="" textlink="">
      <xdr:nvSpPr>
        <xdr:cNvPr id="181" name="AutoShape 242"/>
        <xdr:cNvSpPr>
          <a:spLocks noChangeArrowheads="1"/>
        </xdr:cNvSpPr>
      </xdr:nvSpPr>
      <xdr:spPr bwMode="auto">
        <a:xfrm>
          <a:off x="3619500" y="16630650"/>
          <a:ext cx="123825" cy="76200"/>
        </a:xfrm>
        <a:prstGeom prst="flowChartMerge">
          <a:avLst/>
        </a:prstGeom>
        <a:solidFill>
          <a:srgbClr val="FFFFFF"/>
        </a:solidFill>
        <a:ln w="158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466725</xdr:colOff>
      <xdr:row>100</xdr:row>
      <xdr:rowOff>19050</xdr:rowOff>
    </xdr:from>
    <xdr:to>
      <xdr:col>5</xdr:col>
      <xdr:colOff>466725</xdr:colOff>
      <xdr:row>110</xdr:row>
      <xdr:rowOff>152400</xdr:rowOff>
    </xdr:to>
    <xdr:sp macro="" textlink="">
      <xdr:nvSpPr>
        <xdr:cNvPr id="182" name="Line 243"/>
        <xdr:cNvSpPr>
          <a:spLocks noChangeShapeType="1"/>
        </xdr:cNvSpPr>
      </xdr:nvSpPr>
      <xdr:spPr bwMode="auto">
        <a:xfrm flipH="1" flipV="1">
          <a:off x="3648075" y="16744950"/>
          <a:ext cx="0" cy="1752600"/>
        </a:xfrm>
        <a:prstGeom prst="line">
          <a:avLst/>
        </a:prstGeom>
        <a:noFill/>
        <a:ln w="9525">
          <a:solidFill>
            <a:sysClr val="windowText" lastClr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466726</xdr:colOff>
      <xdr:row>100</xdr:row>
      <xdr:rowOff>9525</xdr:rowOff>
    </xdr:from>
    <xdr:to>
      <xdr:col>6</xdr:col>
      <xdr:colOff>314326</xdr:colOff>
      <xdr:row>113</xdr:row>
      <xdr:rowOff>152400</xdr:rowOff>
    </xdr:to>
    <xdr:sp macro="" textlink="">
      <xdr:nvSpPr>
        <xdr:cNvPr id="183" name="Line 244"/>
        <xdr:cNvSpPr>
          <a:spLocks noChangeShapeType="1"/>
        </xdr:cNvSpPr>
      </xdr:nvSpPr>
      <xdr:spPr bwMode="auto">
        <a:xfrm>
          <a:off x="3648076" y="16735425"/>
          <a:ext cx="457200" cy="2247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466725</xdr:colOff>
      <xdr:row>113</xdr:row>
      <xdr:rowOff>142875</xdr:rowOff>
    </xdr:from>
    <xdr:to>
      <xdr:col>6</xdr:col>
      <xdr:colOff>304800</xdr:colOff>
      <xdr:row>113</xdr:row>
      <xdr:rowOff>142875</xdr:rowOff>
    </xdr:to>
    <xdr:sp macro="" textlink="">
      <xdr:nvSpPr>
        <xdr:cNvPr id="184" name="Line 245"/>
        <xdr:cNvSpPr>
          <a:spLocks noChangeShapeType="1"/>
        </xdr:cNvSpPr>
      </xdr:nvSpPr>
      <xdr:spPr bwMode="auto">
        <a:xfrm flipH="1">
          <a:off x="3648075" y="18973800"/>
          <a:ext cx="447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485775</xdr:colOff>
      <xdr:row>106</xdr:row>
      <xdr:rowOff>152400</xdr:rowOff>
    </xdr:from>
    <xdr:to>
      <xdr:col>6</xdr:col>
      <xdr:colOff>152400</xdr:colOff>
      <xdr:row>106</xdr:row>
      <xdr:rowOff>152400</xdr:rowOff>
    </xdr:to>
    <xdr:sp macro="" textlink="">
      <xdr:nvSpPr>
        <xdr:cNvPr id="185" name="Line 246"/>
        <xdr:cNvSpPr>
          <a:spLocks noChangeShapeType="1"/>
        </xdr:cNvSpPr>
      </xdr:nvSpPr>
      <xdr:spPr bwMode="auto">
        <a:xfrm flipH="1">
          <a:off x="3667125" y="17849850"/>
          <a:ext cx="2762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533400</xdr:colOff>
      <xdr:row>100</xdr:row>
      <xdr:rowOff>38100</xdr:rowOff>
    </xdr:from>
    <xdr:to>
      <xdr:col>6</xdr:col>
      <xdr:colOff>533400</xdr:colOff>
      <xdr:row>110</xdr:row>
      <xdr:rowOff>152400</xdr:rowOff>
    </xdr:to>
    <xdr:sp macro="" textlink="">
      <xdr:nvSpPr>
        <xdr:cNvPr id="186" name="Line 247"/>
        <xdr:cNvSpPr>
          <a:spLocks noChangeShapeType="1"/>
        </xdr:cNvSpPr>
      </xdr:nvSpPr>
      <xdr:spPr bwMode="auto">
        <a:xfrm>
          <a:off x="4324350" y="16764000"/>
          <a:ext cx="0" cy="17335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6</xdr:col>
      <xdr:colOff>542925</xdr:colOff>
      <xdr:row>110</xdr:row>
      <xdr:rowOff>152400</xdr:rowOff>
    </xdr:from>
    <xdr:to>
      <xdr:col>6</xdr:col>
      <xdr:colOff>542925</xdr:colOff>
      <xdr:row>114</xdr:row>
      <xdr:rowOff>19050</xdr:rowOff>
    </xdr:to>
    <xdr:sp macro="" textlink="">
      <xdr:nvSpPr>
        <xdr:cNvPr id="187" name="Line 248"/>
        <xdr:cNvSpPr>
          <a:spLocks noChangeShapeType="1"/>
        </xdr:cNvSpPr>
      </xdr:nvSpPr>
      <xdr:spPr bwMode="auto">
        <a:xfrm>
          <a:off x="4333875" y="18497550"/>
          <a:ext cx="0" cy="5143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6</xdr:col>
      <xdr:colOff>457200</xdr:colOff>
      <xdr:row>111</xdr:row>
      <xdr:rowOff>0</xdr:rowOff>
    </xdr:from>
    <xdr:to>
      <xdr:col>7</xdr:col>
      <xdr:colOff>0</xdr:colOff>
      <xdr:row>111</xdr:row>
      <xdr:rowOff>0</xdr:rowOff>
    </xdr:to>
    <xdr:sp macro="" textlink="">
      <xdr:nvSpPr>
        <xdr:cNvPr id="188" name="Line 249"/>
        <xdr:cNvSpPr>
          <a:spLocks noChangeShapeType="1"/>
        </xdr:cNvSpPr>
      </xdr:nvSpPr>
      <xdr:spPr bwMode="auto">
        <a:xfrm>
          <a:off x="4248150" y="1850707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485775</xdr:colOff>
      <xdr:row>113</xdr:row>
      <xdr:rowOff>152400</xdr:rowOff>
    </xdr:from>
    <xdr:to>
      <xdr:col>7</xdr:col>
      <xdr:colOff>0</xdr:colOff>
      <xdr:row>113</xdr:row>
      <xdr:rowOff>152400</xdr:rowOff>
    </xdr:to>
    <xdr:sp macro="" textlink="">
      <xdr:nvSpPr>
        <xdr:cNvPr id="189" name="Line 250"/>
        <xdr:cNvSpPr>
          <a:spLocks noChangeShapeType="1"/>
        </xdr:cNvSpPr>
      </xdr:nvSpPr>
      <xdr:spPr bwMode="auto">
        <a:xfrm>
          <a:off x="4276725" y="18983325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100</xdr:row>
      <xdr:rowOff>38100</xdr:rowOff>
    </xdr:from>
    <xdr:to>
      <xdr:col>7</xdr:col>
      <xdr:colOff>314325</xdr:colOff>
      <xdr:row>114</xdr:row>
      <xdr:rowOff>0</xdr:rowOff>
    </xdr:to>
    <xdr:sp macro="" textlink="">
      <xdr:nvSpPr>
        <xdr:cNvPr id="190" name="Line 252"/>
        <xdr:cNvSpPr>
          <a:spLocks noChangeShapeType="1"/>
        </xdr:cNvSpPr>
      </xdr:nvSpPr>
      <xdr:spPr bwMode="auto">
        <a:xfrm>
          <a:off x="4714875" y="16764000"/>
          <a:ext cx="0" cy="22288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133350</xdr:colOff>
      <xdr:row>104</xdr:row>
      <xdr:rowOff>28575</xdr:rowOff>
    </xdr:from>
    <xdr:to>
      <xdr:col>2</xdr:col>
      <xdr:colOff>133350</xdr:colOff>
      <xdr:row>111</xdr:row>
      <xdr:rowOff>19050</xdr:rowOff>
    </xdr:to>
    <xdr:sp macro="" textlink="">
      <xdr:nvSpPr>
        <xdr:cNvPr id="191" name="Line 254"/>
        <xdr:cNvSpPr>
          <a:spLocks noChangeShapeType="1"/>
        </xdr:cNvSpPr>
      </xdr:nvSpPr>
      <xdr:spPr bwMode="auto">
        <a:xfrm>
          <a:off x="1457325" y="17402175"/>
          <a:ext cx="0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0</xdr:col>
      <xdr:colOff>180975</xdr:colOff>
      <xdr:row>104</xdr:row>
      <xdr:rowOff>0</xdr:rowOff>
    </xdr:from>
    <xdr:to>
      <xdr:col>0</xdr:col>
      <xdr:colOff>180975</xdr:colOff>
      <xdr:row>113</xdr:row>
      <xdr:rowOff>152400</xdr:rowOff>
    </xdr:to>
    <xdr:sp macro="" textlink="">
      <xdr:nvSpPr>
        <xdr:cNvPr id="192" name="Line 256"/>
        <xdr:cNvSpPr>
          <a:spLocks noChangeShapeType="1"/>
        </xdr:cNvSpPr>
      </xdr:nvSpPr>
      <xdr:spPr bwMode="auto">
        <a:xfrm>
          <a:off x="180975" y="17373600"/>
          <a:ext cx="0" cy="1609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3</xdr:col>
      <xdr:colOff>38100</xdr:colOff>
      <xdr:row>103</xdr:row>
      <xdr:rowOff>152400</xdr:rowOff>
    </xdr:from>
    <xdr:to>
      <xdr:col>3</xdr:col>
      <xdr:colOff>152400</xdr:colOff>
      <xdr:row>104</xdr:row>
      <xdr:rowOff>0</xdr:rowOff>
    </xdr:to>
    <xdr:sp macro="" textlink="">
      <xdr:nvSpPr>
        <xdr:cNvPr id="193" name="Line 258"/>
        <xdr:cNvSpPr>
          <a:spLocks noChangeShapeType="1"/>
        </xdr:cNvSpPr>
      </xdr:nvSpPr>
      <xdr:spPr bwMode="auto">
        <a:xfrm flipV="1">
          <a:off x="1971675" y="17364075"/>
          <a:ext cx="1143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</xdr:colOff>
      <xdr:row>95</xdr:row>
      <xdr:rowOff>9525</xdr:rowOff>
    </xdr:from>
    <xdr:to>
      <xdr:col>5</xdr:col>
      <xdr:colOff>209550</xdr:colOff>
      <xdr:row>95</xdr:row>
      <xdr:rowOff>9525</xdr:rowOff>
    </xdr:to>
    <xdr:sp macro="" textlink="">
      <xdr:nvSpPr>
        <xdr:cNvPr id="194" name="Line 259"/>
        <xdr:cNvSpPr>
          <a:spLocks noChangeShapeType="1"/>
        </xdr:cNvSpPr>
      </xdr:nvSpPr>
      <xdr:spPr bwMode="auto">
        <a:xfrm flipV="1">
          <a:off x="3209925" y="15925800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95</xdr:row>
      <xdr:rowOff>9525</xdr:rowOff>
    </xdr:from>
    <xdr:to>
      <xdr:col>5</xdr:col>
      <xdr:colOff>114300</xdr:colOff>
      <xdr:row>111</xdr:row>
      <xdr:rowOff>9525</xdr:rowOff>
    </xdr:to>
    <xdr:sp macro="" textlink="">
      <xdr:nvSpPr>
        <xdr:cNvPr id="195" name="Line 260"/>
        <xdr:cNvSpPr>
          <a:spLocks noChangeShapeType="1"/>
        </xdr:cNvSpPr>
      </xdr:nvSpPr>
      <xdr:spPr bwMode="auto">
        <a:xfrm>
          <a:off x="3295650" y="15925800"/>
          <a:ext cx="0" cy="25908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180975</xdr:colOff>
      <xdr:row>95</xdr:row>
      <xdr:rowOff>9525</xdr:rowOff>
    </xdr:from>
    <xdr:to>
      <xdr:col>4</xdr:col>
      <xdr:colOff>180975</xdr:colOff>
      <xdr:row>103</xdr:row>
      <xdr:rowOff>142875</xdr:rowOff>
    </xdr:to>
    <xdr:sp macro="" textlink="">
      <xdr:nvSpPr>
        <xdr:cNvPr id="196" name="Line 261"/>
        <xdr:cNvSpPr>
          <a:spLocks noChangeShapeType="1"/>
        </xdr:cNvSpPr>
      </xdr:nvSpPr>
      <xdr:spPr bwMode="auto">
        <a:xfrm flipV="1">
          <a:off x="2724150" y="15925800"/>
          <a:ext cx="0" cy="142875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0</xdr:colOff>
      <xdr:row>104</xdr:row>
      <xdr:rowOff>0</xdr:rowOff>
    </xdr:from>
    <xdr:to>
      <xdr:col>4</xdr:col>
      <xdr:colOff>219075</xdr:colOff>
      <xdr:row>104</xdr:row>
      <xdr:rowOff>0</xdr:rowOff>
    </xdr:to>
    <xdr:sp macro="" textlink="">
      <xdr:nvSpPr>
        <xdr:cNvPr id="197" name="Line 263"/>
        <xdr:cNvSpPr>
          <a:spLocks noChangeShapeType="1"/>
        </xdr:cNvSpPr>
      </xdr:nvSpPr>
      <xdr:spPr bwMode="auto">
        <a:xfrm>
          <a:off x="2543175" y="1737360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200025</xdr:colOff>
      <xdr:row>94</xdr:row>
      <xdr:rowOff>0</xdr:rowOff>
    </xdr:from>
    <xdr:to>
      <xdr:col>4</xdr:col>
      <xdr:colOff>200025</xdr:colOff>
      <xdr:row>94</xdr:row>
      <xdr:rowOff>76200</xdr:rowOff>
    </xdr:to>
    <xdr:sp macro="" textlink="">
      <xdr:nvSpPr>
        <xdr:cNvPr id="198" name="Line 264"/>
        <xdr:cNvSpPr>
          <a:spLocks noChangeShapeType="1"/>
        </xdr:cNvSpPr>
      </xdr:nvSpPr>
      <xdr:spPr bwMode="auto">
        <a:xfrm>
          <a:off x="2743200" y="1575435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200025</xdr:colOff>
      <xdr:row>94</xdr:row>
      <xdr:rowOff>38100</xdr:rowOff>
    </xdr:from>
    <xdr:to>
      <xdr:col>4</xdr:col>
      <xdr:colOff>371475</xdr:colOff>
      <xdr:row>94</xdr:row>
      <xdr:rowOff>38100</xdr:rowOff>
    </xdr:to>
    <xdr:sp macro="" textlink="">
      <xdr:nvSpPr>
        <xdr:cNvPr id="199" name="Line 265"/>
        <xdr:cNvSpPr>
          <a:spLocks noChangeShapeType="1"/>
        </xdr:cNvSpPr>
      </xdr:nvSpPr>
      <xdr:spPr bwMode="auto">
        <a:xfrm>
          <a:off x="2743200" y="157924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276225</xdr:colOff>
      <xdr:row>93</xdr:row>
      <xdr:rowOff>66675</xdr:rowOff>
    </xdr:from>
    <xdr:to>
      <xdr:col>4</xdr:col>
      <xdr:colOff>285750</xdr:colOff>
      <xdr:row>94</xdr:row>
      <xdr:rowOff>38100</xdr:rowOff>
    </xdr:to>
    <xdr:sp macro="" textlink="">
      <xdr:nvSpPr>
        <xdr:cNvPr id="200" name="Line 266"/>
        <xdr:cNvSpPr>
          <a:spLocks noChangeShapeType="1"/>
        </xdr:cNvSpPr>
      </xdr:nvSpPr>
      <xdr:spPr bwMode="auto">
        <a:xfrm>
          <a:off x="2819400" y="15659100"/>
          <a:ext cx="952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809625</xdr:colOff>
      <xdr:row>93</xdr:row>
      <xdr:rowOff>66675</xdr:rowOff>
    </xdr:from>
    <xdr:to>
      <xdr:col>4</xdr:col>
      <xdr:colOff>276225</xdr:colOff>
      <xdr:row>93</xdr:row>
      <xdr:rowOff>66675</xdr:rowOff>
    </xdr:to>
    <xdr:sp macro="" textlink="">
      <xdr:nvSpPr>
        <xdr:cNvPr id="201" name="Line 267"/>
        <xdr:cNvSpPr>
          <a:spLocks noChangeShapeType="1"/>
        </xdr:cNvSpPr>
      </xdr:nvSpPr>
      <xdr:spPr bwMode="auto">
        <a:xfrm>
          <a:off x="2543175" y="1565910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117</xdr:row>
      <xdr:rowOff>152400</xdr:rowOff>
    </xdr:from>
    <xdr:to>
      <xdr:col>5</xdr:col>
      <xdr:colOff>466725</xdr:colOff>
      <xdr:row>118</xdr:row>
      <xdr:rowOff>0</xdr:rowOff>
    </xdr:to>
    <xdr:sp macro="" textlink="">
      <xdr:nvSpPr>
        <xdr:cNvPr id="202" name="Line 268"/>
        <xdr:cNvSpPr>
          <a:spLocks noChangeShapeType="1"/>
        </xdr:cNvSpPr>
      </xdr:nvSpPr>
      <xdr:spPr bwMode="auto">
        <a:xfrm flipV="1">
          <a:off x="1323975" y="19631025"/>
          <a:ext cx="23241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600076</xdr:colOff>
      <xdr:row>120</xdr:row>
      <xdr:rowOff>9524</xdr:rowOff>
    </xdr:from>
    <xdr:to>
      <xdr:col>5</xdr:col>
      <xdr:colOff>466726</xdr:colOff>
      <xdr:row>121</xdr:row>
      <xdr:rowOff>28574</xdr:rowOff>
    </xdr:to>
    <xdr:sp macro="" textlink="">
      <xdr:nvSpPr>
        <xdr:cNvPr id="203" name="Line 269"/>
        <xdr:cNvSpPr>
          <a:spLocks noChangeShapeType="1"/>
        </xdr:cNvSpPr>
      </xdr:nvSpPr>
      <xdr:spPr bwMode="auto">
        <a:xfrm>
          <a:off x="1314451" y="19973924"/>
          <a:ext cx="233362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457198</xdr:colOff>
      <xdr:row>119</xdr:row>
      <xdr:rowOff>49530</xdr:rowOff>
    </xdr:from>
    <xdr:to>
      <xdr:col>5</xdr:col>
      <xdr:colOff>685799</xdr:colOff>
      <xdr:row>119</xdr:row>
      <xdr:rowOff>95249</xdr:rowOff>
    </xdr:to>
    <xdr:sp macro="" textlink="">
      <xdr:nvSpPr>
        <xdr:cNvPr id="204" name="Line 276"/>
        <xdr:cNvSpPr>
          <a:spLocks noChangeShapeType="1"/>
        </xdr:cNvSpPr>
      </xdr:nvSpPr>
      <xdr:spPr bwMode="auto">
        <a:xfrm flipH="1">
          <a:off x="3638548" y="19852005"/>
          <a:ext cx="152401" cy="457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oneCellAnchor>
    <xdr:from>
      <xdr:col>2</xdr:col>
      <xdr:colOff>352425</xdr:colOff>
      <xdr:row>22</xdr:row>
      <xdr:rowOff>133350</xdr:rowOff>
    </xdr:from>
    <xdr:ext cx="123825" cy="180975"/>
    <xdr:sp macro="" textlink="">
      <xdr:nvSpPr>
        <xdr:cNvPr id="205" name="Text Box 301"/>
        <xdr:cNvSpPr txBox="1">
          <a:spLocks noChangeArrowheads="1"/>
        </xdr:cNvSpPr>
      </xdr:nvSpPr>
      <xdr:spPr bwMode="auto">
        <a:xfrm>
          <a:off x="1676400" y="3924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342900</xdr:colOff>
      <xdr:row>36</xdr:row>
      <xdr:rowOff>152400</xdr:rowOff>
    </xdr:from>
    <xdr:ext cx="123825" cy="180975"/>
    <xdr:sp macro="" textlink="">
      <xdr:nvSpPr>
        <xdr:cNvPr id="206" name="Text Box 304"/>
        <xdr:cNvSpPr txBox="1">
          <a:spLocks noChangeArrowheads="1"/>
        </xdr:cNvSpPr>
      </xdr:nvSpPr>
      <xdr:spPr bwMode="auto">
        <a:xfrm>
          <a:off x="2276475" y="6210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1</xdr:col>
      <xdr:colOff>438150</xdr:colOff>
      <xdr:row>178</xdr:row>
      <xdr:rowOff>0</xdr:rowOff>
    </xdr:from>
    <xdr:to>
      <xdr:col>4</xdr:col>
      <xdr:colOff>361950</xdr:colOff>
      <xdr:row>178</xdr:row>
      <xdr:rowOff>9525</xdr:rowOff>
    </xdr:to>
    <xdr:sp macro="" textlink="">
      <xdr:nvSpPr>
        <xdr:cNvPr id="207" name="Line 469"/>
        <xdr:cNvSpPr>
          <a:spLocks noChangeShapeType="1"/>
        </xdr:cNvSpPr>
      </xdr:nvSpPr>
      <xdr:spPr bwMode="auto">
        <a:xfrm>
          <a:off x="1152525" y="29613225"/>
          <a:ext cx="17526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178</xdr:row>
      <xdr:rowOff>0</xdr:rowOff>
    </xdr:from>
    <xdr:to>
      <xdr:col>5</xdr:col>
      <xdr:colOff>0</xdr:colOff>
      <xdr:row>195</xdr:row>
      <xdr:rowOff>9525</xdr:rowOff>
    </xdr:to>
    <xdr:sp macro="" textlink="">
      <xdr:nvSpPr>
        <xdr:cNvPr id="208" name="Line 470"/>
        <xdr:cNvSpPr>
          <a:spLocks noChangeShapeType="1"/>
        </xdr:cNvSpPr>
      </xdr:nvSpPr>
      <xdr:spPr bwMode="auto">
        <a:xfrm>
          <a:off x="3181350" y="29613225"/>
          <a:ext cx="0" cy="2762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195</xdr:row>
      <xdr:rowOff>0</xdr:rowOff>
    </xdr:from>
    <xdr:to>
      <xdr:col>5</xdr:col>
      <xdr:colOff>476250</xdr:colOff>
      <xdr:row>195</xdr:row>
      <xdr:rowOff>0</xdr:rowOff>
    </xdr:to>
    <xdr:sp macro="" textlink="">
      <xdr:nvSpPr>
        <xdr:cNvPr id="209" name="Line 471"/>
        <xdr:cNvSpPr>
          <a:spLocks noChangeShapeType="1"/>
        </xdr:cNvSpPr>
      </xdr:nvSpPr>
      <xdr:spPr bwMode="auto">
        <a:xfrm>
          <a:off x="3181350" y="32365950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195</xdr:row>
      <xdr:rowOff>9525</xdr:rowOff>
    </xdr:from>
    <xdr:to>
      <xdr:col>5</xdr:col>
      <xdr:colOff>476250</xdr:colOff>
      <xdr:row>198</xdr:row>
      <xdr:rowOff>0</xdr:rowOff>
    </xdr:to>
    <xdr:sp macro="" textlink="">
      <xdr:nvSpPr>
        <xdr:cNvPr id="210" name="Line 472"/>
        <xdr:cNvSpPr>
          <a:spLocks noChangeShapeType="1"/>
        </xdr:cNvSpPr>
      </xdr:nvSpPr>
      <xdr:spPr bwMode="auto">
        <a:xfrm>
          <a:off x="3657600" y="32375475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197</xdr:row>
      <xdr:rowOff>152400</xdr:rowOff>
    </xdr:from>
    <xdr:to>
      <xdr:col>5</xdr:col>
      <xdr:colOff>161925</xdr:colOff>
      <xdr:row>198</xdr:row>
      <xdr:rowOff>0</xdr:rowOff>
    </xdr:to>
    <xdr:sp macro="" textlink="">
      <xdr:nvSpPr>
        <xdr:cNvPr id="211" name="Line 473"/>
        <xdr:cNvSpPr>
          <a:spLocks noChangeShapeType="1"/>
        </xdr:cNvSpPr>
      </xdr:nvSpPr>
      <xdr:spPr bwMode="auto">
        <a:xfrm flipH="1" flipV="1">
          <a:off x="1314450" y="32842200"/>
          <a:ext cx="202882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194</xdr:row>
      <xdr:rowOff>152400</xdr:rowOff>
    </xdr:from>
    <xdr:to>
      <xdr:col>2</xdr:col>
      <xdr:colOff>0</xdr:colOff>
      <xdr:row>197</xdr:row>
      <xdr:rowOff>152400</xdr:rowOff>
    </xdr:to>
    <xdr:sp macro="" textlink="">
      <xdr:nvSpPr>
        <xdr:cNvPr id="212" name="Line 474"/>
        <xdr:cNvSpPr>
          <a:spLocks noChangeShapeType="1"/>
        </xdr:cNvSpPr>
      </xdr:nvSpPr>
      <xdr:spPr bwMode="auto">
        <a:xfrm flipV="1">
          <a:off x="1323975" y="32356425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195</xdr:row>
      <xdr:rowOff>0</xdr:rowOff>
    </xdr:from>
    <xdr:to>
      <xdr:col>4</xdr:col>
      <xdr:colOff>0</xdr:colOff>
      <xdr:row>195</xdr:row>
      <xdr:rowOff>0</xdr:rowOff>
    </xdr:to>
    <xdr:sp macro="" textlink="">
      <xdr:nvSpPr>
        <xdr:cNvPr id="213" name="Line 475"/>
        <xdr:cNvSpPr>
          <a:spLocks noChangeShapeType="1"/>
        </xdr:cNvSpPr>
      </xdr:nvSpPr>
      <xdr:spPr bwMode="auto">
        <a:xfrm>
          <a:off x="1314450" y="32365950"/>
          <a:ext cx="1228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178</xdr:row>
      <xdr:rowOff>0</xdr:rowOff>
    </xdr:from>
    <xdr:to>
      <xdr:col>4</xdr:col>
      <xdr:colOff>381000</xdr:colOff>
      <xdr:row>195</xdr:row>
      <xdr:rowOff>0</xdr:rowOff>
    </xdr:to>
    <xdr:sp macro="" textlink="">
      <xdr:nvSpPr>
        <xdr:cNvPr id="214" name="Line 476"/>
        <xdr:cNvSpPr>
          <a:spLocks noChangeShapeType="1"/>
        </xdr:cNvSpPr>
      </xdr:nvSpPr>
      <xdr:spPr bwMode="auto">
        <a:xfrm flipV="1">
          <a:off x="2552700" y="29613225"/>
          <a:ext cx="371475" cy="27527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198</xdr:row>
      <xdr:rowOff>0</xdr:rowOff>
    </xdr:from>
    <xdr:to>
      <xdr:col>5</xdr:col>
      <xdr:colOff>476250</xdr:colOff>
      <xdr:row>199</xdr:row>
      <xdr:rowOff>0</xdr:rowOff>
    </xdr:to>
    <xdr:sp macro="" textlink="">
      <xdr:nvSpPr>
        <xdr:cNvPr id="215" name="Line 477"/>
        <xdr:cNvSpPr>
          <a:spLocks noChangeShapeType="1"/>
        </xdr:cNvSpPr>
      </xdr:nvSpPr>
      <xdr:spPr bwMode="auto">
        <a:xfrm>
          <a:off x="3657600" y="32851725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199</xdr:row>
      <xdr:rowOff>9525</xdr:rowOff>
    </xdr:from>
    <xdr:to>
      <xdr:col>5</xdr:col>
      <xdr:colOff>476250</xdr:colOff>
      <xdr:row>199</xdr:row>
      <xdr:rowOff>9525</xdr:rowOff>
    </xdr:to>
    <xdr:sp macro="" textlink="">
      <xdr:nvSpPr>
        <xdr:cNvPr id="216" name="Line 478"/>
        <xdr:cNvSpPr>
          <a:spLocks noChangeShapeType="1"/>
        </xdr:cNvSpPr>
      </xdr:nvSpPr>
      <xdr:spPr bwMode="auto">
        <a:xfrm flipH="1">
          <a:off x="3524250" y="33023175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197</xdr:row>
      <xdr:rowOff>152400</xdr:rowOff>
    </xdr:from>
    <xdr:to>
      <xdr:col>5</xdr:col>
      <xdr:colOff>352425</xdr:colOff>
      <xdr:row>199</xdr:row>
      <xdr:rowOff>19050</xdr:rowOff>
    </xdr:to>
    <xdr:sp macro="" textlink="">
      <xdr:nvSpPr>
        <xdr:cNvPr id="217" name="Line 479"/>
        <xdr:cNvSpPr>
          <a:spLocks noChangeShapeType="1"/>
        </xdr:cNvSpPr>
      </xdr:nvSpPr>
      <xdr:spPr bwMode="auto">
        <a:xfrm flipH="1" flipV="1">
          <a:off x="3343275" y="32842200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199</xdr:row>
      <xdr:rowOff>76200</xdr:rowOff>
    </xdr:from>
    <xdr:to>
      <xdr:col>5</xdr:col>
      <xdr:colOff>485775</xdr:colOff>
      <xdr:row>200</xdr:row>
      <xdr:rowOff>28575</xdr:rowOff>
    </xdr:to>
    <xdr:sp macro="" textlink="">
      <xdr:nvSpPr>
        <xdr:cNvPr id="218" name="Line 480"/>
        <xdr:cNvSpPr>
          <a:spLocks noChangeShapeType="1"/>
        </xdr:cNvSpPr>
      </xdr:nvSpPr>
      <xdr:spPr bwMode="auto">
        <a:xfrm>
          <a:off x="3667125" y="330898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199</xdr:row>
      <xdr:rowOff>76200</xdr:rowOff>
    </xdr:from>
    <xdr:to>
      <xdr:col>5</xdr:col>
      <xdr:colOff>352425</xdr:colOff>
      <xdr:row>200</xdr:row>
      <xdr:rowOff>38100</xdr:rowOff>
    </xdr:to>
    <xdr:sp macro="" textlink="">
      <xdr:nvSpPr>
        <xdr:cNvPr id="219" name="Line 481"/>
        <xdr:cNvSpPr>
          <a:spLocks noChangeShapeType="1"/>
        </xdr:cNvSpPr>
      </xdr:nvSpPr>
      <xdr:spPr bwMode="auto">
        <a:xfrm>
          <a:off x="3533775" y="3308985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200</xdr:row>
      <xdr:rowOff>0</xdr:rowOff>
    </xdr:from>
    <xdr:to>
      <xdr:col>5</xdr:col>
      <xdr:colOff>485775</xdr:colOff>
      <xdr:row>200</xdr:row>
      <xdr:rowOff>0</xdr:rowOff>
    </xdr:to>
    <xdr:sp macro="" textlink="">
      <xdr:nvSpPr>
        <xdr:cNvPr id="220" name="Line 482"/>
        <xdr:cNvSpPr>
          <a:spLocks noChangeShapeType="1"/>
        </xdr:cNvSpPr>
      </xdr:nvSpPr>
      <xdr:spPr bwMode="auto">
        <a:xfrm>
          <a:off x="3533775" y="331755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199</xdr:row>
      <xdr:rowOff>114300</xdr:rowOff>
    </xdr:from>
    <xdr:to>
      <xdr:col>5</xdr:col>
      <xdr:colOff>180975</xdr:colOff>
      <xdr:row>200</xdr:row>
      <xdr:rowOff>28575</xdr:rowOff>
    </xdr:to>
    <xdr:sp macro="" textlink="">
      <xdr:nvSpPr>
        <xdr:cNvPr id="221" name="Line 483"/>
        <xdr:cNvSpPr>
          <a:spLocks noChangeShapeType="1"/>
        </xdr:cNvSpPr>
      </xdr:nvSpPr>
      <xdr:spPr bwMode="auto">
        <a:xfrm>
          <a:off x="3362325" y="3312795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200</xdr:row>
      <xdr:rowOff>0</xdr:rowOff>
    </xdr:from>
    <xdr:to>
      <xdr:col>5</xdr:col>
      <xdr:colOff>352425</xdr:colOff>
      <xdr:row>200</xdr:row>
      <xdr:rowOff>0</xdr:rowOff>
    </xdr:to>
    <xdr:sp macro="" textlink="">
      <xdr:nvSpPr>
        <xdr:cNvPr id="222" name="Line 484"/>
        <xdr:cNvSpPr>
          <a:spLocks noChangeShapeType="1"/>
        </xdr:cNvSpPr>
      </xdr:nvSpPr>
      <xdr:spPr bwMode="auto">
        <a:xfrm>
          <a:off x="3362325" y="331755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200</xdr:row>
      <xdr:rowOff>19050</xdr:rowOff>
    </xdr:from>
    <xdr:to>
      <xdr:col>5</xdr:col>
      <xdr:colOff>428625</xdr:colOff>
      <xdr:row>200</xdr:row>
      <xdr:rowOff>104775</xdr:rowOff>
    </xdr:to>
    <xdr:sp macro="" textlink="">
      <xdr:nvSpPr>
        <xdr:cNvPr id="223" name="Line 485"/>
        <xdr:cNvSpPr>
          <a:spLocks noChangeShapeType="1"/>
        </xdr:cNvSpPr>
      </xdr:nvSpPr>
      <xdr:spPr bwMode="auto">
        <a:xfrm flipV="1">
          <a:off x="3609975" y="331946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200</xdr:row>
      <xdr:rowOff>104775</xdr:rowOff>
    </xdr:from>
    <xdr:to>
      <xdr:col>6</xdr:col>
      <xdr:colOff>76200</xdr:colOff>
      <xdr:row>200</xdr:row>
      <xdr:rowOff>104775</xdr:rowOff>
    </xdr:to>
    <xdr:sp macro="" textlink="">
      <xdr:nvSpPr>
        <xdr:cNvPr id="224" name="Line 486"/>
        <xdr:cNvSpPr>
          <a:spLocks noChangeShapeType="1"/>
        </xdr:cNvSpPr>
      </xdr:nvSpPr>
      <xdr:spPr bwMode="auto">
        <a:xfrm>
          <a:off x="3629025" y="3328035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200</xdr:row>
      <xdr:rowOff>0</xdr:rowOff>
    </xdr:from>
    <xdr:to>
      <xdr:col>5</xdr:col>
      <xdr:colOff>285750</xdr:colOff>
      <xdr:row>201</xdr:row>
      <xdr:rowOff>57150</xdr:rowOff>
    </xdr:to>
    <xdr:sp macro="" textlink="">
      <xdr:nvSpPr>
        <xdr:cNvPr id="225" name="Line 487"/>
        <xdr:cNvSpPr>
          <a:spLocks noChangeShapeType="1"/>
        </xdr:cNvSpPr>
      </xdr:nvSpPr>
      <xdr:spPr bwMode="auto">
        <a:xfrm flipV="1">
          <a:off x="3467100" y="33175575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201</xdr:row>
      <xdr:rowOff>47625</xdr:rowOff>
    </xdr:from>
    <xdr:to>
      <xdr:col>6</xdr:col>
      <xdr:colOff>76200</xdr:colOff>
      <xdr:row>201</xdr:row>
      <xdr:rowOff>47625</xdr:rowOff>
    </xdr:to>
    <xdr:sp macro="" textlink="">
      <xdr:nvSpPr>
        <xdr:cNvPr id="226" name="Line 488"/>
        <xdr:cNvSpPr>
          <a:spLocks noChangeShapeType="1"/>
        </xdr:cNvSpPr>
      </xdr:nvSpPr>
      <xdr:spPr bwMode="auto">
        <a:xfrm>
          <a:off x="3467100" y="33385125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202</xdr:row>
      <xdr:rowOff>152400</xdr:rowOff>
    </xdr:from>
    <xdr:to>
      <xdr:col>5</xdr:col>
      <xdr:colOff>504825</xdr:colOff>
      <xdr:row>203</xdr:row>
      <xdr:rowOff>0</xdr:rowOff>
    </xdr:to>
    <xdr:sp macro="" textlink="">
      <xdr:nvSpPr>
        <xdr:cNvPr id="227" name="Line 489"/>
        <xdr:cNvSpPr>
          <a:spLocks noChangeShapeType="1"/>
        </xdr:cNvSpPr>
      </xdr:nvSpPr>
      <xdr:spPr bwMode="auto">
        <a:xfrm flipH="1">
          <a:off x="3181350" y="33651825"/>
          <a:ext cx="5048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0</xdr:colOff>
      <xdr:row>203</xdr:row>
      <xdr:rowOff>9525</xdr:rowOff>
    </xdr:from>
    <xdr:to>
      <xdr:col>5</xdr:col>
      <xdr:colOff>0</xdr:colOff>
      <xdr:row>203</xdr:row>
      <xdr:rowOff>9525</xdr:rowOff>
    </xdr:to>
    <xdr:sp macro="" textlink="">
      <xdr:nvSpPr>
        <xdr:cNvPr id="228" name="Line 490"/>
        <xdr:cNvSpPr>
          <a:spLocks noChangeShapeType="1"/>
        </xdr:cNvSpPr>
      </xdr:nvSpPr>
      <xdr:spPr bwMode="auto">
        <a:xfrm flipH="1">
          <a:off x="2543175" y="33670875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600075</xdr:colOff>
      <xdr:row>203</xdr:row>
      <xdr:rowOff>9525</xdr:rowOff>
    </xdr:from>
    <xdr:to>
      <xdr:col>4</xdr:col>
      <xdr:colOff>19050</xdr:colOff>
      <xdr:row>203</xdr:row>
      <xdr:rowOff>9525</xdr:rowOff>
    </xdr:to>
    <xdr:sp macro="" textlink="">
      <xdr:nvSpPr>
        <xdr:cNvPr id="229" name="Line 491"/>
        <xdr:cNvSpPr>
          <a:spLocks noChangeShapeType="1"/>
        </xdr:cNvSpPr>
      </xdr:nvSpPr>
      <xdr:spPr bwMode="auto">
        <a:xfrm flipH="1">
          <a:off x="1314450" y="33670875"/>
          <a:ext cx="1247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202</xdr:row>
      <xdr:rowOff>104775</xdr:rowOff>
    </xdr:from>
    <xdr:to>
      <xdr:col>2</xdr:col>
      <xdr:colOff>0</xdr:colOff>
      <xdr:row>203</xdr:row>
      <xdr:rowOff>95250</xdr:rowOff>
    </xdr:to>
    <xdr:sp macro="" textlink="">
      <xdr:nvSpPr>
        <xdr:cNvPr id="230" name="Line 492"/>
        <xdr:cNvSpPr>
          <a:spLocks noChangeShapeType="1"/>
        </xdr:cNvSpPr>
      </xdr:nvSpPr>
      <xdr:spPr bwMode="auto">
        <a:xfrm>
          <a:off x="1323975" y="336042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202</xdr:row>
      <xdr:rowOff>104775</xdr:rowOff>
    </xdr:from>
    <xdr:to>
      <xdr:col>4</xdr:col>
      <xdr:colOff>0</xdr:colOff>
      <xdr:row>203</xdr:row>
      <xdr:rowOff>47625</xdr:rowOff>
    </xdr:to>
    <xdr:sp macro="" textlink="">
      <xdr:nvSpPr>
        <xdr:cNvPr id="231" name="Line 493"/>
        <xdr:cNvSpPr>
          <a:spLocks noChangeShapeType="1"/>
        </xdr:cNvSpPr>
      </xdr:nvSpPr>
      <xdr:spPr bwMode="auto">
        <a:xfrm>
          <a:off x="2543175" y="336042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202</xdr:row>
      <xdr:rowOff>104775</xdr:rowOff>
    </xdr:from>
    <xdr:to>
      <xdr:col>5</xdr:col>
      <xdr:colOff>0</xdr:colOff>
      <xdr:row>203</xdr:row>
      <xdr:rowOff>38100</xdr:rowOff>
    </xdr:to>
    <xdr:sp macro="" textlink="">
      <xdr:nvSpPr>
        <xdr:cNvPr id="232" name="Line 494"/>
        <xdr:cNvSpPr>
          <a:spLocks noChangeShapeType="1"/>
        </xdr:cNvSpPr>
      </xdr:nvSpPr>
      <xdr:spPr bwMode="auto">
        <a:xfrm>
          <a:off x="3181350" y="336042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202</xdr:row>
      <xdr:rowOff>123825</xdr:rowOff>
    </xdr:from>
    <xdr:to>
      <xdr:col>5</xdr:col>
      <xdr:colOff>514350</xdr:colOff>
      <xdr:row>203</xdr:row>
      <xdr:rowOff>57150</xdr:rowOff>
    </xdr:to>
    <xdr:sp macro="" textlink="">
      <xdr:nvSpPr>
        <xdr:cNvPr id="233" name="Line 495"/>
        <xdr:cNvSpPr>
          <a:spLocks noChangeShapeType="1"/>
        </xdr:cNvSpPr>
      </xdr:nvSpPr>
      <xdr:spPr bwMode="auto">
        <a:xfrm>
          <a:off x="3695700" y="336232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187</xdr:row>
      <xdr:rowOff>152400</xdr:rowOff>
    </xdr:from>
    <xdr:to>
      <xdr:col>4</xdr:col>
      <xdr:colOff>0</xdr:colOff>
      <xdr:row>195</xdr:row>
      <xdr:rowOff>0</xdr:rowOff>
    </xdr:to>
    <xdr:sp macro="" textlink="">
      <xdr:nvSpPr>
        <xdr:cNvPr id="234" name="Line 496"/>
        <xdr:cNvSpPr>
          <a:spLocks noChangeShapeType="1"/>
        </xdr:cNvSpPr>
      </xdr:nvSpPr>
      <xdr:spPr bwMode="auto">
        <a:xfrm>
          <a:off x="2543175" y="31222950"/>
          <a:ext cx="0" cy="114300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381000</xdr:colOff>
      <xdr:row>178</xdr:row>
      <xdr:rowOff>0</xdr:rowOff>
    </xdr:from>
    <xdr:to>
      <xdr:col>4</xdr:col>
      <xdr:colOff>381000</xdr:colOff>
      <xdr:row>195</xdr:row>
      <xdr:rowOff>0</xdr:rowOff>
    </xdr:to>
    <xdr:sp macro="" textlink="">
      <xdr:nvSpPr>
        <xdr:cNvPr id="235" name="Line 497"/>
        <xdr:cNvSpPr>
          <a:spLocks noChangeShapeType="1"/>
        </xdr:cNvSpPr>
      </xdr:nvSpPr>
      <xdr:spPr bwMode="auto">
        <a:xfrm>
          <a:off x="2924175" y="29613225"/>
          <a:ext cx="0" cy="2752725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28575</xdr:colOff>
      <xdr:row>195</xdr:row>
      <xdr:rowOff>0</xdr:rowOff>
    </xdr:from>
    <xdr:to>
      <xdr:col>5</xdr:col>
      <xdr:colOff>0</xdr:colOff>
      <xdr:row>195</xdr:row>
      <xdr:rowOff>0</xdr:rowOff>
    </xdr:to>
    <xdr:sp macro="" textlink="">
      <xdr:nvSpPr>
        <xdr:cNvPr id="236" name="Line 498"/>
        <xdr:cNvSpPr>
          <a:spLocks noChangeShapeType="1"/>
        </xdr:cNvSpPr>
      </xdr:nvSpPr>
      <xdr:spPr bwMode="auto">
        <a:xfrm>
          <a:off x="2571750" y="323659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171450</xdr:colOff>
      <xdr:row>197</xdr:row>
      <xdr:rowOff>152400</xdr:rowOff>
    </xdr:from>
    <xdr:to>
      <xdr:col>5</xdr:col>
      <xdr:colOff>476250</xdr:colOff>
      <xdr:row>198</xdr:row>
      <xdr:rowOff>0</xdr:rowOff>
    </xdr:to>
    <xdr:sp macro="" textlink="">
      <xdr:nvSpPr>
        <xdr:cNvPr id="237" name="Line 500"/>
        <xdr:cNvSpPr>
          <a:spLocks noChangeShapeType="1"/>
        </xdr:cNvSpPr>
      </xdr:nvSpPr>
      <xdr:spPr bwMode="auto">
        <a:xfrm>
          <a:off x="3352800" y="32842200"/>
          <a:ext cx="30480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198</xdr:row>
      <xdr:rowOff>0</xdr:rowOff>
    </xdr:from>
    <xdr:to>
      <xdr:col>5</xdr:col>
      <xdr:colOff>342900</xdr:colOff>
      <xdr:row>199</xdr:row>
      <xdr:rowOff>9525</xdr:rowOff>
    </xdr:to>
    <xdr:sp macro="" textlink="">
      <xdr:nvSpPr>
        <xdr:cNvPr id="238" name="Line 501"/>
        <xdr:cNvSpPr>
          <a:spLocks noChangeShapeType="1"/>
        </xdr:cNvSpPr>
      </xdr:nvSpPr>
      <xdr:spPr bwMode="auto">
        <a:xfrm flipV="1">
          <a:off x="3524250" y="32851725"/>
          <a:ext cx="0" cy="17145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0</xdr:colOff>
      <xdr:row>198</xdr:row>
      <xdr:rowOff>57150</xdr:rowOff>
    </xdr:from>
    <xdr:to>
      <xdr:col>5</xdr:col>
      <xdr:colOff>285750</xdr:colOff>
      <xdr:row>199</xdr:row>
      <xdr:rowOff>66675</xdr:rowOff>
    </xdr:to>
    <xdr:sp macro="" textlink="">
      <xdr:nvSpPr>
        <xdr:cNvPr id="239" name="Line 502"/>
        <xdr:cNvSpPr>
          <a:spLocks noChangeShapeType="1"/>
        </xdr:cNvSpPr>
      </xdr:nvSpPr>
      <xdr:spPr bwMode="auto">
        <a:xfrm flipV="1">
          <a:off x="3181350" y="32908875"/>
          <a:ext cx="2857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419100</xdr:colOff>
      <xdr:row>198</xdr:row>
      <xdr:rowOff>104775</xdr:rowOff>
    </xdr:from>
    <xdr:to>
      <xdr:col>6</xdr:col>
      <xdr:colOff>0</xdr:colOff>
      <xdr:row>199</xdr:row>
      <xdr:rowOff>85725</xdr:rowOff>
    </xdr:to>
    <xdr:sp macro="" textlink="">
      <xdr:nvSpPr>
        <xdr:cNvPr id="240" name="Line 503"/>
        <xdr:cNvSpPr>
          <a:spLocks noChangeShapeType="1"/>
        </xdr:cNvSpPr>
      </xdr:nvSpPr>
      <xdr:spPr bwMode="auto">
        <a:xfrm flipH="1" flipV="1">
          <a:off x="3600450" y="32956500"/>
          <a:ext cx="19050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228600</xdr:colOff>
      <xdr:row>178</xdr:row>
      <xdr:rowOff>9525</xdr:rowOff>
    </xdr:from>
    <xdr:to>
      <xdr:col>2</xdr:col>
      <xdr:colOff>381000</xdr:colOff>
      <xdr:row>178</xdr:row>
      <xdr:rowOff>104775</xdr:rowOff>
    </xdr:to>
    <xdr:sp macro="" textlink="">
      <xdr:nvSpPr>
        <xdr:cNvPr id="241" name="Line 504"/>
        <xdr:cNvSpPr>
          <a:spLocks noChangeShapeType="1"/>
        </xdr:cNvSpPr>
      </xdr:nvSpPr>
      <xdr:spPr bwMode="auto">
        <a:xfrm flipH="1">
          <a:off x="1552575" y="296227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178</xdr:row>
      <xdr:rowOff>0</xdr:rowOff>
    </xdr:from>
    <xdr:to>
      <xdr:col>2</xdr:col>
      <xdr:colOff>514350</xdr:colOff>
      <xdr:row>178</xdr:row>
      <xdr:rowOff>123825</xdr:rowOff>
    </xdr:to>
    <xdr:sp macro="" textlink="">
      <xdr:nvSpPr>
        <xdr:cNvPr id="242" name="Line 505"/>
        <xdr:cNvSpPr>
          <a:spLocks noChangeShapeType="1"/>
        </xdr:cNvSpPr>
      </xdr:nvSpPr>
      <xdr:spPr bwMode="auto">
        <a:xfrm>
          <a:off x="1714500" y="296132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178</xdr:row>
      <xdr:rowOff>0</xdr:rowOff>
    </xdr:from>
    <xdr:to>
      <xdr:col>2</xdr:col>
      <xdr:colOff>514350</xdr:colOff>
      <xdr:row>178</xdr:row>
      <xdr:rowOff>114300</xdr:rowOff>
    </xdr:to>
    <xdr:sp macro="" textlink="">
      <xdr:nvSpPr>
        <xdr:cNvPr id="243" name="Line 506"/>
        <xdr:cNvSpPr>
          <a:spLocks noChangeShapeType="1"/>
        </xdr:cNvSpPr>
      </xdr:nvSpPr>
      <xdr:spPr bwMode="auto">
        <a:xfrm flipV="1">
          <a:off x="1695450" y="296132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238125</xdr:colOff>
      <xdr:row>178</xdr:row>
      <xdr:rowOff>19050</xdr:rowOff>
    </xdr:from>
    <xdr:to>
      <xdr:col>3</xdr:col>
      <xdr:colOff>352425</xdr:colOff>
      <xdr:row>178</xdr:row>
      <xdr:rowOff>142875</xdr:rowOff>
    </xdr:to>
    <xdr:sp macro="" textlink="">
      <xdr:nvSpPr>
        <xdr:cNvPr id="244" name="Line 507"/>
        <xdr:cNvSpPr>
          <a:spLocks noChangeShapeType="1"/>
        </xdr:cNvSpPr>
      </xdr:nvSpPr>
      <xdr:spPr bwMode="auto">
        <a:xfrm>
          <a:off x="2171700" y="29632275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178</xdr:row>
      <xdr:rowOff>9525</xdr:rowOff>
    </xdr:from>
    <xdr:to>
      <xdr:col>3</xdr:col>
      <xdr:colOff>381000</xdr:colOff>
      <xdr:row>178</xdr:row>
      <xdr:rowOff>104775</xdr:rowOff>
    </xdr:to>
    <xdr:sp macro="" textlink="">
      <xdr:nvSpPr>
        <xdr:cNvPr id="245" name="Line 508"/>
        <xdr:cNvSpPr>
          <a:spLocks noChangeShapeType="1"/>
        </xdr:cNvSpPr>
      </xdr:nvSpPr>
      <xdr:spPr bwMode="auto">
        <a:xfrm flipH="1">
          <a:off x="2162175" y="296227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178</xdr:row>
      <xdr:rowOff>0</xdr:rowOff>
    </xdr:from>
    <xdr:to>
      <xdr:col>3</xdr:col>
      <xdr:colOff>514350</xdr:colOff>
      <xdr:row>178</xdr:row>
      <xdr:rowOff>123825</xdr:rowOff>
    </xdr:to>
    <xdr:sp macro="" textlink="">
      <xdr:nvSpPr>
        <xdr:cNvPr id="246" name="Line 509"/>
        <xdr:cNvSpPr>
          <a:spLocks noChangeShapeType="1"/>
        </xdr:cNvSpPr>
      </xdr:nvSpPr>
      <xdr:spPr bwMode="auto">
        <a:xfrm>
          <a:off x="2324100" y="296132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178</xdr:row>
      <xdr:rowOff>0</xdr:rowOff>
    </xdr:from>
    <xdr:to>
      <xdr:col>3</xdr:col>
      <xdr:colOff>514350</xdr:colOff>
      <xdr:row>178</xdr:row>
      <xdr:rowOff>114300</xdr:rowOff>
    </xdr:to>
    <xdr:sp macro="" textlink="">
      <xdr:nvSpPr>
        <xdr:cNvPr id="247" name="Line 510"/>
        <xdr:cNvSpPr>
          <a:spLocks noChangeShapeType="1"/>
        </xdr:cNvSpPr>
      </xdr:nvSpPr>
      <xdr:spPr bwMode="auto">
        <a:xfrm flipV="1">
          <a:off x="2305050" y="296132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178</xdr:row>
      <xdr:rowOff>9525</xdr:rowOff>
    </xdr:from>
    <xdr:to>
      <xdr:col>3</xdr:col>
      <xdr:colOff>381000</xdr:colOff>
      <xdr:row>178</xdr:row>
      <xdr:rowOff>104775</xdr:rowOff>
    </xdr:to>
    <xdr:sp macro="" textlink="">
      <xdr:nvSpPr>
        <xdr:cNvPr id="248" name="Line 511"/>
        <xdr:cNvSpPr>
          <a:spLocks noChangeShapeType="1"/>
        </xdr:cNvSpPr>
      </xdr:nvSpPr>
      <xdr:spPr bwMode="auto">
        <a:xfrm flipH="1">
          <a:off x="2162175" y="296227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178</xdr:row>
      <xdr:rowOff>0</xdr:rowOff>
    </xdr:from>
    <xdr:to>
      <xdr:col>3</xdr:col>
      <xdr:colOff>514350</xdr:colOff>
      <xdr:row>178</xdr:row>
      <xdr:rowOff>123825</xdr:rowOff>
    </xdr:to>
    <xdr:sp macro="" textlink="">
      <xdr:nvSpPr>
        <xdr:cNvPr id="249" name="Line 512"/>
        <xdr:cNvSpPr>
          <a:spLocks noChangeShapeType="1"/>
        </xdr:cNvSpPr>
      </xdr:nvSpPr>
      <xdr:spPr bwMode="auto">
        <a:xfrm>
          <a:off x="2324100" y="296132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178</xdr:row>
      <xdr:rowOff>0</xdr:rowOff>
    </xdr:from>
    <xdr:to>
      <xdr:col>3</xdr:col>
      <xdr:colOff>514350</xdr:colOff>
      <xdr:row>178</xdr:row>
      <xdr:rowOff>114300</xdr:rowOff>
    </xdr:to>
    <xdr:sp macro="" textlink="">
      <xdr:nvSpPr>
        <xdr:cNvPr id="250" name="Line 513"/>
        <xdr:cNvSpPr>
          <a:spLocks noChangeShapeType="1"/>
        </xdr:cNvSpPr>
      </xdr:nvSpPr>
      <xdr:spPr bwMode="auto">
        <a:xfrm flipV="1">
          <a:off x="2305050" y="296132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178</xdr:row>
      <xdr:rowOff>38100</xdr:rowOff>
    </xdr:from>
    <xdr:to>
      <xdr:col>3</xdr:col>
      <xdr:colOff>809625</xdr:colOff>
      <xdr:row>179</xdr:row>
      <xdr:rowOff>0</xdr:rowOff>
    </xdr:to>
    <xdr:sp macro="" textlink="">
      <xdr:nvSpPr>
        <xdr:cNvPr id="251" name="Line 514"/>
        <xdr:cNvSpPr>
          <a:spLocks noChangeShapeType="1"/>
        </xdr:cNvSpPr>
      </xdr:nvSpPr>
      <xdr:spPr bwMode="auto">
        <a:xfrm>
          <a:off x="2400300" y="29651325"/>
          <a:ext cx="14287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178</xdr:row>
      <xdr:rowOff>0</xdr:rowOff>
    </xdr:from>
    <xdr:to>
      <xdr:col>5</xdr:col>
      <xdr:colOff>0</xdr:colOff>
      <xdr:row>178</xdr:row>
      <xdr:rowOff>0</xdr:rowOff>
    </xdr:to>
    <xdr:sp macro="" textlink="">
      <xdr:nvSpPr>
        <xdr:cNvPr id="252" name="Line 515"/>
        <xdr:cNvSpPr>
          <a:spLocks noChangeShapeType="1"/>
        </xdr:cNvSpPr>
      </xdr:nvSpPr>
      <xdr:spPr bwMode="auto">
        <a:xfrm>
          <a:off x="2914650" y="29613225"/>
          <a:ext cx="2667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177</xdr:row>
      <xdr:rowOff>0</xdr:rowOff>
    </xdr:from>
    <xdr:to>
      <xdr:col>4</xdr:col>
      <xdr:colOff>371475</xdr:colOff>
      <xdr:row>177</xdr:row>
      <xdr:rowOff>85725</xdr:rowOff>
    </xdr:to>
    <xdr:sp macro="" textlink="">
      <xdr:nvSpPr>
        <xdr:cNvPr id="253" name="Line 516"/>
        <xdr:cNvSpPr>
          <a:spLocks noChangeShapeType="1"/>
        </xdr:cNvSpPr>
      </xdr:nvSpPr>
      <xdr:spPr bwMode="auto">
        <a:xfrm>
          <a:off x="2914650" y="294513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176</xdr:row>
      <xdr:rowOff>152400</xdr:rowOff>
    </xdr:from>
    <xdr:to>
      <xdr:col>5</xdr:col>
      <xdr:colOff>0</xdr:colOff>
      <xdr:row>177</xdr:row>
      <xdr:rowOff>85725</xdr:rowOff>
    </xdr:to>
    <xdr:sp macro="" textlink="">
      <xdr:nvSpPr>
        <xdr:cNvPr id="254" name="Line 517"/>
        <xdr:cNvSpPr>
          <a:spLocks noChangeShapeType="1"/>
        </xdr:cNvSpPr>
      </xdr:nvSpPr>
      <xdr:spPr bwMode="auto">
        <a:xfrm>
          <a:off x="3181350" y="294417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177</xdr:row>
      <xdr:rowOff>47625</xdr:rowOff>
    </xdr:from>
    <xdr:to>
      <xdr:col>5</xdr:col>
      <xdr:colOff>0</xdr:colOff>
      <xdr:row>177</xdr:row>
      <xdr:rowOff>47625</xdr:rowOff>
    </xdr:to>
    <xdr:sp macro="" textlink="">
      <xdr:nvSpPr>
        <xdr:cNvPr id="255" name="Line 518"/>
        <xdr:cNvSpPr>
          <a:spLocks noChangeShapeType="1"/>
        </xdr:cNvSpPr>
      </xdr:nvSpPr>
      <xdr:spPr bwMode="auto">
        <a:xfrm>
          <a:off x="2905125" y="294989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133350</xdr:colOff>
      <xdr:row>197</xdr:row>
      <xdr:rowOff>152400</xdr:rowOff>
    </xdr:from>
    <xdr:to>
      <xdr:col>1</xdr:col>
      <xdr:colOff>600075</xdr:colOff>
      <xdr:row>197</xdr:row>
      <xdr:rowOff>152400</xdr:rowOff>
    </xdr:to>
    <xdr:sp macro="" textlink="">
      <xdr:nvSpPr>
        <xdr:cNvPr id="256" name="Line 520"/>
        <xdr:cNvSpPr>
          <a:spLocks noChangeShapeType="1"/>
        </xdr:cNvSpPr>
      </xdr:nvSpPr>
      <xdr:spPr bwMode="auto">
        <a:xfrm>
          <a:off x="847725" y="3284220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205</xdr:row>
      <xdr:rowOff>0</xdr:rowOff>
    </xdr:from>
    <xdr:to>
      <xdr:col>5</xdr:col>
      <xdr:colOff>495300</xdr:colOff>
      <xdr:row>205</xdr:row>
      <xdr:rowOff>0</xdr:rowOff>
    </xdr:to>
    <xdr:sp macro="" textlink="">
      <xdr:nvSpPr>
        <xdr:cNvPr id="257" name="Line 523"/>
        <xdr:cNvSpPr>
          <a:spLocks noChangeShapeType="1"/>
        </xdr:cNvSpPr>
      </xdr:nvSpPr>
      <xdr:spPr bwMode="auto">
        <a:xfrm>
          <a:off x="1323975" y="33985200"/>
          <a:ext cx="2352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204</xdr:row>
      <xdr:rowOff>66675</xdr:rowOff>
    </xdr:from>
    <xdr:to>
      <xdr:col>2</xdr:col>
      <xdr:colOff>0</xdr:colOff>
      <xdr:row>205</xdr:row>
      <xdr:rowOff>85725</xdr:rowOff>
    </xdr:to>
    <xdr:sp macro="" textlink="">
      <xdr:nvSpPr>
        <xdr:cNvPr id="258" name="Line 524"/>
        <xdr:cNvSpPr>
          <a:spLocks noChangeShapeType="1"/>
        </xdr:cNvSpPr>
      </xdr:nvSpPr>
      <xdr:spPr bwMode="auto">
        <a:xfrm>
          <a:off x="1323975" y="3388995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204</xdr:row>
      <xdr:rowOff>95250</xdr:rowOff>
    </xdr:from>
    <xdr:to>
      <xdr:col>5</xdr:col>
      <xdr:colOff>514350</xdr:colOff>
      <xdr:row>205</xdr:row>
      <xdr:rowOff>47625</xdr:rowOff>
    </xdr:to>
    <xdr:sp macro="" textlink="">
      <xdr:nvSpPr>
        <xdr:cNvPr id="259" name="Line 525"/>
        <xdr:cNvSpPr>
          <a:spLocks noChangeShapeType="1"/>
        </xdr:cNvSpPr>
      </xdr:nvSpPr>
      <xdr:spPr bwMode="auto">
        <a:xfrm>
          <a:off x="3695700" y="339185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438150</xdr:colOff>
      <xdr:row>178</xdr:row>
      <xdr:rowOff>0</xdr:rowOff>
    </xdr:from>
    <xdr:to>
      <xdr:col>4</xdr:col>
      <xdr:colOff>361950</xdr:colOff>
      <xdr:row>178</xdr:row>
      <xdr:rowOff>9525</xdr:rowOff>
    </xdr:to>
    <xdr:sp macro="" textlink="">
      <xdr:nvSpPr>
        <xdr:cNvPr id="260" name="Line 526"/>
        <xdr:cNvSpPr>
          <a:spLocks noChangeShapeType="1"/>
        </xdr:cNvSpPr>
      </xdr:nvSpPr>
      <xdr:spPr bwMode="auto">
        <a:xfrm>
          <a:off x="1152525" y="29613225"/>
          <a:ext cx="17526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178</xdr:row>
      <xdr:rowOff>0</xdr:rowOff>
    </xdr:from>
    <xdr:to>
      <xdr:col>5</xdr:col>
      <xdr:colOff>0</xdr:colOff>
      <xdr:row>195</xdr:row>
      <xdr:rowOff>9525</xdr:rowOff>
    </xdr:to>
    <xdr:sp macro="" textlink="">
      <xdr:nvSpPr>
        <xdr:cNvPr id="261" name="Line 527"/>
        <xdr:cNvSpPr>
          <a:spLocks noChangeShapeType="1"/>
        </xdr:cNvSpPr>
      </xdr:nvSpPr>
      <xdr:spPr bwMode="auto">
        <a:xfrm>
          <a:off x="3181350" y="29613225"/>
          <a:ext cx="0" cy="2762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195</xdr:row>
      <xdr:rowOff>0</xdr:rowOff>
    </xdr:from>
    <xdr:to>
      <xdr:col>5</xdr:col>
      <xdr:colOff>476250</xdr:colOff>
      <xdr:row>195</xdr:row>
      <xdr:rowOff>0</xdr:rowOff>
    </xdr:to>
    <xdr:sp macro="" textlink="">
      <xdr:nvSpPr>
        <xdr:cNvPr id="262" name="Line 528"/>
        <xdr:cNvSpPr>
          <a:spLocks noChangeShapeType="1"/>
        </xdr:cNvSpPr>
      </xdr:nvSpPr>
      <xdr:spPr bwMode="auto">
        <a:xfrm>
          <a:off x="3181350" y="32365950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195</xdr:row>
      <xdr:rowOff>9525</xdr:rowOff>
    </xdr:from>
    <xdr:to>
      <xdr:col>5</xdr:col>
      <xdr:colOff>476250</xdr:colOff>
      <xdr:row>198</xdr:row>
      <xdr:rowOff>0</xdr:rowOff>
    </xdr:to>
    <xdr:sp macro="" textlink="">
      <xdr:nvSpPr>
        <xdr:cNvPr id="263" name="Line 529"/>
        <xdr:cNvSpPr>
          <a:spLocks noChangeShapeType="1"/>
        </xdr:cNvSpPr>
      </xdr:nvSpPr>
      <xdr:spPr bwMode="auto">
        <a:xfrm>
          <a:off x="3657600" y="32375475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197</xdr:row>
      <xdr:rowOff>152400</xdr:rowOff>
    </xdr:from>
    <xdr:to>
      <xdr:col>5</xdr:col>
      <xdr:colOff>161925</xdr:colOff>
      <xdr:row>198</xdr:row>
      <xdr:rowOff>0</xdr:rowOff>
    </xdr:to>
    <xdr:sp macro="" textlink="">
      <xdr:nvSpPr>
        <xdr:cNvPr id="264" name="Line 530"/>
        <xdr:cNvSpPr>
          <a:spLocks noChangeShapeType="1"/>
        </xdr:cNvSpPr>
      </xdr:nvSpPr>
      <xdr:spPr bwMode="auto">
        <a:xfrm flipH="1" flipV="1">
          <a:off x="1314450" y="32842200"/>
          <a:ext cx="202882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194</xdr:row>
      <xdr:rowOff>152400</xdr:rowOff>
    </xdr:from>
    <xdr:to>
      <xdr:col>2</xdr:col>
      <xdr:colOff>0</xdr:colOff>
      <xdr:row>197</xdr:row>
      <xdr:rowOff>152400</xdr:rowOff>
    </xdr:to>
    <xdr:sp macro="" textlink="">
      <xdr:nvSpPr>
        <xdr:cNvPr id="265" name="Line 531"/>
        <xdr:cNvSpPr>
          <a:spLocks noChangeShapeType="1"/>
        </xdr:cNvSpPr>
      </xdr:nvSpPr>
      <xdr:spPr bwMode="auto">
        <a:xfrm flipV="1">
          <a:off x="1323975" y="32356425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195</xdr:row>
      <xdr:rowOff>0</xdr:rowOff>
    </xdr:from>
    <xdr:to>
      <xdr:col>4</xdr:col>
      <xdr:colOff>0</xdr:colOff>
      <xdr:row>195</xdr:row>
      <xdr:rowOff>0</xdr:rowOff>
    </xdr:to>
    <xdr:sp macro="" textlink="">
      <xdr:nvSpPr>
        <xdr:cNvPr id="266" name="Line 532"/>
        <xdr:cNvSpPr>
          <a:spLocks noChangeShapeType="1"/>
        </xdr:cNvSpPr>
      </xdr:nvSpPr>
      <xdr:spPr bwMode="auto">
        <a:xfrm>
          <a:off x="1314450" y="32365950"/>
          <a:ext cx="1228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178</xdr:row>
      <xdr:rowOff>0</xdr:rowOff>
    </xdr:from>
    <xdr:to>
      <xdr:col>4</xdr:col>
      <xdr:colOff>381000</xdr:colOff>
      <xdr:row>195</xdr:row>
      <xdr:rowOff>0</xdr:rowOff>
    </xdr:to>
    <xdr:sp macro="" textlink="">
      <xdr:nvSpPr>
        <xdr:cNvPr id="267" name="Line 533"/>
        <xdr:cNvSpPr>
          <a:spLocks noChangeShapeType="1"/>
        </xdr:cNvSpPr>
      </xdr:nvSpPr>
      <xdr:spPr bwMode="auto">
        <a:xfrm flipV="1">
          <a:off x="2552700" y="29613225"/>
          <a:ext cx="371475" cy="27527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198</xdr:row>
      <xdr:rowOff>0</xdr:rowOff>
    </xdr:from>
    <xdr:to>
      <xdr:col>5</xdr:col>
      <xdr:colOff>476250</xdr:colOff>
      <xdr:row>199</xdr:row>
      <xdr:rowOff>0</xdr:rowOff>
    </xdr:to>
    <xdr:sp macro="" textlink="">
      <xdr:nvSpPr>
        <xdr:cNvPr id="268" name="Line 534"/>
        <xdr:cNvSpPr>
          <a:spLocks noChangeShapeType="1"/>
        </xdr:cNvSpPr>
      </xdr:nvSpPr>
      <xdr:spPr bwMode="auto">
        <a:xfrm>
          <a:off x="3657600" y="32851725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199</xdr:row>
      <xdr:rowOff>9525</xdr:rowOff>
    </xdr:from>
    <xdr:to>
      <xdr:col>5</xdr:col>
      <xdr:colOff>476250</xdr:colOff>
      <xdr:row>199</xdr:row>
      <xdr:rowOff>9525</xdr:rowOff>
    </xdr:to>
    <xdr:sp macro="" textlink="">
      <xdr:nvSpPr>
        <xdr:cNvPr id="269" name="Line 535"/>
        <xdr:cNvSpPr>
          <a:spLocks noChangeShapeType="1"/>
        </xdr:cNvSpPr>
      </xdr:nvSpPr>
      <xdr:spPr bwMode="auto">
        <a:xfrm flipH="1">
          <a:off x="3524250" y="33023175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197</xdr:row>
      <xdr:rowOff>152400</xdr:rowOff>
    </xdr:from>
    <xdr:to>
      <xdr:col>5</xdr:col>
      <xdr:colOff>352425</xdr:colOff>
      <xdr:row>199</xdr:row>
      <xdr:rowOff>19050</xdr:rowOff>
    </xdr:to>
    <xdr:sp macro="" textlink="">
      <xdr:nvSpPr>
        <xdr:cNvPr id="270" name="Line 536"/>
        <xdr:cNvSpPr>
          <a:spLocks noChangeShapeType="1"/>
        </xdr:cNvSpPr>
      </xdr:nvSpPr>
      <xdr:spPr bwMode="auto">
        <a:xfrm flipH="1" flipV="1">
          <a:off x="3343275" y="32842200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199</xdr:row>
      <xdr:rowOff>76200</xdr:rowOff>
    </xdr:from>
    <xdr:to>
      <xdr:col>5</xdr:col>
      <xdr:colOff>485775</xdr:colOff>
      <xdr:row>200</xdr:row>
      <xdr:rowOff>28575</xdr:rowOff>
    </xdr:to>
    <xdr:sp macro="" textlink="">
      <xdr:nvSpPr>
        <xdr:cNvPr id="271" name="Line 537"/>
        <xdr:cNvSpPr>
          <a:spLocks noChangeShapeType="1"/>
        </xdr:cNvSpPr>
      </xdr:nvSpPr>
      <xdr:spPr bwMode="auto">
        <a:xfrm>
          <a:off x="3667125" y="330898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199</xdr:row>
      <xdr:rowOff>76200</xdr:rowOff>
    </xdr:from>
    <xdr:to>
      <xdr:col>5</xdr:col>
      <xdr:colOff>352425</xdr:colOff>
      <xdr:row>200</xdr:row>
      <xdr:rowOff>38100</xdr:rowOff>
    </xdr:to>
    <xdr:sp macro="" textlink="">
      <xdr:nvSpPr>
        <xdr:cNvPr id="272" name="Line 538"/>
        <xdr:cNvSpPr>
          <a:spLocks noChangeShapeType="1"/>
        </xdr:cNvSpPr>
      </xdr:nvSpPr>
      <xdr:spPr bwMode="auto">
        <a:xfrm>
          <a:off x="3533775" y="3308985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200</xdr:row>
      <xdr:rowOff>0</xdr:rowOff>
    </xdr:from>
    <xdr:to>
      <xdr:col>5</xdr:col>
      <xdr:colOff>485775</xdr:colOff>
      <xdr:row>200</xdr:row>
      <xdr:rowOff>0</xdr:rowOff>
    </xdr:to>
    <xdr:sp macro="" textlink="">
      <xdr:nvSpPr>
        <xdr:cNvPr id="273" name="Line 539"/>
        <xdr:cNvSpPr>
          <a:spLocks noChangeShapeType="1"/>
        </xdr:cNvSpPr>
      </xdr:nvSpPr>
      <xdr:spPr bwMode="auto">
        <a:xfrm>
          <a:off x="3533775" y="331755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199</xdr:row>
      <xdr:rowOff>114300</xdr:rowOff>
    </xdr:from>
    <xdr:to>
      <xdr:col>5</xdr:col>
      <xdr:colOff>180975</xdr:colOff>
      <xdr:row>200</xdr:row>
      <xdr:rowOff>28575</xdr:rowOff>
    </xdr:to>
    <xdr:sp macro="" textlink="">
      <xdr:nvSpPr>
        <xdr:cNvPr id="274" name="Line 540"/>
        <xdr:cNvSpPr>
          <a:spLocks noChangeShapeType="1"/>
        </xdr:cNvSpPr>
      </xdr:nvSpPr>
      <xdr:spPr bwMode="auto">
        <a:xfrm>
          <a:off x="3362325" y="3312795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200</xdr:row>
      <xdr:rowOff>0</xdr:rowOff>
    </xdr:from>
    <xdr:to>
      <xdr:col>5</xdr:col>
      <xdr:colOff>352425</xdr:colOff>
      <xdr:row>200</xdr:row>
      <xdr:rowOff>0</xdr:rowOff>
    </xdr:to>
    <xdr:sp macro="" textlink="">
      <xdr:nvSpPr>
        <xdr:cNvPr id="275" name="Line 541"/>
        <xdr:cNvSpPr>
          <a:spLocks noChangeShapeType="1"/>
        </xdr:cNvSpPr>
      </xdr:nvSpPr>
      <xdr:spPr bwMode="auto">
        <a:xfrm>
          <a:off x="3362325" y="331755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200</xdr:row>
      <xdr:rowOff>19050</xdr:rowOff>
    </xdr:from>
    <xdr:to>
      <xdr:col>5</xdr:col>
      <xdr:colOff>428625</xdr:colOff>
      <xdr:row>200</xdr:row>
      <xdr:rowOff>104775</xdr:rowOff>
    </xdr:to>
    <xdr:sp macro="" textlink="">
      <xdr:nvSpPr>
        <xdr:cNvPr id="276" name="Line 542"/>
        <xdr:cNvSpPr>
          <a:spLocks noChangeShapeType="1"/>
        </xdr:cNvSpPr>
      </xdr:nvSpPr>
      <xdr:spPr bwMode="auto">
        <a:xfrm flipV="1">
          <a:off x="3609975" y="331946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200</xdr:row>
      <xdr:rowOff>104775</xdr:rowOff>
    </xdr:from>
    <xdr:to>
      <xdr:col>6</xdr:col>
      <xdr:colOff>76200</xdr:colOff>
      <xdr:row>200</xdr:row>
      <xdr:rowOff>104775</xdr:rowOff>
    </xdr:to>
    <xdr:sp macro="" textlink="">
      <xdr:nvSpPr>
        <xdr:cNvPr id="277" name="Line 543"/>
        <xdr:cNvSpPr>
          <a:spLocks noChangeShapeType="1"/>
        </xdr:cNvSpPr>
      </xdr:nvSpPr>
      <xdr:spPr bwMode="auto">
        <a:xfrm>
          <a:off x="3629025" y="3328035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200</xdr:row>
      <xdr:rowOff>0</xdr:rowOff>
    </xdr:from>
    <xdr:to>
      <xdr:col>5</xdr:col>
      <xdr:colOff>285750</xdr:colOff>
      <xdr:row>201</xdr:row>
      <xdr:rowOff>57150</xdr:rowOff>
    </xdr:to>
    <xdr:sp macro="" textlink="">
      <xdr:nvSpPr>
        <xdr:cNvPr id="278" name="Line 544"/>
        <xdr:cNvSpPr>
          <a:spLocks noChangeShapeType="1"/>
        </xdr:cNvSpPr>
      </xdr:nvSpPr>
      <xdr:spPr bwMode="auto">
        <a:xfrm flipV="1">
          <a:off x="3467100" y="33175575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201</xdr:row>
      <xdr:rowOff>47625</xdr:rowOff>
    </xdr:from>
    <xdr:to>
      <xdr:col>6</xdr:col>
      <xdr:colOff>76200</xdr:colOff>
      <xdr:row>201</xdr:row>
      <xdr:rowOff>47625</xdr:rowOff>
    </xdr:to>
    <xdr:sp macro="" textlink="">
      <xdr:nvSpPr>
        <xdr:cNvPr id="279" name="Line 545"/>
        <xdr:cNvSpPr>
          <a:spLocks noChangeShapeType="1"/>
        </xdr:cNvSpPr>
      </xdr:nvSpPr>
      <xdr:spPr bwMode="auto">
        <a:xfrm>
          <a:off x="3467100" y="33385125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202</xdr:row>
      <xdr:rowOff>152400</xdr:rowOff>
    </xdr:from>
    <xdr:to>
      <xdr:col>5</xdr:col>
      <xdr:colOff>504825</xdr:colOff>
      <xdr:row>203</xdr:row>
      <xdr:rowOff>0</xdr:rowOff>
    </xdr:to>
    <xdr:sp macro="" textlink="">
      <xdr:nvSpPr>
        <xdr:cNvPr id="280" name="Line 546"/>
        <xdr:cNvSpPr>
          <a:spLocks noChangeShapeType="1"/>
        </xdr:cNvSpPr>
      </xdr:nvSpPr>
      <xdr:spPr bwMode="auto">
        <a:xfrm flipH="1">
          <a:off x="3181350" y="33651825"/>
          <a:ext cx="5048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0</xdr:colOff>
      <xdr:row>203</xdr:row>
      <xdr:rowOff>9525</xdr:rowOff>
    </xdr:from>
    <xdr:to>
      <xdr:col>5</xdr:col>
      <xdr:colOff>0</xdr:colOff>
      <xdr:row>203</xdr:row>
      <xdr:rowOff>9525</xdr:rowOff>
    </xdr:to>
    <xdr:sp macro="" textlink="">
      <xdr:nvSpPr>
        <xdr:cNvPr id="281" name="Line 547"/>
        <xdr:cNvSpPr>
          <a:spLocks noChangeShapeType="1"/>
        </xdr:cNvSpPr>
      </xdr:nvSpPr>
      <xdr:spPr bwMode="auto">
        <a:xfrm flipH="1">
          <a:off x="2543175" y="33670875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600075</xdr:colOff>
      <xdr:row>203</xdr:row>
      <xdr:rowOff>9525</xdr:rowOff>
    </xdr:from>
    <xdr:to>
      <xdr:col>4</xdr:col>
      <xdr:colOff>19050</xdr:colOff>
      <xdr:row>203</xdr:row>
      <xdr:rowOff>9525</xdr:rowOff>
    </xdr:to>
    <xdr:sp macro="" textlink="">
      <xdr:nvSpPr>
        <xdr:cNvPr id="282" name="Line 548"/>
        <xdr:cNvSpPr>
          <a:spLocks noChangeShapeType="1"/>
        </xdr:cNvSpPr>
      </xdr:nvSpPr>
      <xdr:spPr bwMode="auto">
        <a:xfrm flipH="1">
          <a:off x="1314450" y="33670875"/>
          <a:ext cx="1247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202</xdr:row>
      <xdr:rowOff>104775</xdr:rowOff>
    </xdr:from>
    <xdr:to>
      <xdr:col>2</xdr:col>
      <xdr:colOff>0</xdr:colOff>
      <xdr:row>203</xdr:row>
      <xdr:rowOff>95250</xdr:rowOff>
    </xdr:to>
    <xdr:sp macro="" textlink="">
      <xdr:nvSpPr>
        <xdr:cNvPr id="283" name="Line 549"/>
        <xdr:cNvSpPr>
          <a:spLocks noChangeShapeType="1"/>
        </xdr:cNvSpPr>
      </xdr:nvSpPr>
      <xdr:spPr bwMode="auto">
        <a:xfrm>
          <a:off x="1323975" y="336042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202</xdr:row>
      <xdr:rowOff>104775</xdr:rowOff>
    </xdr:from>
    <xdr:to>
      <xdr:col>4</xdr:col>
      <xdr:colOff>0</xdr:colOff>
      <xdr:row>203</xdr:row>
      <xdr:rowOff>47625</xdr:rowOff>
    </xdr:to>
    <xdr:sp macro="" textlink="">
      <xdr:nvSpPr>
        <xdr:cNvPr id="284" name="Line 550"/>
        <xdr:cNvSpPr>
          <a:spLocks noChangeShapeType="1"/>
        </xdr:cNvSpPr>
      </xdr:nvSpPr>
      <xdr:spPr bwMode="auto">
        <a:xfrm>
          <a:off x="2543175" y="336042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202</xdr:row>
      <xdr:rowOff>104775</xdr:rowOff>
    </xdr:from>
    <xdr:to>
      <xdr:col>5</xdr:col>
      <xdr:colOff>0</xdr:colOff>
      <xdr:row>203</xdr:row>
      <xdr:rowOff>38100</xdr:rowOff>
    </xdr:to>
    <xdr:sp macro="" textlink="">
      <xdr:nvSpPr>
        <xdr:cNvPr id="285" name="Line 551"/>
        <xdr:cNvSpPr>
          <a:spLocks noChangeShapeType="1"/>
        </xdr:cNvSpPr>
      </xdr:nvSpPr>
      <xdr:spPr bwMode="auto">
        <a:xfrm>
          <a:off x="3181350" y="336042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202</xdr:row>
      <xdr:rowOff>123825</xdr:rowOff>
    </xdr:from>
    <xdr:to>
      <xdr:col>5</xdr:col>
      <xdr:colOff>514350</xdr:colOff>
      <xdr:row>203</xdr:row>
      <xdr:rowOff>57150</xdr:rowOff>
    </xdr:to>
    <xdr:sp macro="" textlink="">
      <xdr:nvSpPr>
        <xdr:cNvPr id="286" name="Line 552"/>
        <xdr:cNvSpPr>
          <a:spLocks noChangeShapeType="1"/>
        </xdr:cNvSpPr>
      </xdr:nvSpPr>
      <xdr:spPr bwMode="auto">
        <a:xfrm>
          <a:off x="3695700" y="336232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187</xdr:row>
      <xdr:rowOff>142875</xdr:rowOff>
    </xdr:from>
    <xdr:to>
      <xdr:col>4</xdr:col>
      <xdr:colOff>0</xdr:colOff>
      <xdr:row>195</xdr:row>
      <xdr:rowOff>0</xdr:rowOff>
    </xdr:to>
    <xdr:sp macro="" textlink="">
      <xdr:nvSpPr>
        <xdr:cNvPr id="287" name="Line 553"/>
        <xdr:cNvSpPr>
          <a:spLocks noChangeShapeType="1"/>
        </xdr:cNvSpPr>
      </xdr:nvSpPr>
      <xdr:spPr bwMode="auto">
        <a:xfrm>
          <a:off x="2543175" y="31213425"/>
          <a:ext cx="0" cy="115252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381000</xdr:colOff>
      <xdr:row>178</xdr:row>
      <xdr:rowOff>0</xdr:rowOff>
    </xdr:from>
    <xdr:to>
      <xdr:col>4</xdr:col>
      <xdr:colOff>381000</xdr:colOff>
      <xdr:row>195</xdr:row>
      <xdr:rowOff>0</xdr:rowOff>
    </xdr:to>
    <xdr:sp macro="" textlink="">
      <xdr:nvSpPr>
        <xdr:cNvPr id="288" name="Line 554"/>
        <xdr:cNvSpPr>
          <a:spLocks noChangeShapeType="1"/>
        </xdr:cNvSpPr>
      </xdr:nvSpPr>
      <xdr:spPr bwMode="auto">
        <a:xfrm>
          <a:off x="2924175" y="29613225"/>
          <a:ext cx="0" cy="275272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28575</xdr:colOff>
      <xdr:row>195</xdr:row>
      <xdr:rowOff>0</xdr:rowOff>
    </xdr:from>
    <xdr:to>
      <xdr:col>5</xdr:col>
      <xdr:colOff>0</xdr:colOff>
      <xdr:row>195</xdr:row>
      <xdr:rowOff>0</xdr:rowOff>
    </xdr:to>
    <xdr:sp macro="" textlink="">
      <xdr:nvSpPr>
        <xdr:cNvPr id="289" name="Line 555"/>
        <xdr:cNvSpPr>
          <a:spLocks noChangeShapeType="1"/>
        </xdr:cNvSpPr>
      </xdr:nvSpPr>
      <xdr:spPr bwMode="auto">
        <a:xfrm>
          <a:off x="2571750" y="32365950"/>
          <a:ext cx="60960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171450</xdr:colOff>
      <xdr:row>197</xdr:row>
      <xdr:rowOff>152400</xdr:rowOff>
    </xdr:from>
    <xdr:to>
      <xdr:col>5</xdr:col>
      <xdr:colOff>476250</xdr:colOff>
      <xdr:row>198</xdr:row>
      <xdr:rowOff>0</xdr:rowOff>
    </xdr:to>
    <xdr:sp macro="" textlink="">
      <xdr:nvSpPr>
        <xdr:cNvPr id="290" name="Line 557"/>
        <xdr:cNvSpPr>
          <a:spLocks noChangeShapeType="1"/>
        </xdr:cNvSpPr>
      </xdr:nvSpPr>
      <xdr:spPr bwMode="auto">
        <a:xfrm>
          <a:off x="3352800" y="32842200"/>
          <a:ext cx="30480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198</xdr:row>
      <xdr:rowOff>0</xdr:rowOff>
    </xdr:from>
    <xdr:to>
      <xdr:col>5</xdr:col>
      <xdr:colOff>342900</xdr:colOff>
      <xdr:row>199</xdr:row>
      <xdr:rowOff>9525</xdr:rowOff>
    </xdr:to>
    <xdr:sp macro="" textlink="">
      <xdr:nvSpPr>
        <xdr:cNvPr id="291" name="Line 558"/>
        <xdr:cNvSpPr>
          <a:spLocks noChangeShapeType="1"/>
        </xdr:cNvSpPr>
      </xdr:nvSpPr>
      <xdr:spPr bwMode="auto">
        <a:xfrm flipV="1">
          <a:off x="3524250" y="32851725"/>
          <a:ext cx="0" cy="17145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0</xdr:colOff>
      <xdr:row>198</xdr:row>
      <xdr:rowOff>57150</xdr:rowOff>
    </xdr:from>
    <xdr:to>
      <xdr:col>5</xdr:col>
      <xdr:colOff>285750</xdr:colOff>
      <xdr:row>199</xdr:row>
      <xdr:rowOff>66675</xdr:rowOff>
    </xdr:to>
    <xdr:sp macro="" textlink="">
      <xdr:nvSpPr>
        <xdr:cNvPr id="292" name="Line 559"/>
        <xdr:cNvSpPr>
          <a:spLocks noChangeShapeType="1"/>
        </xdr:cNvSpPr>
      </xdr:nvSpPr>
      <xdr:spPr bwMode="auto">
        <a:xfrm flipV="1">
          <a:off x="3181350" y="32908875"/>
          <a:ext cx="2857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419100</xdr:colOff>
      <xdr:row>198</xdr:row>
      <xdr:rowOff>104775</xdr:rowOff>
    </xdr:from>
    <xdr:to>
      <xdr:col>6</xdr:col>
      <xdr:colOff>0</xdr:colOff>
      <xdr:row>199</xdr:row>
      <xdr:rowOff>85725</xdr:rowOff>
    </xdr:to>
    <xdr:sp macro="" textlink="">
      <xdr:nvSpPr>
        <xdr:cNvPr id="293" name="Line 560"/>
        <xdr:cNvSpPr>
          <a:spLocks noChangeShapeType="1"/>
        </xdr:cNvSpPr>
      </xdr:nvSpPr>
      <xdr:spPr bwMode="auto">
        <a:xfrm flipH="1" flipV="1">
          <a:off x="3600450" y="32956500"/>
          <a:ext cx="19050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228600</xdr:colOff>
      <xdr:row>178</xdr:row>
      <xdr:rowOff>9525</xdr:rowOff>
    </xdr:from>
    <xdr:to>
      <xdr:col>2</xdr:col>
      <xdr:colOff>381000</xdr:colOff>
      <xdr:row>178</xdr:row>
      <xdr:rowOff>104775</xdr:rowOff>
    </xdr:to>
    <xdr:sp macro="" textlink="">
      <xdr:nvSpPr>
        <xdr:cNvPr id="294" name="Line 561"/>
        <xdr:cNvSpPr>
          <a:spLocks noChangeShapeType="1"/>
        </xdr:cNvSpPr>
      </xdr:nvSpPr>
      <xdr:spPr bwMode="auto">
        <a:xfrm flipH="1">
          <a:off x="1552575" y="296227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178</xdr:row>
      <xdr:rowOff>0</xdr:rowOff>
    </xdr:from>
    <xdr:to>
      <xdr:col>2</xdr:col>
      <xdr:colOff>514350</xdr:colOff>
      <xdr:row>178</xdr:row>
      <xdr:rowOff>123825</xdr:rowOff>
    </xdr:to>
    <xdr:sp macro="" textlink="">
      <xdr:nvSpPr>
        <xdr:cNvPr id="295" name="Line 562"/>
        <xdr:cNvSpPr>
          <a:spLocks noChangeShapeType="1"/>
        </xdr:cNvSpPr>
      </xdr:nvSpPr>
      <xdr:spPr bwMode="auto">
        <a:xfrm>
          <a:off x="1714500" y="296132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178</xdr:row>
      <xdr:rowOff>0</xdr:rowOff>
    </xdr:from>
    <xdr:to>
      <xdr:col>2</xdr:col>
      <xdr:colOff>514350</xdr:colOff>
      <xdr:row>178</xdr:row>
      <xdr:rowOff>114300</xdr:rowOff>
    </xdr:to>
    <xdr:sp macro="" textlink="">
      <xdr:nvSpPr>
        <xdr:cNvPr id="296" name="Line 563"/>
        <xdr:cNvSpPr>
          <a:spLocks noChangeShapeType="1"/>
        </xdr:cNvSpPr>
      </xdr:nvSpPr>
      <xdr:spPr bwMode="auto">
        <a:xfrm flipV="1">
          <a:off x="1695450" y="296132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323850</xdr:colOff>
      <xdr:row>178</xdr:row>
      <xdr:rowOff>0</xdr:rowOff>
    </xdr:from>
    <xdr:to>
      <xdr:col>3</xdr:col>
      <xdr:colOff>438150</xdr:colOff>
      <xdr:row>178</xdr:row>
      <xdr:rowOff>123825</xdr:rowOff>
    </xdr:to>
    <xdr:sp macro="" textlink="">
      <xdr:nvSpPr>
        <xdr:cNvPr id="297" name="Line 564"/>
        <xdr:cNvSpPr>
          <a:spLocks noChangeShapeType="1"/>
        </xdr:cNvSpPr>
      </xdr:nvSpPr>
      <xdr:spPr bwMode="auto">
        <a:xfrm>
          <a:off x="2257425" y="29613225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178</xdr:row>
      <xdr:rowOff>9525</xdr:rowOff>
    </xdr:from>
    <xdr:to>
      <xdr:col>3</xdr:col>
      <xdr:colOff>381000</xdr:colOff>
      <xdr:row>178</xdr:row>
      <xdr:rowOff>104775</xdr:rowOff>
    </xdr:to>
    <xdr:sp macro="" textlink="">
      <xdr:nvSpPr>
        <xdr:cNvPr id="298" name="Line 565"/>
        <xdr:cNvSpPr>
          <a:spLocks noChangeShapeType="1"/>
        </xdr:cNvSpPr>
      </xdr:nvSpPr>
      <xdr:spPr bwMode="auto">
        <a:xfrm flipH="1">
          <a:off x="2162175" y="296227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178</xdr:row>
      <xdr:rowOff>0</xdr:rowOff>
    </xdr:from>
    <xdr:to>
      <xdr:col>3</xdr:col>
      <xdr:colOff>514350</xdr:colOff>
      <xdr:row>178</xdr:row>
      <xdr:rowOff>123825</xdr:rowOff>
    </xdr:to>
    <xdr:sp macro="" textlink="">
      <xdr:nvSpPr>
        <xdr:cNvPr id="299" name="Line 566"/>
        <xdr:cNvSpPr>
          <a:spLocks noChangeShapeType="1"/>
        </xdr:cNvSpPr>
      </xdr:nvSpPr>
      <xdr:spPr bwMode="auto">
        <a:xfrm>
          <a:off x="2324100" y="296132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178</xdr:row>
      <xdr:rowOff>0</xdr:rowOff>
    </xdr:from>
    <xdr:to>
      <xdr:col>3</xdr:col>
      <xdr:colOff>514350</xdr:colOff>
      <xdr:row>178</xdr:row>
      <xdr:rowOff>114300</xdr:rowOff>
    </xdr:to>
    <xdr:sp macro="" textlink="">
      <xdr:nvSpPr>
        <xdr:cNvPr id="300" name="Line 567"/>
        <xdr:cNvSpPr>
          <a:spLocks noChangeShapeType="1"/>
        </xdr:cNvSpPr>
      </xdr:nvSpPr>
      <xdr:spPr bwMode="auto">
        <a:xfrm flipV="1">
          <a:off x="2305050" y="296132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590550</xdr:colOff>
      <xdr:row>178</xdr:row>
      <xdr:rowOff>9525</xdr:rowOff>
    </xdr:from>
    <xdr:to>
      <xdr:col>4</xdr:col>
      <xdr:colOff>95250</xdr:colOff>
      <xdr:row>178</xdr:row>
      <xdr:rowOff>133350</xdr:rowOff>
    </xdr:to>
    <xdr:sp macro="" textlink="">
      <xdr:nvSpPr>
        <xdr:cNvPr id="301" name="Line 568"/>
        <xdr:cNvSpPr>
          <a:spLocks noChangeShapeType="1"/>
        </xdr:cNvSpPr>
      </xdr:nvSpPr>
      <xdr:spPr bwMode="auto">
        <a:xfrm>
          <a:off x="2524125" y="29622750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178</xdr:row>
      <xdr:rowOff>9525</xdr:rowOff>
    </xdr:from>
    <xdr:to>
      <xdr:col>3</xdr:col>
      <xdr:colOff>381000</xdr:colOff>
      <xdr:row>178</xdr:row>
      <xdr:rowOff>104775</xdr:rowOff>
    </xdr:to>
    <xdr:sp macro="" textlink="">
      <xdr:nvSpPr>
        <xdr:cNvPr id="302" name="Line 569"/>
        <xdr:cNvSpPr>
          <a:spLocks noChangeShapeType="1"/>
        </xdr:cNvSpPr>
      </xdr:nvSpPr>
      <xdr:spPr bwMode="auto">
        <a:xfrm flipH="1">
          <a:off x="2162175" y="296227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178</xdr:row>
      <xdr:rowOff>0</xdr:rowOff>
    </xdr:from>
    <xdr:to>
      <xdr:col>3</xdr:col>
      <xdr:colOff>514350</xdr:colOff>
      <xdr:row>178</xdr:row>
      <xdr:rowOff>123825</xdr:rowOff>
    </xdr:to>
    <xdr:sp macro="" textlink="">
      <xdr:nvSpPr>
        <xdr:cNvPr id="303" name="Line 570"/>
        <xdr:cNvSpPr>
          <a:spLocks noChangeShapeType="1"/>
        </xdr:cNvSpPr>
      </xdr:nvSpPr>
      <xdr:spPr bwMode="auto">
        <a:xfrm>
          <a:off x="2324100" y="296132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178</xdr:row>
      <xdr:rowOff>0</xdr:rowOff>
    </xdr:from>
    <xdr:to>
      <xdr:col>3</xdr:col>
      <xdr:colOff>514350</xdr:colOff>
      <xdr:row>178</xdr:row>
      <xdr:rowOff>114300</xdr:rowOff>
    </xdr:to>
    <xdr:sp macro="" textlink="">
      <xdr:nvSpPr>
        <xdr:cNvPr id="304" name="Line 571"/>
        <xdr:cNvSpPr>
          <a:spLocks noChangeShapeType="1"/>
        </xdr:cNvSpPr>
      </xdr:nvSpPr>
      <xdr:spPr bwMode="auto">
        <a:xfrm flipV="1">
          <a:off x="2305050" y="296132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178</xdr:row>
      <xdr:rowOff>38100</xdr:rowOff>
    </xdr:from>
    <xdr:to>
      <xdr:col>3</xdr:col>
      <xdr:colOff>809625</xdr:colOff>
      <xdr:row>179</xdr:row>
      <xdr:rowOff>0</xdr:rowOff>
    </xdr:to>
    <xdr:sp macro="" textlink="">
      <xdr:nvSpPr>
        <xdr:cNvPr id="305" name="Line 572"/>
        <xdr:cNvSpPr>
          <a:spLocks noChangeShapeType="1"/>
        </xdr:cNvSpPr>
      </xdr:nvSpPr>
      <xdr:spPr bwMode="auto">
        <a:xfrm>
          <a:off x="2400300" y="29651325"/>
          <a:ext cx="14287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178</xdr:row>
      <xdr:rowOff>0</xdr:rowOff>
    </xdr:from>
    <xdr:to>
      <xdr:col>5</xdr:col>
      <xdr:colOff>0</xdr:colOff>
      <xdr:row>178</xdr:row>
      <xdr:rowOff>0</xdr:rowOff>
    </xdr:to>
    <xdr:sp macro="" textlink="">
      <xdr:nvSpPr>
        <xdr:cNvPr id="306" name="Line 573"/>
        <xdr:cNvSpPr>
          <a:spLocks noChangeShapeType="1"/>
        </xdr:cNvSpPr>
      </xdr:nvSpPr>
      <xdr:spPr bwMode="auto">
        <a:xfrm>
          <a:off x="2914650" y="29613225"/>
          <a:ext cx="2667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177</xdr:row>
      <xdr:rowOff>0</xdr:rowOff>
    </xdr:from>
    <xdr:to>
      <xdr:col>4</xdr:col>
      <xdr:colOff>371475</xdr:colOff>
      <xdr:row>177</xdr:row>
      <xdr:rowOff>85725</xdr:rowOff>
    </xdr:to>
    <xdr:sp macro="" textlink="">
      <xdr:nvSpPr>
        <xdr:cNvPr id="307" name="Line 574"/>
        <xdr:cNvSpPr>
          <a:spLocks noChangeShapeType="1"/>
        </xdr:cNvSpPr>
      </xdr:nvSpPr>
      <xdr:spPr bwMode="auto">
        <a:xfrm>
          <a:off x="2914650" y="294513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176</xdr:row>
      <xdr:rowOff>152400</xdr:rowOff>
    </xdr:from>
    <xdr:to>
      <xdr:col>5</xdr:col>
      <xdr:colOff>0</xdr:colOff>
      <xdr:row>177</xdr:row>
      <xdr:rowOff>85725</xdr:rowOff>
    </xdr:to>
    <xdr:sp macro="" textlink="">
      <xdr:nvSpPr>
        <xdr:cNvPr id="308" name="Line 575"/>
        <xdr:cNvSpPr>
          <a:spLocks noChangeShapeType="1"/>
        </xdr:cNvSpPr>
      </xdr:nvSpPr>
      <xdr:spPr bwMode="auto">
        <a:xfrm>
          <a:off x="3181350" y="294417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177</xdr:row>
      <xdr:rowOff>47625</xdr:rowOff>
    </xdr:from>
    <xdr:to>
      <xdr:col>5</xdr:col>
      <xdr:colOff>0</xdr:colOff>
      <xdr:row>177</xdr:row>
      <xdr:rowOff>47625</xdr:rowOff>
    </xdr:to>
    <xdr:sp macro="" textlink="">
      <xdr:nvSpPr>
        <xdr:cNvPr id="309" name="Line 576"/>
        <xdr:cNvSpPr>
          <a:spLocks noChangeShapeType="1"/>
        </xdr:cNvSpPr>
      </xdr:nvSpPr>
      <xdr:spPr bwMode="auto">
        <a:xfrm>
          <a:off x="2905125" y="294989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142875</xdr:colOff>
      <xdr:row>178</xdr:row>
      <xdr:rowOff>0</xdr:rowOff>
    </xdr:from>
    <xdr:to>
      <xdr:col>1</xdr:col>
      <xdr:colOff>600075</xdr:colOff>
      <xdr:row>198</xdr:row>
      <xdr:rowOff>9525</xdr:rowOff>
    </xdr:to>
    <xdr:sp macro="" textlink="">
      <xdr:nvSpPr>
        <xdr:cNvPr id="310" name="Line 577"/>
        <xdr:cNvSpPr>
          <a:spLocks noChangeShapeType="1"/>
        </xdr:cNvSpPr>
      </xdr:nvSpPr>
      <xdr:spPr bwMode="auto">
        <a:xfrm flipH="1">
          <a:off x="857250" y="29613225"/>
          <a:ext cx="457200" cy="3248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133350</xdr:colOff>
      <xdr:row>197</xdr:row>
      <xdr:rowOff>152400</xdr:rowOff>
    </xdr:from>
    <xdr:to>
      <xdr:col>1</xdr:col>
      <xdr:colOff>600075</xdr:colOff>
      <xdr:row>197</xdr:row>
      <xdr:rowOff>152400</xdr:rowOff>
    </xdr:to>
    <xdr:sp macro="" textlink="">
      <xdr:nvSpPr>
        <xdr:cNvPr id="311" name="Line 578"/>
        <xdr:cNvSpPr>
          <a:spLocks noChangeShapeType="1"/>
        </xdr:cNvSpPr>
      </xdr:nvSpPr>
      <xdr:spPr bwMode="auto">
        <a:xfrm>
          <a:off x="847725" y="3284220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205</xdr:row>
      <xdr:rowOff>0</xdr:rowOff>
    </xdr:from>
    <xdr:to>
      <xdr:col>5</xdr:col>
      <xdr:colOff>495300</xdr:colOff>
      <xdr:row>205</xdr:row>
      <xdr:rowOff>0</xdr:rowOff>
    </xdr:to>
    <xdr:sp macro="" textlink="">
      <xdr:nvSpPr>
        <xdr:cNvPr id="312" name="Line 581"/>
        <xdr:cNvSpPr>
          <a:spLocks noChangeShapeType="1"/>
        </xdr:cNvSpPr>
      </xdr:nvSpPr>
      <xdr:spPr bwMode="auto">
        <a:xfrm>
          <a:off x="1323975" y="33985200"/>
          <a:ext cx="2352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204</xdr:row>
      <xdr:rowOff>66675</xdr:rowOff>
    </xdr:from>
    <xdr:to>
      <xdr:col>2</xdr:col>
      <xdr:colOff>0</xdr:colOff>
      <xdr:row>205</xdr:row>
      <xdr:rowOff>85725</xdr:rowOff>
    </xdr:to>
    <xdr:sp macro="" textlink="">
      <xdr:nvSpPr>
        <xdr:cNvPr id="313" name="Line 582"/>
        <xdr:cNvSpPr>
          <a:spLocks noChangeShapeType="1"/>
        </xdr:cNvSpPr>
      </xdr:nvSpPr>
      <xdr:spPr bwMode="auto">
        <a:xfrm>
          <a:off x="1323975" y="3388995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204</xdr:row>
      <xdr:rowOff>95250</xdr:rowOff>
    </xdr:from>
    <xdr:to>
      <xdr:col>5</xdr:col>
      <xdr:colOff>514350</xdr:colOff>
      <xdr:row>205</xdr:row>
      <xdr:rowOff>47625</xdr:rowOff>
    </xdr:to>
    <xdr:sp macro="" textlink="">
      <xdr:nvSpPr>
        <xdr:cNvPr id="314" name="Line 583"/>
        <xdr:cNvSpPr>
          <a:spLocks noChangeShapeType="1"/>
        </xdr:cNvSpPr>
      </xdr:nvSpPr>
      <xdr:spPr bwMode="auto">
        <a:xfrm>
          <a:off x="3695700" y="339185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104775</xdr:colOff>
      <xdr:row>188</xdr:row>
      <xdr:rowOff>0</xdr:rowOff>
    </xdr:from>
    <xdr:to>
      <xdr:col>4</xdr:col>
      <xdr:colOff>190500</xdr:colOff>
      <xdr:row>188</xdr:row>
      <xdr:rowOff>0</xdr:rowOff>
    </xdr:to>
    <xdr:sp macro="" textlink="">
      <xdr:nvSpPr>
        <xdr:cNvPr id="315" name="Line 585"/>
        <xdr:cNvSpPr>
          <a:spLocks noChangeShapeType="1"/>
        </xdr:cNvSpPr>
      </xdr:nvSpPr>
      <xdr:spPr bwMode="auto">
        <a:xfrm flipH="1">
          <a:off x="819150" y="31232475"/>
          <a:ext cx="1914525" cy="0"/>
        </a:xfrm>
        <a:prstGeom prst="line">
          <a:avLst/>
        </a:prstGeom>
        <a:noFill/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381000</xdr:colOff>
      <xdr:row>188</xdr:row>
      <xdr:rowOff>0</xdr:rowOff>
    </xdr:from>
    <xdr:to>
      <xdr:col>1</xdr:col>
      <xdr:colOff>381000</xdr:colOff>
      <xdr:row>197</xdr:row>
      <xdr:rowOff>142875</xdr:rowOff>
    </xdr:to>
    <xdr:sp macro="" textlink="">
      <xdr:nvSpPr>
        <xdr:cNvPr id="316" name="Line 586"/>
        <xdr:cNvSpPr>
          <a:spLocks noChangeShapeType="1"/>
        </xdr:cNvSpPr>
      </xdr:nvSpPr>
      <xdr:spPr bwMode="auto">
        <a:xfrm>
          <a:off x="1095375" y="31232475"/>
          <a:ext cx="0" cy="1600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186</xdr:row>
      <xdr:rowOff>85725</xdr:rowOff>
    </xdr:from>
    <xdr:to>
      <xdr:col>1</xdr:col>
      <xdr:colOff>561975</xdr:colOff>
      <xdr:row>186</xdr:row>
      <xdr:rowOff>85725</xdr:rowOff>
    </xdr:to>
    <xdr:sp macro="" textlink="">
      <xdr:nvSpPr>
        <xdr:cNvPr id="317" name="Line 587"/>
        <xdr:cNvSpPr>
          <a:spLocks noChangeShapeType="1"/>
        </xdr:cNvSpPr>
      </xdr:nvSpPr>
      <xdr:spPr bwMode="auto">
        <a:xfrm>
          <a:off x="933450" y="30994350"/>
          <a:ext cx="3429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200025</xdr:colOff>
      <xdr:row>194</xdr:row>
      <xdr:rowOff>152400</xdr:rowOff>
    </xdr:from>
    <xdr:to>
      <xdr:col>2</xdr:col>
      <xdr:colOff>200025</xdr:colOff>
      <xdr:row>197</xdr:row>
      <xdr:rowOff>133350</xdr:rowOff>
    </xdr:to>
    <xdr:sp macro="" textlink="">
      <xdr:nvSpPr>
        <xdr:cNvPr id="318" name="Line 600"/>
        <xdr:cNvSpPr>
          <a:spLocks noChangeShapeType="1"/>
        </xdr:cNvSpPr>
      </xdr:nvSpPr>
      <xdr:spPr bwMode="auto">
        <a:xfrm>
          <a:off x="1524000" y="32356425"/>
          <a:ext cx="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161925</xdr:colOff>
      <xdr:row>188</xdr:row>
      <xdr:rowOff>9525</xdr:rowOff>
    </xdr:from>
    <xdr:to>
      <xdr:col>2</xdr:col>
      <xdr:colOff>161925</xdr:colOff>
      <xdr:row>195</xdr:row>
      <xdr:rowOff>0</xdr:rowOff>
    </xdr:to>
    <xdr:sp macro="" textlink="">
      <xdr:nvSpPr>
        <xdr:cNvPr id="319" name="Line 601"/>
        <xdr:cNvSpPr>
          <a:spLocks noChangeShapeType="1"/>
        </xdr:cNvSpPr>
      </xdr:nvSpPr>
      <xdr:spPr bwMode="auto">
        <a:xfrm>
          <a:off x="1485900" y="31242000"/>
          <a:ext cx="0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0</xdr:col>
      <xdr:colOff>180975</xdr:colOff>
      <xdr:row>188</xdr:row>
      <xdr:rowOff>0</xdr:rowOff>
    </xdr:from>
    <xdr:to>
      <xdr:col>0</xdr:col>
      <xdr:colOff>180975</xdr:colOff>
      <xdr:row>197</xdr:row>
      <xdr:rowOff>152400</xdr:rowOff>
    </xdr:to>
    <xdr:sp macro="" textlink="">
      <xdr:nvSpPr>
        <xdr:cNvPr id="320" name="Line 603"/>
        <xdr:cNvSpPr>
          <a:spLocks noChangeShapeType="1"/>
        </xdr:cNvSpPr>
      </xdr:nvSpPr>
      <xdr:spPr bwMode="auto">
        <a:xfrm>
          <a:off x="180975" y="31232475"/>
          <a:ext cx="0" cy="1609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5</xdr:col>
      <xdr:colOff>190500</xdr:colOff>
      <xdr:row>178</xdr:row>
      <xdr:rowOff>9525</xdr:rowOff>
    </xdr:from>
    <xdr:to>
      <xdr:col>5</xdr:col>
      <xdr:colOff>190500</xdr:colOff>
      <xdr:row>195</xdr:row>
      <xdr:rowOff>9525</xdr:rowOff>
    </xdr:to>
    <xdr:sp macro="" textlink="">
      <xdr:nvSpPr>
        <xdr:cNvPr id="321" name="Line 607"/>
        <xdr:cNvSpPr>
          <a:spLocks noChangeShapeType="1"/>
        </xdr:cNvSpPr>
      </xdr:nvSpPr>
      <xdr:spPr bwMode="auto">
        <a:xfrm>
          <a:off x="3371850" y="29622750"/>
          <a:ext cx="0" cy="2752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142875</xdr:colOff>
      <xdr:row>178</xdr:row>
      <xdr:rowOff>38100</xdr:rowOff>
    </xdr:from>
    <xdr:to>
      <xdr:col>4</xdr:col>
      <xdr:colOff>142875</xdr:colOff>
      <xdr:row>188</xdr:row>
      <xdr:rowOff>9525</xdr:rowOff>
    </xdr:to>
    <xdr:sp macro="" textlink="">
      <xdr:nvSpPr>
        <xdr:cNvPr id="322" name="Line 608"/>
        <xdr:cNvSpPr>
          <a:spLocks noChangeShapeType="1"/>
        </xdr:cNvSpPr>
      </xdr:nvSpPr>
      <xdr:spPr bwMode="auto">
        <a:xfrm flipV="1">
          <a:off x="2686050" y="29651325"/>
          <a:ext cx="0" cy="159067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0</xdr:colOff>
      <xdr:row>188</xdr:row>
      <xdr:rowOff>0</xdr:rowOff>
    </xdr:from>
    <xdr:to>
      <xdr:col>4</xdr:col>
      <xdr:colOff>219075</xdr:colOff>
      <xdr:row>188</xdr:row>
      <xdr:rowOff>0</xdr:rowOff>
    </xdr:to>
    <xdr:sp macro="" textlink="">
      <xdr:nvSpPr>
        <xdr:cNvPr id="323" name="Line 609"/>
        <xdr:cNvSpPr>
          <a:spLocks noChangeShapeType="1"/>
        </xdr:cNvSpPr>
      </xdr:nvSpPr>
      <xdr:spPr bwMode="auto">
        <a:xfrm>
          <a:off x="2543175" y="3123247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200025</xdr:colOff>
      <xdr:row>177</xdr:row>
      <xdr:rowOff>0</xdr:rowOff>
    </xdr:from>
    <xdr:to>
      <xdr:col>4</xdr:col>
      <xdr:colOff>200025</xdr:colOff>
      <xdr:row>177</xdr:row>
      <xdr:rowOff>76200</xdr:rowOff>
    </xdr:to>
    <xdr:sp macro="" textlink="">
      <xdr:nvSpPr>
        <xdr:cNvPr id="324" name="Line 610"/>
        <xdr:cNvSpPr>
          <a:spLocks noChangeShapeType="1"/>
        </xdr:cNvSpPr>
      </xdr:nvSpPr>
      <xdr:spPr bwMode="auto">
        <a:xfrm>
          <a:off x="2743200" y="2945130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200025</xdr:colOff>
      <xdr:row>177</xdr:row>
      <xdr:rowOff>38100</xdr:rowOff>
    </xdr:from>
    <xdr:to>
      <xdr:col>4</xdr:col>
      <xdr:colOff>371475</xdr:colOff>
      <xdr:row>177</xdr:row>
      <xdr:rowOff>38100</xdr:rowOff>
    </xdr:to>
    <xdr:sp macro="" textlink="">
      <xdr:nvSpPr>
        <xdr:cNvPr id="325" name="Line 611"/>
        <xdr:cNvSpPr>
          <a:spLocks noChangeShapeType="1"/>
        </xdr:cNvSpPr>
      </xdr:nvSpPr>
      <xdr:spPr bwMode="auto">
        <a:xfrm>
          <a:off x="2743200" y="294894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276225</xdr:colOff>
      <xdr:row>176</xdr:row>
      <xdr:rowOff>66675</xdr:rowOff>
    </xdr:from>
    <xdr:to>
      <xdr:col>4</xdr:col>
      <xdr:colOff>285750</xdr:colOff>
      <xdr:row>177</xdr:row>
      <xdr:rowOff>38100</xdr:rowOff>
    </xdr:to>
    <xdr:sp macro="" textlink="">
      <xdr:nvSpPr>
        <xdr:cNvPr id="326" name="Line 612"/>
        <xdr:cNvSpPr>
          <a:spLocks noChangeShapeType="1"/>
        </xdr:cNvSpPr>
      </xdr:nvSpPr>
      <xdr:spPr bwMode="auto">
        <a:xfrm>
          <a:off x="2819400" y="29356050"/>
          <a:ext cx="952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809625</xdr:colOff>
      <xdr:row>176</xdr:row>
      <xdr:rowOff>66675</xdr:rowOff>
    </xdr:from>
    <xdr:to>
      <xdr:col>4</xdr:col>
      <xdr:colOff>276225</xdr:colOff>
      <xdr:row>176</xdr:row>
      <xdr:rowOff>66675</xdr:rowOff>
    </xdr:to>
    <xdr:sp macro="" textlink="">
      <xdr:nvSpPr>
        <xdr:cNvPr id="327" name="Line 613"/>
        <xdr:cNvSpPr>
          <a:spLocks noChangeShapeType="1"/>
        </xdr:cNvSpPr>
      </xdr:nvSpPr>
      <xdr:spPr bwMode="auto">
        <a:xfrm>
          <a:off x="2543175" y="293560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523875</xdr:colOff>
      <xdr:row>188</xdr:row>
      <xdr:rowOff>152400</xdr:rowOff>
    </xdr:from>
    <xdr:to>
      <xdr:col>8</xdr:col>
      <xdr:colOff>114300</xdr:colOff>
      <xdr:row>198</xdr:row>
      <xdr:rowOff>9525</xdr:rowOff>
    </xdr:to>
    <xdr:sp macro="" textlink="">
      <xdr:nvSpPr>
        <xdr:cNvPr id="328" name="Line 624"/>
        <xdr:cNvSpPr>
          <a:spLocks noChangeShapeType="1"/>
        </xdr:cNvSpPr>
      </xdr:nvSpPr>
      <xdr:spPr bwMode="auto">
        <a:xfrm>
          <a:off x="4924425" y="31384875"/>
          <a:ext cx="200025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466725</xdr:colOff>
      <xdr:row>198</xdr:row>
      <xdr:rowOff>47625</xdr:rowOff>
    </xdr:from>
    <xdr:to>
      <xdr:col>6</xdr:col>
      <xdr:colOff>38100</xdr:colOff>
      <xdr:row>198</xdr:row>
      <xdr:rowOff>47625</xdr:rowOff>
    </xdr:to>
    <xdr:sp macro="" textlink="">
      <xdr:nvSpPr>
        <xdr:cNvPr id="329" name="Line 874"/>
        <xdr:cNvSpPr>
          <a:spLocks noChangeShapeType="1"/>
        </xdr:cNvSpPr>
      </xdr:nvSpPr>
      <xdr:spPr bwMode="auto">
        <a:xfrm flipH="1">
          <a:off x="3648075" y="32899350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1</xdr:colOff>
      <xdr:row>87</xdr:row>
      <xdr:rowOff>28575</xdr:rowOff>
    </xdr:from>
    <xdr:to>
      <xdr:col>1</xdr:col>
      <xdr:colOff>9525</xdr:colOff>
      <xdr:row>89</xdr:row>
      <xdr:rowOff>152401</xdr:rowOff>
    </xdr:to>
    <xdr:cxnSp macro="">
      <xdr:nvCxnSpPr>
        <xdr:cNvPr id="330" name="Straight Connector 487"/>
        <xdr:cNvCxnSpPr>
          <a:cxnSpLocks noChangeShapeType="1"/>
        </xdr:cNvCxnSpPr>
      </xdr:nvCxnSpPr>
      <xdr:spPr bwMode="auto">
        <a:xfrm rot="5400000" flipH="1" flipV="1">
          <a:off x="476250" y="14773276"/>
          <a:ext cx="485776" cy="9524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7</xdr:col>
      <xdr:colOff>0</xdr:colOff>
      <xdr:row>87</xdr:row>
      <xdr:rowOff>66675</xdr:rowOff>
    </xdr:from>
    <xdr:to>
      <xdr:col>7</xdr:col>
      <xdr:colOff>0</xdr:colOff>
      <xdr:row>90</xdr:row>
      <xdr:rowOff>38100</xdr:rowOff>
    </xdr:to>
    <xdr:cxnSp macro="">
      <xdr:nvCxnSpPr>
        <xdr:cNvPr id="331" name="Straight Connector 490"/>
        <xdr:cNvCxnSpPr>
          <a:cxnSpLocks noChangeShapeType="1"/>
        </xdr:cNvCxnSpPr>
      </xdr:nvCxnSpPr>
      <xdr:spPr bwMode="auto">
        <a:xfrm rot="16200000" flipV="1">
          <a:off x="4152900" y="14820900"/>
          <a:ext cx="495300" cy="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2</xdr:col>
      <xdr:colOff>533400</xdr:colOff>
      <xdr:row>95</xdr:row>
      <xdr:rowOff>19050</xdr:rowOff>
    </xdr:from>
    <xdr:to>
      <xdr:col>2</xdr:col>
      <xdr:colOff>647700</xdr:colOff>
      <xdr:row>95</xdr:row>
      <xdr:rowOff>142875</xdr:rowOff>
    </xdr:to>
    <xdr:sp macro="" textlink="">
      <xdr:nvSpPr>
        <xdr:cNvPr id="332" name="Line 829"/>
        <xdr:cNvSpPr>
          <a:spLocks noChangeShapeType="1"/>
        </xdr:cNvSpPr>
      </xdr:nvSpPr>
      <xdr:spPr bwMode="auto">
        <a:xfrm>
          <a:off x="1857375" y="15935325"/>
          <a:ext cx="762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504825</xdr:colOff>
      <xdr:row>94</xdr:row>
      <xdr:rowOff>152400</xdr:rowOff>
    </xdr:from>
    <xdr:to>
      <xdr:col>3</xdr:col>
      <xdr:colOff>9525</xdr:colOff>
      <xdr:row>95</xdr:row>
      <xdr:rowOff>114300</xdr:rowOff>
    </xdr:to>
    <xdr:sp macro="" textlink="">
      <xdr:nvSpPr>
        <xdr:cNvPr id="333" name="Line 833"/>
        <xdr:cNvSpPr>
          <a:spLocks noChangeShapeType="1"/>
        </xdr:cNvSpPr>
      </xdr:nvSpPr>
      <xdr:spPr bwMode="auto">
        <a:xfrm>
          <a:off x="1828800" y="15906750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285750</xdr:colOff>
      <xdr:row>93</xdr:row>
      <xdr:rowOff>142875</xdr:rowOff>
    </xdr:from>
    <xdr:ext cx="123825" cy="180975"/>
    <xdr:sp macro="" textlink="">
      <xdr:nvSpPr>
        <xdr:cNvPr id="334" name="Text Box 862"/>
        <xdr:cNvSpPr txBox="1">
          <a:spLocks noChangeArrowheads="1"/>
        </xdr:cNvSpPr>
      </xdr:nvSpPr>
      <xdr:spPr bwMode="auto">
        <a:xfrm>
          <a:off x="1609725" y="15735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</xdr:col>
      <xdr:colOff>523875</xdr:colOff>
      <xdr:row>95</xdr:row>
      <xdr:rowOff>19050</xdr:rowOff>
    </xdr:from>
    <xdr:to>
      <xdr:col>3</xdr:col>
      <xdr:colOff>638175</xdr:colOff>
      <xdr:row>95</xdr:row>
      <xdr:rowOff>142875</xdr:rowOff>
    </xdr:to>
    <xdr:sp macro="" textlink="">
      <xdr:nvSpPr>
        <xdr:cNvPr id="335" name="Line 49"/>
        <xdr:cNvSpPr>
          <a:spLocks noChangeShapeType="1"/>
        </xdr:cNvSpPr>
      </xdr:nvSpPr>
      <xdr:spPr bwMode="auto">
        <a:xfrm>
          <a:off x="2457450" y="15935325"/>
          <a:ext cx="857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552450</xdr:colOff>
      <xdr:row>114</xdr:row>
      <xdr:rowOff>19050</xdr:rowOff>
    </xdr:from>
    <xdr:to>
      <xdr:col>6</xdr:col>
      <xdr:colOff>552450</xdr:colOff>
      <xdr:row>115</xdr:row>
      <xdr:rowOff>19050</xdr:rowOff>
    </xdr:to>
    <xdr:sp macro="" textlink="">
      <xdr:nvSpPr>
        <xdr:cNvPr id="336" name="Line 796"/>
        <xdr:cNvSpPr>
          <a:spLocks noChangeShapeType="1"/>
        </xdr:cNvSpPr>
      </xdr:nvSpPr>
      <xdr:spPr bwMode="auto">
        <a:xfrm>
          <a:off x="4343400" y="190119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466725</xdr:colOff>
      <xdr:row>40</xdr:row>
      <xdr:rowOff>161924</xdr:rowOff>
    </xdr:from>
    <xdr:to>
      <xdr:col>5</xdr:col>
      <xdr:colOff>476250</xdr:colOff>
      <xdr:row>43</xdr:row>
      <xdr:rowOff>104774</xdr:rowOff>
    </xdr:to>
    <xdr:cxnSp macro="">
      <xdr:nvCxnSpPr>
        <xdr:cNvPr id="337" name="Shape 491"/>
        <xdr:cNvCxnSpPr>
          <a:cxnSpLocks noChangeShapeType="1"/>
          <a:stCxn id="38" idx="1"/>
        </xdr:cNvCxnSpPr>
      </xdr:nvCxnSpPr>
      <xdr:spPr bwMode="auto">
        <a:xfrm rot="16200000" flipH="1" flipV="1">
          <a:off x="2814637" y="6453187"/>
          <a:ext cx="428625" cy="1257300"/>
        </a:xfrm>
        <a:prstGeom prst="curvedConnector4">
          <a:avLst>
            <a:gd name="adj1" fmla="val -53333"/>
            <a:gd name="adj2" fmla="val 61429"/>
          </a:avLst>
        </a:prstGeom>
        <a:noFill/>
        <a:ln w="9525" algn="ctr">
          <a:solidFill>
            <a:srgbClr val="000000"/>
          </a:solidFill>
          <a:round/>
          <a:headEnd type="triangle" w="med" len="med"/>
          <a:tailEnd type="none" w="med" len="med"/>
        </a:ln>
      </xdr:spPr>
    </xdr:cxnSp>
    <xdr:clientData/>
  </xdr:twoCellAnchor>
  <xdr:twoCellAnchor>
    <xdr:from>
      <xdr:col>2</xdr:col>
      <xdr:colOff>9525</xdr:colOff>
      <xdr:row>169</xdr:row>
      <xdr:rowOff>0</xdr:rowOff>
    </xdr:from>
    <xdr:to>
      <xdr:col>5</xdr:col>
      <xdr:colOff>581025</xdr:colOff>
      <xdr:row>169</xdr:row>
      <xdr:rowOff>0</xdr:rowOff>
    </xdr:to>
    <xdr:sp macro="" textlink="">
      <xdr:nvSpPr>
        <xdr:cNvPr id="338" name="Line 86"/>
        <xdr:cNvSpPr>
          <a:spLocks noChangeShapeType="1"/>
        </xdr:cNvSpPr>
      </xdr:nvSpPr>
      <xdr:spPr bwMode="auto">
        <a:xfrm>
          <a:off x="1333500" y="28117800"/>
          <a:ext cx="24288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600078</xdr:colOff>
      <xdr:row>169</xdr:row>
      <xdr:rowOff>28576</xdr:rowOff>
    </xdr:from>
    <xdr:to>
      <xdr:col>2</xdr:col>
      <xdr:colOff>0</xdr:colOff>
      <xdr:row>171</xdr:row>
      <xdr:rowOff>95250</xdr:rowOff>
    </xdr:to>
    <xdr:cxnSp macro="">
      <xdr:nvCxnSpPr>
        <xdr:cNvPr id="339" name="Straight Connector 487"/>
        <xdr:cNvCxnSpPr>
          <a:cxnSpLocks noChangeShapeType="1"/>
        </xdr:cNvCxnSpPr>
      </xdr:nvCxnSpPr>
      <xdr:spPr bwMode="auto">
        <a:xfrm rot="5400000" flipH="1" flipV="1">
          <a:off x="1123952" y="28336877"/>
          <a:ext cx="390524" cy="952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5</xdr:col>
      <xdr:colOff>600075</xdr:colOff>
      <xdr:row>168</xdr:row>
      <xdr:rowOff>133350</xdr:rowOff>
    </xdr:from>
    <xdr:to>
      <xdr:col>5</xdr:col>
      <xdr:colOff>600075</xdr:colOff>
      <xdr:row>171</xdr:row>
      <xdr:rowOff>104775</xdr:rowOff>
    </xdr:to>
    <xdr:cxnSp macro="">
      <xdr:nvCxnSpPr>
        <xdr:cNvPr id="340" name="Straight Connector 490"/>
        <xdr:cNvCxnSpPr>
          <a:cxnSpLocks noChangeShapeType="1"/>
        </xdr:cNvCxnSpPr>
      </xdr:nvCxnSpPr>
      <xdr:spPr bwMode="auto">
        <a:xfrm rot="16200000" flipV="1">
          <a:off x="3552825" y="28317825"/>
          <a:ext cx="4572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3</xdr:col>
      <xdr:colOff>495300</xdr:colOff>
      <xdr:row>178</xdr:row>
      <xdr:rowOff>28575</xdr:rowOff>
    </xdr:from>
    <xdr:to>
      <xdr:col>4</xdr:col>
      <xdr:colOff>57150</xdr:colOff>
      <xdr:row>178</xdr:row>
      <xdr:rowOff>152400</xdr:rowOff>
    </xdr:to>
    <xdr:sp macro="" textlink="">
      <xdr:nvSpPr>
        <xdr:cNvPr id="341" name="Line 134"/>
        <xdr:cNvSpPr>
          <a:spLocks noChangeShapeType="1"/>
        </xdr:cNvSpPr>
      </xdr:nvSpPr>
      <xdr:spPr bwMode="auto">
        <a:xfrm>
          <a:off x="2428875" y="29641800"/>
          <a:ext cx="1714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178</xdr:row>
      <xdr:rowOff>28575</xdr:rowOff>
    </xdr:from>
    <xdr:to>
      <xdr:col>3</xdr:col>
      <xdr:colOff>95250</xdr:colOff>
      <xdr:row>178</xdr:row>
      <xdr:rowOff>152400</xdr:rowOff>
    </xdr:to>
    <xdr:sp macro="" textlink="">
      <xdr:nvSpPr>
        <xdr:cNvPr id="342" name="Line 208"/>
        <xdr:cNvSpPr>
          <a:spLocks noChangeShapeType="1"/>
        </xdr:cNvSpPr>
      </xdr:nvSpPr>
      <xdr:spPr bwMode="auto">
        <a:xfrm>
          <a:off x="1933575" y="29641800"/>
          <a:ext cx="952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619125</xdr:colOff>
      <xdr:row>178</xdr:row>
      <xdr:rowOff>19050</xdr:rowOff>
    </xdr:from>
    <xdr:to>
      <xdr:col>2</xdr:col>
      <xdr:colOff>733425</xdr:colOff>
      <xdr:row>178</xdr:row>
      <xdr:rowOff>142875</xdr:rowOff>
    </xdr:to>
    <xdr:sp macro="" textlink="">
      <xdr:nvSpPr>
        <xdr:cNvPr id="343" name="Line 829"/>
        <xdr:cNvSpPr>
          <a:spLocks noChangeShapeType="1"/>
        </xdr:cNvSpPr>
      </xdr:nvSpPr>
      <xdr:spPr bwMode="auto">
        <a:xfrm>
          <a:off x="1933575" y="296322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504825</xdr:colOff>
      <xdr:row>177</xdr:row>
      <xdr:rowOff>152400</xdr:rowOff>
    </xdr:from>
    <xdr:to>
      <xdr:col>3</xdr:col>
      <xdr:colOff>9525</xdr:colOff>
      <xdr:row>178</xdr:row>
      <xdr:rowOff>114300</xdr:rowOff>
    </xdr:to>
    <xdr:sp macro="" textlink="">
      <xdr:nvSpPr>
        <xdr:cNvPr id="344" name="Line 833"/>
        <xdr:cNvSpPr>
          <a:spLocks noChangeShapeType="1"/>
        </xdr:cNvSpPr>
      </xdr:nvSpPr>
      <xdr:spPr bwMode="auto">
        <a:xfrm>
          <a:off x="1828800" y="29603700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333375</xdr:colOff>
      <xdr:row>177</xdr:row>
      <xdr:rowOff>0</xdr:rowOff>
    </xdr:from>
    <xdr:ext cx="123825" cy="180975"/>
    <xdr:sp macro="" textlink="">
      <xdr:nvSpPr>
        <xdr:cNvPr id="345" name="Text Box 862"/>
        <xdr:cNvSpPr txBox="1">
          <a:spLocks noChangeArrowheads="1"/>
        </xdr:cNvSpPr>
      </xdr:nvSpPr>
      <xdr:spPr bwMode="auto">
        <a:xfrm>
          <a:off x="1657350" y="29451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457200</xdr:colOff>
      <xdr:row>177</xdr:row>
      <xdr:rowOff>152400</xdr:rowOff>
    </xdr:from>
    <xdr:to>
      <xdr:col>2</xdr:col>
      <xdr:colOff>571500</xdr:colOff>
      <xdr:row>178</xdr:row>
      <xdr:rowOff>114300</xdr:rowOff>
    </xdr:to>
    <xdr:sp macro="" textlink="">
      <xdr:nvSpPr>
        <xdr:cNvPr id="346" name="Line 49"/>
        <xdr:cNvSpPr>
          <a:spLocks noChangeShapeType="1"/>
        </xdr:cNvSpPr>
      </xdr:nvSpPr>
      <xdr:spPr bwMode="auto">
        <a:xfrm>
          <a:off x="1781175" y="29603700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253</xdr:row>
      <xdr:rowOff>0</xdr:rowOff>
    </xdr:from>
    <xdr:to>
      <xdr:col>5</xdr:col>
      <xdr:colOff>581025</xdr:colOff>
      <xdr:row>253</xdr:row>
      <xdr:rowOff>0</xdr:rowOff>
    </xdr:to>
    <xdr:sp macro="" textlink="">
      <xdr:nvSpPr>
        <xdr:cNvPr id="347" name="Line 86"/>
        <xdr:cNvSpPr>
          <a:spLocks noChangeShapeType="1"/>
        </xdr:cNvSpPr>
      </xdr:nvSpPr>
      <xdr:spPr bwMode="auto">
        <a:xfrm>
          <a:off x="1333500" y="41948100"/>
          <a:ext cx="24288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253</xdr:row>
      <xdr:rowOff>28576</xdr:rowOff>
    </xdr:from>
    <xdr:to>
      <xdr:col>2</xdr:col>
      <xdr:colOff>3</xdr:colOff>
      <xdr:row>255</xdr:row>
      <xdr:rowOff>85728</xdr:rowOff>
    </xdr:to>
    <xdr:cxnSp macro="">
      <xdr:nvCxnSpPr>
        <xdr:cNvPr id="348" name="Straight Connector 487"/>
        <xdr:cNvCxnSpPr>
          <a:cxnSpLocks noChangeShapeType="1"/>
        </xdr:cNvCxnSpPr>
      </xdr:nvCxnSpPr>
      <xdr:spPr bwMode="auto">
        <a:xfrm rot="16200000" flipV="1">
          <a:off x="1133476" y="42167175"/>
          <a:ext cx="381002" cy="3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5</xdr:col>
      <xdr:colOff>599282</xdr:colOff>
      <xdr:row>252</xdr:row>
      <xdr:rowOff>134145</xdr:rowOff>
    </xdr:from>
    <xdr:to>
      <xdr:col>5</xdr:col>
      <xdr:colOff>600870</xdr:colOff>
      <xdr:row>255</xdr:row>
      <xdr:rowOff>96047</xdr:rowOff>
    </xdr:to>
    <xdr:cxnSp macro="">
      <xdr:nvCxnSpPr>
        <xdr:cNvPr id="349" name="Straight Connector 490"/>
        <xdr:cNvCxnSpPr>
          <a:cxnSpLocks noChangeShapeType="1"/>
        </xdr:cNvCxnSpPr>
      </xdr:nvCxnSpPr>
      <xdr:spPr bwMode="auto">
        <a:xfrm rot="5400000" flipH="1" flipV="1">
          <a:off x="3557587" y="42143365"/>
          <a:ext cx="447677" cy="1588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7</xdr:col>
      <xdr:colOff>238125</xdr:colOff>
      <xdr:row>114</xdr:row>
      <xdr:rowOff>0</xdr:rowOff>
    </xdr:from>
    <xdr:to>
      <xdr:col>7</xdr:col>
      <xdr:colOff>466725</xdr:colOff>
      <xdr:row>114</xdr:row>
      <xdr:rowOff>0</xdr:rowOff>
    </xdr:to>
    <xdr:sp macro="" textlink="">
      <xdr:nvSpPr>
        <xdr:cNvPr id="350" name="Line 250"/>
        <xdr:cNvSpPr>
          <a:spLocks noChangeShapeType="1"/>
        </xdr:cNvSpPr>
      </xdr:nvSpPr>
      <xdr:spPr bwMode="auto">
        <a:xfrm flipV="1">
          <a:off x="4638675" y="189928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180975</xdr:colOff>
      <xdr:row>132</xdr:row>
      <xdr:rowOff>19050</xdr:rowOff>
    </xdr:from>
    <xdr:to>
      <xdr:col>7</xdr:col>
      <xdr:colOff>304800</xdr:colOff>
      <xdr:row>137</xdr:row>
      <xdr:rowOff>57150</xdr:rowOff>
    </xdr:to>
    <xdr:sp macro="" textlink="">
      <xdr:nvSpPr>
        <xdr:cNvPr id="351" name="Down Arrow 510"/>
        <xdr:cNvSpPr>
          <a:spLocks noChangeArrowheads="1"/>
        </xdr:cNvSpPr>
      </xdr:nvSpPr>
      <xdr:spPr bwMode="auto">
        <a:xfrm flipH="1">
          <a:off x="4581525" y="21926550"/>
          <a:ext cx="123825" cy="847725"/>
        </a:xfrm>
        <a:prstGeom prst="downArrow">
          <a:avLst>
            <a:gd name="adj1" fmla="val 50000"/>
            <a:gd name="adj2" fmla="val 49997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38100</xdr:colOff>
      <xdr:row>143</xdr:row>
      <xdr:rowOff>57150</xdr:rowOff>
    </xdr:from>
    <xdr:to>
      <xdr:col>7</xdr:col>
      <xdr:colOff>314325</xdr:colOff>
      <xdr:row>143</xdr:row>
      <xdr:rowOff>123825</xdr:rowOff>
    </xdr:to>
    <xdr:sp macro="" textlink="">
      <xdr:nvSpPr>
        <xdr:cNvPr id="352" name="Right Arrow 512"/>
        <xdr:cNvSpPr>
          <a:spLocks noChangeArrowheads="1"/>
        </xdr:cNvSpPr>
      </xdr:nvSpPr>
      <xdr:spPr bwMode="auto">
        <a:xfrm>
          <a:off x="4438650" y="23783925"/>
          <a:ext cx="276225" cy="66675"/>
        </a:xfrm>
        <a:prstGeom prst="rightArrow">
          <a:avLst>
            <a:gd name="adj1" fmla="val 50000"/>
            <a:gd name="adj2" fmla="val 50002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95250</xdr:colOff>
      <xdr:row>144</xdr:row>
      <xdr:rowOff>28575</xdr:rowOff>
    </xdr:from>
    <xdr:to>
      <xdr:col>7</xdr:col>
      <xdr:colOff>371475</xdr:colOff>
      <xdr:row>144</xdr:row>
      <xdr:rowOff>123825</xdr:rowOff>
    </xdr:to>
    <xdr:sp macro="" textlink="">
      <xdr:nvSpPr>
        <xdr:cNvPr id="353" name="Right Arrow 513"/>
        <xdr:cNvSpPr>
          <a:spLocks noChangeArrowheads="1"/>
        </xdr:cNvSpPr>
      </xdr:nvSpPr>
      <xdr:spPr bwMode="auto">
        <a:xfrm>
          <a:off x="4495800" y="23917275"/>
          <a:ext cx="276225" cy="95250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57150</xdr:colOff>
      <xdr:row>145</xdr:row>
      <xdr:rowOff>47625</xdr:rowOff>
    </xdr:from>
    <xdr:to>
      <xdr:col>7</xdr:col>
      <xdr:colOff>333375</xdr:colOff>
      <xdr:row>145</xdr:row>
      <xdr:rowOff>123825</xdr:rowOff>
    </xdr:to>
    <xdr:sp macro="" textlink="">
      <xdr:nvSpPr>
        <xdr:cNvPr id="354" name="Right Arrow 514"/>
        <xdr:cNvSpPr>
          <a:spLocks noChangeArrowheads="1"/>
        </xdr:cNvSpPr>
      </xdr:nvSpPr>
      <xdr:spPr bwMode="auto">
        <a:xfrm>
          <a:off x="4457700" y="24098250"/>
          <a:ext cx="276225" cy="76200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47625</xdr:colOff>
      <xdr:row>148</xdr:row>
      <xdr:rowOff>66675</xdr:rowOff>
    </xdr:from>
    <xdr:to>
      <xdr:col>7</xdr:col>
      <xdr:colOff>390525</xdr:colOff>
      <xdr:row>148</xdr:row>
      <xdr:rowOff>123825</xdr:rowOff>
    </xdr:to>
    <xdr:sp macro="" textlink="">
      <xdr:nvSpPr>
        <xdr:cNvPr id="355" name="Left Arrow 515"/>
        <xdr:cNvSpPr>
          <a:spLocks noChangeArrowheads="1"/>
        </xdr:cNvSpPr>
      </xdr:nvSpPr>
      <xdr:spPr bwMode="auto">
        <a:xfrm>
          <a:off x="4448175" y="24603075"/>
          <a:ext cx="342900" cy="57150"/>
        </a:xfrm>
        <a:prstGeom prst="leftArrow">
          <a:avLst>
            <a:gd name="adj1" fmla="val 50000"/>
            <a:gd name="adj2" fmla="val 50000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190500</xdr:colOff>
      <xdr:row>139</xdr:row>
      <xdr:rowOff>76200</xdr:rowOff>
    </xdr:from>
    <xdr:to>
      <xdr:col>7</xdr:col>
      <xdr:colOff>285750</xdr:colOff>
      <xdr:row>140</xdr:row>
      <xdr:rowOff>123825</xdr:rowOff>
    </xdr:to>
    <xdr:sp macro="" textlink="">
      <xdr:nvSpPr>
        <xdr:cNvPr id="356" name="Up Arrow 516"/>
        <xdr:cNvSpPr>
          <a:spLocks noChangeArrowheads="1"/>
        </xdr:cNvSpPr>
      </xdr:nvSpPr>
      <xdr:spPr bwMode="auto">
        <a:xfrm>
          <a:off x="4591050" y="23117175"/>
          <a:ext cx="95250" cy="209550"/>
        </a:xfrm>
        <a:prstGeom prst="upArrow">
          <a:avLst>
            <a:gd name="adj1" fmla="val 50000"/>
            <a:gd name="adj2" fmla="val 49001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125731</xdr:colOff>
      <xdr:row>24</xdr:row>
      <xdr:rowOff>9525</xdr:rowOff>
    </xdr:from>
    <xdr:to>
      <xdr:col>2</xdr:col>
      <xdr:colOff>171450</xdr:colOff>
      <xdr:row>38</xdr:row>
      <xdr:rowOff>0</xdr:rowOff>
    </xdr:to>
    <xdr:sp macro="" textlink="">
      <xdr:nvSpPr>
        <xdr:cNvPr id="357" name="Line 12"/>
        <xdr:cNvSpPr>
          <a:spLocks noChangeShapeType="1"/>
        </xdr:cNvSpPr>
      </xdr:nvSpPr>
      <xdr:spPr bwMode="auto">
        <a:xfrm>
          <a:off x="1449706" y="4124325"/>
          <a:ext cx="45719" cy="22574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3</xdr:col>
      <xdr:colOff>285750</xdr:colOff>
      <xdr:row>193</xdr:row>
      <xdr:rowOff>142875</xdr:rowOff>
    </xdr:from>
    <xdr:ext cx="123825" cy="177532"/>
    <xdr:sp macro="" textlink="">
      <xdr:nvSpPr>
        <xdr:cNvPr id="358" name="Text Box 870"/>
        <xdr:cNvSpPr txBox="1">
          <a:spLocks noChangeArrowheads="1"/>
        </xdr:cNvSpPr>
      </xdr:nvSpPr>
      <xdr:spPr bwMode="auto">
        <a:xfrm>
          <a:off x="2219325" y="32184975"/>
          <a:ext cx="123825" cy="177532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0</xdr:colOff>
      <xdr:row>206</xdr:row>
      <xdr:rowOff>152400</xdr:rowOff>
    </xdr:from>
    <xdr:to>
      <xdr:col>5</xdr:col>
      <xdr:colOff>466725</xdr:colOff>
      <xdr:row>207</xdr:row>
      <xdr:rowOff>0</xdr:rowOff>
    </xdr:to>
    <xdr:sp macro="" textlink="">
      <xdr:nvSpPr>
        <xdr:cNvPr id="359" name="Line 268"/>
        <xdr:cNvSpPr>
          <a:spLocks noChangeShapeType="1"/>
        </xdr:cNvSpPr>
      </xdr:nvSpPr>
      <xdr:spPr bwMode="auto">
        <a:xfrm flipV="1">
          <a:off x="1323975" y="34299525"/>
          <a:ext cx="23241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590551</xdr:colOff>
      <xdr:row>208</xdr:row>
      <xdr:rowOff>95249</xdr:rowOff>
    </xdr:from>
    <xdr:to>
      <xdr:col>5</xdr:col>
      <xdr:colOff>476251</xdr:colOff>
      <xdr:row>210</xdr:row>
      <xdr:rowOff>142874</xdr:rowOff>
    </xdr:to>
    <xdr:sp macro="" textlink="">
      <xdr:nvSpPr>
        <xdr:cNvPr id="360" name="Line 269"/>
        <xdr:cNvSpPr>
          <a:spLocks noChangeShapeType="1"/>
        </xdr:cNvSpPr>
      </xdr:nvSpPr>
      <xdr:spPr bwMode="auto">
        <a:xfrm flipV="1">
          <a:off x="1304926" y="34566224"/>
          <a:ext cx="2352675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206</xdr:row>
      <xdr:rowOff>114300</xdr:rowOff>
    </xdr:from>
    <xdr:to>
      <xdr:col>6</xdr:col>
      <xdr:colOff>9525</xdr:colOff>
      <xdr:row>208</xdr:row>
      <xdr:rowOff>17145</xdr:rowOff>
    </xdr:to>
    <xdr:sp macro="" textlink="">
      <xdr:nvSpPr>
        <xdr:cNvPr id="361" name="Line 272"/>
        <xdr:cNvSpPr>
          <a:spLocks noChangeShapeType="1"/>
        </xdr:cNvSpPr>
      </xdr:nvSpPr>
      <xdr:spPr bwMode="auto">
        <a:xfrm flipH="1">
          <a:off x="3667125" y="34261425"/>
          <a:ext cx="133350" cy="22669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485775</xdr:colOff>
      <xdr:row>206</xdr:row>
      <xdr:rowOff>47625</xdr:rowOff>
    </xdr:from>
    <xdr:to>
      <xdr:col>0</xdr:col>
      <xdr:colOff>247650</xdr:colOff>
      <xdr:row>206</xdr:row>
      <xdr:rowOff>47625</xdr:rowOff>
    </xdr:to>
    <xdr:sp macro="" textlink="">
      <xdr:nvSpPr>
        <xdr:cNvPr id="362" name="Line 276"/>
        <xdr:cNvSpPr>
          <a:spLocks noChangeShapeType="1"/>
        </xdr:cNvSpPr>
      </xdr:nvSpPr>
      <xdr:spPr bwMode="auto">
        <a:xfrm flipH="1" flipV="1">
          <a:off x="485775" y="34194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123825</xdr:colOff>
      <xdr:row>215</xdr:row>
      <xdr:rowOff>38100</xdr:rowOff>
    </xdr:from>
    <xdr:to>
      <xdr:col>7</xdr:col>
      <xdr:colOff>247650</xdr:colOff>
      <xdr:row>222</xdr:row>
      <xdr:rowOff>0</xdr:rowOff>
    </xdr:to>
    <xdr:sp macro="" textlink="">
      <xdr:nvSpPr>
        <xdr:cNvPr id="363" name="Down Arrow 510"/>
        <xdr:cNvSpPr>
          <a:spLocks noChangeArrowheads="1"/>
        </xdr:cNvSpPr>
      </xdr:nvSpPr>
      <xdr:spPr bwMode="auto">
        <a:xfrm flipH="1">
          <a:off x="4524375" y="35642550"/>
          <a:ext cx="123825" cy="1095375"/>
        </a:xfrm>
        <a:prstGeom prst="downArrow">
          <a:avLst>
            <a:gd name="adj1" fmla="val 50000"/>
            <a:gd name="adj2" fmla="val 63414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57150</xdr:colOff>
      <xdr:row>230</xdr:row>
      <xdr:rowOff>66675</xdr:rowOff>
    </xdr:from>
    <xdr:to>
      <xdr:col>7</xdr:col>
      <xdr:colOff>333375</xdr:colOff>
      <xdr:row>230</xdr:row>
      <xdr:rowOff>152400</xdr:rowOff>
    </xdr:to>
    <xdr:sp macro="" textlink="">
      <xdr:nvSpPr>
        <xdr:cNvPr id="364" name="Right Arrow 512"/>
        <xdr:cNvSpPr>
          <a:spLocks noChangeArrowheads="1"/>
        </xdr:cNvSpPr>
      </xdr:nvSpPr>
      <xdr:spPr bwMode="auto">
        <a:xfrm>
          <a:off x="4457700" y="38138100"/>
          <a:ext cx="276225" cy="85725"/>
        </a:xfrm>
        <a:prstGeom prst="rightArrow">
          <a:avLst>
            <a:gd name="adj1" fmla="val 50000"/>
            <a:gd name="adj2" fmla="val 50002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76200</xdr:colOff>
      <xdr:row>231</xdr:row>
      <xdr:rowOff>38100</xdr:rowOff>
    </xdr:from>
    <xdr:to>
      <xdr:col>7</xdr:col>
      <xdr:colOff>352425</xdr:colOff>
      <xdr:row>231</xdr:row>
      <xdr:rowOff>123825</xdr:rowOff>
    </xdr:to>
    <xdr:sp macro="" textlink="">
      <xdr:nvSpPr>
        <xdr:cNvPr id="365" name="Right Arrow 513"/>
        <xdr:cNvSpPr>
          <a:spLocks noChangeArrowheads="1"/>
        </xdr:cNvSpPr>
      </xdr:nvSpPr>
      <xdr:spPr bwMode="auto">
        <a:xfrm>
          <a:off x="4476750" y="38271450"/>
          <a:ext cx="276225" cy="85725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95250</xdr:colOff>
      <xdr:row>229</xdr:row>
      <xdr:rowOff>28575</xdr:rowOff>
    </xdr:from>
    <xdr:to>
      <xdr:col>7</xdr:col>
      <xdr:colOff>371475</xdr:colOff>
      <xdr:row>229</xdr:row>
      <xdr:rowOff>114300</xdr:rowOff>
    </xdr:to>
    <xdr:sp macro="" textlink="">
      <xdr:nvSpPr>
        <xdr:cNvPr id="366" name="Right Arrow 514"/>
        <xdr:cNvSpPr>
          <a:spLocks noChangeArrowheads="1"/>
        </xdr:cNvSpPr>
      </xdr:nvSpPr>
      <xdr:spPr bwMode="auto">
        <a:xfrm>
          <a:off x="4495800" y="37938075"/>
          <a:ext cx="276225" cy="85725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247650</xdr:colOff>
      <xdr:row>225</xdr:row>
      <xdr:rowOff>85725</xdr:rowOff>
    </xdr:from>
    <xdr:to>
      <xdr:col>7</xdr:col>
      <xdr:colOff>342900</xdr:colOff>
      <xdr:row>226</xdr:row>
      <xdr:rowOff>133350</xdr:rowOff>
    </xdr:to>
    <xdr:sp macro="" textlink="">
      <xdr:nvSpPr>
        <xdr:cNvPr id="367" name="Up Arrow 516"/>
        <xdr:cNvSpPr>
          <a:spLocks noChangeArrowheads="1"/>
        </xdr:cNvSpPr>
      </xdr:nvSpPr>
      <xdr:spPr bwMode="auto">
        <a:xfrm>
          <a:off x="4648200" y="37309425"/>
          <a:ext cx="95250" cy="209550"/>
        </a:xfrm>
        <a:prstGeom prst="upArrow">
          <a:avLst>
            <a:gd name="adj1" fmla="val 50000"/>
            <a:gd name="adj2" fmla="val 49001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66675</xdr:colOff>
      <xdr:row>104</xdr:row>
      <xdr:rowOff>0</xdr:rowOff>
    </xdr:from>
    <xdr:to>
      <xdr:col>0</xdr:col>
      <xdr:colOff>342900</xdr:colOff>
      <xdr:row>104</xdr:row>
      <xdr:rowOff>0</xdr:rowOff>
    </xdr:to>
    <xdr:sp macro="" textlink="">
      <xdr:nvSpPr>
        <xdr:cNvPr id="368" name="Line 783"/>
        <xdr:cNvSpPr>
          <a:spLocks noChangeShapeType="1"/>
        </xdr:cNvSpPr>
      </xdr:nvSpPr>
      <xdr:spPr bwMode="auto">
        <a:xfrm>
          <a:off x="66675" y="1737360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66675</xdr:colOff>
      <xdr:row>187</xdr:row>
      <xdr:rowOff>142875</xdr:rowOff>
    </xdr:from>
    <xdr:to>
      <xdr:col>0</xdr:col>
      <xdr:colOff>361950</xdr:colOff>
      <xdr:row>187</xdr:row>
      <xdr:rowOff>142875</xdr:rowOff>
    </xdr:to>
    <xdr:sp macro="" textlink="">
      <xdr:nvSpPr>
        <xdr:cNvPr id="369" name="Line 783"/>
        <xdr:cNvSpPr>
          <a:spLocks noChangeShapeType="1"/>
        </xdr:cNvSpPr>
      </xdr:nvSpPr>
      <xdr:spPr bwMode="auto">
        <a:xfrm flipV="1">
          <a:off x="66675" y="3121342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</xdr:colOff>
      <xdr:row>178</xdr:row>
      <xdr:rowOff>0</xdr:rowOff>
    </xdr:from>
    <xdr:to>
      <xdr:col>5</xdr:col>
      <xdr:colOff>438150</xdr:colOff>
      <xdr:row>178</xdr:row>
      <xdr:rowOff>0</xdr:rowOff>
    </xdr:to>
    <xdr:sp macro="" textlink="">
      <xdr:nvSpPr>
        <xdr:cNvPr id="370" name="Line 12778"/>
        <xdr:cNvSpPr>
          <a:spLocks noChangeShapeType="1"/>
        </xdr:cNvSpPr>
      </xdr:nvSpPr>
      <xdr:spPr bwMode="auto">
        <a:xfrm flipV="1">
          <a:off x="3228975" y="29613225"/>
          <a:ext cx="390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116206</xdr:colOff>
      <xdr:row>185</xdr:row>
      <xdr:rowOff>9525</xdr:rowOff>
    </xdr:from>
    <xdr:to>
      <xdr:col>6</xdr:col>
      <xdr:colOff>161925</xdr:colOff>
      <xdr:row>198</xdr:row>
      <xdr:rowOff>19050</xdr:rowOff>
    </xdr:to>
    <xdr:sp macro="" textlink="">
      <xdr:nvSpPr>
        <xdr:cNvPr id="371" name="Line 12782"/>
        <xdr:cNvSpPr>
          <a:spLocks noChangeShapeType="1"/>
        </xdr:cNvSpPr>
      </xdr:nvSpPr>
      <xdr:spPr bwMode="auto">
        <a:xfrm>
          <a:off x="3907156" y="30756225"/>
          <a:ext cx="45719" cy="211455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6</xdr:col>
      <xdr:colOff>123825</xdr:colOff>
      <xdr:row>185</xdr:row>
      <xdr:rowOff>9525</xdr:rowOff>
    </xdr:from>
    <xdr:to>
      <xdr:col>6</xdr:col>
      <xdr:colOff>581025</xdr:colOff>
      <xdr:row>198</xdr:row>
      <xdr:rowOff>0</xdr:rowOff>
    </xdr:to>
    <xdr:sp macro="" textlink="">
      <xdr:nvSpPr>
        <xdr:cNvPr id="372" name="Line 12783"/>
        <xdr:cNvSpPr>
          <a:spLocks noChangeShapeType="1"/>
        </xdr:cNvSpPr>
      </xdr:nvSpPr>
      <xdr:spPr bwMode="auto">
        <a:xfrm>
          <a:off x="3914775" y="30756225"/>
          <a:ext cx="457200" cy="2095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161925</xdr:colOff>
      <xdr:row>198</xdr:row>
      <xdr:rowOff>0</xdr:rowOff>
    </xdr:from>
    <xdr:to>
      <xdr:col>6</xdr:col>
      <xdr:colOff>561975</xdr:colOff>
      <xdr:row>198</xdr:row>
      <xdr:rowOff>0</xdr:rowOff>
    </xdr:to>
    <xdr:sp macro="" textlink="">
      <xdr:nvSpPr>
        <xdr:cNvPr id="373" name="Line 12784"/>
        <xdr:cNvSpPr>
          <a:spLocks noChangeShapeType="1"/>
        </xdr:cNvSpPr>
      </xdr:nvSpPr>
      <xdr:spPr bwMode="auto">
        <a:xfrm flipH="1" flipV="1">
          <a:off x="3952875" y="32851725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152400</xdr:colOff>
      <xdr:row>196</xdr:row>
      <xdr:rowOff>85725</xdr:rowOff>
    </xdr:from>
    <xdr:to>
      <xdr:col>6</xdr:col>
      <xdr:colOff>552450</xdr:colOff>
      <xdr:row>196</xdr:row>
      <xdr:rowOff>85725</xdr:rowOff>
    </xdr:to>
    <xdr:sp macro="" textlink="">
      <xdr:nvSpPr>
        <xdr:cNvPr id="374" name="Line 12785"/>
        <xdr:cNvSpPr>
          <a:spLocks noChangeShapeType="1"/>
        </xdr:cNvSpPr>
      </xdr:nvSpPr>
      <xdr:spPr bwMode="auto">
        <a:xfrm flipH="1" flipV="1">
          <a:off x="3943350" y="32613600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476250</xdr:colOff>
      <xdr:row>40</xdr:row>
      <xdr:rowOff>95250</xdr:rowOff>
    </xdr:from>
    <xdr:to>
      <xdr:col>5</xdr:col>
      <xdr:colOff>552450</xdr:colOff>
      <xdr:row>41</xdr:row>
      <xdr:rowOff>9525</xdr:rowOff>
    </xdr:to>
    <xdr:sp macro="" textlink="">
      <xdr:nvSpPr>
        <xdr:cNvPr id="375" name="Oval 12788"/>
        <xdr:cNvSpPr>
          <a:spLocks noChangeArrowheads="1"/>
        </xdr:cNvSpPr>
      </xdr:nvSpPr>
      <xdr:spPr bwMode="auto">
        <a:xfrm>
          <a:off x="3657600" y="6800850"/>
          <a:ext cx="76200" cy="762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57150</xdr:colOff>
      <xdr:row>234</xdr:row>
      <xdr:rowOff>38100</xdr:rowOff>
    </xdr:from>
    <xdr:to>
      <xdr:col>7</xdr:col>
      <xdr:colOff>400050</xdr:colOff>
      <xdr:row>234</xdr:row>
      <xdr:rowOff>133350</xdr:rowOff>
    </xdr:to>
    <xdr:sp macro="" textlink="">
      <xdr:nvSpPr>
        <xdr:cNvPr id="376" name="Left Arrow 515"/>
        <xdr:cNvSpPr>
          <a:spLocks noChangeArrowheads="1"/>
        </xdr:cNvSpPr>
      </xdr:nvSpPr>
      <xdr:spPr bwMode="auto">
        <a:xfrm>
          <a:off x="4457700" y="38757225"/>
          <a:ext cx="342900" cy="95250"/>
        </a:xfrm>
        <a:prstGeom prst="leftArrow">
          <a:avLst>
            <a:gd name="adj1" fmla="val 50000"/>
            <a:gd name="adj2" fmla="val 50000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38100</xdr:colOff>
      <xdr:row>233</xdr:row>
      <xdr:rowOff>57150</xdr:rowOff>
    </xdr:from>
    <xdr:to>
      <xdr:col>7</xdr:col>
      <xdr:colOff>381000</xdr:colOff>
      <xdr:row>233</xdr:row>
      <xdr:rowOff>114300</xdr:rowOff>
    </xdr:to>
    <xdr:sp macro="" textlink="">
      <xdr:nvSpPr>
        <xdr:cNvPr id="377" name="Left Arrow 515"/>
        <xdr:cNvSpPr>
          <a:spLocks noChangeArrowheads="1"/>
        </xdr:cNvSpPr>
      </xdr:nvSpPr>
      <xdr:spPr bwMode="auto">
        <a:xfrm>
          <a:off x="4438650" y="38614350"/>
          <a:ext cx="342900" cy="57150"/>
        </a:xfrm>
        <a:prstGeom prst="leftArrow">
          <a:avLst>
            <a:gd name="adj1" fmla="val 50000"/>
            <a:gd name="adj2" fmla="val 50000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513557</xdr:colOff>
      <xdr:row>189</xdr:row>
      <xdr:rowOff>796</xdr:rowOff>
    </xdr:from>
    <xdr:to>
      <xdr:col>7</xdr:col>
      <xdr:colOff>515145</xdr:colOff>
      <xdr:row>198</xdr:row>
      <xdr:rowOff>19846</xdr:rowOff>
    </xdr:to>
    <xdr:cxnSp macro="">
      <xdr:nvCxnSpPr>
        <xdr:cNvPr id="378" name="Straight Connector 598"/>
        <xdr:cNvCxnSpPr>
          <a:cxnSpLocks noChangeShapeType="1"/>
        </xdr:cNvCxnSpPr>
      </xdr:nvCxnSpPr>
      <xdr:spPr bwMode="auto">
        <a:xfrm rot="5400000">
          <a:off x="4176713" y="32132590"/>
          <a:ext cx="1476375" cy="1588"/>
        </a:xfrm>
        <a:prstGeom prst="line">
          <a:avLst/>
        </a:prstGeom>
        <a:noFill/>
        <a:ln w="9525" algn="ctr">
          <a:solidFill>
            <a:srgbClr val="000000"/>
          </a:solidFill>
          <a:prstDash val="dash"/>
          <a:round/>
          <a:headEnd/>
          <a:tailEnd/>
        </a:ln>
      </xdr:spPr>
    </xdr:cxnSp>
    <xdr:clientData/>
  </xdr:twoCellAnchor>
  <xdr:twoCellAnchor>
    <xdr:from>
      <xdr:col>7</xdr:col>
      <xdr:colOff>514350</xdr:colOff>
      <xdr:row>198</xdr:row>
      <xdr:rowOff>9525</xdr:rowOff>
    </xdr:from>
    <xdr:to>
      <xdr:col>8</xdr:col>
      <xdr:colOff>123825</xdr:colOff>
      <xdr:row>198</xdr:row>
      <xdr:rowOff>9525</xdr:rowOff>
    </xdr:to>
    <xdr:cxnSp macro="">
      <xdr:nvCxnSpPr>
        <xdr:cNvPr id="379" name="Straight Connector 600"/>
        <xdr:cNvCxnSpPr>
          <a:cxnSpLocks noChangeShapeType="1"/>
        </xdr:cNvCxnSpPr>
      </xdr:nvCxnSpPr>
      <xdr:spPr bwMode="auto">
        <a:xfrm>
          <a:off x="4914900" y="32861250"/>
          <a:ext cx="21907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/>
        </a:ln>
      </xdr:spPr>
    </xdr:cxnSp>
    <xdr:clientData/>
  </xdr:twoCellAnchor>
  <xdr:twoCellAnchor>
    <xdr:from>
      <xdr:col>7</xdr:col>
      <xdr:colOff>523875</xdr:colOff>
      <xdr:row>196</xdr:row>
      <xdr:rowOff>104775</xdr:rowOff>
    </xdr:from>
    <xdr:to>
      <xdr:col>8</xdr:col>
      <xdr:colOff>123825</xdr:colOff>
      <xdr:row>196</xdr:row>
      <xdr:rowOff>104775</xdr:rowOff>
    </xdr:to>
    <xdr:cxnSp macro="">
      <xdr:nvCxnSpPr>
        <xdr:cNvPr id="380" name="Straight Connector 602"/>
        <xdr:cNvCxnSpPr>
          <a:cxnSpLocks noChangeShapeType="1"/>
        </xdr:cNvCxnSpPr>
      </xdr:nvCxnSpPr>
      <xdr:spPr bwMode="auto">
        <a:xfrm rot="10800000">
          <a:off x="4924425" y="32632650"/>
          <a:ext cx="2095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8</xdr:col>
      <xdr:colOff>294481</xdr:colOff>
      <xdr:row>189</xdr:row>
      <xdr:rowOff>794</xdr:rowOff>
    </xdr:from>
    <xdr:to>
      <xdr:col>8</xdr:col>
      <xdr:colOff>296069</xdr:colOff>
      <xdr:row>198</xdr:row>
      <xdr:rowOff>10319</xdr:rowOff>
    </xdr:to>
    <xdr:cxnSp macro="">
      <xdr:nvCxnSpPr>
        <xdr:cNvPr id="381" name="Straight Arrow Connector 604"/>
        <xdr:cNvCxnSpPr>
          <a:cxnSpLocks noChangeShapeType="1"/>
        </xdr:cNvCxnSpPr>
      </xdr:nvCxnSpPr>
      <xdr:spPr bwMode="auto">
        <a:xfrm rot="5400000">
          <a:off x="4572000" y="32127825"/>
          <a:ext cx="1466850" cy="1588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</xdr:spPr>
    </xdr:cxnSp>
    <xdr:clientData/>
  </xdr:twoCellAnchor>
  <xdr:twoCellAnchor>
    <xdr:from>
      <xdr:col>7</xdr:col>
      <xdr:colOff>104775</xdr:colOff>
      <xdr:row>188</xdr:row>
      <xdr:rowOff>152400</xdr:rowOff>
    </xdr:from>
    <xdr:to>
      <xdr:col>8</xdr:col>
      <xdr:colOff>647700</xdr:colOff>
      <xdr:row>188</xdr:row>
      <xdr:rowOff>152400</xdr:rowOff>
    </xdr:to>
    <xdr:cxnSp macro="">
      <xdr:nvCxnSpPr>
        <xdr:cNvPr id="382" name="Straight Connector 607"/>
        <xdr:cNvCxnSpPr>
          <a:cxnSpLocks noChangeShapeType="1"/>
        </xdr:cNvCxnSpPr>
      </xdr:nvCxnSpPr>
      <xdr:spPr bwMode="auto">
        <a:xfrm>
          <a:off x="4505325" y="31384875"/>
          <a:ext cx="11144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7</xdr:col>
      <xdr:colOff>581025</xdr:colOff>
      <xdr:row>197</xdr:row>
      <xdr:rowOff>152400</xdr:rowOff>
    </xdr:from>
    <xdr:to>
      <xdr:col>8</xdr:col>
      <xdr:colOff>676275</xdr:colOff>
      <xdr:row>198</xdr:row>
      <xdr:rowOff>1</xdr:rowOff>
    </xdr:to>
    <xdr:cxnSp macro="">
      <xdr:nvCxnSpPr>
        <xdr:cNvPr id="383" name="Straight Connector 609"/>
        <xdr:cNvCxnSpPr>
          <a:cxnSpLocks noChangeShapeType="1"/>
        </xdr:cNvCxnSpPr>
      </xdr:nvCxnSpPr>
      <xdr:spPr bwMode="auto">
        <a:xfrm flipV="1">
          <a:off x="4981575" y="32842200"/>
          <a:ext cx="638175" cy="9526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oneCellAnchor>
    <xdr:from>
      <xdr:col>7</xdr:col>
      <xdr:colOff>361950</xdr:colOff>
      <xdr:row>183</xdr:row>
      <xdr:rowOff>152400</xdr:rowOff>
    </xdr:from>
    <xdr:ext cx="123825" cy="177532"/>
    <xdr:sp macro="" textlink="">
      <xdr:nvSpPr>
        <xdr:cNvPr id="384" name="Text Box 870"/>
        <xdr:cNvSpPr txBox="1">
          <a:spLocks noChangeArrowheads="1"/>
        </xdr:cNvSpPr>
      </xdr:nvSpPr>
      <xdr:spPr bwMode="auto">
        <a:xfrm>
          <a:off x="4762500" y="30575250"/>
          <a:ext cx="123825" cy="177532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304800</xdr:colOff>
      <xdr:row>102</xdr:row>
      <xdr:rowOff>152400</xdr:rowOff>
    </xdr:from>
    <xdr:ext cx="123825" cy="177532"/>
    <xdr:sp macro="" textlink="">
      <xdr:nvSpPr>
        <xdr:cNvPr id="385" name="Text Box 870"/>
        <xdr:cNvSpPr txBox="1">
          <a:spLocks noChangeArrowheads="1"/>
        </xdr:cNvSpPr>
      </xdr:nvSpPr>
      <xdr:spPr bwMode="auto">
        <a:xfrm>
          <a:off x="2238375" y="17202150"/>
          <a:ext cx="123825" cy="177532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295275</xdr:colOff>
      <xdr:row>98</xdr:row>
      <xdr:rowOff>152400</xdr:rowOff>
    </xdr:from>
    <xdr:ext cx="123825" cy="177532"/>
    <xdr:sp macro="" textlink="">
      <xdr:nvSpPr>
        <xdr:cNvPr id="386" name="Text Box 870"/>
        <xdr:cNvSpPr txBox="1">
          <a:spLocks noChangeArrowheads="1"/>
        </xdr:cNvSpPr>
      </xdr:nvSpPr>
      <xdr:spPr bwMode="auto">
        <a:xfrm>
          <a:off x="4695825" y="16554450"/>
          <a:ext cx="123825" cy="177532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276225</xdr:colOff>
      <xdr:row>110</xdr:row>
      <xdr:rowOff>0</xdr:rowOff>
    </xdr:from>
    <xdr:ext cx="171450" cy="170560"/>
    <xdr:sp macro="" textlink="">
      <xdr:nvSpPr>
        <xdr:cNvPr id="387" name="Text Box 870"/>
        <xdr:cNvSpPr txBox="1">
          <a:spLocks noChangeArrowheads="1"/>
        </xdr:cNvSpPr>
      </xdr:nvSpPr>
      <xdr:spPr bwMode="auto">
        <a:xfrm>
          <a:off x="2209800" y="18345150"/>
          <a:ext cx="171450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0</xdr:col>
      <xdr:colOff>152400</xdr:colOff>
      <xdr:row>65</xdr:row>
      <xdr:rowOff>28575</xdr:rowOff>
    </xdr:from>
    <xdr:to>
      <xdr:col>0</xdr:col>
      <xdr:colOff>581025</xdr:colOff>
      <xdr:row>65</xdr:row>
      <xdr:rowOff>123825</xdr:rowOff>
    </xdr:to>
    <xdr:sp macro="" textlink="">
      <xdr:nvSpPr>
        <xdr:cNvPr id="388" name="Right Arrow 507"/>
        <xdr:cNvSpPr>
          <a:spLocks noChangeArrowheads="1"/>
        </xdr:cNvSpPr>
      </xdr:nvSpPr>
      <xdr:spPr bwMode="auto">
        <a:xfrm flipV="1">
          <a:off x="152400" y="10782300"/>
          <a:ext cx="428625" cy="95250"/>
        </a:xfrm>
        <a:prstGeom prst="rightArrow">
          <a:avLst>
            <a:gd name="adj1" fmla="val 50000"/>
            <a:gd name="adj2" fmla="val 50000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76200</xdr:colOff>
      <xdr:row>146</xdr:row>
      <xdr:rowOff>76199</xdr:rowOff>
    </xdr:from>
    <xdr:to>
      <xdr:col>7</xdr:col>
      <xdr:colOff>352425</xdr:colOff>
      <xdr:row>146</xdr:row>
      <xdr:rowOff>161924</xdr:rowOff>
    </xdr:to>
    <xdr:sp macro="" textlink="">
      <xdr:nvSpPr>
        <xdr:cNvPr id="389" name="Right Arrow 514"/>
        <xdr:cNvSpPr>
          <a:spLocks noChangeArrowheads="1"/>
        </xdr:cNvSpPr>
      </xdr:nvSpPr>
      <xdr:spPr bwMode="auto">
        <a:xfrm>
          <a:off x="4476750" y="24288749"/>
          <a:ext cx="276225" cy="85725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47625</xdr:colOff>
      <xdr:row>232</xdr:row>
      <xdr:rowOff>57150</xdr:rowOff>
    </xdr:from>
    <xdr:to>
      <xdr:col>7</xdr:col>
      <xdr:colOff>323850</xdr:colOff>
      <xdr:row>232</xdr:row>
      <xdr:rowOff>142875</xdr:rowOff>
    </xdr:to>
    <xdr:sp macro="" textlink="">
      <xdr:nvSpPr>
        <xdr:cNvPr id="390" name="Right Arrow 513"/>
        <xdr:cNvSpPr>
          <a:spLocks noChangeArrowheads="1"/>
        </xdr:cNvSpPr>
      </xdr:nvSpPr>
      <xdr:spPr bwMode="auto">
        <a:xfrm>
          <a:off x="4448175" y="38452425"/>
          <a:ext cx="276225" cy="85725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9527</xdr:colOff>
      <xdr:row>84</xdr:row>
      <xdr:rowOff>180976</xdr:rowOff>
    </xdr:from>
    <xdr:to>
      <xdr:col>1</xdr:col>
      <xdr:colOff>19051</xdr:colOff>
      <xdr:row>87</xdr:row>
      <xdr:rowOff>2</xdr:rowOff>
    </xdr:to>
    <xdr:cxnSp macro="">
      <xdr:nvCxnSpPr>
        <xdr:cNvPr id="391" name="Straight Connector 390"/>
        <xdr:cNvCxnSpPr/>
      </xdr:nvCxnSpPr>
      <xdr:spPr bwMode="auto">
        <a:xfrm rot="16200000" flipH="1">
          <a:off x="538163" y="14311315"/>
          <a:ext cx="381001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</xdr:colOff>
      <xdr:row>87</xdr:row>
      <xdr:rowOff>9525</xdr:rowOff>
    </xdr:from>
    <xdr:to>
      <xdr:col>6</xdr:col>
      <xdr:colOff>600075</xdr:colOff>
      <xdr:row>87</xdr:row>
      <xdr:rowOff>11113</xdr:rowOff>
    </xdr:to>
    <xdr:cxnSp macro="">
      <xdr:nvCxnSpPr>
        <xdr:cNvPr id="392" name="Straight Connector 391"/>
        <xdr:cNvCxnSpPr/>
      </xdr:nvCxnSpPr>
      <xdr:spPr bwMode="auto">
        <a:xfrm>
          <a:off x="723900" y="14516100"/>
          <a:ext cx="36671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599282</xdr:colOff>
      <xdr:row>84</xdr:row>
      <xdr:rowOff>190500</xdr:rowOff>
    </xdr:from>
    <xdr:to>
      <xdr:col>6</xdr:col>
      <xdr:colOff>600078</xdr:colOff>
      <xdr:row>86</xdr:row>
      <xdr:rowOff>143670</xdr:rowOff>
    </xdr:to>
    <xdr:cxnSp macro="">
      <xdr:nvCxnSpPr>
        <xdr:cNvPr id="393" name="Straight Connector 392"/>
        <xdr:cNvCxnSpPr/>
      </xdr:nvCxnSpPr>
      <xdr:spPr bwMode="auto">
        <a:xfrm rot="5400000" flipH="1" flipV="1">
          <a:off x="4214020" y="14311312"/>
          <a:ext cx="353220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19050</xdr:colOff>
      <xdr:row>84</xdr:row>
      <xdr:rowOff>180975</xdr:rowOff>
    </xdr:from>
    <xdr:to>
      <xdr:col>7</xdr:col>
      <xdr:colOff>9525</xdr:colOff>
      <xdr:row>85</xdr:row>
      <xdr:rowOff>0</xdr:rowOff>
    </xdr:to>
    <xdr:cxnSp macro="">
      <xdr:nvCxnSpPr>
        <xdr:cNvPr id="394" name="Straight Connector 393"/>
        <xdr:cNvCxnSpPr/>
      </xdr:nvCxnSpPr>
      <xdr:spPr bwMode="auto">
        <a:xfrm flipV="1">
          <a:off x="733425" y="14125575"/>
          <a:ext cx="367665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88</xdr:row>
      <xdr:rowOff>0</xdr:rowOff>
    </xdr:from>
    <xdr:to>
      <xdr:col>6</xdr:col>
      <xdr:colOff>590553</xdr:colOff>
      <xdr:row>88</xdr:row>
      <xdr:rowOff>1588</xdr:rowOff>
    </xdr:to>
    <xdr:cxnSp macro="">
      <xdr:nvCxnSpPr>
        <xdr:cNvPr id="395" name="Straight Arrow Connector 394"/>
        <xdr:cNvCxnSpPr/>
      </xdr:nvCxnSpPr>
      <xdr:spPr bwMode="auto">
        <a:xfrm rot="10800000">
          <a:off x="2543176" y="14706600"/>
          <a:ext cx="1838327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381005</xdr:colOff>
      <xdr:row>83</xdr:row>
      <xdr:rowOff>85728</xdr:rowOff>
    </xdr:from>
    <xdr:to>
      <xdr:col>3</xdr:col>
      <xdr:colOff>390526</xdr:colOff>
      <xdr:row>88</xdr:row>
      <xdr:rowOff>19054</xdr:rowOff>
    </xdr:to>
    <xdr:cxnSp macro="">
      <xdr:nvCxnSpPr>
        <xdr:cNvPr id="396" name="Straight Connector 395"/>
        <xdr:cNvCxnSpPr/>
      </xdr:nvCxnSpPr>
      <xdr:spPr bwMode="auto">
        <a:xfrm rot="5400000">
          <a:off x="1890715" y="14292268"/>
          <a:ext cx="857251" cy="952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lg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400050</xdr:colOff>
      <xdr:row>87</xdr:row>
      <xdr:rowOff>190500</xdr:rowOff>
    </xdr:from>
    <xdr:to>
      <xdr:col>4</xdr:col>
      <xdr:colOff>9525</xdr:colOff>
      <xdr:row>87</xdr:row>
      <xdr:rowOff>192088</xdr:rowOff>
    </xdr:to>
    <xdr:cxnSp macro="">
      <xdr:nvCxnSpPr>
        <xdr:cNvPr id="397" name="Straight Arrow Connector 396"/>
        <xdr:cNvCxnSpPr/>
      </xdr:nvCxnSpPr>
      <xdr:spPr bwMode="auto">
        <a:xfrm>
          <a:off x="2333625" y="14697075"/>
          <a:ext cx="219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504826</xdr:colOff>
      <xdr:row>84</xdr:row>
      <xdr:rowOff>0</xdr:rowOff>
    </xdr:from>
    <xdr:to>
      <xdr:col>3</xdr:col>
      <xdr:colOff>390526</xdr:colOff>
      <xdr:row>84</xdr:row>
      <xdr:rowOff>2</xdr:rowOff>
    </xdr:to>
    <xdr:cxnSp macro="">
      <xdr:nvCxnSpPr>
        <xdr:cNvPr id="398" name="Straight Arrow Connector 397"/>
        <xdr:cNvCxnSpPr/>
      </xdr:nvCxnSpPr>
      <xdr:spPr bwMode="auto">
        <a:xfrm rot="10800000">
          <a:off x="1828801" y="13944600"/>
          <a:ext cx="4953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390525</xdr:colOff>
      <xdr:row>83</xdr:row>
      <xdr:rowOff>152399</xdr:rowOff>
    </xdr:from>
    <xdr:to>
      <xdr:col>6</xdr:col>
      <xdr:colOff>590550</xdr:colOff>
      <xdr:row>83</xdr:row>
      <xdr:rowOff>161924</xdr:rowOff>
    </xdr:to>
    <xdr:cxnSp macro="">
      <xdr:nvCxnSpPr>
        <xdr:cNvPr id="399" name="Straight Arrow Connector 398"/>
        <xdr:cNvCxnSpPr/>
      </xdr:nvCxnSpPr>
      <xdr:spPr bwMode="auto">
        <a:xfrm rot="10800000" flipV="1">
          <a:off x="2324100" y="13935074"/>
          <a:ext cx="20574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590550</xdr:colOff>
      <xdr:row>86</xdr:row>
      <xdr:rowOff>123825</xdr:rowOff>
    </xdr:from>
    <xdr:to>
      <xdr:col>7</xdr:col>
      <xdr:colOff>26669</xdr:colOff>
      <xdr:row>87</xdr:row>
      <xdr:rowOff>7619</xdr:rowOff>
    </xdr:to>
    <xdr:sp macro="" textlink="">
      <xdr:nvSpPr>
        <xdr:cNvPr id="400" name="Oval 399"/>
        <xdr:cNvSpPr/>
      </xdr:nvSpPr>
      <xdr:spPr bwMode="auto">
        <a:xfrm>
          <a:off x="4381500" y="14468475"/>
          <a:ext cx="45719" cy="45719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504032</xdr:colOff>
      <xdr:row>83</xdr:row>
      <xdr:rowOff>19050</xdr:rowOff>
    </xdr:from>
    <xdr:to>
      <xdr:col>2</xdr:col>
      <xdr:colOff>504826</xdr:colOff>
      <xdr:row>84</xdr:row>
      <xdr:rowOff>134144</xdr:rowOff>
    </xdr:to>
    <xdr:cxnSp macro="">
      <xdr:nvCxnSpPr>
        <xdr:cNvPr id="401" name="Straight Connector 400"/>
        <xdr:cNvCxnSpPr/>
      </xdr:nvCxnSpPr>
      <xdr:spPr bwMode="auto">
        <a:xfrm rot="5400000">
          <a:off x="1689894" y="13939838"/>
          <a:ext cx="277019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8731</xdr:colOff>
      <xdr:row>83</xdr:row>
      <xdr:rowOff>76994</xdr:rowOff>
    </xdr:from>
    <xdr:to>
      <xdr:col>7</xdr:col>
      <xdr:colOff>10319</xdr:colOff>
      <xdr:row>84</xdr:row>
      <xdr:rowOff>124619</xdr:rowOff>
    </xdr:to>
    <xdr:cxnSp macro="">
      <xdr:nvCxnSpPr>
        <xdr:cNvPr id="402" name="Straight Connector 401"/>
        <xdr:cNvCxnSpPr/>
      </xdr:nvCxnSpPr>
      <xdr:spPr bwMode="auto">
        <a:xfrm rot="5400000">
          <a:off x="4305300" y="13963650"/>
          <a:ext cx="209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8732</xdr:colOff>
      <xdr:row>87</xdr:row>
      <xdr:rowOff>105568</xdr:rowOff>
    </xdr:from>
    <xdr:to>
      <xdr:col>4</xdr:col>
      <xdr:colOff>10320</xdr:colOff>
      <xdr:row>89</xdr:row>
      <xdr:rowOff>57943</xdr:rowOff>
    </xdr:to>
    <xdr:cxnSp macro="">
      <xdr:nvCxnSpPr>
        <xdr:cNvPr id="403" name="Straight Connector 402"/>
        <xdr:cNvCxnSpPr/>
      </xdr:nvCxnSpPr>
      <xdr:spPr bwMode="auto">
        <a:xfrm rot="5400000">
          <a:off x="2395538" y="14768512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600076</xdr:colOff>
      <xdr:row>117</xdr:row>
      <xdr:rowOff>152400</xdr:rowOff>
    </xdr:from>
    <xdr:to>
      <xdr:col>2</xdr:col>
      <xdr:colOff>0</xdr:colOff>
      <xdr:row>120</xdr:row>
      <xdr:rowOff>9524</xdr:rowOff>
    </xdr:to>
    <xdr:cxnSp macro="">
      <xdr:nvCxnSpPr>
        <xdr:cNvPr id="404" name="Straight Arrow Connector 403"/>
        <xdr:cNvCxnSpPr>
          <a:stCxn id="203" idx="0"/>
        </xdr:cNvCxnSpPr>
      </xdr:nvCxnSpPr>
      <xdr:spPr bwMode="auto">
        <a:xfrm rot="5400000" flipH="1" flipV="1">
          <a:off x="1147763" y="19797713"/>
          <a:ext cx="342899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885031</xdr:colOff>
      <xdr:row>118</xdr:row>
      <xdr:rowOff>10319</xdr:rowOff>
    </xdr:from>
    <xdr:to>
      <xdr:col>3</xdr:col>
      <xdr:colOff>794</xdr:colOff>
      <xdr:row>120</xdr:row>
      <xdr:rowOff>48419</xdr:rowOff>
    </xdr:to>
    <xdr:cxnSp macro="">
      <xdr:nvCxnSpPr>
        <xdr:cNvPr id="405" name="Straight Arrow Connector 404"/>
        <xdr:cNvCxnSpPr/>
      </xdr:nvCxnSpPr>
      <xdr:spPr bwMode="auto">
        <a:xfrm rot="5400000" flipH="1" flipV="1">
          <a:off x="1752600" y="19831050"/>
          <a:ext cx="3619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837406</xdr:colOff>
      <xdr:row>118</xdr:row>
      <xdr:rowOff>794</xdr:rowOff>
    </xdr:from>
    <xdr:to>
      <xdr:col>4</xdr:col>
      <xdr:colOff>794</xdr:colOff>
      <xdr:row>120</xdr:row>
      <xdr:rowOff>115094</xdr:rowOff>
    </xdr:to>
    <xdr:cxnSp macro="">
      <xdr:nvCxnSpPr>
        <xdr:cNvPr id="406" name="Straight Arrow Connector 405"/>
        <xdr:cNvCxnSpPr/>
      </xdr:nvCxnSpPr>
      <xdr:spPr bwMode="auto">
        <a:xfrm rot="5400000" flipH="1" flipV="1">
          <a:off x="2324100" y="19859625"/>
          <a:ext cx="438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466725</xdr:colOff>
      <xdr:row>118</xdr:row>
      <xdr:rowOff>1</xdr:rowOff>
    </xdr:from>
    <xdr:to>
      <xdr:col>5</xdr:col>
      <xdr:colOff>466726</xdr:colOff>
      <xdr:row>121</xdr:row>
      <xdr:rowOff>38100</xdr:rowOff>
    </xdr:to>
    <xdr:cxnSp macro="">
      <xdr:nvCxnSpPr>
        <xdr:cNvPr id="407" name="Straight Arrow Connector 406"/>
        <xdr:cNvCxnSpPr/>
      </xdr:nvCxnSpPr>
      <xdr:spPr bwMode="auto">
        <a:xfrm rot="16200000" flipV="1">
          <a:off x="3386139" y="19902487"/>
          <a:ext cx="523874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762001</xdr:colOff>
      <xdr:row>118</xdr:row>
      <xdr:rowOff>9525</xdr:rowOff>
    </xdr:from>
    <xdr:to>
      <xdr:col>5</xdr:col>
      <xdr:colOff>1</xdr:colOff>
      <xdr:row>121</xdr:row>
      <xdr:rowOff>9525</xdr:rowOff>
    </xdr:to>
    <xdr:cxnSp macro="">
      <xdr:nvCxnSpPr>
        <xdr:cNvPr id="408" name="Straight Arrow Connector 407"/>
        <xdr:cNvCxnSpPr/>
      </xdr:nvCxnSpPr>
      <xdr:spPr bwMode="auto">
        <a:xfrm rot="16200000" flipV="1">
          <a:off x="2938463" y="19892963"/>
          <a:ext cx="48577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495301</xdr:colOff>
      <xdr:row>118</xdr:row>
      <xdr:rowOff>0</xdr:rowOff>
    </xdr:from>
    <xdr:to>
      <xdr:col>4</xdr:col>
      <xdr:colOff>504826</xdr:colOff>
      <xdr:row>121</xdr:row>
      <xdr:rowOff>0</xdr:rowOff>
    </xdr:to>
    <xdr:cxnSp macro="">
      <xdr:nvCxnSpPr>
        <xdr:cNvPr id="409" name="Straight Arrow Connector 408"/>
        <xdr:cNvCxnSpPr/>
      </xdr:nvCxnSpPr>
      <xdr:spPr bwMode="auto">
        <a:xfrm rot="16200000" flipV="1">
          <a:off x="2800351" y="19878675"/>
          <a:ext cx="4857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237331</xdr:colOff>
      <xdr:row>118</xdr:row>
      <xdr:rowOff>10319</xdr:rowOff>
    </xdr:from>
    <xdr:to>
      <xdr:col>4</xdr:col>
      <xdr:colOff>238919</xdr:colOff>
      <xdr:row>120</xdr:row>
      <xdr:rowOff>124619</xdr:rowOff>
    </xdr:to>
    <xdr:cxnSp macro="">
      <xdr:nvCxnSpPr>
        <xdr:cNvPr id="410" name="Straight Arrow Connector 409"/>
        <xdr:cNvCxnSpPr/>
      </xdr:nvCxnSpPr>
      <xdr:spPr bwMode="auto">
        <a:xfrm rot="5400000" flipH="1" flipV="1">
          <a:off x="2562225" y="19869150"/>
          <a:ext cx="438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465934</xdr:colOff>
      <xdr:row>117</xdr:row>
      <xdr:rowOff>153194</xdr:rowOff>
    </xdr:from>
    <xdr:to>
      <xdr:col>3</xdr:col>
      <xdr:colOff>467522</xdr:colOff>
      <xdr:row>120</xdr:row>
      <xdr:rowOff>115094</xdr:rowOff>
    </xdr:to>
    <xdr:cxnSp macro="">
      <xdr:nvCxnSpPr>
        <xdr:cNvPr id="411" name="Straight Arrow Connector 410"/>
        <xdr:cNvCxnSpPr/>
      </xdr:nvCxnSpPr>
      <xdr:spPr bwMode="auto">
        <a:xfrm rot="5400000" flipH="1" flipV="1">
          <a:off x="2176465" y="19854863"/>
          <a:ext cx="4476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265909</xdr:colOff>
      <xdr:row>117</xdr:row>
      <xdr:rowOff>153194</xdr:rowOff>
    </xdr:from>
    <xdr:to>
      <xdr:col>3</xdr:col>
      <xdr:colOff>267497</xdr:colOff>
      <xdr:row>120</xdr:row>
      <xdr:rowOff>57944</xdr:rowOff>
    </xdr:to>
    <xdr:cxnSp macro="">
      <xdr:nvCxnSpPr>
        <xdr:cNvPr id="412" name="Straight Arrow Connector 411"/>
        <xdr:cNvCxnSpPr/>
      </xdr:nvCxnSpPr>
      <xdr:spPr bwMode="auto">
        <a:xfrm rot="5400000" flipH="1" flipV="1">
          <a:off x="2005015" y="19826288"/>
          <a:ext cx="3905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638176</xdr:colOff>
      <xdr:row>117</xdr:row>
      <xdr:rowOff>152401</xdr:rowOff>
    </xdr:from>
    <xdr:to>
      <xdr:col>2</xdr:col>
      <xdr:colOff>647700</xdr:colOff>
      <xdr:row>120</xdr:row>
      <xdr:rowOff>28577</xdr:rowOff>
    </xdr:to>
    <xdr:cxnSp macro="">
      <xdr:nvCxnSpPr>
        <xdr:cNvPr id="413" name="Straight Arrow Connector 412"/>
        <xdr:cNvCxnSpPr/>
      </xdr:nvCxnSpPr>
      <xdr:spPr bwMode="auto">
        <a:xfrm rot="16200000" flipV="1">
          <a:off x="1752601" y="19812001"/>
          <a:ext cx="361949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256382</xdr:colOff>
      <xdr:row>118</xdr:row>
      <xdr:rowOff>10319</xdr:rowOff>
    </xdr:from>
    <xdr:to>
      <xdr:col>2</xdr:col>
      <xdr:colOff>257970</xdr:colOff>
      <xdr:row>120</xdr:row>
      <xdr:rowOff>19844</xdr:rowOff>
    </xdr:to>
    <xdr:cxnSp macro="">
      <xdr:nvCxnSpPr>
        <xdr:cNvPr id="414" name="Straight Arrow Connector 413"/>
        <xdr:cNvCxnSpPr/>
      </xdr:nvCxnSpPr>
      <xdr:spPr bwMode="auto">
        <a:xfrm rot="5400000" flipH="1" flipV="1">
          <a:off x="1414463" y="19816763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227806</xdr:colOff>
      <xdr:row>117</xdr:row>
      <xdr:rowOff>143669</xdr:rowOff>
    </xdr:from>
    <xdr:to>
      <xdr:col>5</xdr:col>
      <xdr:colOff>229394</xdr:colOff>
      <xdr:row>121</xdr:row>
      <xdr:rowOff>10319</xdr:rowOff>
    </xdr:to>
    <xdr:cxnSp macro="">
      <xdr:nvCxnSpPr>
        <xdr:cNvPr id="415" name="Straight Arrow Connector 414"/>
        <xdr:cNvCxnSpPr/>
      </xdr:nvCxnSpPr>
      <xdr:spPr bwMode="auto">
        <a:xfrm rot="5400000" flipH="1" flipV="1">
          <a:off x="3152775" y="19878675"/>
          <a:ext cx="5143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457200</xdr:colOff>
      <xdr:row>118</xdr:row>
      <xdr:rowOff>2</xdr:rowOff>
    </xdr:from>
    <xdr:to>
      <xdr:col>2</xdr:col>
      <xdr:colOff>466725</xdr:colOff>
      <xdr:row>120</xdr:row>
      <xdr:rowOff>19052</xdr:rowOff>
    </xdr:to>
    <xdr:cxnSp macro="">
      <xdr:nvCxnSpPr>
        <xdr:cNvPr id="416" name="Straight Arrow Connector 415"/>
        <xdr:cNvCxnSpPr/>
      </xdr:nvCxnSpPr>
      <xdr:spPr bwMode="auto">
        <a:xfrm rot="16200000" flipV="1">
          <a:off x="1614488" y="19807239"/>
          <a:ext cx="3429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600076</xdr:colOff>
      <xdr:row>120</xdr:row>
      <xdr:rowOff>0</xdr:rowOff>
    </xdr:from>
    <xdr:to>
      <xdr:col>5</xdr:col>
      <xdr:colOff>476250</xdr:colOff>
      <xdr:row>120</xdr:row>
      <xdr:rowOff>9524</xdr:rowOff>
    </xdr:to>
    <xdr:cxnSp macro="">
      <xdr:nvCxnSpPr>
        <xdr:cNvPr id="417" name="Straight Connector 416"/>
        <xdr:cNvCxnSpPr>
          <a:stCxn id="203" idx="0"/>
        </xdr:cNvCxnSpPr>
      </xdr:nvCxnSpPr>
      <xdr:spPr bwMode="auto">
        <a:xfrm rot="5400000" flipH="1" flipV="1">
          <a:off x="2481264" y="18797587"/>
          <a:ext cx="9524" cy="234314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475457</xdr:colOff>
      <xdr:row>207</xdr:row>
      <xdr:rowOff>797</xdr:rowOff>
    </xdr:from>
    <xdr:to>
      <xdr:col>5</xdr:col>
      <xdr:colOff>476251</xdr:colOff>
      <xdr:row>208</xdr:row>
      <xdr:rowOff>95249</xdr:rowOff>
    </xdr:to>
    <xdr:cxnSp macro="">
      <xdr:nvCxnSpPr>
        <xdr:cNvPr id="418" name="Straight Arrow Connector 417"/>
        <xdr:cNvCxnSpPr>
          <a:stCxn id="360" idx="1"/>
        </xdr:cNvCxnSpPr>
      </xdr:nvCxnSpPr>
      <xdr:spPr bwMode="auto">
        <a:xfrm rot="5400000" flipH="1">
          <a:off x="3529015" y="34437639"/>
          <a:ext cx="256377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724695</xdr:colOff>
      <xdr:row>207</xdr:row>
      <xdr:rowOff>794</xdr:rowOff>
    </xdr:from>
    <xdr:to>
      <xdr:col>4</xdr:col>
      <xdr:colOff>733426</xdr:colOff>
      <xdr:row>209</xdr:row>
      <xdr:rowOff>9525</xdr:rowOff>
    </xdr:to>
    <xdr:cxnSp macro="">
      <xdr:nvCxnSpPr>
        <xdr:cNvPr id="419" name="Straight Arrow Connector 418"/>
        <xdr:cNvCxnSpPr/>
      </xdr:nvCxnSpPr>
      <xdr:spPr bwMode="auto">
        <a:xfrm rot="16200000" flipV="1">
          <a:off x="3015457" y="34476532"/>
          <a:ext cx="332581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828677</xdr:colOff>
      <xdr:row>206</xdr:row>
      <xdr:rowOff>152402</xdr:rowOff>
    </xdr:from>
    <xdr:to>
      <xdr:col>3</xdr:col>
      <xdr:colOff>838198</xdr:colOff>
      <xdr:row>209</xdr:row>
      <xdr:rowOff>76201</xdr:rowOff>
    </xdr:to>
    <xdr:cxnSp macro="">
      <xdr:nvCxnSpPr>
        <xdr:cNvPr id="420" name="Straight Arrow Connector 419"/>
        <xdr:cNvCxnSpPr/>
      </xdr:nvCxnSpPr>
      <xdr:spPr bwMode="auto">
        <a:xfrm rot="5400000" flipH="1" flipV="1">
          <a:off x="2338388" y="34504316"/>
          <a:ext cx="409574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104777</xdr:colOff>
      <xdr:row>206</xdr:row>
      <xdr:rowOff>153195</xdr:rowOff>
    </xdr:from>
    <xdr:to>
      <xdr:col>3</xdr:col>
      <xdr:colOff>105571</xdr:colOff>
      <xdr:row>210</xdr:row>
      <xdr:rowOff>9526</xdr:rowOff>
    </xdr:to>
    <xdr:cxnSp macro="">
      <xdr:nvCxnSpPr>
        <xdr:cNvPr id="421" name="Straight Arrow Connector 420"/>
        <xdr:cNvCxnSpPr/>
      </xdr:nvCxnSpPr>
      <xdr:spPr bwMode="auto">
        <a:xfrm rot="5400000" flipH="1" flipV="1">
          <a:off x="1786733" y="34551939"/>
          <a:ext cx="504031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589758</xdr:colOff>
      <xdr:row>207</xdr:row>
      <xdr:rowOff>796</xdr:rowOff>
    </xdr:from>
    <xdr:to>
      <xdr:col>1</xdr:col>
      <xdr:colOff>591346</xdr:colOff>
      <xdr:row>210</xdr:row>
      <xdr:rowOff>143668</xdr:rowOff>
    </xdr:to>
    <xdr:cxnSp macro="">
      <xdr:nvCxnSpPr>
        <xdr:cNvPr id="422" name="Straight Arrow Connector 421"/>
        <xdr:cNvCxnSpPr>
          <a:stCxn id="360" idx="0"/>
        </xdr:cNvCxnSpPr>
      </xdr:nvCxnSpPr>
      <xdr:spPr bwMode="auto">
        <a:xfrm rot="5400000" flipH="1" flipV="1">
          <a:off x="990603" y="34623376"/>
          <a:ext cx="628647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200025</xdr:colOff>
      <xdr:row>206</xdr:row>
      <xdr:rowOff>153194</xdr:rowOff>
    </xdr:from>
    <xdr:to>
      <xdr:col>2</xdr:col>
      <xdr:colOff>200819</xdr:colOff>
      <xdr:row>210</xdr:row>
      <xdr:rowOff>114300</xdr:rowOff>
    </xdr:to>
    <xdr:cxnSp macro="">
      <xdr:nvCxnSpPr>
        <xdr:cNvPr id="423" name="Straight Arrow Connector 422"/>
        <xdr:cNvCxnSpPr/>
      </xdr:nvCxnSpPr>
      <xdr:spPr bwMode="auto">
        <a:xfrm rot="5400000" flipH="1" flipV="1">
          <a:off x="1219994" y="34604325"/>
          <a:ext cx="608806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381006</xdr:colOff>
      <xdr:row>206</xdr:row>
      <xdr:rowOff>153197</xdr:rowOff>
    </xdr:from>
    <xdr:to>
      <xdr:col>3</xdr:col>
      <xdr:colOff>381798</xdr:colOff>
      <xdr:row>210</xdr:row>
      <xdr:rowOff>9530</xdr:rowOff>
    </xdr:to>
    <xdr:cxnSp macro="">
      <xdr:nvCxnSpPr>
        <xdr:cNvPr id="424" name="Straight Arrow Connector 423"/>
        <xdr:cNvCxnSpPr/>
      </xdr:nvCxnSpPr>
      <xdr:spPr bwMode="auto">
        <a:xfrm rot="5400000" flipH="1" flipV="1">
          <a:off x="2062960" y="34551943"/>
          <a:ext cx="504033" cy="79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533405</xdr:colOff>
      <xdr:row>206</xdr:row>
      <xdr:rowOff>143670</xdr:rowOff>
    </xdr:from>
    <xdr:to>
      <xdr:col>3</xdr:col>
      <xdr:colOff>543723</xdr:colOff>
      <xdr:row>209</xdr:row>
      <xdr:rowOff>133350</xdr:rowOff>
    </xdr:to>
    <xdr:cxnSp macro="">
      <xdr:nvCxnSpPr>
        <xdr:cNvPr id="425" name="Straight Arrow Connector 424"/>
        <xdr:cNvCxnSpPr/>
      </xdr:nvCxnSpPr>
      <xdr:spPr bwMode="auto">
        <a:xfrm rot="5400000" flipH="1" flipV="1">
          <a:off x="2234411" y="34523364"/>
          <a:ext cx="475455" cy="1031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685803</xdr:colOff>
      <xdr:row>207</xdr:row>
      <xdr:rowOff>796</xdr:rowOff>
    </xdr:from>
    <xdr:to>
      <xdr:col>3</xdr:col>
      <xdr:colOff>696120</xdr:colOff>
      <xdr:row>209</xdr:row>
      <xdr:rowOff>114301</xdr:rowOff>
    </xdr:to>
    <xdr:cxnSp macro="">
      <xdr:nvCxnSpPr>
        <xdr:cNvPr id="426" name="Straight Arrow Connector 425"/>
        <xdr:cNvCxnSpPr/>
      </xdr:nvCxnSpPr>
      <xdr:spPr bwMode="auto">
        <a:xfrm rot="5400000" flipH="1" flipV="1">
          <a:off x="2324896" y="34528128"/>
          <a:ext cx="437355" cy="79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142081</xdr:colOff>
      <xdr:row>206</xdr:row>
      <xdr:rowOff>153196</xdr:rowOff>
    </xdr:from>
    <xdr:to>
      <xdr:col>4</xdr:col>
      <xdr:colOff>143669</xdr:colOff>
      <xdr:row>209</xdr:row>
      <xdr:rowOff>67469</xdr:rowOff>
    </xdr:to>
    <xdr:cxnSp macro="">
      <xdr:nvCxnSpPr>
        <xdr:cNvPr id="427" name="Straight Arrow Connector 426"/>
        <xdr:cNvCxnSpPr/>
      </xdr:nvCxnSpPr>
      <xdr:spPr bwMode="auto">
        <a:xfrm rot="5400000" flipH="1" flipV="1">
          <a:off x="2486026" y="34499551"/>
          <a:ext cx="4000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315119</xdr:colOff>
      <xdr:row>207</xdr:row>
      <xdr:rowOff>10319</xdr:rowOff>
    </xdr:from>
    <xdr:to>
      <xdr:col>4</xdr:col>
      <xdr:colOff>323850</xdr:colOff>
      <xdr:row>209</xdr:row>
      <xdr:rowOff>47625</xdr:rowOff>
    </xdr:to>
    <xdr:cxnSp macro="">
      <xdr:nvCxnSpPr>
        <xdr:cNvPr id="428" name="Straight Arrow Connector 427"/>
        <xdr:cNvCxnSpPr/>
      </xdr:nvCxnSpPr>
      <xdr:spPr bwMode="auto">
        <a:xfrm rot="16200000" flipV="1">
          <a:off x="2682082" y="34495581"/>
          <a:ext cx="361156" cy="87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523876</xdr:colOff>
      <xdr:row>206</xdr:row>
      <xdr:rowOff>143669</xdr:rowOff>
    </xdr:from>
    <xdr:to>
      <xdr:col>4</xdr:col>
      <xdr:colOff>524670</xdr:colOff>
      <xdr:row>209</xdr:row>
      <xdr:rowOff>28575</xdr:rowOff>
    </xdr:to>
    <xdr:cxnSp macro="">
      <xdr:nvCxnSpPr>
        <xdr:cNvPr id="429" name="Straight Arrow Connector 428"/>
        <xdr:cNvCxnSpPr/>
      </xdr:nvCxnSpPr>
      <xdr:spPr bwMode="auto">
        <a:xfrm rot="5400000" flipH="1" flipV="1">
          <a:off x="2882107" y="34475738"/>
          <a:ext cx="370681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294481</xdr:colOff>
      <xdr:row>206</xdr:row>
      <xdr:rowOff>153194</xdr:rowOff>
    </xdr:from>
    <xdr:to>
      <xdr:col>5</xdr:col>
      <xdr:colOff>296069</xdr:colOff>
      <xdr:row>208</xdr:row>
      <xdr:rowOff>115094</xdr:rowOff>
    </xdr:to>
    <xdr:cxnSp macro="">
      <xdr:nvCxnSpPr>
        <xdr:cNvPr id="430" name="Straight Arrow Connector 429"/>
        <xdr:cNvCxnSpPr/>
      </xdr:nvCxnSpPr>
      <xdr:spPr bwMode="auto">
        <a:xfrm rot="5400000" flipH="1" flipV="1">
          <a:off x="3333750" y="34442400"/>
          <a:ext cx="285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115095</xdr:colOff>
      <xdr:row>207</xdr:row>
      <xdr:rowOff>795</xdr:rowOff>
    </xdr:from>
    <xdr:to>
      <xdr:col>5</xdr:col>
      <xdr:colOff>123828</xdr:colOff>
      <xdr:row>208</xdr:row>
      <xdr:rowOff>142878</xdr:rowOff>
    </xdr:to>
    <xdr:cxnSp macro="">
      <xdr:nvCxnSpPr>
        <xdr:cNvPr id="431" name="Straight Arrow Connector 430"/>
        <xdr:cNvCxnSpPr/>
      </xdr:nvCxnSpPr>
      <xdr:spPr bwMode="auto">
        <a:xfrm rot="16200000" flipV="1">
          <a:off x="3148808" y="34457482"/>
          <a:ext cx="304008" cy="873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381003</xdr:colOff>
      <xdr:row>206</xdr:row>
      <xdr:rowOff>153195</xdr:rowOff>
    </xdr:from>
    <xdr:to>
      <xdr:col>2</xdr:col>
      <xdr:colOff>381795</xdr:colOff>
      <xdr:row>210</xdr:row>
      <xdr:rowOff>104775</xdr:rowOff>
    </xdr:to>
    <xdr:cxnSp macro="">
      <xdr:nvCxnSpPr>
        <xdr:cNvPr id="432" name="Straight Arrow Connector 431"/>
        <xdr:cNvCxnSpPr/>
      </xdr:nvCxnSpPr>
      <xdr:spPr bwMode="auto">
        <a:xfrm rot="5400000" flipH="1" flipV="1">
          <a:off x="1405734" y="34599564"/>
          <a:ext cx="599280" cy="79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733428</xdr:colOff>
      <xdr:row>206</xdr:row>
      <xdr:rowOff>152402</xdr:rowOff>
    </xdr:from>
    <xdr:to>
      <xdr:col>2</xdr:col>
      <xdr:colOff>742949</xdr:colOff>
      <xdr:row>210</xdr:row>
      <xdr:rowOff>38101</xdr:rowOff>
    </xdr:to>
    <xdr:cxnSp macro="">
      <xdr:nvCxnSpPr>
        <xdr:cNvPr id="433" name="Straight Arrow Connector 432"/>
        <xdr:cNvCxnSpPr/>
      </xdr:nvCxnSpPr>
      <xdr:spPr bwMode="auto">
        <a:xfrm rot="5400000" flipH="1" flipV="1">
          <a:off x="1666876" y="34566229"/>
          <a:ext cx="533399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552451</xdr:colOff>
      <xdr:row>206</xdr:row>
      <xdr:rowOff>153194</xdr:rowOff>
    </xdr:from>
    <xdr:to>
      <xdr:col>2</xdr:col>
      <xdr:colOff>553245</xdr:colOff>
      <xdr:row>210</xdr:row>
      <xdr:rowOff>66675</xdr:rowOff>
    </xdr:to>
    <xdr:cxnSp macro="">
      <xdr:nvCxnSpPr>
        <xdr:cNvPr id="434" name="Straight Arrow Connector 433"/>
        <xdr:cNvCxnSpPr/>
      </xdr:nvCxnSpPr>
      <xdr:spPr bwMode="auto">
        <a:xfrm rot="5400000" flipH="1" flipV="1">
          <a:off x="1596232" y="34580513"/>
          <a:ext cx="561181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9525</xdr:colOff>
      <xdr:row>208</xdr:row>
      <xdr:rowOff>85725</xdr:rowOff>
    </xdr:from>
    <xdr:to>
      <xdr:col>5</xdr:col>
      <xdr:colOff>504825</xdr:colOff>
      <xdr:row>208</xdr:row>
      <xdr:rowOff>123825</xdr:rowOff>
    </xdr:to>
    <xdr:cxnSp macro="">
      <xdr:nvCxnSpPr>
        <xdr:cNvPr id="435" name="Straight Connector 434"/>
        <xdr:cNvCxnSpPr/>
      </xdr:nvCxnSpPr>
      <xdr:spPr bwMode="auto">
        <a:xfrm rot="10800000" flipV="1">
          <a:off x="1333500" y="34556700"/>
          <a:ext cx="2352675" cy="38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2</xdr:col>
      <xdr:colOff>142875</xdr:colOff>
      <xdr:row>39</xdr:row>
      <xdr:rowOff>142875</xdr:rowOff>
    </xdr:from>
    <xdr:ext cx="200025" cy="180975"/>
    <xdr:sp macro="" textlink="">
      <xdr:nvSpPr>
        <xdr:cNvPr id="436" name="Text Box 305"/>
        <xdr:cNvSpPr txBox="1">
          <a:spLocks noChangeArrowheads="1"/>
        </xdr:cNvSpPr>
      </xdr:nvSpPr>
      <xdr:spPr bwMode="auto">
        <a:xfrm>
          <a:off x="1466850" y="6686550"/>
          <a:ext cx="2000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oneCellAnchor>
  <xdr:twoCellAnchor>
    <xdr:from>
      <xdr:col>0</xdr:col>
      <xdr:colOff>590551</xdr:colOff>
      <xdr:row>95</xdr:row>
      <xdr:rowOff>0</xdr:rowOff>
    </xdr:from>
    <xdr:to>
      <xdr:col>4</xdr:col>
      <xdr:colOff>381001</xdr:colOff>
      <xdr:row>95</xdr:row>
      <xdr:rowOff>9525</xdr:rowOff>
    </xdr:to>
    <xdr:cxnSp macro="">
      <xdr:nvCxnSpPr>
        <xdr:cNvPr id="437" name="Straight Connector 436"/>
        <xdr:cNvCxnSpPr>
          <a:stCxn id="150" idx="0"/>
        </xdr:cNvCxnSpPr>
      </xdr:nvCxnSpPr>
      <xdr:spPr bwMode="auto">
        <a:xfrm rot="5400000">
          <a:off x="1752601" y="14754225"/>
          <a:ext cx="9525" cy="2333625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200025</xdr:colOff>
      <xdr:row>56</xdr:row>
      <xdr:rowOff>123825</xdr:rowOff>
    </xdr:from>
    <xdr:to>
      <xdr:col>0</xdr:col>
      <xdr:colOff>314325</xdr:colOff>
      <xdr:row>59</xdr:row>
      <xdr:rowOff>142875</xdr:rowOff>
    </xdr:to>
    <xdr:sp macro="" textlink="">
      <xdr:nvSpPr>
        <xdr:cNvPr id="438" name="Down Arrow 506"/>
        <xdr:cNvSpPr>
          <a:spLocks noChangeArrowheads="1"/>
        </xdr:cNvSpPr>
      </xdr:nvSpPr>
      <xdr:spPr bwMode="auto">
        <a:xfrm flipH="1">
          <a:off x="200025" y="9420225"/>
          <a:ext cx="114300" cy="504825"/>
        </a:xfrm>
        <a:prstGeom prst="downArrow">
          <a:avLst>
            <a:gd name="adj1" fmla="val 50000"/>
            <a:gd name="adj2" fmla="val 49997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180975</xdr:colOff>
      <xdr:row>36</xdr:row>
      <xdr:rowOff>85725</xdr:rowOff>
    </xdr:from>
    <xdr:to>
      <xdr:col>1</xdr:col>
      <xdr:colOff>600075</xdr:colOff>
      <xdr:row>36</xdr:row>
      <xdr:rowOff>87313</xdr:rowOff>
    </xdr:to>
    <xdr:cxnSp macro="">
      <xdr:nvCxnSpPr>
        <xdr:cNvPr id="439" name="Straight Arrow Connector 438"/>
        <xdr:cNvCxnSpPr/>
      </xdr:nvCxnSpPr>
      <xdr:spPr bwMode="auto">
        <a:xfrm>
          <a:off x="895350" y="6143625"/>
          <a:ext cx="41910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76200</xdr:colOff>
      <xdr:row>41</xdr:row>
      <xdr:rowOff>0</xdr:rowOff>
    </xdr:from>
    <xdr:to>
      <xdr:col>1</xdr:col>
      <xdr:colOff>9525</xdr:colOff>
      <xdr:row>41</xdr:row>
      <xdr:rowOff>1588</xdr:rowOff>
    </xdr:to>
    <xdr:cxnSp macro="">
      <xdr:nvCxnSpPr>
        <xdr:cNvPr id="440" name="Straight Connector 439"/>
        <xdr:cNvCxnSpPr/>
      </xdr:nvCxnSpPr>
      <xdr:spPr bwMode="auto">
        <a:xfrm>
          <a:off x="76200" y="6867525"/>
          <a:ext cx="6477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161929</xdr:colOff>
      <xdr:row>31</xdr:row>
      <xdr:rowOff>19847</xdr:rowOff>
    </xdr:from>
    <xdr:to>
      <xdr:col>5</xdr:col>
      <xdr:colOff>172244</xdr:colOff>
      <xdr:row>38</xdr:row>
      <xdr:rowOff>19053</xdr:rowOff>
    </xdr:to>
    <xdr:cxnSp macro="">
      <xdr:nvCxnSpPr>
        <xdr:cNvPr id="441" name="Straight Connector 440"/>
        <xdr:cNvCxnSpPr/>
      </xdr:nvCxnSpPr>
      <xdr:spPr bwMode="auto">
        <a:xfrm rot="5400000">
          <a:off x="2782096" y="5829305"/>
          <a:ext cx="1132681" cy="1031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600076</xdr:colOff>
      <xdr:row>23</xdr:row>
      <xdr:rowOff>152403</xdr:rowOff>
    </xdr:from>
    <xdr:to>
      <xdr:col>2</xdr:col>
      <xdr:colOff>19051</xdr:colOff>
      <xdr:row>38</xdr:row>
      <xdr:rowOff>0</xdr:rowOff>
    </xdr:to>
    <xdr:cxnSp macro="">
      <xdr:nvCxnSpPr>
        <xdr:cNvPr id="442" name="Straight Connector 441"/>
        <xdr:cNvCxnSpPr>
          <a:endCxn id="8" idx="0"/>
        </xdr:cNvCxnSpPr>
      </xdr:nvCxnSpPr>
      <xdr:spPr bwMode="auto">
        <a:xfrm rot="5400000">
          <a:off x="190503" y="5229226"/>
          <a:ext cx="2276472" cy="2857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38100</xdr:colOff>
      <xdr:row>113</xdr:row>
      <xdr:rowOff>152400</xdr:rowOff>
    </xdr:from>
    <xdr:to>
      <xdr:col>0</xdr:col>
      <xdr:colOff>466725</xdr:colOff>
      <xdr:row>113</xdr:row>
      <xdr:rowOff>153988</xdr:rowOff>
    </xdr:to>
    <xdr:cxnSp macro="">
      <xdr:nvCxnSpPr>
        <xdr:cNvPr id="443" name="Straight Connector 442"/>
        <xdr:cNvCxnSpPr/>
      </xdr:nvCxnSpPr>
      <xdr:spPr bwMode="auto">
        <a:xfrm>
          <a:off x="38100" y="18983325"/>
          <a:ext cx="428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466726</xdr:colOff>
      <xdr:row>101</xdr:row>
      <xdr:rowOff>47626</xdr:rowOff>
    </xdr:from>
    <xdr:to>
      <xdr:col>4</xdr:col>
      <xdr:colOff>122238</xdr:colOff>
      <xdr:row>104</xdr:row>
      <xdr:rowOff>1</xdr:rowOff>
    </xdr:to>
    <xdr:sp macro="" textlink="">
      <xdr:nvSpPr>
        <xdr:cNvPr id="444" name="Freeform 443"/>
        <xdr:cNvSpPr/>
      </xdr:nvSpPr>
      <xdr:spPr bwMode="auto">
        <a:xfrm>
          <a:off x="2400301" y="16935451"/>
          <a:ext cx="265112" cy="438150"/>
        </a:xfrm>
        <a:custGeom>
          <a:avLst/>
          <a:gdLst>
            <a:gd name="connsiteX0" fmla="*/ 0 w 341312"/>
            <a:gd name="connsiteY0" fmla="*/ 9525 h 409575"/>
            <a:gd name="connsiteX1" fmla="*/ 285750 w 341312"/>
            <a:gd name="connsiteY1" fmla="*/ 66675 h 409575"/>
            <a:gd name="connsiteX2" fmla="*/ 333375 w 341312"/>
            <a:gd name="connsiteY2" fmla="*/ 409575 h 409575"/>
            <a:gd name="connsiteX3" fmla="*/ 333375 w 341312"/>
            <a:gd name="connsiteY3" fmla="*/ 409575 h 4095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41312" h="409575">
              <a:moveTo>
                <a:pt x="0" y="9525"/>
              </a:moveTo>
              <a:cubicBezTo>
                <a:pt x="115094" y="4762"/>
                <a:pt x="230188" y="0"/>
                <a:pt x="285750" y="66675"/>
              </a:cubicBezTo>
              <a:cubicBezTo>
                <a:pt x="341312" y="133350"/>
                <a:pt x="333375" y="409575"/>
                <a:pt x="333375" y="409575"/>
              </a:cubicBezTo>
              <a:lnTo>
                <a:pt x="333375" y="409575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28575</xdr:colOff>
      <xdr:row>105</xdr:row>
      <xdr:rowOff>9525</xdr:rowOff>
    </xdr:from>
    <xdr:to>
      <xdr:col>4</xdr:col>
      <xdr:colOff>314325</xdr:colOff>
      <xdr:row>106</xdr:row>
      <xdr:rowOff>9525</xdr:rowOff>
    </xdr:to>
    <xdr:sp macro="" textlink="">
      <xdr:nvSpPr>
        <xdr:cNvPr id="445" name="Rectangle 444"/>
        <xdr:cNvSpPr/>
      </xdr:nvSpPr>
      <xdr:spPr bwMode="auto">
        <a:xfrm>
          <a:off x="2571750" y="17545050"/>
          <a:ext cx="285750" cy="1619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GB" sz="1100"/>
            <a:t>S4</a:t>
          </a:r>
        </a:p>
      </xdr:txBody>
    </xdr:sp>
    <xdr:clientData/>
  </xdr:twoCellAnchor>
  <xdr:twoCellAnchor>
    <xdr:from>
      <xdr:col>4</xdr:col>
      <xdr:colOff>66675</xdr:colOff>
      <xdr:row>96</xdr:row>
      <xdr:rowOff>38100</xdr:rowOff>
    </xdr:from>
    <xdr:to>
      <xdr:col>4</xdr:col>
      <xdr:colOff>304800</xdr:colOff>
      <xdr:row>97</xdr:row>
      <xdr:rowOff>19050</xdr:rowOff>
    </xdr:to>
    <xdr:sp macro="" textlink="">
      <xdr:nvSpPr>
        <xdr:cNvPr id="446" name="Rectangle 445"/>
        <xdr:cNvSpPr/>
      </xdr:nvSpPr>
      <xdr:spPr bwMode="auto">
        <a:xfrm>
          <a:off x="2609850" y="16116300"/>
          <a:ext cx="238125" cy="1428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GB" sz="1100"/>
            <a:t>S2</a:t>
          </a:r>
        </a:p>
      </xdr:txBody>
    </xdr:sp>
    <xdr:clientData/>
  </xdr:twoCellAnchor>
  <xdr:twoCellAnchor>
    <xdr:from>
      <xdr:col>5</xdr:col>
      <xdr:colOff>352425</xdr:colOff>
      <xdr:row>100</xdr:row>
      <xdr:rowOff>0</xdr:rowOff>
    </xdr:from>
    <xdr:to>
      <xdr:col>7</xdr:col>
      <xdr:colOff>619125</xdr:colOff>
      <xdr:row>100</xdr:row>
      <xdr:rowOff>1588</xdr:rowOff>
    </xdr:to>
    <xdr:cxnSp macro="">
      <xdr:nvCxnSpPr>
        <xdr:cNvPr id="447" name="Straight Connector 446"/>
        <xdr:cNvCxnSpPr/>
      </xdr:nvCxnSpPr>
      <xdr:spPr bwMode="auto">
        <a:xfrm>
          <a:off x="3533775" y="16725900"/>
          <a:ext cx="1476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495300</xdr:colOff>
      <xdr:row>117</xdr:row>
      <xdr:rowOff>28575</xdr:rowOff>
    </xdr:from>
    <xdr:to>
      <xdr:col>1</xdr:col>
      <xdr:colOff>571500</xdr:colOff>
      <xdr:row>119</xdr:row>
      <xdr:rowOff>28575</xdr:rowOff>
    </xdr:to>
    <xdr:sp macro="" textlink="">
      <xdr:nvSpPr>
        <xdr:cNvPr id="448" name="Freeform 447"/>
        <xdr:cNvSpPr/>
      </xdr:nvSpPr>
      <xdr:spPr bwMode="auto">
        <a:xfrm>
          <a:off x="495300" y="19507200"/>
          <a:ext cx="790575" cy="323850"/>
        </a:xfrm>
        <a:custGeom>
          <a:avLst/>
          <a:gdLst>
            <a:gd name="connsiteX0" fmla="*/ 0 w 1085850"/>
            <a:gd name="connsiteY0" fmla="*/ 0 h 314325"/>
            <a:gd name="connsiteX1" fmla="*/ 419100 w 1085850"/>
            <a:gd name="connsiteY1" fmla="*/ 190500 h 314325"/>
            <a:gd name="connsiteX2" fmla="*/ 1085850 w 1085850"/>
            <a:gd name="connsiteY2" fmla="*/ 314325 h 3143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85850" h="314325">
              <a:moveTo>
                <a:pt x="0" y="0"/>
              </a:moveTo>
              <a:cubicBezTo>
                <a:pt x="119062" y="69056"/>
                <a:pt x="238125" y="138113"/>
                <a:pt x="419100" y="190500"/>
              </a:cubicBezTo>
              <a:cubicBezTo>
                <a:pt x="600075" y="242887"/>
                <a:pt x="842962" y="278606"/>
                <a:pt x="1085850" y="31432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533400</xdr:colOff>
      <xdr:row>184</xdr:row>
      <xdr:rowOff>152399</xdr:rowOff>
    </xdr:from>
    <xdr:to>
      <xdr:col>8</xdr:col>
      <xdr:colOff>47627</xdr:colOff>
      <xdr:row>185</xdr:row>
      <xdr:rowOff>0</xdr:rowOff>
    </xdr:to>
    <xdr:cxnSp macro="">
      <xdr:nvCxnSpPr>
        <xdr:cNvPr id="449" name="Straight Connector 448"/>
        <xdr:cNvCxnSpPr/>
      </xdr:nvCxnSpPr>
      <xdr:spPr bwMode="auto">
        <a:xfrm rot="10800000" flipV="1">
          <a:off x="3714750" y="30737174"/>
          <a:ext cx="1343027" cy="9526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38100</xdr:colOff>
      <xdr:row>198</xdr:row>
      <xdr:rowOff>0</xdr:rowOff>
    </xdr:from>
    <xdr:to>
      <xdr:col>0</xdr:col>
      <xdr:colOff>552450</xdr:colOff>
      <xdr:row>198</xdr:row>
      <xdr:rowOff>1588</xdr:rowOff>
    </xdr:to>
    <xdr:cxnSp macro="">
      <xdr:nvCxnSpPr>
        <xdr:cNvPr id="450" name="Straight Connector 449"/>
        <xdr:cNvCxnSpPr/>
      </xdr:nvCxnSpPr>
      <xdr:spPr bwMode="auto">
        <a:xfrm>
          <a:off x="38100" y="32851725"/>
          <a:ext cx="5143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28575</xdr:colOff>
      <xdr:row>185</xdr:row>
      <xdr:rowOff>66675</xdr:rowOff>
    </xdr:from>
    <xdr:to>
      <xdr:col>4</xdr:col>
      <xdr:colOff>114300</xdr:colOff>
      <xdr:row>187</xdr:row>
      <xdr:rowOff>133350</xdr:rowOff>
    </xdr:to>
    <xdr:sp macro="" textlink="">
      <xdr:nvSpPr>
        <xdr:cNvPr id="451" name="Freeform 450"/>
        <xdr:cNvSpPr/>
      </xdr:nvSpPr>
      <xdr:spPr bwMode="auto">
        <a:xfrm>
          <a:off x="2571750" y="30813375"/>
          <a:ext cx="85725" cy="390525"/>
        </a:xfrm>
        <a:custGeom>
          <a:avLst/>
          <a:gdLst>
            <a:gd name="connsiteX0" fmla="*/ 0 w 409575"/>
            <a:gd name="connsiteY0" fmla="*/ 22225 h 384175"/>
            <a:gd name="connsiteX1" fmla="*/ 314325 w 409575"/>
            <a:gd name="connsiteY1" fmla="*/ 60325 h 384175"/>
            <a:gd name="connsiteX2" fmla="*/ 409575 w 409575"/>
            <a:gd name="connsiteY2" fmla="*/ 384175 h 384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09575" h="384175">
              <a:moveTo>
                <a:pt x="0" y="22225"/>
              </a:moveTo>
              <a:cubicBezTo>
                <a:pt x="123031" y="11112"/>
                <a:pt x="246063" y="0"/>
                <a:pt x="314325" y="60325"/>
              </a:cubicBezTo>
              <a:cubicBezTo>
                <a:pt x="382587" y="120650"/>
                <a:pt x="396081" y="252412"/>
                <a:pt x="409575" y="3841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152400</xdr:colOff>
      <xdr:row>179</xdr:row>
      <xdr:rowOff>0</xdr:rowOff>
    </xdr:from>
    <xdr:to>
      <xdr:col>4</xdr:col>
      <xdr:colOff>333375</xdr:colOff>
      <xdr:row>180</xdr:row>
      <xdr:rowOff>0</xdr:rowOff>
    </xdr:to>
    <xdr:sp macro="" textlink="">
      <xdr:nvSpPr>
        <xdr:cNvPr id="452" name="Rectangle 451"/>
        <xdr:cNvSpPr/>
      </xdr:nvSpPr>
      <xdr:spPr bwMode="auto">
        <a:xfrm>
          <a:off x="2695575" y="29775150"/>
          <a:ext cx="180975" cy="1619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100"/>
            <a:t>S2</a:t>
          </a:r>
        </a:p>
      </xdr:txBody>
    </xdr:sp>
    <xdr:clientData/>
  </xdr:twoCellAnchor>
  <xdr:twoCellAnchor>
    <xdr:from>
      <xdr:col>3</xdr:col>
      <xdr:colOff>752475</xdr:colOff>
      <xdr:row>188</xdr:row>
      <xdr:rowOff>123825</xdr:rowOff>
    </xdr:from>
    <xdr:to>
      <xdr:col>4</xdr:col>
      <xdr:colOff>161925</xdr:colOff>
      <xdr:row>190</xdr:row>
      <xdr:rowOff>28575</xdr:rowOff>
    </xdr:to>
    <xdr:sp macro="" textlink="">
      <xdr:nvSpPr>
        <xdr:cNvPr id="453" name="Rectangle 452"/>
        <xdr:cNvSpPr/>
      </xdr:nvSpPr>
      <xdr:spPr bwMode="auto">
        <a:xfrm>
          <a:off x="2543175" y="31356300"/>
          <a:ext cx="161925" cy="228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100"/>
            <a:t>S4</a:t>
          </a:r>
        </a:p>
      </xdr:txBody>
    </xdr:sp>
    <xdr:clientData/>
  </xdr:twoCellAnchor>
  <xdr:twoCellAnchor>
    <xdr:from>
      <xdr:col>0</xdr:col>
      <xdr:colOff>152400</xdr:colOff>
      <xdr:row>24</xdr:row>
      <xdr:rowOff>9525</xdr:rowOff>
    </xdr:from>
    <xdr:to>
      <xdr:col>1</xdr:col>
      <xdr:colOff>57150</xdr:colOff>
      <xdr:row>24</xdr:row>
      <xdr:rowOff>11113</xdr:rowOff>
    </xdr:to>
    <xdr:cxnSp macro="">
      <xdr:nvCxnSpPr>
        <xdr:cNvPr id="454" name="Straight Connector 453"/>
        <xdr:cNvCxnSpPr/>
      </xdr:nvCxnSpPr>
      <xdr:spPr bwMode="auto">
        <a:xfrm rot="10800000">
          <a:off x="152400" y="4124325"/>
          <a:ext cx="6191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76200</xdr:colOff>
      <xdr:row>95</xdr:row>
      <xdr:rowOff>9525</xdr:rowOff>
    </xdr:from>
    <xdr:to>
      <xdr:col>0</xdr:col>
      <xdr:colOff>533400</xdr:colOff>
      <xdr:row>95</xdr:row>
      <xdr:rowOff>11113</xdr:rowOff>
    </xdr:to>
    <xdr:cxnSp macro="">
      <xdr:nvCxnSpPr>
        <xdr:cNvPr id="455" name="Straight Connector 454"/>
        <xdr:cNvCxnSpPr/>
      </xdr:nvCxnSpPr>
      <xdr:spPr bwMode="auto">
        <a:xfrm>
          <a:off x="76200" y="15925800"/>
          <a:ext cx="4572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19050</xdr:colOff>
      <xdr:row>177</xdr:row>
      <xdr:rowOff>152400</xdr:rowOff>
    </xdr:from>
    <xdr:to>
      <xdr:col>0</xdr:col>
      <xdr:colOff>590550</xdr:colOff>
      <xdr:row>177</xdr:row>
      <xdr:rowOff>153988</xdr:rowOff>
    </xdr:to>
    <xdr:cxnSp macro="">
      <xdr:nvCxnSpPr>
        <xdr:cNvPr id="456" name="Straight Connector 455"/>
        <xdr:cNvCxnSpPr/>
      </xdr:nvCxnSpPr>
      <xdr:spPr bwMode="auto">
        <a:xfrm>
          <a:off x="19050" y="29603700"/>
          <a:ext cx="5715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9524</xdr:colOff>
      <xdr:row>31</xdr:row>
      <xdr:rowOff>28575</xdr:rowOff>
    </xdr:from>
    <xdr:to>
      <xdr:col>7</xdr:col>
      <xdr:colOff>304799</xdr:colOff>
      <xdr:row>41</xdr:row>
      <xdr:rowOff>19050</xdr:rowOff>
    </xdr:to>
    <xdr:sp macro="" textlink="">
      <xdr:nvSpPr>
        <xdr:cNvPr id="457" name="Line 624"/>
        <xdr:cNvSpPr>
          <a:spLocks noChangeShapeType="1"/>
        </xdr:cNvSpPr>
      </xdr:nvSpPr>
      <xdr:spPr bwMode="auto">
        <a:xfrm>
          <a:off x="4410074" y="5276850"/>
          <a:ext cx="295275" cy="1609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9525</xdr:colOff>
      <xdr:row>41</xdr:row>
      <xdr:rowOff>0</xdr:rowOff>
    </xdr:from>
    <xdr:to>
      <xdr:col>7</xdr:col>
      <xdr:colOff>257175</xdr:colOff>
      <xdr:row>41</xdr:row>
      <xdr:rowOff>0</xdr:rowOff>
    </xdr:to>
    <xdr:cxnSp macro="">
      <xdr:nvCxnSpPr>
        <xdr:cNvPr id="458" name="Straight Connector 600"/>
        <xdr:cNvCxnSpPr>
          <a:cxnSpLocks noChangeShapeType="1"/>
        </xdr:cNvCxnSpPr>
      </xdr:nvCxnSpPr>
      <xdr:spPr bwMode="auto">
        <a:xfrm>
          <a:off x="4410075" y="6867525"/>
          <a:ext cx="24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/>
        </a:ln>
      </xdr:spPr>
    </xdr:cxnSp>
    <xdr:clientData/>
  </xdr:twoCellAnchor>
  <xdr:twoCellAnchor>
    <xdr:from>
      <xdr:col>7</xdr:col>
      <xdr:colOff>9525</xdr:colOff>
      <xdr:row>39</xdr:row>
      <xdr:rowOff>142875</xdr:rowOff>
    </xdr:from>
    <xdr:to>
      <xdr:col>7</xdr:col>
      <xdr:colOff>247650</xdr:colOff>
      <xdr:row>39</xdr:row>
      <xdr:rowOff>142875</xdr:rowOff>
    </xdr:to>
    <xdr:cxnSp macro="">
      <xdr:nvCxnSpPr>
        <xdr:cNvPr id="459" name="Straight Connector 602"/>
        <xdr:cNvCxnSpPr>
          <a:cxnSpLocks noChangeShapeType="1"/>
        </xdr:cNvCxnSpPr>
      </xdr:nvCxnSpPr>
      <xdr:spPr bwMode="auto">
        <a:xfrm rot="10800000">
          <a:off x="4410075" y="6686550"/>
          <a:ext cx="238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7</xdr:col>
      <xdr:colOff>609601</xdr:colOff>
      <xdr:row>31</xdr:row>
      <xdr:rowOff>28577</xdr:rowOff>
    </xdr:from>
    <xdr:to>
      <xdr:col>7</xdr:col>
      <xdr:colOff>619126</xdr:colOff>
      <xdr:row>40</xdr:row>
      <xdr:rowOff>152402</xdr:rowOff>
    </xdr:to>
    <xdr:cxnSp macro="">
      <xdr:nvCxnSpPr>
        <xdr:cNvPr id="460" name="Straight Arrow Connector 604"/>
        <xdr:cNvCxnSpPr>
          <a:cxnSpLocks noChangeShapeType="1"/>
        </xdr:cNvCxnSpPr>
      </xdr:nvCxnSpPr>
      <xdr:spPr bwMode="auto">
        <a:xfrm rot="16200000" flipH="1">
          <a:off x="4219576" y="6067427"/>
          <a:ext cx="1581150" cy="0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</xdr:spPr>
    </xdr:cxnSp>
    <xdr:clientData/>
  </xdr:twoCellAnchor>
  <xdr:twoCellAnchor>
    <xdr:from>
      <xdr:col>5</xdr:col>
      <xdr:colOff>66675</xdr:colOff>
      <xdr:row>31</xdr:row>
      <xdr:rowOff>9525</xdr:rowOff>
    </xdr:from>
    <xdr:to>
      <xdr:col>8</xdr:col>
      <xdr:colOff>409575</xdr:colOff>
      <xdr:row>31</xdr:row>
      <xdr:rowOff>11113</xdr:rowOff>
    </xdr:to>
    <xdr:cxnSp macro="">
      <xdr:nvCxnSpPr>
        <xdr:cNvPr id="461" name="Straight Connector 607"/>
        <xdr:cNvCxnSpPr>
          <a:cxnSpLocks noChangeShapeType="1"/>
        </xdr:cNvCxnSpPr>
      </xdr:nvCxnSpPr>
      <xdr:spPr bwMode="auto">
        <a:xfrm>
          <a:off x="3248025" y="5257800"/>
          <a:ext cx="2171700" cy="1588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7</xdr:col>
      <xdr:colOff>238125</xdr:colOff>
      <xdr:row>41</xdr:row>
      <xdr:rowOff>0</xdr:rowOff>
    </xdr:from>
    <xdr:to>
      <xdr:col>8</xdr:col>
      <xdr:colOff>9525</xdr:colOff>
      <xdr:row>41</xdr:row>
      <xdr:rowOff>0</xdr:rowOff>
    </xdr:to>
    <xdr:cxnSp macro="">
      <xdr:nvCxnSpPr>
        <xdr:cNvPr id="462" name="Straight Connector 609"/>
        <xdr:cNvCxnSpPr>
          <a:cxnSpLocks noChangeShapeType="1"/>
        </xdr:cNvCxnSpPr>
      </xdr:nvCxnSpPr>
      <xdr:spPr bwMode="auto">
        <a:xfrm>
          <a:off x="4638675" y="6867525"/>
          <a:ext cx="3810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7</xdr:col>
      <xdr:colOff>0</xdr:colOff>
      <xdr:row>31</xdr:row>
      <xdr:rowOff>38099</xdr:rowOff>
    </xdr:from>
    <xdr:to>
      <xdr:col>7</xdr:col>
      <xdr:colOff>9525</xdr:colOff>
      <xdr:row>41</xdr:row>
      <xdr:rowOff>9524</xdr:rowOff>
    </xdr:to>
    <xdr:cxnSp macro="">
      <xdr:nvCxnSpPr>
        <xdr:cNvPr id="463" name="Straight Connector 462"/>
        <xdr:cNvCxnSpPr/>
      </xdr:nvCxnSpPr>
      <xdr:spPr bwMode="auto">
        <a:xfrm rot="16200000" flipH="1">
          <a:off x="3609975" y="6076949"/>
          <a:ext cx="15906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238125</xdr:colOff>
      <xdr:row>114</xdr:row>
      <xdr:rowOff>0</xdr:rowOff>
    </xdr:from>
    <xdr:to>
      <xdr:col>8</xdr:col>
      <xdr:colOff>609600</xdr:colOff>
      <xdr:row>114</xdr:row>
      <xdr:rowOff>0</xdr:rowOff>
    </xdr:to>
    <xdr:sp macro="" textlink="">
      <xdr:nvSpPr>
        <xdr:cNvPr id="464" name="Line 15"/>
        <xdr:cNvSpPr>
          <a:spLocks noChangeShapeType="1"/>
        </xdr:cNvSpPr>
      </xdr:nvSpPr>
      <xdr:spPr bwMode="auto">
        <a:xfrm>
          <a:off x="5248275" y="18992850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19049</xdr:colOff>
      <xdr:row>104</xdr:row>
      <xdr:rowOff>28575</xdr:rowOff>
    </xdr:from>
    <xdr:to>
      <xdr:col>8</xdr:col>
      <xdr:colOff>314324</xdr:colOff>
      <xdr:row>114</xdr:row>
      <xdr:rowOff>19050</xdr:rowOff>
    </xdr:to>
    <xdr:sp macro="" textlink="">
      <xdr:nvSpPr>
        <xdr:cNvPr id="465" name="Line 624"/>
        <xdr:cNvSpPr>
          <a:spLocks noChangeShapeType="1"/>
        </xdr:cNvSpPr>
      </xdr:nvSpPr>
      <xdr:spPr bwMode="auto">
        <a:xfrm>
          <a:off x="5029199" y="17402175"/>
          <a:ext cx="295275" cy="1609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628650</xdr:colOff>
      <xdr:row>114</xdr:row>
      <xdr:rowOff>0</xdr:rowOff>
    </xdr:from>
    <xdr:to>
      <xdr:col>8</xdr:col>
      <xdr:colOff>238125</xdr:colOff>
      <xdr:row>114</xdr:row>
      <xdr:rowOff>0</xdr:rowOff>
    </xdr:to>
    <xdr:cxnSp macro="">
      <xdr:nvCxnSpPr>
        <xdr:cNvPr id="466" name="Straight Connector 600"/>
        <xdr:cNvCxnSpPr>
          <a:cxnSpLocks noChangeShapeType="1"/>
        </xdr:cNvCxnSpPr>
      </xdr:nvCxnSpPr>
      <xdr:spPr bwMode="auto">
        <a:xfrm>
          <a:off x="5010150" y="18992850"/>
          <a:ext cx="238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/>
        </a:ln>
      </xdr:spPr>
    </xdr:cxnSp>
    <xdr:clientData/>
  </xdr:twoCellAnchor>
  <xdr:twoCellAnchor>
    <xdr:from>
      <xdr:col>8</xdr:col>
      <xdr:colOff>19050</xdr:colOff>
      <xdr:row>112</xdr:row>
      <xdr:rowOff>142875</xdr:rowOff>
    </xdr:from>
    <xdr:to>
      <xdr:col>8</xdr:col>
      <xdr:colOff>257175</xdr:colOff>
      <xdr:row>112</xdr:row>
      <xdr:rowOff>142875</xdr:rowOff>
    </xdr:to>
    <xdr:cxnSp macro="">
      <xdr:nvCxnSpPr>
        <xdr:cNvPr id="467" name="Straight Connector 602"/>
        <xdr:cNvCxnSpPr>
          <a:cxnSpLocks noChangeShapeType="1"/>
        </xdr:cNvCxnSpPr>
      </xdr:nvCxnSpPr>
      <xdr:spPr bwMode="auto">
        <a:xfrm rot="10800000">
          <a:off x="5029200" y="18811875"/>
          <a:ext cx="238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8</xdr:col>
      <xdr:colOff>561982</xdr:colOff>
      <xdr:row>104</xdr:row>
      <xdr:rowOff>38108</xdr:rowOff>
    </xdr:from>
    <xdr:to>
      <xdr:col>8</xdr:col>
      <xdr:colOff>571507</xdr:colOff>
      <xdr:row>114</xdr:row>
      <xdr:rowOff>8</xdr:rowOff>
    </xdr:to>
    <xdr:cxnSp macro="">
      <xdr:nvCxnSpPr>
        <xdr:cNvPr id="468" name="Straight Arrow Connector 604"/>
        <xdr:cNvCxnSpPr>
          <a:cxnSpLocks noChangeShapeType="1"/>
        </xdr:cNvCxnSpPr>
      </xdr:nvCxnSpPr>
      <xdr:spPr bwMode="auto">
        <a:xfrm rot="16200000" flipH="1">
          <a:off x="4786320" y="18197520"/>
          <a:ext cx="1581150" cy="9525"/>
        </a:xfrm>
        <a:prstGeom prst="straightConnector1">
          <a:avLst/>
        </a:prstGeom>
        <a:noFill/>
        <a:ln w="9525" algn="ctr">
          <a:solidFill>
            <a:sysClr val="windowText" lastClr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466725</xdr:colOff>
      <xdr:row>104</xdr:row>
      <xdr:rowOff>0</xdr:rowOff>
    </xdr:from>
    <xdr:to>
      <xdr:col>9</xdr:col>
      <xdr:colOff>304800</xdr:colOff>
      <xdr:row>104</xdr:row>
      <xdr:rowOff>9526</xdr:rowOff>
    </xdr:to>
    <xdr:cxnSp macro="">
      <xdr:nvCxnSpPr>
        <xdr:cNvPr id="469" name="Straight Connector 607"/>
        <xdr:cNvCxnSpPr>
          <a:cxnSpLocks noChangeShapeType="1"/>
        </xdr:cNvCxnSpPr>
      </xdr:nvCxnSpPr>
      <xdr:spPr bwMode="auto">
        <a:xfrm flipV="1">
          <a:off x="4867275" y="17373600"/>
          <a:ext cx="1057275" cy="9526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8</xdr:col>
      <xdr:colOff>0</xdr:colOff>
      <xdr:row>104</xdr:row>
      <xdr:rowOff>38100</xdr:rowOff>
    </xdr:from>
    <xdr:to>
      <xdr:col>8</xdr:col>
      <xdr:colOff>9525</xdr:colOff>
      <xdr:row>114</xdr:row>
      <xdr:rowOff>9526</xdr:rowOff>
    </xdr:to>
    <xdr:cxnSp macro="">
      <xdr:nvCxnSpPr>
        <xdr:cNvPr id="470" name="Straight Connector 469"/>
        <xdr:cNvCxnSpPr/>
      </xdr:nvCxnSpPr>
      <xdr:spPr bwMode="auto">
        <a:xfrm rot="5400000">
          <a:off x="4219575" y="18202275"/>
          <a:ext cx="159067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</xdr:colOff>
      <xdr:row>37</xdr:row>
      <xdr:rowOff>9525</xdr:rowOff>
    </xdr:from>
    <xdr:to>
      <xdr:col>7</xdr:col>
      <xdr:colOff>438150</xdr:colOff>
      <xdr:row>37</xdr:row>
      <xdr:rowOff>11113</xdr:rowOff>
    </xdr:to>
    <xdr:cxnSp macro="">
      <xdr:nvCxnSpPr>
        <xdr:cNvPr id="471" name="Straight Arrow Connector 470"/>
        <xdr:cNvCxnSpPr/>
      </xdr:nvCxnSpPr>
      <xdr:spPr bwMode="auto">
        <a:xfrm>
          <a:off x="4419600" y="6229350"/>
          <a:ext cx="41910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8</xdr:col>
      <xdr:colOff>28575</xdr:colOff>
      <xdr:row>110</xdr:row>
      <xdr:rowOff>19050</xdr:rowOff>
    </xdr:from>
    <xdr:to>
      <xdr:col>8</xdr:col>
      <xdr:colOff>400050</xdr:colOff>
      <xdr:row>110</xdr:row>
      <xdr:rowOff>19050</xdr:rowOff>
    </xdr:to>
    <xdr:sp macro="" textlink="">
      <xdr:nvSpPr>
        <xdr:cNvPr id="472" name="Line 246"/>
        <xdr:cNvSpPr>
          <a:spLocks noChangeShapeType="1"/>
        </xdr:cNvSpPr>
      </xdr:nvSpPr>
      <xdr:spPr bwMode="auto">
        <a:xfrm flipH="1">
          <a:off x="5038725" y="18364200"/>
          <a:ext cx="3714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123825</xdr:colOff>
      <xdr:row>104</xdr:row>
      <xdr:rowOff>57150</xdr:rowOff>
    </xdr:from>
    <xdr:to>
      <xdr:col>8</xdr:col>
      <xdr:colOff>361950</xdr:colOff>
      <xdr:row>105</xdr:row>
      <xdr:rowOff>38100</xdr:rowOff>
    </xdr:to>
    <xdr:sp macro="" textlink="">
      <xdr:nvSpPr>
        <xdr:cNvPr id="473" name="Rectangle 472"/>
        <xdr:cNvSpPr/>
      </xdr:nvSpPr>
      <xdr:spPr bwMode="auto">
        <a:xfrm>
          <a:off x="5133975" y="17430750"/>
          <a:ext cx="238125" cy="1428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GB" sz="1100"/>
            <a:t>S6</a:t>
          </a:r>
        </a:p>
      </xdr:txBody>
    </xdr:sp>
    <xdr:clientData/>
  </xdr:twoCellAnchor>
  <xdr:twoCellAnchor>
    <xdr:from>
      <xdr:col>6</xdr:col>
      <xdr:colOff>114300</xdr:colOff>
      <xdr:row>191</xdr:row>
      <xdr:rowOff>19050</xdr:rowOff>
    </xdr:from>
    <xdr:to>
      <xdr:col>6</xdr:col>
      <xdr:colOff>504825</xdr:colOff>
      <xdr:row>191</xdr:row>
      <xdr:rowOff>19050</xdr:rowOff>
    </xdr:to>
    <xdr:sp macro="" textlink="">
      <xdr:nvSpPr>
        <xdr:cNvPr id="474" name="Line 588"/>
        <xdr:cNvSpPr>
          <a:spLocks noChangeShapeType="1"/>
        </xdr:cNvSpPr>
      </xdr:nvSpPr>
      <xdr:spPr bwMode="auto">
        <a:xfrm>
          <a:off x="3905250" y="31737300"/>
          <a:ext cx="3905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7</xdr:col>
      <xdr:colOff>504825</xdr:colOff>
      <xdr:row>194</xdr:row>
      <xdr:rowOff>38100</xdr:rowOff>
    </xdr:from>
    <xdr:to>
      <xdr:col>8</xdr:col>
      <xdr:colOff>257175</xdr:colOff>
      <xdr:row>194</xdr:row>
      <xdr:rowOff>38100</xdr:rowOff>
    </xdr:to>
    <xdr:sp macro="" textlink="">
      <xdr:nvSpPr>
        <xdr:cNvPr id="475" name="Line 588"/>
        <xdr:cNvSpPr>
          <a:spLocks noChangeShapeType="1"/>
        </xdr:cNvSpPr>
      </xdr:nvSpPr>
      <xdr:spPr bwMode="auto">
        <a:xfrm>
          <a:off x="4905375" y="32242125"/>
          <a:ext cx="3619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7</xdr:col>
      <xdr:colOff>95250</xdr:colOff>
      <xdr:row>84</xdr:row>
      <xdr:rowOff>104775</xdr:rowOff>
    </xdr:from>
    <xdr:to>
      <xdr:col>7</xdr:col>
      <xdr:colOff>619125</xdr:colOff>
      <xdr:row>87</xdr:row>
      <xdr:rowOff>9525</xdr:rowOff>
    </xdr:to>
    <xdr:sp macro="" textlink="">
      <xdr:nvSpPr>
        <xdr:cNvPr id="476" name="Freeform 475"/>
        <xdr:cNvSpPr/>
      </xdr:nvSpPr>
      <xdr:spPr bwMode="auto">
        <a:xfrm>
          <a:off x="4495800" y="14049375"/>
          <a:ext cx="514350" cy="466725"/>
        </a:xfrm>
        <a:custGeom>
          <a:avLst/>
          <a:gdLst>
            <a:gd name="connsiteX0" fmla="*/ 523875 w 523875"/>
            <a:gd name="connsiteY0" fmla="*/ 0 h 466725"/>
            <a:gd name="connsiteX1" fmla="*/ 266700 w 523875"/>
            <a:gd name="connsiteY1" fmla="*/ 190500 h 466725"/>
            <a:gd name="connsiteX2" fmla="*/ 266700 w 523875"/>
            <a:gd name="connsiteY2" fmla="*/ 390525 h 466725"/>
            <a:gd name="connsiteX3" fmla="*/ 0 w 523875"/>
            <a:gd name="connsiteY3" fmla="*/ 466725 h 466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23875" h="466725">
              <a:moveTo>
                <a:pt x="523875" y="0"/>
              </a:moveTo>
              <a:cubicBezTo>
                <a:pt x="416718" y="62706"/>
                <a:pt x="309562" y="125413"/>
                <a:pt x="266700" y="190500"/>
              </a:cubicBezTo>
              <a:cubicBezTo>
                <a:pt x="223838" y="255587"/>
                <a:pt x="311150" y="344488"/>
                <a:pt x="266700" y="390525"/>
              </a:cubicBezTo>
              <a:cubicBezTo>
                <a:pt x="222250" y="436562"/>
                <a:pt x="111125" y="451643"/>
                <a:pt x="0" y="46672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19050</xdr:colOff>
      <xdr:row>189</xdr:row>
      <xdr:rowOff>152400</xdr:rowOff>
    </xdr:from>
    <xdr:to>
      <xdr:col>8</xdr:col>
      <xdr:colOff>257175</xdr:colOff>
      <xdr:row>190</xdr:row>
      <xdr:rowOff>133350</xdr:rowOff>
    </xdr:to>
    <xdr:sp macro="" textlink="">
      <xdr:nvSpPr>
        <xdr:cNvPr id="477" name="Rectangle 476"/>
        <xdr:cNvSpPr/>
      </xdr:nvSpPr>
      <xdr:spPr bwMode="auto">
        <a:xfrm>
          <a:off x="5029200" y="31546800"/>
          <a:ext cx="238125" cy="1428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GB" sz="1100"/>
            <a:t>S6</a:t>
          </a:r>
        </a:p>
      </xdr:txBody>
    </xdr:sp>
    <xdr:clientData/>
  </xdr:twoCellAnchor>
  <xdr:twoCellAnchor>
    <xdr:from>
      <xdr:col>5</xdr:col>
      <xdr:colOff>0</xdr:colOff>
      <xdr:row>312</xdr:row>
      <xdr:rowOff>0</xdr:rowOff>
    </xdr:from>
    <xdr:to>
      <xdr:col>5</xdr:col>
      <xdr:colOff>0</xdr:colOff>
      <xdr:row>325</xdr:row>
      <xdr:rowOff>9525</xdr:rowOff>
    </xdr:to>
    <xdr:sp macro="" textlink="">
      <xdr:nvSpPr>
        <xdr:cNvPr id="478" name="Line 8"/>
        <xdr:cNvSpPr>
          <a:spLocks noChangeShapeType="1"/>
        </xdr:cNvSpPr>
      </xdr:nvSpPr>
      <xdr:spPr bwMode="auto">
        <a:xfrm>
          <a:off x="3181350" y="50034825"/>
          <a:ext cx="0" cy="21145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325</xdr:row>
      <xdr:rowOff>0</xdr:rowOff>
    </xdr:from>
    <xdr:to>
      <xdr:col>5</xdr:col>
      <xdr:colOff>476250</xdr:colOff>
      <xdr:row>325</xdr:row>
      <xdr:rowOff>0</xdr:rowOff>
    </xdr:to>
    <xdr:sp macro="" textlink="">
      <xdr:nvSpPr>
        <xdr:cNvPr id="479" name="Line 9"/>
        <xdr:cNvSpPr>
          <a:spLocks noChangeShapeType="1"/>
        </xdr:cNvSpPr>
      </xdr:nvSpPr>
      <xdr:spPr bwMode="auto">
        <a:xfrm>
          <a:off x="3181350" y="52139850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325</xdr:row>
      <xdr:rowOff>9525</xdr:rowOff>
    </xdr:from>
    <xdr:to>
      <xdr:col>5</xdr:col>
      <xdr:colOff>476250</xdr:colOff>
      <xdr:row>328</xdr:row>
      <xdr:rowOff>0</xdr:rowOff>
    </xdr:to>
    <xdr:sp macro="" textlink="">
      <xdr:nvSpPr>
        <xdr:cNvPr id="480" name="Line 10"/>
        <xdr:cNvSpPr>
          <a:spLocks noChangeShapeType="1"/>
        </xdr:cNvSpPr>
      </xdr:nvSpPr>
      <xdr:spPr bwMode="auto">
        <a:xfrm>
          <a:off x="3657600" y="52149375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327</xdr:row>
      <xdr:rowOff>152400</xdr:rowOff>
    </xdr:from>
    <xdr:to>
      <xdr:col>5</xdr:col>
      <xdr:colOff>161925</xdr:colOff>
      <xdr:row>328</xdr:row>
      <xdr:rowOff>0</xdr:rowOff>
    </xdr:to>
    <xdr:sp macro="" textlink="">
      <xdr:nvSpPr>
        <xdr:cNvPr id="481" name="Line 11"/>
        <xdr:cNvSpPr>
          <a:spLocks noChangeShapeType="1"/>
        </xdr:cNvSpPr>
      </xdr:nvSpPr>
      <xdr:spPr bwMode="auto">
        <a:xfrm flipH="1" flipV="1">
          <a:off x="1314450" y="52616100"/>
          <a:ext cx="202882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324</xdr:row>
      <xdr:rowOff>152400</xdr:rowOff>
    </xdr:from>
    <xdr:to>
      <xdr:col>2</xdr:col>
      <xdr:colOff>0</xdr:colOff>
      <xdr:row>327</xdr:row>
      <xdr:rowOff>152400</xdr:rowOff>
    </xdr:to>
    <xdr:sp macro="" textlink="">
      <xdr:nvSpPr>
        <xdr:cNvPr id="482" name="Line 12"/>
        <xdr:cNvSpPr>
          <a:spLocks noChangeShapeType="1"/>
        </xdr:cNvSpPr>
      </xdr:nvSpPr>
      <xdr:spPr bwMode="auto">
        <a:xfrm flipV="1">
          <a:off x="1323975" y="52130325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325</xdr:row>
      <xdr:rowOff>0</xdr:rowOff>
    </xdr:from>
    <xdr:to>
      <xdr:col>4</xdr:col>
      <xdr:colOff>0</xdr:colOff>
      <xdr:row>325</xdr:row>
      <xdr:rowOff>0</xdr:rowOff>
    </xdr:to>
    <xdr:sp macro="" textlink="">
      <xdr:nvSpPr>
        <xdr:cNvPr id="483" name="Line 13"/>
        <xdr:cNvSpPr>
          <a:spLocks noChangeShapeType="1"/>
        </xdr:cNvSpPr>
      </xdr:nvSpPr>
      <xdr:spPr bwMode="auto">
        <a:xfrm>
          <a:off x="1314450" y="52139850"/>
          <a:ext cx="1228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312</xdr:row>
      <xdr:rowOff>0</xdr:rowOff>
    </xdr:from>
    <xdr:to>
      <xdr:col>4</xdr:col>
      <xdr:colOff>381000</xdr:colOff>
      <xdr:row>325</xdr:row>
      <xdr:rowOff>0</xdr:rowOff>
    </xdr:to>
    <xdr:sp macro="" textlink="">
      <xdr:nvSpPr>
        <xdr:cNvPr id="484" name="Line 14"/>
        <xdr:cNvSpPr>
          <a:spLocks noChangeShapeType="1"/>
        </xdr:cNvSpPr>
      </xdr:nvSpPr>
      <xdr:spPr bwMode="auto">
        <a:xfrm flipV="1">
          <a:off x="2552700" y="50034825"/>
          <a:ext cx="371475" cy="2105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328</xdr:row>
      <xdr:rowOff>0</xdr:rowOff>
    </xdr:from>
    <xdr:to>
      <xdr:col>5</xdr:col>
      <xdr:colOff>476250</xdr:colOff>
      <xdr:row>329</xdr:row>
      <xdr:rowOff>0</xdr:rowOff>
    </xdr:to>
    <xdr:sp macro="" textlink="">
      <xdr:nvSpPr>
        <xdr:cNvPr id="485" name="Line 15"/>
        <xdr:cNvSpPr>
          <a:spLocks noChangeShapeType="1"/>
        </xdr:cNvSpPr>
      </xdr:nvSpPr>
      <xdr:spPr bwMode="auto">
        <a:xfrm>
          <a:off x="3657600" y="52625625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329</xdr:row>
      <xdr:rowOff>9525</xdr:rowOff>
    </xdr:from>
    <xdr:to>
      <xdr:col>5</xdr:col>
      <xdr:colOff>476250</xdr:colOff>
      <xdr:row>329</xdr:row>
      <xdr:rowOff>9525</xdr:rowOff>
    </xdr:to>
    <xdr:sp macro="" textlink="">
      <xdr:nvSpPr>
        <xdr:cNvPr id="486" name="Line 16"/>
        <xdr:cNvSpPr>
          <a:spLocks noChangeShapeType="1"/>
        </xdr:cNvSpPr>
      </xdr:nvSpPr>
      <xdr:spPr bwMode="auto">
        <a:xfrm flipH="1">
          <a:off x="3524250" y="52797075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327</xdr:row>
      <xdr:rowOff>152400</xdr:rowOff>
    </xdr:from>
    <xdr:to>
      <xdr:col>5</xdr:col>
      <xdr:colOff>352425</xdr:colOff>
      <xdr:row>329</xdr:row>
      <xdr:rowOff>19050</xdr:rowOff>
    </xdr:to>
    <xdr:sp macro="" textlink="">
      <xdr:nvSpPr>
        <xdr:cNvPr id="487" name="Line 17"/>
        <xdr:cNvSpPr>
          <a:spLocks noChangeShapeType="1"/>
        </xdr:cNvSpPr>
      </xdr:nvSpPr>
      <xdr:spPr bwMode="auto">
        <a:xfrm flipH="1" flipV="1">
          <a:off x="3343275" y="52616100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329</xdr:row>
      <xdr:rowOff>76200</xdr:rowOff>
    </xdr:from>
    <xdr:to>
      <xdr:col>5</xdr:col>
      <xdr:colOff>485775</xdr:colOff>
      <xdr:row>330</xdr:row>
      <xdr:rowOff>28575</xdr:rowOff>
    </xdr:to>
    <xdr:sp macro="" textlink="">
      <xdr:nvSpPr>
        <xdr:cNvPr id="488" name="Line 18"/>
        <xdr:cNvSpPr>
          <a:spLocks noChangeShapeType="1"/>
        </xdr:cNvSpPr>
      </xdr:nvSpPr>
      <xdr:spPr bwMode="auto">
        <a:xfrm>
          <a:off x="3667125" y="528637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329</xdr:row>
      <xdr:rowOff>76200</xdr:rowOff>
    </xdr:from>
    <xdr:to>
      <xdr:col>5</xdr:col>
      <xdr:colOff>352425</xdr:colOff>
      <xdr:row>330</xdr:row>
      <xdr:rowOff>38100</xdr:rowOff>
    </xdr:to>
    <xdr:sp macro="" textlink="">
      <xdr:nvSpPr>
        <xdr:cNvPr id="489" name="Line 19"/>
        <xdr:cNvSpPr>
          <a:spLocks noChangeShapeType="1"/>
        </xdr:cNvSpPr>
      </xdr:nvSpPr>
      <xdr:spPr bwMode="auto">
        <a:xfrm>
          <a:off x="3533775" y="5286375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330</xdr:row>
      <xdr:rowOff>0</xdr:rowOff>
    </xdr:from>
    <xdr:to>
      <xdr:col>5</xdr:col>
      <xdr:colOff>485775</xdr:colOff>
      <xdr:row>330</xdr:row>
      <xdr:rowOff>0</xdr:rowOff>
    </xdr:to>
    <xdr:sp macro="" textlink="">
      <xdr:nvSpPr>
        <xdr:cNvPr id="490" name="Line 20"/>
        <xdr:cNvSpPr>
          <a:spLocks noChangeShapeType="1"/>
        </xdr:cNvSpPr>
      </xdr:nvSpPr>
      <xdr:spPr bwMode="auto">
        <a:xfrm>
          <a:off x="3533775" y="529494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329</xdr:row>
      <xdr:rowOff>114300</xdr:rowOff>
    </xdr:from>
    <xdr:to>
      <xdr:col>5</xdr:col>
      <xdr:colOff>180975</xdr:colOff>
      <xdr:row>330</xdr:row>
      <xdr:rowOff>28575</xdr:rowOff>
    </xdr:to>
    <xdr:sp macro="" textlink="">
      <xdr:nvSpPr>
        <xdr:cNvPr id="491" name="Line 21"/>
        <xdr:cNvSpPr>
          <a:spLocks noChangeShapeType="1"/>
        </xdr:cNvSpPr>
      </xdr:nvSpPr>
      <xdr:spPr bwMode="auto">
        <a:xfrm>
          <a:off x="3362325" y="5290185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330</xdr:row>
      <xdr:rowOff>0</xdr:rowOff>
    </xdr:from>
    <xdr:to>
      <xdr:col>5</xdr:col>
      <xdr:colOff>352425</xdr:colOff>
      <xdr:row>330</xdr:row>
      <xdr:rowOff>0</xdr:rowOff>
    </xdr:to>
    <xdr:sp macro="" textlink="">
      <xdr:nvSpPr>
        <xdr:cNvPr id="492" name="Line 22"/>
        <xdr:cNvSpPr>
          <a:spLocks noChangeShapeType="1"/>
        </xdr:cNvSpPr>
      </xdr:nvSpPr>
      <xdr:spPr bwMode="auto">
        <a:xfrm>
          <a:off x="3362325" y="529494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330</xdr:row>
      <xdr:rowOff>19050</xdr:rowOff>
    </xdr:from>
    <xdr:to>
      <xdr:col>5</xdr:col>
      <xdr:colOff>428625</xdr:colOff>
      <xdr:row>330</xdr:row>
      <xdr:rowOff>104775</xdr:rowOff>
    </xdr:to>
    <xdr:sp macro="" textlink="">
      <xdr:nvSpPr>
        <xdr:cNvPr id="493" name="Line 23"/>
        <xdr:cNvSpPr>
          <a:spLocks noChangeShapeType="1"/>
        </xdr:cNvSpPr>
      </xdr:nvSpPr>
      <xdr:spPr bwMode="auto">
        <a:xfrm flipV="1">
          <a:off x="3609975" y="529685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330</xdr:row>
      <xdr:rowOff>0</xdr:rowOff>
    </xdr:from>
    <xdr:to>
      <xdr:col>5</xdr:col>
      <xdr:colOff>285750</xdr:colOff>
      <xdr:row>331</xdr:row>
      <xdr:rowOff>57150</xdr:rowOff>
    </xdr:to>
    <xdr:sp macro="" textlink="">
      <xdr:nvSpPr>
        <xdr:cNvPr id="494" name="Line 25"/>
        <xdr:cNvSpPr>
          <a:spLocks noChangeShapeType="1"/>
        </xdr:cNvSpPr>
      </xdr:nvSpPr>
      <xdr:spPr bwMode="auto">
        <a:xfrm flipV="1">
          <a:off x="3467100" y="52949475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331</xdr:row>
      <xdr:rowOff>47625</xdr:rowOff>
    </xdr:from>
    <xdr:to>
      <xdr:col>6</xdr:col>
      <xdr:colOff>76200</xdr:colOff>
      <xdr:row>331</xdr:row>
      <xdr:rowOff>47625</xdr:rowOff>
    </xdr:to>
    <xdr:sp macro="" textlink="">
      <xdr:nvSpPr>
        <xdr:cNvPr id="495" name="Line 26"/>
        <xdr:cNvSpPr>
          <a:spLocks noChangeShapeType="1"/>
        </xdr:cNvSpPr>
      </xdr:nvSpPr>
      <xdr:spPr bwMode="auto">
        <a:xfrm>
          <a:off x="3467100" y="53159025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332</xdr:row>
      <xdr:rowOff>142875</xdr:rowOff>
    </xdr:from>
    <xdr:to>
      <xdr:col>5</xdr:col>
      <xdr:colOff>514350</xdr:colOff>
      <xdr:row>333</xdr:row>
      <xdr:rowOff>76200</xdr:rowOff>
    </xdr:to>
    <xdr:sp macro="" textlink="">
      <xdr:nvSpPr>
        <xdr:cNvPr id="496" name="Line 32"/>
        <xdr:cNvSpPr>
          <a:spLocks noChangeShapeType="1"/>
        </xdr:cNvSpPr>
      </xdr:nvSpPr>
      <xdr:spPr bwMode="auto">
        <a:xfrm>
          <a:off x="3695700" y="534162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228600</xdr:colOff>
      <xdr:row>312</xdr:row>
      <xdr:rowOff>9525</xdr:rowOff>
    </xdr:from>
    <xdr:to>
      <xdr:col>2</xdr:col>
      <xdr:colOff>381000</xdr:colOff>
      <xdr:row>312</xdr:row>
      <xdr:rowOff>104775</xdr:rowOff>
    </xdr:to>
    <xdr:sp macro="" textlink="">
      <xdr:nvSpPr>
        <xdr:cNvPr id="497" name="Line 34"/>
        <xdr:cNvSpPr>
          <a:spLocks noChangeShapeType="1"/>
        </xdr:cNvSpPr>
      </xdr:nvSpPr>
      <xdr:spPr bwMode="auto">
        <a:xfrm flipH="1">
          <a:off x="1552575" y="500443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312</xdr:row>
      <xdr:rowOff>0</xdr:rowOff>
    </xdr:from>
    <xdr:to>
      <xdr:col>2</xdr:col>
      <xdr:colOff>514350</xdr:colOff>
      <xdr:row>312</xdr:row>
      <xdr:rowOff>123825</xdr:rowOff>
    </xdr:to>
    <xdr:sp macro="" textlink="">
      <xdr:nvSpPr>
        <xdr:cNvPr id="498" name="Line 35"/>
        <xdr:cNvSpPr>
          <a:spLocks noChangeShapeType="1"/>
        </xdr:cNvSpPr>
      </xdr:nvSpPr>
      <xdr:spPr bwMode="auto">
        <a:xfrm>
          <a:off x="1714500" y="500348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312</xdr:row>
      <xdr:rowOff>0</xdr:rowOff>
    </xdr:from>
    <xdr:to>
      <xdr:col>2</xdr:col>
      <xdr:colOff>514350</xdr:colOff>
      <xdr:row>312</xdr:row>
      <xdr:rowOff>114300</xdr:rowOff>
    </xdr:to>
    <xdr:sp macro="" textlink="">
      <xdr:nvSpPr>
        <xdr:cNvPr id="499" name="Line 36"/>
        <xdr:cNvSpPr>
          <a:spLocks noChangeShapeType="1"/>
        </xdr:cNvSpPr>
      </xdr:nvSpPr>
      <xdr:spPr bwMode="auto">
        <a:xfrm flipV="1">
          <a:off x="1695450" y="500348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312</xdr:row>
      <xdr:rowOff>0</xdr:rowOff>
    </xdr:from>
    <xdr:to>
      <xdr:col>5</xdr:col>
      <xdr:colOff>0</xdr:colOff>
      <xdr:row>312</xdr:row>
      <xdr:rowOff>0</xdr:rowOff>
    </xdr:to>
    <xdr:sp macro="" textlink="">
      <xdr:nvSpPr>
        <xdr:cNvPr id="500" name="Line 45"/>
        <xdr:cNvSpPr>
          <a:spLocks noChangeShapeType="1"/>
        </xdr:cNvSpPr>
      </xdr:nvSpPr>
      <xdr:spPr bwMode="auto">
        <a:xfrm>
          <a:off x="2914650" y="50034825"/>
          <a:ext cx="2667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311</xdr:row>
      <xdr:rowOff>0</xdr:rowOff>
    </xdr:from>
    <xdr:to>
      <xdr:col>4</xdr:col>
      <xdr:colOff>371475</xdr:colOff>
      <xdr:row>311</xdr:row>
      <xdr:rowOff>85725</xdr:rowOff>
    </xdr:to>
    <xdr:sp macro="" textlink="">
      <xdr:nvSpPr>
        <xdr:cNvPr id="501" name="Line 46"/>
        <xdr:cNvSpPr>
          <a:spLocks noChangeShapeType="1"/>
        </xdr:cNvSpPr>
      </xdr:nvSpPr>
      <xdr:spPr bwMode="auto">
        <a:xfrm>
          <a:off x="2914650" y="498729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310</xdr:row>
      <xdr:rowOff>152400</xdr:rowOff>
    </xdr:from>
    <xdr:to>
      <xdr:col>5</xdr:col>
      <xdr:colOff>0</xdr:colOff>
      <xdr:row>311</xdr:row>
      <xdr:rowOff>85725</xdr:rowOff>
    </xdr:to>
    <xdr:sp macro="" textlink="">
      <xdr:nvSpPr>
        <xdr:cNvPr id="502" name="Line 47"/>
        <xdr:cNvSpPr>
          <a:spLocks noChangeShapeType="1"/>
        </xdr:cNvSpPr>
      </xdr:nvSpPr>
      <xdr:spPr bwMode="auto">
        <a:xfrm>
          <a:off x="3181350" y="498633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311</xdr:row>
      <xdr:rowOff>47625</xdr:rowOff>
    </xdr:from>
    <xdr:to>
      <xdr:col>5</xdr:col>
      <xdr:colOff>0</xdr:colOff>
      <xdr:row>311</xdr:row>
      <xdr:rowOff>47625</xdr:rowOff>
    </xdr:to>
    <xdr:sp macro="" textlink="">
      <xdr:nvSpPr>
        <xdr:cNvPr id="503" name="Line 48"/>
        <xdr:cNvSpPr>
          <a:spLocks noChangeShapeType="1"/>
        </xdr:cNvSpPr>
      </xdr:nvSpPr>
      <xdr:spPr bwMode="auto">
        <a:xfrm>
          <a:off x="2905125" y="499205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133350</xdr:colOff>
      <xdr:row>327</xdr:row>
      <xdr:rowOff>152400</xdr:rowOff>
    </xdr:from>
    <xdr:to>
      <xdr:col>1</xdr:col>
      <xdr:colOff>600075</xdr:colOff>
      <xdr:row>327</xdr:row>
      <xdr:rowOff>152400</xdr:rowOff>
    </xdr:to>
    <xdr:sp macro="" textlink="">
      <xdr:nvSpPr>
        <xdr:cNvPr id="504" name="Line 50"/>
        <xdr:cNvSpPr>
          <a:spLocks noChangeShapeType="1"/>
        </xdr:cNvSpPr>
      </xdr:nvSpPr>
      <xdr:spPr bwMode="auto">
        <a:xfrm>
          <a:off x="847725" y="5261610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600075</xdr:colOff>
      <xdr:row>322</xdr:row>
      <xdr:rowOff>76200</xdr:rowOff>
    </xdr:from>
    <xdr:to>
      <xdr:col>1</xdr:col>
      <xdr:colOff>600075</xdr:colOff>
      <xdr:row>322</xdr:row>
      <xdr:rowOff>85725</xdr:rowOff>
    </xdr:to>
    <xdr:sp macro="" textlink="">
      <xdr:nvSpPr>
        <xdr:cNvPr id="505" name="Line 51"/>
        <xdr:cNvSpPr>
          <a:spLocks noChangeShapeType="1"/>
        </xdr:cNvSpPr>
      </xdr:nvSpPr>
      <xdr:spPr bwMode="auto">
        <a:xfrm>
          <a:off x="600075" y="51730275"/>
          <a:ext cx="7143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514350</xdr:colOff>
      <xdr:row>315</xdr:row>
      <xdr:rowOff>152400</xdr:rowOff>
    </xdr:from>
    <xdr:to>
      <xdr:col>1</xdr:col>
      <xdr:colOff>600075</xdr:colOff>
      <xdr:row>315</xdr:row>
      <xdr:rowOff>152400</xdr:rowOff>
    </xdr:to>
    <xdr:sp macro="" textlink="">
      <xdr:nvSpPr>
        <xdr:cNvPr id="506" name="Line 52"/>
        <xdr:cNvSpPr>
          <a:spLocks noChangeShapeType="1"/>
        </xdr:cNvSpPr>
      </xdr:nvSpPr>
      <xdr:spPr bwMode="auto">
        <a:xfrm>
          <a:off x="1228725" y="5067300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0</xdr:colOff>
      <xdr:row>312</xdr:row>
      <xdr:rowOff>0</xdr:rowOff>
    </xdr:from>
    <xdr:to>
      <xdr:col>5</xdr:col>
      <xdr:colOff>0</xdr:colOff>
      <xdr:row>325</xdr:row>
      <xdr:rowOff>9525</xdr:rowOff>
    </xdr:to>
    <xdr:sp macro="" textlink="">
      <xdr:nvSpPr>
        <xdr:cNvPr id="507" name="Line 57"/>
        <xdr:cNvSpPr>
          <a:spLocks noChangeShapeType="1"/>
        </xdr:cNvSpPr>
      </xdr:nvSpPr>
      <xdr:spPr bwMode="auto">
        <a:xfrm>
          <a:off x="3181350" y="50034825"/>
          <a:ext cx="0" cy="21145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325</xdr:row>
      <xdr:rowOff>0</xdr:rowOff>
    </xdr:from>
    <xdr:to>
      <xdr:col>5</xdr:col>
      <xdr:colOff>476250</xdr:colOff>
      <xdr:row>325</xdr:row>
      <xdr:rowOff>0</xdr:rowOff>
    </xdr:to>
    <xdr:sp macro="" textlink="">
      <xdr:nvSpPr>
        <xdr:cNvPr id="508" name="Line 58"/>
        <xdr:cNvSpPr>
          <a:spLocks noChangeShapeType="1"/>
        </xdr:cNvSpPr>
      </xdr:nvSpPr>
      <xdr:spPr bwMode="auto">
        <a:xfrm>
          <a:off x="3181350" y="52139850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325</xdr:row>
      <xdr:rowOff>9525</xdr:rowOff>
    </xdr:from>
    <xdr:to>
      <xdr:col>5</xdr:col>
      <xdr:colOff>476250</xdr:colOff>
      <xdr:row>328</xdr:row>
      <xdr:rowOff>0</xdr:rowOff>
    </xdr:to>
    <xdr:sp macro="" textlink="">
      <xdr:nvSpPr>
        <xdr:cNvPr id="509" name="Line 59"/>
        <xdr:cNvSpPr>
          <a:spLocks noChangeShapeType="1"/>
        </xdr:cNvSpPr>
      </xdr:nvSpPr>
      <xdr:spPr bwMode="auto">
        <a:xfrm>
          <a:off x="3657600" y="52149375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327</xdr:row>
      <xdr:rowOff>152400</xdr:rowOff>
    </xdr:from>
    <xdr:to>
      <xdr:col>5</xdr:col>
      <xdr:colOff>161925</xdr:colOff>
      <xdr:row>328</xdr:row>
      <xdr:rowOff>0</xdr:rowOff>
    </xdr:to>
    <xdr:sp macro="" textlink="">
      <xdr:nvSpPr>
        <xdr:cNvPr id="510" name="Line 60"/>
        <xdr:cNvSpPr>
          <a:spLocks noChangeShapeType="1"/>
        </xdr:cNvSpPr>
      </xdr:nvSpPr>
      <xdr:spPr bwMode="auto">
        <a:xfrm flipH="1" flipV="1">
          <a:off x="1314450" y="52616100"/>
          <a:ext cx="202882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324</xdr:row>
      <xdr:rowOff>152400</xdr:rowOff>
    </xdr:from>
    <xdr:to>
      <xdr:col>2</xdr:col>
      <xdr:colOff>0</xdr:colOff>
      <xdr:row>327</xdr:row>
      <xdr:rowOff>152400</xdr:rowOff>
    </xdr:to>
    <xdr:sp macro="" textlink="">
      <xdr:nvSpPr>
        <xdr:cNvPr id="511" name="Line 61"/>
        <xdr:cNvSpPr>
          <a:spLocks noChangeShapeType="1"/>
        </xdr:cNvSpPr>
      </xdr:nvSpPr>
      <xdr:spPr bwMode="auto">
        <a:xfrm flipV="1">
          <a:off x="1323975" y="52130325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325</xdr:row>
      <xdr:rowOff>0</xdr:rowOff>
    </xdr:from>
    <xdr:to>
      <xdr:col>4</xdr:col>
      <xdr:colOff>0</xdr:colOff>
      <xdr:row>325</xdr:row>
      <xdr:rowOff>0</xdr:rowOff>
    </xdr:to>
    <xdr:sp macro="" textlink="">
      <xdr:nvSpPr>
        <xdr:cNvPr id="512" name="Line 62"/>
        <xdr:cNvSpPr>
          <a:spLocks noChangeShapeType="1"/>
        </xdr:cNvSpPr>
      </xdr:nvSpPr>
      <xdr:spPr bwMode="auto">
        <a:xfrm>
          <a:off x="1314450" y="52139850"/>
          <a:ext cx="12287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312</xdr:row>
      <xdr:rowOff>0</xdr:rowOff>
    </xdr:from>
    <xdr:to>
      <xdr:col>4</xdr:col>
      <xdr:colOff>381000</xdr:colOff>
      <xdr:row>325</xdr:row>
      <xdr:rowOff>0</xdr:rowOff>
    </xdr:to>
    <xdr:sp macro="" textlink="">
      <xdr:nvSpPr>
        <xdr:cNvPr id="513" name="Line 63"/>
        <xdr:cNvSpPr>
          <a:spLocks noChangeShapeType="1"/>
        </xdr:cNvSpPr>
      </xdr:nvSpPr>
      <xdr:spPr bwMode="auto">
        <a:xfrm flipV="1">
          <a:off x="2552700" y="50034825"/>
          <a:ext cx="371475" cy="2105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328</xdr:row>
      <xdr:rowOff>0</xdr:rowOff>
    </xdr:from>
    <xdr:to>
      <xdr:col>5</xdr:col>
      <xdr:colOff>476250</xdr:colOff>
      <xdr:row>329</xdr:row>
      <xdr:rowOff>0</xdr:rowOff>
    </xdr:to>
    <xdr:sp macro="" textlink="">
      <xdr:nvSpPr>
        <xdr:cNvPr id="514" name="Line 64"/>
        <xdr:cNvSpPr>
          <a:spLocks noChangeShapeType="1"/>
        </xdr:cNvSpPr>
      </xdr:nvSpPr>
      <xdr:spPr bwMode="auto">
        <a:xfrm>
          <a:off x="3657600" y="52625625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329</xdr:row>
      <xdr:rowOff>9525</xdr:rowOff>
    </xdr:from>
    <xdr:to>
      <xdr:col>5</xdr:col>
      <xdr:colOff>476250</xdr:colOff>
      <xdr:row>329</xdr:row>
      <xdr:rowOff>9525</xdr:rowOff>
    </xdr:to>
    <xdr:sp macro="" textlink="">
      <xdr:nvSpPr>
        <xdr:cNvPr id="515" name="Line 65"/>
        <xdr:cNvSpPr>
          <a:spLocks noChangeShapeType="1"/>
        </xdr:cNvSpPr>
      </xdr:nvSpPr>
      <xdr:spPr bwMode="auto">
        <a:xfrm flipH="1">
          <a:off x="3524250" y="52797075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327</xdr:row>
      <xdr:rowOff>152400</xdr:rowOff>
    </xdr:from>
    <xdr:to>
      <xdr:col>5</xdr:col>
      <xdr:colOff>352425</xdr:colOff>
      <xdr:row>329</xdr:row>
      <xdr:rowOff>19050</xdr:rowOff>
    </xdr:to>
    <xdr:sp macro="" textlink="">
      <xdr:nvSpPr>
        <xdr:cNvPr id="516" name="Line 66"/>
        <xdr:cNvSpPr>
          <a:spLocks noChangeShapeType="1"/>
        </xdr:cNvSpPr>
      </xdr:nvSpPr>
      <xdr:spPr bwMode="auto">
        <a:xfrm flipH="1" flipV="1">
          <a:off x="3343275" y="52616100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329</xdr:row>
      <xdr:rowOff>76200</xdr:rowOff>
    </xdr:from>
    <xdr:to>
      <xdr:col>5</xdr:col>
      <xdr:colOff>485775</xdr:colOff>
      <xdr:row>330</xdr:row>
      <xdr:rowOff>28575</xdr:rowOff>
    </xdr:to>
    <xdr:sp macro="" textlink="">
      <xdr:nvSpPr>
        <xdr:cNvPr id="517" name="Line 67"/>
        <xdr:cNvSpPr>
          <a:spLocks noChangeShapeType="1"/>
        </xdr:cNvSpPr>
      </xdr:nvSpPr>
      <xdr:spPr bwMode="auto">
        <a:xfrm>
          <a:off x="3667125" y="528637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329</xdr:row>
      <xdr:rowOff>76200</xdr:rowOff>
    </xdr:from>
    <xdr:to>
      <xdr:col>5</xdr:col>
      <xdr:colOff>352425</xdr:colOff>
      <xdr:row>330</xdr:row>
      <xdr:rowOff>38100</xdr:rowOff>
    </xdr:to>
    <xdr:sp macro="" textlink="">
      <xdr:nvSpPr>
        <xdr:cNvPr id="518" name="Line 68"/>
        <xdr:cNvSpPr>
          <a:spLocks noChangeShapeType="1"/>
        </xdr:cNvSpPr>
      </xdr:nvSpPr>
      <xdr:spPr bwMode="auto">
        <a:xfrm>
          <a:off x="3533775" y="5286375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330</xdr:row>
      <xdr:rowOff>0</xdr:rowOff>
    </xdr:from>
    <xdr:to>
      <xdr:col>5</xdr:col>
      <xdr:colOff>485775</xdr:colOff>
      <xdr:row>330</xdr:row>
      <xdr:rowOff>0</xdr:rowOff>
    </xdr:to>
    <xdr:sp macro="" textlink="">
      <xdr:nvSpPr>
        <xdr:cNvPr id="519" name="Line 69"/>
        <xdr:cNvSpPr>
          <a:spLocks noChangeShapeType="1"/>
        </xdr:cNvSpPr>
      </xdr:nvSpPr>
      <xdr:spPr bwMode="auto">
        <a:xfrm>
          <a:off x="3533775" y="5294947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329</xdr:row>
      <xdr:rowOff>114300</xdr:rowOff>
    </xdr:from>
    <xdr:to>
      <xdr:col>5</xdr:col>
      <xdr:colOff>180975</xdr:colOff>
      <xdr:row>330</xdr:row>
      <xdr:rowOff>28575</xdr:rowOff>
    </xdr:to>
    <xdr:sp macro="" textlink="">
      <xdr:nvSpPr>
        <xdr:cNvPr id="520" name="Line 70"/>
        <xdr:cNvSpPr>
          <a:spLocks noChangeShapeType="1"/>
        </xdr:cNvSpPr>
      </xdr:nvSpPr>
      <xdr:spPr bwMode="auto">
        <a:xfrm>
          <a:off x="3362325" y="5290185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330</xdr:row>
      <xdr:rowOff>0</xdr:rowOff>
    </xdr:from>
    <xdr:to>
      <xdr:col>5</xdr:col>
      <xdr:colOff>352425</xdr:colOff>
      <xdr:row>330</xdr:row>
      <xdr:rowOff>0</xdr:rowOff>
    </xdr:to>
    <xdr:sp macro="" textlink="">
      <xdr:nvSpPr>
        <xdr:cNvPr id="521" name="Line 71"/>
        <xdr:cNvSpPr>
          <a:spLocks noChangeShapeType="1"/>
        </xdr:cNvSpPr>
      </xdr:nvSpPr>
      <xdr:spPr bwMode="auto">
        <a:xfrm>
          <a:off x="3362325" y="529494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330</xdr:row>
      <xdr:rowOff>19050</xdr:rowOff>
    </xdr:from>
    <xdr:to>
      <xdr:col>5</xdr:col>
      <xdr:colOff>428625</xdr:colOff>
      <xdr:row>330</xdr:row>
      <xdr:rowOff>104775</xdr:rowOff>
    </xdr:to>
    <xdr:sp macro="" textlink="">
      <xdr:nvSpPr>
        <xdr:cNvPr id="522" name="Line 72"/>
        <xdr:cNvSpPr>
          <a:spLocks noChangeShapeType="1"/>
        </xdr:cNvSpPr>
      </xdr:nvSpPr>
      <xdr:spPr bwMode="auto">
        <a:xfrm flipV="1">
          <a:off x="3609975" y="529685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330</xdr:row>
      <xdr:rowOff>104775</xdr:rowOff>
    </xdr:from>
    <xdr:to>
      <xdr:col>6</xdr:col>
      <xdr:colOff>76200</xdr:colOff>
      <xdr:row>330</xdr:row>
      <xdr:rowOff>104775</xdr:rowOff>
    </xdr:to>
    <xdr:sp macro="" textlink="">
      <xdr:nvSpPr>
        <xdr:cNvPr id="523" name="Line 73"/>
        <xdr:cNvSpPr>
          <a:spLocks noChangeShapeType="1"/>
        </xdr:cNvSpPr>
      </xdr:nvSpPr>
      <xdr:spPr bwMode="auto">
        <a:xfrm>
          <a:off x="3629025" y="5305425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330</xdr:row>
      <xdr:rowOff>0</xdr:rowOff>
    </xdr:from>
    <xdr:to>
      <xdr:col>5</xdr:col>
      <xdr:colOff>285750</xdr:colOff>
      <xdr:row>331</xdr:row>
      <xdr:rowOff>57150</xdr:rowOff>
    </xdr:to>
    <xdr:sp macro="" textlink="">
      <xdr:nvSpPr>
        <xdr:cNvPr id="524" name="Line 74"/>
        <xdr:cNvSpPr>
          <a:spLocks noChangeShapeType="1"/>
        </xdr:cNvSpPr>
      </xdr:nvSpPr>
      <xdr:spPr bwMode="auto">
        <a:xfrm flipV="1">
          <a:off x="3467100" y="52949475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331</xdr:row>
      <xdr:rowOff>47625</xdr:rowOff>
    </xdr:from>
    <xdr:to>
      <xdr:col>6</xdr:col>
      <xdr:colOff>76200</xdr:colOff>
      <xdr:row>331</xdr:row>
      <xdr:rowOff>47625</xdr:rowOff>
    </xdr:to>
    <xdr:sp macro="" textlink="">
      <xdr:nvSpPr>
        <xdr:cNvPr id="525" name="Line 75"/>
        <xdr:cNvSpPr>
          <a:spLocks noChangeShapeType="1"/>
        </xdr:cNvSpPr>
      </xdr:nvSpPr>
      <xdr:spPr bwMode="auto">
        <a:xfrm>
          <a:off x="3467100" y="53159025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333</xdr:row>
      <xdr:rowOff>28575</xdr:rowOff>
    </xdr:from>
    <xdr:to>
      <xdr:col>5</xdr:col>
      <xdr:colOff>0</xdr:colOff>
      <xdr:row>333</xdr:row>
      <xdr:rowOff>28575</xdr:rowOff>
    </xdr:to>
    <xdr:sp macro="" textlink="">
      <xdr:nvSpPr>
        <xdr:cNvPr id="526" name="Line 76"/>
        <xdr:cNvSpPr>
          <a:spLocks noChangeShapeType="1"/>
        </xdr:cNvSpPr>
      </xdr:nvSpPr>
      <xdr:spPr bwMode="auto">
        <a:xfrm flipH="1">
          <a:off x="2543175" y="53463825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609600</xdr:colOff>
      <xdr:row>333</xdr:row>
      <xdr:rowOff>28575</xdr:rowOff>
    </xdr:from>
    <xdr:to>
      <xdr:col>4</xdr:col>
      <xdr:colOff>28575</xdr:colOff>
      <xdr:row>333</xdr:row>
      <xdr:rowOff>28575</xdr:rowOff>
    </xdr:to>
    <xdr:sp macro="" textlink="">
      <xdr:nvSpPr>
        <xdr:cNvPr id="527" name="Line 77"/>
        <xdr:cNvSpPr>
          <a:spLocks noChangeShapeType="1"/>
        </xdr:cNvSpPr>
      </xdr:nvSpPr>
      <xdr:spPr bwMode="auto">
        <a:xfrm flipH="1">
          <a:off x="1323975" y="53463825"/>
          <a:ext cx="1247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9525</xdr:colOff>
      <xdr:row>332</xdr:row>
      <xdr:rowOff>95250</xdr:rowOff>
    </xdr:from>
    <xdr:to>
      <xdr:col>2</xdr:col>
      <xdr:colOff>9525</xdr:colOff>
      <xdr:row>333</xdr:row>
      <xdr:rowOff>85725</xdr:rowOff>
    </xdr:to>
    <xdr:sp macro="" textlink="">
      <xdr:nvSpPr>
        <xdr:cNvPr id="528" name="Line 78"/>
        <xdr:cNvSpPr>
          <a:spLocks noChangeShapeType="1"/>
        </xdr:cNvSpPr>
      </xdr:nvSpPr>
      <xdr:spPr bwMode="auto">
        <a:xfrm>
          <a:off x="1333500" y="533685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332</xdr:row>
      <xdr:rowOff>133350</xdr:rowOff>
    </xdr:from>
    <xdr:to>
      <xdr:col>4</xdr:col>
      <xdr:colOff>9525</xdr:colOff>
      <xdr:row>333</xdr:row>
      <xdr:rowOff>76200</xdr:rowOff>
    </xdr:to>
    <xdr:sp macro="" textlink="">
      <xdr:nvSpPr>
        <xdr:cNvPr id="529" name="Line 79"/>
        <xdr:cNvSpPr>
          <a:spLocks noChangeShapeType="1"/>
        </xdr:cNvSpPr>
      </xdr:nvSpPr>
      <xdr:spPr bwMode="auto">
        <a:xfrm>
          <a:off x="2552700" y="5340667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332</xdr:row>
      <xdr:rowOff>123825</xdr:rowOff>
    </xdr:from>
    <xdr:to>
      <xdr:col>5</xdr:col>
      <xdr:colOff>0</xdr:colOff>
      <xdr:row>333</xdr:row>
      <xdr:rowOff>57150</xdr:rowOff>
    </xdr:to>
    <xdr:sp macro="" textlink="">
      <xdr:nvSpPr>
        <xdr:cNvPr id="530" name="Line 80"/>
        <xdr:cNvSpPr>
          <a:spLocks noChangeShapeType="1"/>
        </xdr:cNvSpPr>
      </xdr:nvSpPr>
      <xdr:spPr bwMode="auto">
        <a:xfrm>
          <a:off x="3181350" y="533971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228600</xdr:colOff>
      <xdr:row>312</xdr:row>
      <xdr:rowOff>9525</xdr:rowOff>
    </xdr:from>
    <xdr:to>
      <xdr:col>2</xdr:col>
      <xdr:colOff>381000</xdr:colOff>
      <xdr:row>312</xdr:row>
      <xdr:rowOff>104775</xdr:rowOff>
    </xdr:to>
    <xdr:sp macro="" textlink="">
      <xdr:nvSpPr>
        <xdr:cNvPr id="531" name="Line 83"/>
        <xdr:cNvSpPr>
          <a:spLocks noChangeShapeType="1"/>
        </xdr:cNvSpPr>
      </xdr:nvSpPr>
      <xdr:spPr bwMode="auto">
        <a:xfrm flipH="1">
          <a:off x="1552575" y="500443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312</xdr:row>
      <xdr:rowOff>0</xdr:rowOff>
    </xdr:from>
    <xdr:to>
      <xdr:col>2</xdr:col>
      <xdr:colOff>514350</xdr:colOff>
      <xdr:row>312</xdr:row>
      <xdr:rowOff>123825</xdr:rowOff>
    </xdr:to>
    <xdr:sp macro="" textlink="">
      <xdr:nvSpPr>
        <xdr:cNvPr id="532" name="Line 84"/>
        <xdr:cNvSpPr>
          <a:spLocks noChangeShapeType="1"/>
        </xdr:cNvSpPr>
      </xdr:nvSpPr>
      <xdr:spPr bwMode="auto">
        <a:xfrm>
          <a:off x="1714500" y="500348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312</xdr:row>
      <xdr:rowOff>0</xdr:rowOff>
    </xdr:from>
    <xdr:to>
      <xdr:col>2</xdr:col>
      <xdr:colOff>514350</xdr:colOff>
      <xdr:row>312</xdr:row>
      <xdr:rowOff>114300</xdr:rowOff>
    </xdr:to>
    <xdr:sp macro="" textlink="">
      <xdr:nvSpPr>
        <xdr:cNvPr id="533" name="Line 85"/>
        <xdr:cNvSpPr>
          <a:spLocks noChangeShapeType="1"/>
        </xdr:cNvSpPr>
      </xdr:nvSpPr>
      <xdr:spPr bwMode="auto">
        <a:xfrm flipV="1">
          <a:off x="1695450" y="500348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504825</xdr:colOff>
      <xdr:row>312</xdr:row>
      <xdr:rowOff>9525</xdr:rowOff>
    </xdr:from>
    <xdr:to>
      <xdr:col>3</xdr:col>
      <xdr:colOff>9525</xdr:colOff>
      <xdr:row>312</xdr:row>
      <xdr:rowOff>133350</xdr:rowOff>
    </xdr:to>
    <xdr:sp macro="" textlink="">
      <xdr:nvSpPr>
        <xdr:cNvPr id="534" name="Line 86"/>
        <xdr:cNvSpPr>
          <a:spLocks noChangeShapeType="1"/>
        </xdr:cNvSpPr>
      </xdr:nvSpPr>
      <xdr:spPr bwMode="auto">
        <a:xfrm>
          <a:off x="1828800" y="50044350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312</xdr:row>
      <xdr:rowOff>0</xdr:rowOff>
    </xdr:from>
    <xdr:to>
      <xdr:col>5</xdr:col>
      <xdr:colOff>0</xdr:colOff>
      <xdr:row>312</xdr:row>
      <xdr:rowOff>0</xdr:rowOff>
    </xdr:to>
    <xdr:sp macro="" textlink="">
      <xdr:nvSpPr>
        <xdr:cNvPr id="535" name="Line 95"/>
        <xdr:cNvSpPr>
          <a:spLocks noChangeShapeType="1"/>
        </xdr:cNvSpPr>
      </xdr:nvSpPr>
      <xdr:spPr bwMode="auto">
        <a:xfrm>
          <a:off x="2914650" y="50034825"/>
          <a:ext cx="2667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311</xdr:row>
      <xdr:rowOff>0</xdr:rowOff>
    </xdr:from>
    <xdr:to>
      <xdr:col>4</xdr:col>
      <xdr:colOff>371475</xdr:colOff>
      <xdr:row>311</xdr:row>
      <xdr:rowOff>85725</xdr:rowOff>
    </xdr:to>
    <xdr:sp macro="" textlink="">
      <xdr:nvSpPr>
        <xdr:cNvPr id="536" name="Line 96"/>
        <xdr:cNvSpPr>
          <a:spLocks noChangeShapeType="1"/>
        </xdr:cNvSpPr>
      </xdr:nvSpPr>
      <xdr:spPr bwMode="auto">
        <a:xfrm>
          <a:off x="2914650" y="498729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310</xdr:row>
      <xdr:rowOff>152400</xdr:rowOff>
    </xdr:from>
    <xdr:to>
      <xdr:col>5</xdr:col>
      <xdr:colOff>0</xdr:colOff>
      <xdr:row>311</xdr:row>
      <xdr:rowOff>85725</xdr:rowOff>
    </xdr:to>
    <xdr:sp macro="" textlink="">
      <xdr:nvSpPr>
        <xdr:cNvPr id="537" name="Line 97"/>
        <xdr:cNvSpPr>
          <a:spLocks noChangeShapeType="1"/>
        </xdr:cNvSpPr>
      </xdr:nvSpPr>
      <xdr:spPr bwMode="auto">
        <a:xfrm>
          <a:off x="3181350" y="498633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311</xdr:row>
      <xdr:rowOff>47625</xdr:rowOff>
    </xdr:from>
    <xdr:to>
      <xdr:col>5</xdr:col>
      <xdr:colOff>0</xdr:colOff>
      <xdr:row>311</xdr:row>
      <xdr:rowOff>47625</xdr:rowOff>
    </xdr:to>
    <xdr:sp macro="" textlink="">
      <xdr:nvSpPr>
        <xdr:cNvPr id="538" name="Line 98"/>
        <xdr:cNvSpPr>
          <a:spLocks noChangeShapeType="1"/>
        </xdr:cNvSpPr>
      </xdr:nvSpPr>
      <xdr:spPr bwMode="auto">
        <a:xfrm>
          <a:off x="2905125" y="499205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142873</xdr:colOff>
      <xdr:row>311</xdr:row>
      <xdr:rowOff>142875</xdr:rowOff>
    </xdr:from>
    <xdr:to>
      <xdr:col>2</xdr:col>
      <xdr:colOff>19049</xdr:colOff>
      <xdr:row>328</xdr:row>
      <xdr:rowOff>9525</xdr:rowOff>
    </xdr:to>
    <xdr:sp macro="" textlink="">
      <xdr:nvSpPr>
        <xdr:cNvPr id="539" name="Line 99"/>
        <xdr:cNvSpPr>
          <a:spLocks noChangeShapeType="1"/>
        </xdr:cNvSpPr>
      </xdr:nvSpPr>
      <xdr:spPr bwMode="auto">
        <a:xfrm flipH="1">
          <a:off x="857248" y="50015775"/>
          <a:ext cx="485776" cy="2619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133350</xdr:colOff>
      <xdr:row>327</xdr:row>
      <xdr:rowOff>152400</xdr:rowOff>
    </xdr:from>
    <xdr:to>
      <xdr:col>1</xdr:col>
      <xdr:colOff>600075</xdr:colOff>
      <xdr:row>327</xdr:row>
      <xdr:rowOff>152400</xdr:rowOff>
    </xdr:to>
    <xdr:sp macro="" textlink="">
      <xdr:nvSpPr>
        <xdr:cNvPr id="540" name="Line 100"/>
        <xdr:cNvSpPr>
          <a:spLocks noChangeShapeType="1"/>
        </xdr:cNvSpPr>
      </xdr:nvSpPr>
      <xdr:spPr bwMode="auto">
        <a:xfrm>
          <a:off x="847725" y="5261610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600075</xdr:colOff>
      <xdr:row>322</xdr:row>
      <xdr:rowOff>76200</xdr:rowOff>
    </xdr:from>
    <xdr:to>
      <xdr:col>1</xdr:col>
      <xdr:colOff>600075</xdr:colOff>
      <xdr:row>322</xdr:row>
      <xdr:rowOff>85725</xdr:rowOff>
    </xdr:to>
    <xdr:sp macro="" textlink="">
      <xdr:nvSpPr>
        <xdr:cNvPr id="541" name="Line 101"/>
        <xdr:cNvSpPr>
          <a:spLocks noChangeShapeType="1"/>
        </xdr:cNvSpPr>
      </xdr:nvSpPr>
      <xdr:spPr bwMode="auto">
        <a:xfrm>
          <a:off x="600075" y="51730275"/>
          <a:ext cx="7143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335</xdr:row>
      <xdr:rowOff>9525</xdr:rowOff>
    </xdr:from>
    <xdr:to>
      <xdr:col>5</xdr:col>
      <xdr:colOff>495300</xdr:colOff>
      <xdr:row>335</xdr:row>
      <xdr:rowOff>9525</xdr:rowOff>
    </xdr:to>
    <xdr:sp macro="" textlink="">
      <xdr:nvSpPr>
        <xdr:cNvPr id="542" name="Line 103"/>
        <xdr:cNvSpPr>
          <a:spLocks noChangeShapeType="1"/>
        </xdr:cNvSpPr>
      </xdr:nvSpPr>
      <xdr:spPr bwMode="auto">
        <a:xfrm>
          <a:off x="1323975" y="53768625"/>
          <a:ext cx="2352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334</xdr:row>
      <xdr:rowOff>104775</xdr:rowOff>
    </xdr:from>
    <xdr:to>
      <xdr:col>2</xdr:col>
      <xdr:colOff>0</xdr:colOff>
      <xdr:row>335</xdr:row>
      <xdr:rowOff>123825</xdr:rowOff>
    </xdr:to>
    <xdr:sp macro="" textlink="">
      <xdr:nvSpPr>
        <xdr:cNvPr id="543" name="Line 104"/>
        <xdr:cNvSpPr>
          <a:spLocks noChangeShapeType="1"/>
        </xdr:cNvSpPr>
      </xdr:nvSpPr>
      <xdr:spPr bwMode="auto">
        <a:xfrm>
          <a:off x="1323975" y="5370195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334</xdr:row>
      <xdr:rowOff>95250</xdr:rowOff>
    </xdr:from>
    <xdr:to>
      <xdr:col>5</xdr:col>
      <xdr:colOff>514350</xdr:colOff>
      <xdr:row>335</xdr:row>
      <xdr:rowOff>47625</xdr:rowOff>
    </xdr:to>
    <xdr:sp macro="" textlink="">
      <xdr:nvSpPr>
        <xdr:cNvPr id="544" name="Line 105"/>
        <xdr:cNvSpPr>
          <a:spLocks noChangeShapeType="1"/>
        </xdr:cNvSpPr>
      </xdr:nvSpPr>
      <xdr:spPr bwMode="auto">
        <a:xfrm>
          <a:off x="3695700" y="536924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314325</xdr:colOff>
      <xdr:row>316</xdr:row>
      <xdr:rowOff>0</xdr:rowOff>
    </xdr:from>
    <xdr:to>
      <xdr:col>7</xdr:col>
      <xdr:colOff>561975</xdr:colOff>
      <xdr:row>316</xdr:row>
      <xdr:rowOff>0</xdr:rowOff>
    </xdr:to>
    <xdr:sp macro="" textlink="">
      <xdr:nvSpPr>
        <xdr:cNvPr id="545" name="Line 106"/>
        <xdr:cNvSpPr>
          <a:spLocks noChangeShapeType="1"/>
        </xdr:cNvSpPr>
      </xdr:nvSpPr>
      <xdr:spPr bwMode="auto">
        <a:xfrm flipV="1">
          <a:off x="3495675" y="50682525"/>
          <a:ext cx="146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104775</xdr:colOff>
      <xdr:row>318</xdr:row>
      <xdr:rowOff>0</xdr:rowOff>
    </xdr:from>
    <xdr:to>
      <xdr:col>4</xdr:col>
      <xdr:colOff>190500</xdr:colOff>
      <xdr:row>318</xdr:row>
      <xdr:rowOff>0</xdr:rowOff>
    </xdr:to>
    <xdr:sp macro="" textlink="">
      <xdr:nvSpPr>
        <xdr:cNvPr id="546" name="Line 107"/>
        <xdr:cNvSpPr>
          <a:spLocks noChangeShapeType="1"/>
        </xdr:cNvSpPr>
      </xdr:nvSpPr>
      <xdr:spPr bwMode="auto">
        <a:xfrm flipH="1">
          <a:off x="819150" y="51006375"/>
          <a:ext cx="1914525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409574</xdr:colOff>
      <xdr:row>318</xdr:row>
      <xdr:rowOff>0</xdr:rowOff>
    </xdr:from>
    <xdr:to>
      <xdr:col>1</xdr:col>
      <xdr:colOff>455293</xdr:colOff>
      <xdr:row>327</xdr:row>
      <xdr:rowOff>142875</xdr:rowOff>
    </xdr:to>
    <xdr:sp macro="" textlink="">
      <xdr:nvSpPr>
        <xdr:cNvPr id="547" name="Line 108"/>
        <xdr:cNvSpPr>
          <a:spLocks noChangeShapeType="1"/>
        </xdr:cNvSpPr>
      </xdr:nvSpPr>
      <xdr:spPr bwMode="auto">
        <a:xfrm flipH="1">
          <a:off x="1123949" y="51006375"/>
          <a:ext cx="45719" cy="1600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316</xdr:row>
      <xdr:rowOff>85725</xdr:rowOff>
    </xdr:from>
    <xdr:to>
      <xdr:col>1</xdr:col>
      <xdr:colOff>561975</xdr:colOff>
      <xdr:row>316</xdr:row>
      <xdr:rowOff>85725</xdr:rowOff>
    </xdr:to>
    <xdr:sp macro="" textlink="">
      <xdr:nvSpPr>
        <xdr:cNvPr id="548" name="Line 109"/>
        <xdr:cNvSpPr>
          <a:spLocks noChangeShapeType="1"/>
        </xdr:cNvSpPr>
      </xdr:nvSpPr>
      <xdr:spPr bwMode="auto">
        <a:xfrm>
          <a:off x="933450" y="50768250"/>
          <a:ext cx="3429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600075</xdr:colOff>
      <xdr:row>324</xdr:row>
      <xdr:rowOff>114300</xdr:rowOff>
    </xdr:from>
    <xdr:to>
      <xdr:col>1</xdr:col>
      <xdr:colOff>381000</xdr:colOff>
      <xdr:row>324</xdr:row>
      <xdr:rowOff>114300</xdr:rowOff>
    </xdr:to>
    <xdr:sp macro="" textlink="">
      <xdr:nvSpPr>
        <xdr:cNvPr id="549" name="Line 110"/>
        <xdr:cNvSpPr>
          <a:spLocks noChangeShapeType="1"/>
        </xdr:cNvSpPr>
      </xdr:nvSpPr>
      <xdr:spPr bwMode="auto">
        <a:xfrm>
          <a:off x="600075" y="52092225"/>
          <a:ext cx="4953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552450</xdr:colOff>
      <xdr:row>320</xdr:row>
      <xdr:rowOff>47625</xdr:rowOff>
    </xdr:from>
    <xdr:to>
      <xdr:col>6</xdr:col>
      <xdr:colOff>219075</xdr:colOff>
      <xdr:row>320</xdr:row>
      <xdr:rowOff>47625</xdr:rowOff>
    </xdr:to>
    <xdr:sp macro="" textlink="">
      <xdr:nvSpPr>
        <xdr:cNvPr id="550" name="Line 113"/>
        <xdr:cNvSpPr>
          <a:spLocks noChangeShapeType="1"/>
        </xdr:cNvSpPr>
      </xdr:nvSpPr>
      <xdr:spPr bwMode="auto">
        <a:xfrm flipH="1">
          <a:off x="3733800" y="51377850"/>
          <a:ext cx="2762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266700</xdr:colOff>
      <xdr:row>325</xdr:row>
      <xdr:rowOff>0</xdr:rowOff>
    </xdr:from>
    <xdr:to>
      <xdr:col>6</xdr:col>
      <xdr:colOff>419100</xdr:colOff>
      <xdr:row>325</xdr:row>
      <xdr:rowOff>0</xdr:rowOff>
    </xdr:to>
    <xdr:sp macro="" textlink="">
      <xdr:nvSpPr>
        <xdr:cNvPr id="551" name="Line 116"/>
        <xdr:cNvSpPr>
          <a:spLocks noChangeShapeType="1"/>
        </xdr:cNvSpPr>
      </xdr:nvSpPr>
      <xdr:spPr bwMode="auto">
        <a:xfrm>
          <a:off x="4057650" y="521398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190500</xdr:colOff>
      <xdr:row>526</xdr:row>
      <xdr:rowOff>114300</xdr:rowOff>
    </xdr:from>
    <xdr:to>
      <xdr:col>1</xdr:col>
      <xdr:colOff>190500</xdr:colOff>
      <xdr:row>534</xdr:row>
      <xdr:rowOff>123825</xdr:rowOff>
    </xdr:to>
    <xdr:sp macro="" textlink="">
      <xdr:nvSpPr>
        <xdr:cNvPr id="552" name="Line 118"/>
        <xdr:cNvSpPr>
          <a:spLocks noChangeShapeType="1"/>
        </xdr:cNvSpPr>
      </xdr:nvSpPr>
      <xdr:spPr bwMode="auto">
        <a:xfrm>
          <a:off x="904875" y="86020275"/>
          <a:ext cx="0" cy="1304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3</xdr:col>
      <xdr:colOff>0</xdr:colOff>
      <xdr:row>325</xdr:row>
      <xdr:rowOff>0</xdr:rowOff>
    </xdr:from>
    <xdr:to>
      <xdr:col>3</xdr:col>
      <xdr:colOff>0</xdr:colOff>
      <xdr:row>327</xdr:row>
      <xdr:rowOff>142875</xdr:rowOff>
    </xdr:to>
    <xdr:sp macro="" textlink="">
      <xdr:nvSpPr>
        <xdr:cNvPr id="553" name="Line 119"/>
        <xdr:cNvSpPr>
          <a:spLocks noChangeShapeType="1"/>
        </xdr:cNvSpPr>
      </xdr:nvSpPr>
      <xdr:spPr bwMode="auto">
        <a:xfrm>
          <a:off x="1933575" y="52139850"/>
          <a:ext cx="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276225</xdr:colOff>
      <xdr:row>318</xdr:row>
      <xdr:rowOff>9525</xdr:rowOff>
    </xdr:from>
    <xdr:to>
      <xdr:col>2</xdr:col>
      <xdr:colOff>276225</xdr:colOff>
      <xdr:row>325</xdr:row>
      <xdr:rowOff>0</xdr:rowOff>
    </xdr:to>
    <xdr:sp macro="" textlink="">
      <xdr:nvSpPr>
        <xdr:cNvPr id="554" name="Line 120"/>
        <xdr:cNvSpPr>
          <a:spLocks noChangeShapeType="1"/>
        </xdr:cNvSpPr>
      </xdr:nvSpPr>
      <xdr:spPr bwMode="auto">
        <a:xfrm>
          <a:off x="1600200" y="51015900"/>
          <a:ext cx="0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0</xdr:col>
      <xdr:colOff>104775</xdr:colOff>
      <xdr:row>318</xdr:row>
      <xdr:rowOff>0</xdr:rowOff>
    </xdr:from>
    <xdr:to>
      <xdr:col>0</xdr:col>
      <xdr:colOff>104775</xdr:colOff>
      <xdr:row>327</xdr:row>
      <xdr:rowOff>152400</xdr:rowOff>
    </xdr:to>
    <xdr:sp macro="" textlink="">
      <xdr:nvSpPr>
        <xdr:cNvPr id="555" name="Line 122"/>
        <xdr:cNvSpPr>
          <a:spLocks noChangeShapeType="1"/>
        </xdr:cNvSpPr>
      </xdr:nvSpPr>
      <xdr:spPr bwMode="auto">
        <a:xfrm>
          <a:off x="104775" y="51006375"/>
          <a:ext cx="0" cy="1609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0</xdr:col>
      <xdr:colOff>28575</xdr:colOff>
      <xdr:row>328</xdr:row>
      <xdr:rowOff>0</xdr:rowOff>
    </xdr:from>
    <xdr:to>
      <xdr:col>0</xdr:col>
      <xdr:colOff>171450</xdr:colOff>
      <xdr:row>328</xdr:row>
      <xdr:rowOff>0</xdr:rowOff>
    </xdr:to>
    <xdr:sp macro="" textlink="">
      <xdr:nvSpPr>
        <xdr:cNvPr id="556" name="Line 123"/>
        <xdr:cNvSpPr>
          <a:spLocks noChangeShapeType="1"/>
        </xdr:cNvSpPr>
      </xdr:nvSpPr>
      <xdr:spPr bwMode="auto">
        <a:xfrm>
          <a:off x="28575" y="526256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190500</xdr:colOff>
      <xdr:row>312</xdr:row>
      <xdr:rowOff>9525</xdr:rowOff>
    </xdr:from>
    <xdr:to>
      <xdr:col>4</xdr:col>
      <xdr:colOff>285750</xdr:colOff>
      <xdr:row>313</xdr:row>
      <xdr:rowOff>38100</xdr:rowOff>
    </xdr:to>
    <xdr:sp macro="" textlink="">
      <xdr:nvSpPr>
        <xdr:cNvPr id="557" name="Text Box 127"/>
        <xdr:cNvSpPr txBox="1">
          <a:spLocks noChangeArrowheads="1"/>
        </xdr:cNvSpPr>
      </xdr:nvSpPr>
      <xdr:spPr bwMode="auto">
        <a:xfrm>
          <a:off x="2733675" y="50044350"/>
          <a:ext cx="9525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9525</xdr:colOff>
      <xdr:row>333</xdr:row>
      <xdr:rowOff>28575</xdr:rowOff>
    </xdr:from>
    <xdr:to>
      <xdr:col>5</xdr:col>
      <xdr:colOff>504825</xdr:colOff>
      <xdr:row>333</xdr:row>
      <xdr:rowOff>28575</xdr:rowOff>
    </xdr:to>
    <xdr:sp macro="" textlink="">
      <xdr:nvSpPr>
        <xdr:cNvPr id="558" name="Line 131"/>
        <xdr:cNvSpPr>
          <a:spLocks noChangeShapeType="1"/>
        </xdr:cNvSpPr>
      </xdr:nvSpPr>
      <xdr:spPr bwMode="auto">
        <a:xfrm>
          <a:off x="3190875" y="53463825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3</xdr:col>
      <xdr:colOff>295275</xdr:colOff>
      <xdr:row>311</xdr:row>
      <xdr:rowOff>0</xdr:rowOff>
    </xdr:from>
    <xdr:ext cx="123825" cy="178594"/>
    <xdr:sp macro="" textlink="">
      <xdr:nvSpPr>
        <xdr:cNvPr id="559" name="Text Box 134"/>
        <xdr:cNvSpPr txBox="1">
          <a:spLocks noChangeArrowheads="1"/>
        </xdr:cNvSpPr>
      </xdr:nvSpPr>
      <xdr:spPr bwMode="auto">
        <a:xfrm>
          <a:off x="2228850" y="49872900"/>
          <a:ext cx="123825" cy="178594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123825</xdr:colOff>
      <xdr:row>315</xdr:row>
      <xdr:rowOff>0</xdr:rowOff>
    </xdr:from>
    <xdr:ext cx="235962" cy="170560"/>
    <xdr:sp macro="" textlink="">
      <xdr:nvSpPr>
        <xdr:cNvPr id="560" name="Text Box 137"/>
        <xdr:cNvSpPr txBox="1">
          <a:spLocks noChangeArrowheads="1"/>
        </xdr:cNvSpPr>
      </xdr:nvSpPr>
      <xdr:spPr bwMode="auto">
        <a:xfrm>
          <a:off x="123825" y="50520600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3</xdr:col>
      <xdr:colOff>314325</xdr:colOff>
      <xdr:row>321</xdr:row>
      <xdr:rowOff>0</xdr:rowOff>
    </xdr:from>
    <xdr:ext cx="123825" cy="182563"/>
    <xdr:sp macro="" textlink="">
      <xdr:nvSpPr>
        <xdr:cNvPr id="561" name="Text Box 138"/>
        <xdr:cNvSpPr txBox="1">
          <a:spLocks noChangeArrowheads="1"/>
        </xdr:cNvSpPr>
      </xdr:nvSpPr>
      <xdr:spPr bwMode="auto">
        <a:xfrm>
          <a:off x="2247900" y="51492150"/>
          <a:ext cx="123825" cy="182563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304800</xdr:colOff>
      <xdr:row>326</xdr:row>
      <xdr:rowOff>0</xdr:rowOff>
    </xdr:from>
    <xdr:ext cx="123825" cy="182563"/>
    <xdr:sp macro="" textlink="">
      <xdr:nvSpPr>
        <xdr:cNvPr id="562" name="Text Box 139"/>
        <xdr:cNvSpPr txBox="1">
          <a:spLocks noChangeArrowheads="1"/>
        </xdr:cNvSpPr>
      </xdr:nvSpPr>
      <xdr:spPr bwMode="auto">
        <a:xfrm>
          <a:off x="2238375" y="52301775"/>
          <a:ext cx="123825" cy="182563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476250</xdr:colOff>
      <xdr:row>319</xdr:row>
      <xdr:rowOff>133350</xdr:rowOff>
    </xdr:from>
    <xdr:ext cx="122277" cy="182563"/>
    <xdr:sp macro="" textlink="">
      <xdr:nvSpPr>
        <xdr:cNvPr id="563" name="Text Box 140"/>
        <xdr:cNvSpPr txBox="1">
          <a:spLocks noChangeArrowheads="1"/>
        </xdr:cNvSpPr>
      </xdr:nvSpPr>
      <xdr:spPr bwMode="auto">
        <a:xfrm>
          <a:off x="476250" y="51301650"/>
          <a:ext cx="122277" cy="182563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314325</xdr:colOff>
      <xdr:row>317</xdr:row>
      <xdr:rowOff>152400</xdr:rowOff>
    </xdr:from>
    <xdr:ext cx="123825" cy="182563"/>
    <xdr:sp macro="" textlink="">
      <xdr:nvSpPr>
        <xdr:cNvPr id="564" name="Text Box 142"/>
        <xdr:cNvSpPr txBox="1">
          <a:spLocks noChangeArrowheads="1"/>
        </xdr:cNvSpPr>
      </xdr:nvSpPr>
      <xdr:spPr bwMode="auto">
        <a:xfrm>
          <a:off x="4714875" y="50996850"/>
          <a:ext cx="123825" cy="182563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</xdr:col>
      <xdr:colOff>0</xdr:colOff>
      <xdr:row>310</xdr:row>
      <xdr:rowOff>0</xdr:rowOff>
    </xdr:from>
    <xdr:ext cx="123825" cy="185088"/>
    <xdr:sp macro="" textlink="">
      <xdr:nvSpPr>
        <xdr:cNvPr id="565" name="Text Box 148"/>
        <xdr:cNvSpPr txBox="1">
          <a:spLocks noChangeArrowheads="1"/>
        </xdr:cNvSpPr>
      </xdr:nvSpPr>
      <xdr:spPr bwMode="auto">
        <a:xfrm>
          <a:off x="3181350" y="49710975"/>
          <a:ext cx="123825" cy="185088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</xdr:col>
      <xdr:colOff>457200</xdr:colOff>
      <xdr:row>331</xdr:row>
      <xdr:rowOff>0</xdr:rowOff>
    </xdr:from>
    <xdr:ext cx="123825" cy="178148"/>
    <xdr:sp macro="" textlink="">
      <xdr:nvSpPr>
        <xdr:cNvPr id="566" name="Text Box 150"/>
        <xdr:cNvSpPr txBox="1">
          <a:spLocks noChangeArrowheads="1"/>
        </xdr:cNvSpPr>
      </xdr:nvSpPr>
      <xdr:spPr bwMode="auto">
        <a:xfrm>
          <a:off x="4248150" y="53111400"/>
          <a:ext cx="123825" cy="178148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</xdr:col>
      <xdr:colOff>495300</xdr:colOff>
      <xdr:row>329</xdr:row>
      <xdr:rowOff>123825</xdr:rowOff>
    </xdr:from>
    <xdr:ext cx="114299" cy="170560"/>
    <xdr:sp macro="" textlink="">
      <xdr:nvSpPr>
        <xdr:cNvPr id="567" name="Text Box 151"/>
        <xdr:cNvSpPr txBox="1">
          <a:spLocks noChangeArrowheads="1"/>
        </xdr:cNvSpPr>
      </xdr:nvSpPr>
      <xdr:spPr bwMode="auto">
        <a:xfrm>
          <a:off x="4286250" y="52911375"/>
          <a:ext cx="114299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 editAs="oneCell">
    <xdr:from>
      <xdr:col>2</xdr:col>
      <xdr:colOff>581025</xdr:colOff>
      <xdr:row>354</xdr:row>
      <xdr:rowOff>123825</xdr:rowOff>
    </xdr:from>
    <xdr:to>
      <xdr:col>3</xdr:col>
      <xdr:colOff>66675</xdr:colOff>
      <xdr:row>354</xdr:row>
      <xdr:rowOff>161925</xdr:rowOff>
    </xdr:to>
    <xdr:sp macro="" textlink="">
      <xdr:nvSpPr>
        <xdr:cNvPr id="568" name="Text Box 153"/>
        <xdr:cNvSpPr txBox="1">
          <a:spLocks noChangeArrowheads="1"/>
        </xdr:cNvSpPr>
      </xdr:nvSpPr>
      <xdr:spPr bwMode="auto">
        <a:xfrm>
          <a:off x="1905000" y="57092850"/>
          <a:ext cx="95250" cy="38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542925</xdr:colOff>
      <xdr:row>304</xdr:row>
      <xdr:rowOff>0</xdr:rowOff>
    </xdr:from>
    <xdr:to>
      <xdr:col>7</xdr:col>
      <xdr:colOff>361950</xdr:colOff>
      <xdr:row>305</xdr:row>
      <xdr:rowOff>0</xdr:rowOff>
    </xdr:to>
    <xdr:sp macro="" textlink="">
      <xdr:nvSpPr>
        <xdr:cNvPr id="569" name="Text Box 161"/>
        <xdr:cNvSpPr txBox="1">
          <a:spLocks noChangeArrowheads="1"/>
        </xdr:cNvSpPr>
      </xdr:nvSpPr>
      <xdr:spPr bwMode="auto">
        <a:xfrm>
          <a:off x="4333875" y="48672750"/>
          <a:ext cx="4286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142875</xdr:colOff>
      <xdr:row>304</xdr:row>
      <xdr:rowOff>0</xdr:rowOff>
    </xdr:from>
    <xdr:to>
      <xdr:col>8</xdr:col>
      <xdr:colOff>466725</xdr:colOff>
      <xdr:row>305</xdr:row>
      <xdr:rowOff>0</xdr:rowOff>
    </xdr:to>
    <xdr:sp macro="" textlink="">
      <xdr:nvSpPr>
        <xdr:cNvPr id="570" name="Text Box 163"/>
        <xdr:cNvSpPr txBox="1">
          <a:spLocks noChangeArrowheads="1"/>
        </xdr:cNvSpPr>
      </xdr:nvSpPr>
      <xdr:spPr bwMode="auto">
        <a:xfrm>
          <a:off x="5153025" y="48672750"/>
          <a:ext cx="3238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514350</xdr:colOff>
      <xdr:row>462</xdr:row>
      <xdr:rowOff>9525</xdr:rowOff>
    </xdr:from>
    <xdr:to>
      <xdr:col>3</xdr:col>
      <xdr:colOff>0</xdr:colOff>
      <xdr:row>471</xdr:row>
      <xdr:rowOff>104775</xdr:rowOff>
    </xdr:to>
    <xdr:sp macro="" textlink="">
      <xdr:nvSpPr>
        <xdr:cNvPr id="571" name="Line 250"/>
        <xdr:cNvSpPr>
          <a:spLocks noChangeShapeType="1"/>
        </xdr:cNvSpPr>
      </xdr:nvSpPr>
      <xdr:spPr bwMode="auto">
        <a:xfrm flipH="1">
          <a:off x="1838325" y="75361800"/>
          <a:ext cx="95250" cy="1552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466</xdr:row>
      <xdr:rowOff>0</xdr:rowOff>
    </xdr:from>
    <xdr:to>
      <xdr:col>3</xdr:col>
      <xdr:colOff>276225</xdr:colOff>
      <xdr:row>471</xdr:row>
      <xdr:rowOff>95250</xdr:rowOff>
    </xdr:to>
    <xdr:sp macro="" textlink="">
      <xdr:nvSpPr>
        <xdr:cNvPr id="572" name="Line 251"/>
        <xdr:cNvSpPr>
          <a:spLocks noChangeShapeType="1"/>
        </xdr:cNvSpPr>
      </xdr:nvSpPr>
      <xdr:spPr bwMode="auto">
        <a:xfrm>
          <a:off x="2209800" y="75999975"/>
          <a:ext cx="0" cy="904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472</xdr:row>
      <xdr:rowOff>152400</xdr:rowOff>
    </xdr:from>
    <xdr:to>
      <xdr:col>3</xdr:col>
      <xdr:colOff>390525</xdr:colOff>
      <xdr:row>473</xdr:row>
      <xdr:rowOff>0</xdr:rowOff>
    </xdr:to>
    <xdr:sp macro="" textlink="">
      <xdr:nvSpPr>
        <xdr:cNvPr id="573" name="Line 252"/>
        <xdr:cNvSpPr>
          <a:spLocks noChangeShapeType="1"/>
        </xdr:cNvSpPr>
      </xdr:nvSpPr>
      <xdr:spPr bwMode="auto">
        <a:xfrm flipH="1">
          <a:off x="800100" y="77123925"/>
          <a:ext cx="1524000" cy="9525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475</xdr:row>
      <xdr:rowOff>142875</xdr:rowOff>
    </xdr:from>
    <xdr:to>
      <xdr:col>4</xdr:col>
      <xdr:colOff>0</xdr:colOff>
      <xdr:row>477</xdr:row>
      <xdr:rowOff>152400</xdr:rowOff>
    </xdr:to>
    <xdr:sp macro="" textlink="">
      <xdr:nvSpPr>
        <xdr:cNvPr id="574" name="Line 253"/>
        <xdr:cNvSpPr>
          <a:spLocks noChangeShapeType="1"/>
        </xdr:cNvSpPr>
      </xdr:nvSpPr>
      <xdr:spPr bwMode="auto">
        <a:xfrm>
          <a:off x="790575" y="77600175"/>
          <a:ext cx="175260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470</xdr:row>
      <xdr:rowOff>142875</xdr:rowOff>
    </xdr:from>
    <xdr:to>
      <xdr:col>4</xdr:col>
      <xdr:colOff>0</xdr:colOff>
      <xdr:row>471</xdr:row>
      <xdr:rowOff>28575</xdr:rowOff>
    </xdr:to>
    <xdr:sp macro="" textlink="">
      <xdr:nvSpPr>
        <xdr:cNvPr id="575" name="Line 254"/>
        <xdr:cNvSpPr>
          <a:spLocks noChangeShapeType="1"/>
        </xdr:cNvSpPr>
      </xdr:nvSpPr>
      <xdr:spPr bwMode="auto">
        <a:xfrm>
          <a:off x="2543175" y="76790550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471</xdr:row>
      <xdr:rowOff>0</xdr:rowOff>
    </xdr:from>
    <xdr:to>
      <xdr:col>4</xdr:col>
      <xdr:colOff>0</xdr:colOff>
      <xdr:row>471</xdr:row>
      <xdr:rowOff>0</xdr:rowOff>
    </xdr:to>
    <xdr:sp macro="" textlink="">
      <xdr:nvSpPr>
        <xdr:cNvPr id="576" name="Line 255"/>
        <xdr:cNvSpPr>
          <a:spLocks noChangeShapeType="1"/>
        </xdr:cNvSpPr>
      </xdr:nvSpPr>
      <xdr:spPr bwMode="auto">
        <a:xfrm>
          <a:off x="2219325" y="768096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514350</xdr:colOff>
      <xdr:row>472</xdr:row>
      <xdr:rowOff>9525</xdr:rowOff>
    </xdr:from>
    <xdr:to>
      <xdr:col>3</xdr:col>
      <xdr:colOff>285750</xdr:colOff>
      <xdr:row>472</xdr:row>
      <xdr:rowOff>9525</xdr:rowOff>
    </xdr:to>
    <xdr:sp macro="" textlink="">
      <xdr:nvSpPr>
        <xdr:cNvPr id="577" name="Line 256"/>
        <xdr:cNvSpPr>
          <a:spLocks noChangeShapeType="1"/>
        </xdr:cNvSpPr>
      </xdr:nvSpPr>
      <xdr:spPr bwMode="auto">
        <a:xfrm>
          <a:off x="1838325" y="769810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523875</xdr:colOff>
      <xdr:row>472</xdr:row>
      <xdr:rowOff>142875</xdr:rowOff>
    </xdr:from>
    <xdr:to>
      <xdr:col>2</xdr:col>
      <xdr:colOff>523875</xdr:colOff>
      <xdr:row>476</xdr:row>
      <xdr:rowOff>142875</xdr:rowOff>
    </xdr:to>
    <xdr:sp macro="" textlink="">
      <xdr:nvSpPr>
        <xdr:cNvPr id="578" name="Line 257"/>
        <xdr:cNvSpPr>
          <a:spLocks noChangeShapeType="1"/>
        </xdr:cNvSpPr>
      </xdr:nvSpPr>
      <xdr:spPr bwMode="auto">
        <a:xfrm flipV="1">
          <a:off x="1847850" y="77114400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3</xdr:col>
      <xdr:colOff>285750</xdr:colOff>
      <xdr:row>472</xdr:row>
      <xdr:rowOff>152400</xdr:rowOff>
    </xdr:from>
    <xdr:to>
      <xdr:col>3</xdr:col>
      <xdr:colOff>285750</xdr:colOff>
      <xdr:row>477</xdr:row>
      <xdr:rowOff>66675</xdr:rowOff>
    </xdr:to>
    <xdr:sp macro="" textlink="">
      <xdr:nvSpPr>
        <xdr:cNvPr id="579" name="Line 258"/>
        <xdr:cNvSpPr>
          <a:spLocks noChangeShapeType="1"/>
        </xdr:cNvSpPr>
      </xdr:nvSpPr>
      <xdr:spPr bwMode="auto">
        <a:xfrm flipV="1">
          <a:off x="2219325" y="77123925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4</xdr:col>
      <xdr:colOff>9525</xdr:colOff>
      <xdr:row>473</xdr:row>
      <xdr:rowOff>133350</xdr:rowOff>
    </xdr:from>
    <xdr:to>
      <xdr:col>4</xdr:col>
      <xdr:colOff>9525</xdr:colOff>
      <xdr:row>477</xdr:row>
      <xdr:rowOff>152400</xdr:rowOff>
    </xdr:to>
    <xdr:sp macro="" textlink="">
      <xdr:nvSpPr>
        <xdr:cNvPr id="580" name="Line 259"/>
        <xdr:cNvSpPr>
          <a:spLocks noChangeShapeType="1"/>
        </xdr:cNvSpPr>
      </xdr:nvSpPr>
      <xdr:spPr bwMode="auto">
        <a:xfrm flipV="1">
          <a:off x="2552700" y="77266800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95250</xdr:colOff>
      <xdr:row>472</xdr:row>
      <xdr:rowOff>152400</xdr:rowOff>
    </xdr:from>
    <xdr:to>
      <xdr:col>1</xdr:col>
      <xdr:colOff>95250</xdr:colOff>
      <xdr:row>475</xdr:row>
      <xdr:rowOff>152400</xdr:rowOff>
    </xdr:to>
    <xdr:sp macro="" textlink="">
      <xdr:nvSpPr>
        <xdr:cNvPr id="581" name="Line 260"/>
        <xdr:cNvSpPr>
          <a:spLocks noChangeShapeType="1"/>
        </xdr:cNvSpPr>
      </xdr:nvSpPr>
      <xdr:spPr bwMode="auto">
        <a:xfrm flipV="1">
          <a:off x="809625" y="771239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104775</xdr:colOff>
      <xdr:row>476</xdr:row>
      <xdr:rowOff>0</xdr:rowOff>
    </xdr:from>
    <xdr:to>
      <xdr:col>4</xdr:col>
      <xdr:colOff>9525</xdr:colOff>
      <xdr:row>476</xdr:row>
      <xdr:rowOff>0</xdr:rowOff>
    </xdr:to>
    <xdr:sp macro="" textlink="">
      <xdr:nvSpPr>
        <xdr:cNvPr id="582" name="Line 261"/>
        <xdr:cNvSpPr>
          <a:spLocks noChangeShapeType="1"/>
        </xdr:cNvSpPr>
      </xdr:nvSpPr>
      <xdr:spPr bwMode="auto">
        <a:xfrm>
          <a:off x="819150" y="77619225"/>
          <a:ext cx="1733550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477</xdr:row>
      <xdr:rowOff>66675</xdr:rowOff>
    </xdr:from>
    <xdr:to>
      <xdr:col>4</xdr:col>
      <xdr:colOff>0</xdr:colOff>
      <xdr:row>477</xdr:row>
      <xdr:rowOff>66675</xdr:rowOff>
    </xdr:to>
    <xdr:sp macro="" textlink="">
      <xdr:nvSpPr>
        <xdr:cNvPr id="583" name="Line 262"/>
        <xdr:cNvSpPr>
          <a:spLocks noChangeShapeType="1"/>
        </xdr:cNvSpPr>
      </xdr:nvSpPr>
      <xdr:spPr bwMode="auto">
        <a:xfrm>
          <a:off x="2171700" y="77847825"/>
          <a:ext cx="371475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 editAs="oneCell">
    <xdr:from>
      <xdr:col>2</xdr:col>
      <xdr:colOff>28575</xdr:colOff>
      <xdr:row>607</xdr:row>
      <xdr:rowOff>0</xdr:rowOff>
    </xdr:from>
    <xdr:to>
      <xdr:col>2</xdr:col>
      <xdr:colOff>123825</xdr:colOff>
      <xdr:row>608</xdr:row>
      <xdr:rowOff>66675</xdr:rowOff>
    </xdr:to>
    <xdr:sp macro="" textlink="">
      <xdr:nvSpPr>
        <xdr:cNvPr id="584" name="Text Box 264"/>
        <xdr:cNvSpPr txBox="1">
          <a:spLocks noChangeArrowheads="1"/>
        </xdr:cNvSpPr>
      </xdr:nvSpPr>
      <xdr:spPr bwMode="auto">
        <a:xfrm>
          <a:off x="1352550" y="9958387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333375</xdr:colOff>
      <xdr:row>607</xdr:row>
      <xdr:rowOff>0</xdr:rowOff>
    </xdr:from>
    <xdr:to>
      <xdr:col>2</xdr:col>
      <xdr:colOff>428625</xdr:colOff>
      <xdr:row>608</xdr:row>
      <xdr:rowOff>66675</xdr:rowOff>
    </xdr:to>
    <xdr:sp macro="" textlink="">
      <xdr:nvSpPr>
        <xdr:cNvPr id="585" name="Text Box 266"/>
        <xdr:cNvSpPr txBox="1">
          <a:spLocks noChangeArrowheads="1"/>
        </xdr:cNvSpPr>
      </xdr:nvSpPr>
      <xdr:spPr bwMode="auto">
        <a:xfrm>
          <a:off x="1657350" y="9958387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473</xdr:row>
      <xdr:rowOff>0</xdr:rowOff>
    </xdr:from>
    <xdr:to>
      <xdr:col>4</xdr:col>
      <xdr:colOff>180975</xdr:colOff>
      <xdr:row>473</xdr:row>
      <xdr:rowOff>0</xdr:rowOff>
    </xdr:to>
    <xdr:sp macro="" textlink="">
      <xdr:nvSpPr>
        <xdr:cNvPr id="586" name="Line 267"/>
        <xdr:cNvSpPr>
          <a:spLocks noChangeShapeType="1"/>
        </xdr:cNvSpPr>
      </xdr:nvSpPr>
      <xdr:spPr bwMode="auto">
        <a:xfrm>
          <a:off x="2619375" y="771334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478</xdr:row>
      <xdr:rowOff>0</xdr:rowOff>
    </xdr:from>
    <xdr:to>
      <xdr:col>4</xdr:col>
      <xdr:colOff>142875</xdr:colOff>
      <xdr:row>478</xdr:row>
      <xdr:rowOff>0</xdr:rowOff>
    </xdr:to>
    <xdr:sp macro="" textlink="">
      <xdr:nvSpPr>
        <xdr:cNvPr id="587" name="Line 268"/>
        <xdr:cNvSpPr>
          <a:spLocks noChangeShapeType="1"/>
        </xdr:cNvSpPr>
      </xdr:nvSpPr>
      <xdr:spPr bwMode="auto">
        <a:xfrm>
          <a:off x="2590800" y="77943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472</xdr:row>
      <xdr:rowOff>142875</xdr:rowOff>
    </xdr:from>
    <xdr:to>
      <xdr:col>4</xdr:col>
      <xdr:colOff>104775</xdr:colOff>
      <xdr:row>477</xdr:row>
      <xdr:rowOff>152400</xdr:rowOff>
    </xdr:to>
    <xdr:sp macro="" textlink="">
      <xdr:nvSpPr>
        <xdr:cNvPr id="588" name="Line 269"/>
        <xdr:cNvSpPr>
          <a:spLocks noChangeShapeType="1"/>
        </xdr:cNvSpPr>
      </xdr:nvSpPr>
      <xdr:spPr bwMode="auto">
        <a:xfrm>
          <a:off x="2647950" y="77114400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228600</xdr:colOff>
      <xdr:row>476</xdr:row>
      <xdr:rowOff>0</xdr:rowOff>
    </xdr:from>
    <xdr:to>
      <xdr:col>4</xdr:col>
      <xdr:colOff>361950</xdr:colOff>
      <xdr:row>476</xdr:row>
      <xdr:rowOff>0</xdr:rowOff>
    </xdr:to>
    <xdr:sp macro="" textlink="">
      <xdr:nvSpPr>
        <xdr:cNvPr id="589" name="Line 271"/>
        <xdr:cNvSpPr>
          <a:spLocks noChangeShapeType="1"/>
        </xdr:cNvSpPr>
      </xdr:nvSpPr>
      <xdr:spPr bwMode="auto">
        <a:xfrm>
          <a:off x="2771775" y="7761922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478</xdr:row>
      <xdr:rowOff>0</xdr:rowOff>
    </xdr:from>
    <xdr:to>
      <xdr:col>4</xdr:col>
      <xdr:colOff>371475</xdr:colOff>
      <xdr:row>478</xdr:row>
      <xdr:rowOff>0</xdr:rowOff>
    </xdr:to>
    <xdr:sp macro="" textlink="">
      <xdr:nvSpPr>
        <xdr:cNvPr id="590" name="Line 272"/>
        <xdr:cNvSpPr>
          <a:spLocks noChangeShapeType="1"/>
        </xdr:cNvSpPr>
      </xdr:nvSpPr>
      <xdr:spPr bwMode="auto">
        <a:xfrm>
          <a:off x="2771775" y="779430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476</xdr:row>
      <xdr:rowOff>0</xdr:rowOff>
    </xdr:from>
    <xdr:to>
      <xdr:col>4</xdr:col>
      <xdr:colOff>285750</xdr:colOff>
      <xdr:row>478</xdr:row>
      <xdr:rowOff>0</xdr:rowOff>
    </xdr:to>
    <xdr:sp macro="" textlink="">
      <xdr:nvSpPr>
        <xdr:cNvPr id="591" name="Line 273"/>
        <xdr:cNvSpPr>
          <a:spLocks noChangeShapeType="1"/>
        </xdr:cNvSpPr>
      </xdr:nvSpPr>
      <xdr:spPr bwMode="auto">
        <a:xfrm>
          <a:off x="2828925" y="776192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0</xdr:colOff>
      <xdr:row>474</xdr:row>
      <xdr:rowOff>142875</xdr:rowOff>
    </xdr:from>
    <xdr:to>
      <xdr:col>2</xdr:col>
      <xdr:colOff>552450</xdr:colOff>
      <xdr:row>477</xdr:row>
      <xdr:rowOff>28575</xdr:rowOff>
    </xdr:to>
    <xdr:sp macro="" textlink="">
      <xdr:nvSpPr>
        <xdr:cNvPr id="592" name="Line 276"/>
        <xdr:cNvSpPr>
          <a:spLocks noChangeShapeType="1"/>
        </xdr:cNvSpPr>
      </xdr:nvSpPr>
      <xdr:spPr bwMode="auto">
        <a:xfrm flipV="1">
          <a:off x="1323975" y="77438250"/>
          <a:ext cx="55245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533400</xdr:colOff>
      <xdr:row>477</xdr:row>
      <xdr:rowOff>66675</xdr:rowOff>
    </xdr:from>
    <xdr:to>
      <xdr:col>4</xdr:col>
      <xdr:colOff>628650</xdr:colOff>
      <xdr:row>477</xdr:row>
      <xdr:rowOff>66675</xdr:rowOff>
    </xdr:to>
    <xdr:sp macro="" textlink="">
      <xdr:nvSpPr>
        <xdr:cNvPr id="593" name="Line 277"/>
        <xdr:cNvSpPr>
          <a:spLocks noChangeShapeType="1"/>
        </xdr:cNvSpPr>
      </xdr:nvSpPr>
      <xdr:spPr bwMode="auto">
        <a:xfrm>
          <a:off x="3076575" y="7784782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478</xdr:row>
      <xdr:rowOff>0</xdr:rowOff>
    </xdr:from>
    <xdr:to>
      <xdr:col>4</xdr:col>
      <xdr:colOff>628650</xdr:colOff>
      <xdr:row>478</xdr:row>
      <xdr:rowOff>0</xdr:rowOff>
    </xdr:to>
    <xdr:sp macro="" textlink="">
      <xdr:nvSpPr>
        <xdr:cNvPr id="594" name="Line 278"/>
        <xdr:cNvSpPr>
          <a:spLocks noChangeShapeType="1"/>
        </xdr:cNvSpPr>
      </xdr:nvSpPr>
      <xdr:spPr bwMode="auto">
        <a:xfrm>
          <a:off x="3105150" y="7794307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478</xdr:row>
      <xdr:rowOff>0</xdr:rowOff>
    </xdr:from>
    <xdr:to>
      <xdr:col>4</xdr:col>
      <xdr:colOff>600075</xdr:colOff>
      <xdr:row>478</xdr:row>
      <xdr:rowOff>142875</xdr:rowOff>
    </xdr:to>
    <xdr:sp macro="" textlink="">
      <xdr:nvSpPr>
        <xdr:cNvPr id="595" name="Line 279"/>
        <xdr:cNvSpPr>
          <a:spLocks noChangeShapeType="1"/>
        </xdr:cNvSpPr>
      </xdr:nvSpPr>
      <xdr:spPr bwMode="auto">
        <a:xfrm flipV="1">
          <a:off x="3143250" y="779430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476</xdr:row>
      <xdr:rowOff>114300</xdr:rowOff>
    </xdr:from>
    <xdr:to>
      <xdr:col>4</xdr:col>
      <xdr:colOff>600075</xdr:colOff>
      <xdr:row>477</xdr:row>
      <xdr:rowOff>66675</xdr:rowOff>
    </xdr:to>
    <xdr:sp macro="" textlink="">
      <xdr:nvSpPr>
        <xdr:cNvPr id="596" name="Line 280"/>
        <xdr:cNvSpPr>
          <a:spLocks noChangeShapeType="1"/>
        </xdr:cNvSpPr>
      </xdr:nvSpPr>
      <xdr:spPr bwMode="auto">
        <a:xfrm>
          <a:off x="3143250" y="777335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76200</xdr:colOff>
      <xdr:row>471</xdr:row>
      <xdr:rowOff>95250</xdr:rowOff>
    </xdr:from>
    <xdr:to>
      <xdr:col>2</xdr:col>
      <xdr:colOff>504825</xdr:colOff>
      <xdr:row>471</xdr:row>
      <xdr:rowOff>95250</xdr:rowOff>
    </xdr:to>
    <xdr:sp macro="" textlink="">
      <xdr:nvSpPr>
        <xdr:cNvPr id="597" name="Line 284"/>
        <xdr:cNvSpPr>
          <a:spLocks noChangeShapeType="1"/>
        </xdr:cNvSpPr>
      </xdr:nvSpPr>
      <xdr:spPr bwMode="auto">
        <a:xfrm flipH="1">
          <a:off x="790575" y="76904850"/>
          <a:ext cx="1038225" cy="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471</xdr:row>
      <xdr:rowOff>76200</xdr:rowOff>
    </xdr:from>
    <xdr:to>
      <xdr:col>4</xdr:col>
      <xdr:colOff>0</xdr:colOff>
      <xdr:row>471</xdr:row>
      <xdr:rowOff>76200</xdr:rowOff>
    </xdr:to>
    <xdr:sp macro="" textlink="">
      <xdr:nvSpPr>
        <xdr:cNvPr id="598" name="Line 285"/>
        <xdr:cNvSpPr>
          <a:spLocks noChangeShapeType="1"/>
        </xdr:cNvSpPr>
      </xdr:nvSpPr>
      <xdr:spPr bwMode="auto">
        <a:xfrm>
          <a:off x="2209800" y="76885800"/>
          <a:ext cx="333375" cy="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471</xdr:row>
      <xdr:rowOff>85725</xdr:rowOff>
    </xdr:from>
    <xdr:to>
      <xdr:col>1</xdr:col>
      <xdr:colOff>76200</xdr:colOff>
      <xdr:row>473</xdr:row>
      <xdr:rowOff>0</xdr:rowOff>
    </xdr:to>
    <xdr:sp macro="" textlink="">
      <xdr:nvSpPr>
        <xdr:cNvPr id="599" name="Line 286"/>
        <xdr:cNvSpPr>
          <a:spLocks noChangeShapeType="1"/>
        </xdr:cNvSpPr>
      </xdr:nvSpPr>
      <xdr:spPr bwMode="auto">
        <a:xfrm>
          <a:off x="790575" y="76895325"/>
          <a:ext cx="0" cy="238125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471</xdr:row>
      <xdr:rowOff>66675</xdr:rowOff>
    </xdr:from>
    <xdr:to>
      <xdr:col>4</xdr:col>
      <xdr:colOff>19050</xdr:colOff>
      <xdr:row>473</xdr:row>
      <xdr:rowOff>133350</xdr:rowOff>
    </xdr:to>
    <xdr:sp macro="" textlink="">
      <xdr:nvSpPr>
        <xdr:cNvPr id="600" name="Line 287"/>
        <xdr:cNvSpPr>
          <a:spLocks noChangeShapeType="1"/>
        </xdr:cNvSpPr>
      </xdr:nvSpPr>
      <xdr:spPr bwMode="auto">
        <a:xfrm flipH="1">
          <a:off x="2552700" y="76876275"/>
          <a:ext cx="9525" cy="39052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473</xdr:row>
      <xdr:rowOff>0</xdr:rowOff>
    </xdr:from>
    <xdr:to>
      <xdr:col>3</xdr:col>
      <xdr:colOff>504825</xdr:colOff>
      <xdr:row>473</xdr:row>
      <xdr:rowOff>152400</xdr:rowOff>
    </xdr:to>
    <xdr:sp macro="" textlink="">
      <xdr:nvSpPr>
        <xdr:cNvPr id="601" name="Line 288"/>
        <xdr:cNvSpPr>
          <a:spLocks noChangeShapeType="1"/>
        </xdr:cNvSpPr>
      </xdr:nvSpPr>
      <xdr:spPr bwMode="auto">
        <a:xfrm>
          <a:off x="2305050" y="77133450"/>
          <a:ext cx="133350" cy="15240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</xdr:col>
      <xdr:colOff>514350</xdr:colOff>
      <xdr:row>473</xdr:row>
      <xdr:rowOff>142875</xdr:rowOff>
    </xdr:from>
    <xdr:to>
      <xdr:col>4</xdr:col>
      <xdr:colOff>9525</xdr:colOff>
      <xdr:row>473</xdr:row>
      <xdr:rowOff>142875</xdr:rowOff>
    </xdr:to>
    <xdr:sp macro="" textlink="">
      <xdr:nvSpPr>
        <xdr:cNvPr id="602" name="Line 289"/>
        <xdr:cNvSpPr>
          <a:spLocks noChangeShapeType="1"/>
        </xdr:cNvSpPr>
      </xdr:nvSpPr>
      <xdr:spPr bwMode="auto">
        <a:xfrm>
          <a:off x="2447925" y="77276325"/>
          <a:ext cx="10477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473</xdr:row>
      <xdr:rowOff>0</xdr:rowOff>
    </xdr:from>
    <xdr:to>
      <xdr:col>4</xdr:col>
      <xdr:colOff>361950</xdr:colOff>
      <xdr:row>473</xdr:row>
      <xdr:rowOff>0</xdr:rowOff>
    </xdr:to>
    <xdr:sp macro="" textlink="">
      <xdr:nvSpPr>
        <xdr:cNvPr id="603" name="Line 290"/>
        <xdr:cNvSpPr>
          <a:spLocks noChangeShapeType="1"/>
        </xdr:cNvSpPr>
      </xdr:nvSpPr>
      <xdr:spPr bwMode="auto">
        <a:xfrm>
          <a:off x="2790825" y="77133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479</xdr:row>
      <xdr:rowOff>123825</xdr:rowOff>
    </xdr:from>
    <xdr:to>
      <xdr:col>3</xdr:col>
      <xdr:colOff>476250</xdr:colOff>
      <xdr:row>480</xdr:row>
      <xdr:rowOff>28575</xdr:rowOff>
    </xdr:to>
    <xdr:sp macro="" textlink="">
      <xdr:nvSpPr>
        <xdr:cNvPr id="604" name="Line 295"/>
        <xdr:cNvSpPr>
          <a:spLocks noChangeShapeType="1"/>
        </xdr:cNvSpPr>
      </xdr:nvSpPr>
      <xdr:spPr bwMode="auto">
        <a:xfrm>
          <a:off x="2409825" y="78228825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479</xdr:row>
      <xdr:rowOff>114300</xdr:rowOff>
    </xdr:from>
    <xdr:to>
      <xdr:col>4</xdr:col>
      <xdr:colOff>9525</xdr:colOff>
      <xdr:row>480</xdr:row>
      <xdr:rowOff>47625</xdr:rowOff>
    </xdr:to>
    <xdr:sp macro="" textlink="">
      <xdr:nvSpPr>
        <xdr:cNvPr id="605" name="Line 296"/>
        <xdr:cNvSpPr>
          <a:spLocks noChangeShapeType="1"/>
        </xdr:cNvSpPr>
      </xdr:nvSpPr>
      <xdr:spPr bwMode="auto">
        <a:xfrm>
          <a:off x="2552700" y="782193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480</xdr:row>
      <xdr:rowOff>0</xdr:rowOff>
    </xdr:from>
    <xdr:to>
      <xdr:col>4</xdr:col>
      <xdr:colOff>9525</xdr:colOff>
      <xdr:row>480</xdr:row>
      <xdr:rowOff>0</xdr:rowOff>
    </xdr:to>
    <xdr:sp macro="" textlink="">
      <xdr:nvSpPr>
        <xdr:cNvPr id="606" name="Line 297"/>
        <xdr:cNvSpPr>
          <a:spLocks noChangeShapeType="1"/>
        </xdr:cNvSpPr>
      </xdr:nvSpPr>
      <xdr:spPr bwMode="auto">
        <a:xfrm>
          <a:off x="2409825" y="782669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295275</xdr:colOff>
      <xdr:row>480</xdr:row>
      <xdr:rowOff>114300</xdr:rowOff>
    </xdr:from>
    <xdr:to>
      <xdr:col>3</xdr:col>
      <xdr:colOff>295275</xdr:colOff>
      <xdr:row>481</xdr:row>
      <xdr:rowOff>19050</xdr:rowOff>
    </xdr:to>
    <xdr:sp macro="" textlink="">
      <xdr:nvSpPr>
        <xdr:cNvPr id="607" name="Line 301"/>
        <xdr:cNvSpPr>
          <a:spLocks noChangeShapeType="1"/>
        </xdr:cNvSpPr>
      </xdr:nvSpPr>
      <xdr:spPr bwMode="auto">
        <a:xfrm>
          <a:off x="2228850" y="78381225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381000</xdr:colOff>
      <xdr:row>472</xdr:row>
      <xdr:rowOff>152400</xdr:rowOff>
    </xdr:from>
    <xdr:to>
      <xdr:col>4</xdr:col>
      <xdr:colOff>0</xdr:colOff>
      <xdr:row>472</xdr:row>
      <xdr:rowOff>152400</xdr:rowOff>
    </xdr:to>
    <xdr:sp macro="" textlink="">
      <xdr:nvSpPr>
        <xdr:cNvPr id="608" name="Line 306"/>
        <xdr:cNvSpPr>
          <a:spLocks noChangeShapeType="1"/>
        </xdr:cNvSpPr>
      </xdr:nvSpPr>
      <xdr:spPr bwMode="auto">
        <a:xfrm>
          <a:off x="2314575" y="771239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495300</xdr:colOff>
      <xdr:row>472</xdr:row>
      <xdr:rowOff>152400</xdr:rowOff>
    </xdr:from>
    <xdr:to>
      <xdr:col>3</xdr:col>
      <xdr:colOff>495300</xdr:colOff>
      <xdr:row>473</xdr:row>
      <xdr:rowOff>152400</xdr:rowOff>
    </xdr:to>
    <xdr:sp macro="" textlink="">
      <xdr:nvSpPr>
        <xdr:cNvPr id="609" name="Line 307"/>
        <xdr:cNvSpPr>
          <a:spLocks noChangeShapeType="1"/>
        </xdr:cNvSpPr>
      </xdr:nvSpPr>
      <xdr:spPr bwMode="auto">
        <a:xfrm flipV="1">
          <a:off x="2428875" y="771239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471</xdr:row>
      <xdr:rowOff>85725</xdr:rowOff>
    </xdr:from>
    <xdr:to>
      <xdr:col>3</xdr:col>
      <xdr:colOff>276225</xdr:colOff>
      <xdr:row>472</xdr:row>
      <xdr:rowOff>152400</xdr:rowOff>
    </xdr:to>
    <xdr:sp macro="" textlink="">
      <xdr:nvSpPr>
        <xdr:cNvPr id="610" name="Line 308"/>
        <xdr:cNvSpPr>
          <a:spLocks noChangeShapeType="1"/>
        </xdr:cNvSpPr>
      </xdr:nvSpPr>
      <xdr:spPr bwMode="auto">
        <a:xfrm>
          <a:off x="2209800" y="76895325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461</xdr:row>
      <xdr:rowOff>152400</xdr:rowOff>
    </xdr:from>
    <xdr:to>
      <xdr:col>3</xdr:col>
      <xdr:colOff>276225</xdr:colOff>
      <xdr:row>471</xdr:row>
      <xdr:rowOff>95250</xdr:rowOff>
    </xdr:to>
    <xdr:sp macro="" textlink="">
      <xdr:nvSpPr>
        <xdr:cNvPr id="611" name="Line 319"/>
        <xdr:cNvSpPr>
          <a:spLocks noChangeShapeType="1"/>
        </xdr:cNvSpPr>
      </xdr:nvSpPr>
      <xdr:spPr bwMode="auto">
        <a:xfrm>
          <a:off x="2209800" y="75342750"/>
          <a:ext cx="0" cy="1562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438150</xdr:colOff>
      <xdr:row>462</xdr:row>
      <xdr:rowOff>0</xdr:rowOff>
    </xdr:from>
    <xdr:to>
      <xdr:col>2</xdr:col>
      <xdr:colOff>600075</xdr:colOff>
      <xdr:row>462</xdr:row>
      <xdr:rowOff>0</xdr:rowOff>
    </xdr:to>
    <xdr:sp macro="" textlink="">
      <xdr:nvSpPr>
        <xdr:cNvPr id="612" name="Line 320"/>
        <xdr:cNvSpPr>
          <a:spLocks noChangeShapeType="1"/>
        </xdr:cNvSpPr>
      </xdr:nvSpPr>
      <xdr:spPr bwMode="auto">
        <a:xfrm flipH="1">
          <a:off x="1152525" y="7535227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472</xdr:row>
      <xdr:rowOff>152400</xdr:rowOff>
    </xdr:from>
    <xdr:to>
      <xdr:col>3</xdr:col>
      <xdr:colOff>390525</xdr:colOff>
      <xdr:row>473</xdr:row>
      <xdr:rowOff>0</xdr:rowOff>
    </xdr:to>
    <xdr:sp macro="" textlink="">
      <xdr:nvSpPr>
        <xdr:cNvPr id="613" name="Line 321"/>
        <xdr:cNvSpPr>
          <a:spLocks noChangeShapeType="1"/>
        </xdr:cNvSpPr>
      </xdr:nvSpPr>
      <xdr:spPr bwMode="auto">
        <a:xfrm flipH="1">
          <a:off x="800100" y="77123925"/>
          <a:ext cx="1524000" cy="952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475</xdr:row>
      <xdr:rowOff>142875</xdr:rowOff>
    </xdr:from>
    <xdr:to>
      <xdr:col>4</xdr:col>
      <xdr:colOff>0</xdr:colOff>
      <xdr:row>477</xdr:row>
      <xdr:rowOff>152400</xdr:rowOff>
    </xdr:to>
    <xdr:sp macro="" textlink="">
      <xdr:nvSpPr>
        <xdr:cNvPr id="614" name="Line 322"/>
        <xdr:cNvSpPr>
          <a:spLocks noChangeShapeType="1"/>
        </xdr:cNvSpPr>
      </xdr:nvSpPr>
      <xdr:spPr bwMode="auto">
        <a:xfrm>
          <a:off x="790575" y="77600175"/>
          <a:ext cx="175260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470</xdr:row>
      <xdr:rowOff>142875</xdr:rowOff>
    </xdr:from>
    <xdr:to>
      <xdr:col>4</xdr:col>
      <xdr:colOff>0</xdr:colOff>
      <xdr:row>471</xdr:row>
      <xdr:rowOff>28575</xdr:rowOff>
    </xdr:to>
    <xdr:sp macro="" textlink="">
      <xdr:nvSpPr>
        <xdr:cNvPr id="615" name="Line 323"/>
        <xdr:cNvSpPr>
          <a:spLocks noChangeShapeType="1"/>
        </xdr:cNvSpPr>
      </xdr:nvSpPr>
      <xdr:spPr bwMode="auto">
        <a:xfrm>
          <a:off x="2543175" y="76790550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471</xdr:row>
      <xdr:rowOff>0</xdr:rowOff>
    </xdr:from>
    <xdr:to>
      <xdr:col>4</xdr:col>
      <xdr:colOff>0</xdr:colOff>
      <xdr:row>471</xdr:row>
      <xdr:rowOff>0</xdr:rowOff>
    </xdr:to>
    <xdr:sp macro="" textlink="">
      <xdr:nvSpPr>
        <xdr:cNvPr id="616" name="Line 324"/>
        <xdr:cNvSpPr>
          <a:spLocks noChangeShapeType="1"/>
        </xdr:cNvSpPr>
      </xdr:nvSpPr>
      <xdr:spPr bwMode="auto">
        <a:xfrm>
          <a:off x="2219325" y="7680960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523875</xdr:colOff>
      <xdr:row>472</xdr:row>
      <xdr:rowOff>142875</xdr:rowOff>
    </xdr:from>
    <xdr:to>
      <xdr:col>2</xdr:col>
      <xdr:colOff>523875</xdr:colOff>
      <xdr:row>476</xdr:row>
      <xdr:rowOff>142875</xdr:rowOff>
    </xdr:to>
    <xdr:sp macro="" textlink="">
      <xdr:nvSpPr>
        <xdr:cNvPr id="617" name="Line 326"/>
        <xdr:cNvSpPr>
          <a:spLocks noChangeShapeType="1"/>
        </xdr:cNvSpPr>
      </xdr:nvSpPr>
      <xdr:spPr bwMode="auto">
        <a:xfrm flipV="1">
          <a:off x="1847850" y="77114400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3</xdr:col>
      <xdr:colOff>285750</xdr:colOff>
      <xdr:row>472</xdr:row>
      <xdr:rowOff>152400</xdr:rowOff>
    </xdr:from>
    <xdr:to>
      <xdr:col>3</xdr:col>
      <xdr:colOff>285750</xdr:colOff>
      <xdr:row>477</xdr:row>
      <xdr:rowOff>66675</xdr:rowOff>
    </xdr:to>
    <xdr:sp macro="" textlink="">
      <xdr:nvSpPr>
        <xdr:cNvPr id="618" name="Line 327"/>
        <xdr:cNvSpPr>
          <a:spLocks noChangeShapeType="1"/>
        </xdr:cNvSpPr>
      </xdr:nvSpPr>
      <xdr:spPr bwMode="auto">
        <a:xfrm flipV="1">
          <a:off x="2219325" y="77123925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4</xdr:col>
      <xdr:colOff>9525</xdr:colOff>
      <xdr:row>473</xdr:row>
      <xdr:rowOff>133350</xdr:rowOff>
    </xdr:from>
    <xdr:to>
      <xdr:col>4</xdr:col>
      <xdr:colOff>9525</xdr:colOff>
      <xdr:row>477</xdr:row>
      <xdr:rowOff>152400</xdr:rowOff>
    </xdr:to>
    <xdr:sp macro="" textlink="">
      <xdr:nvSpPr>
        <xdr:cNvPr id="619" name="Line 328"/>
        <xdr:cNvSpPr>
          <a:spLocks noChangeShapeType="1"/>
        </xdr:cNvSpPr>
      </xdr:nvSpPr>
      <xdr:spPr bwMode="auto">
        <a:xfrm flipV="1">
          <a:off x="2552700" y="77266800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95250</xdr:colOff>
      <xdr:row>472</xdr:row>
      <xdr:rowOff>152400</xdr:rowOff>
    </xdr:from>
    <xdr:to>
      <xdr:col>1</xdr:col>
      <xdr:colOff>95250</xdr:colOff>
      <xdr:row>475</xdr:row>
      <xdr:rowOff>152400</xdr:rowOff>
    </xdr:to>
    <xdr:sp macro="" textlink="">
      <xdr:nvSpPr>
        <xdr:cNvPr id="620" name="Line 329"/>
        <xdr:cNvSpPr>
          <a:spLocks noChangeShapeType="1"/>
        </xdr:cNvSpPr>
      </xdr:nvSpPr>
      <xdr:spPr bwMode="auto">
        <a:xfrm flipV="1">
          <a:off x="809625" y="771239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104775</xdr:colOff>
      <xdr:row>476</xdr:row>
      <xdr:rowOff>0</xdr:rowOff>
    </xdr:from>
    <xdr:to>
      <xdr:col>4</xdr:col>
      <xdr:colOff>9525</xdr:colOff>
      <xdr:row>476</xdr:row>
      <xdr:rowOff>0</xdr:rowOff>
    </xdr:to>
    <xdr:sp macro="" textlink="">
      <xdr:nvSpPr>
        <xdr:cNvPr id="621" name="Line 330"/>
        <xdr:cNvSpPr>
          <a:spLocks noChangeShapeType="1"/>
        </xdr:cNvSpPr>
      </xdr:nvSpPr>
      <xdr:spPr bwMode="auto">
        <a:xfrm>
          <a:off x="819150" y="77619225"/>
          <a:ext cx="173355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477</xdr:row>
      <xdr:rowOff>66675</xdr:rowOff>
    </xdr:from>
    <xdr:to>
      <xdr:col>4</xdr:col>
      <xdr:colOff>0</xdr:colOff>
      <xdr:row>477</xdr:row>
      <xdr:rowOff>66675</xdr:rowOff>
    </xdr:to>
    <xdr:sp macro="" textlink="">
      <xdr:nvSpPr>
        <xdr:cNvPr id="622" name="Line 331"/>
        <xdr:cNvSpPr>
          <a:spLocks noChangeShapeType="1"/>
        </xdr:cNvSpPr>
      </xdr:nvSpPr>
      <xdr:spPr bwMode="auto">
        <a:xfrm>
          <a:off x="2171700" y="77847825"/>
          <a:ext cx="371475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 editAs="oneCell">
    <xdr:from>
      <xdr:col>5</xdr:col>
      <xdr:colOff>466725</xdr:colOff>
      <xdr:row>607</xdr:row>
      <xdr:rowOff>0</xdr:rowOff>
    </xdr:from>
    <xdr:to>
      <xdr:col>5</xdr:col>
      <xdr:colOff>561975</xdr:colOff>
      <xdr:row>608</xdr:row>
      <xdr:rowOff>66675</xdr:rowOff>
    </xdr:to>
    <xdr:sp macro="" textlink="">
      <xdr:nvSpPr>
        <xdr:cNvPr id="623" name="Text Box 333"/>
        <xdr:cNvSpPr txBox="1">
          <a:spLocks noChangeArrowheads="1"/>
        </xdr:cNvSpPr>
      </xdr:nvSpPr>
      <xdr:spPr bwMode="auto">
        <a:xfrm>
          <a:off x="3648075" y="9958387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600075</xdr:colOff>
      <xdr:row>607</xdr:row>
      <xdr:rowOff>0</xdr:rowOff>
    </xdr:from>
    <xdr:to>
      <xdr:col>3</xdr:col>
      <xdr:colOff>85725</xdr:colOff>
      <xdr:row>608</xdr:row>
      <xdr:rowOff>66675</xdr:rowOff>
    </xdr:to>
    <xdr:sp macro="" textlink="">
      <xdr:nvSpPr>
        <xdr:cNvPr id="624" name="Text Box 335"/>
        <xdr:cNvSpPr txBox="1">
          <a:spLocks noChangeArrowheads="1"/>
        </xdr:cNvSpPr>
      </xdr:nvSpPr>
      <xdr:spPr bwMode="auto">
        <a:xfrm>
          <a:off x="1924050" y="9958387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473</xdr:row>
      <xdr:rowOff>0</xdr:rowOff>
    </xdr:from>
    <xdr:to>
      <xdr:col>4</xdr:col>
      <xdr:colOff>180975</xdr:colOff>
      <xdr:row>473</xdr:row>
      <xdr:rowOff>0</xdr:rowOff>
    </xdr:to>
    <xdr:sp macro="" textlink="">
      <xdr:nvSpPr>
        <xdr:cNvPr id="625" name="Line 336"/>
        <xdr:cNvSpPr>
          <a:spLocks noChangeShapeType="1"/>
        </xdr:cNvSpPr>
      </xdr:nvSpPr>
      <xdr:spPr bwMode="auto">
        <a:xfrm>
          <a:off x="2619375" y="771334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478</xdr:row>
      <xdr:rowOff>0</xdr:rowOff>
    </xdr:from>
    <xdr:to>
      <xdr:col>4</xdr:col>
      <xdr:colOff>142875</xdr:colOff>
      <xdr:row>478</xdr:row>
      <xdr:rowOff>0</xdr:rowOff>
    </xdr:to>
    <xdr:sp macro="" textlink="">
      <xdr:nvSpPr>
        <xdr:cNvPr id="626" name="Line 337"/>
        <xdr:cNvSpPr>
          <a:spLocks noChangeShapeType="1"/>
        </xdr:cNvSpPr>
      </xdr:nvSpPr>
      <xdr:spPr bwMode="auto">
        <a:xfrm>
          <a:off x="2590800" y="779430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472</xdr:row>
      <xdr:rowOff>142875</xdr:rowOff>
    </xdr:from>
    <xdr:to>
      <xdr:col>4</xdr:col>
      <xdr:colOff>104775</xdr:colOff>
      <xdr:row>477</xdr:row>
      <xdr:rowOff>152400</xdr:rowOff>
    </xdr:to>
    <xdr:sp macro="" textlink="">
      <xdr:nvSpPr>
        <xdr:cNvPr id="627" name="Line 338"/>
        <xdr:cNvSpPr>
          <a:spLocks noChangeShapeType="1"/>
        </xdr:cNvSpPr>
      </xdr:nvSpPr>
      <xdr:spPr bwMode="auto">
        <a:xfrm>
          <a:off x="2647950" y="77114400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123825</xdr:colOff>
      <xdr:row>474</xdr:row>
      <xdr:rowOff>123825</xdr:rowOff>
    </xdr:from>
    <xdr:to>
      <xdr:col>4</xdr:col>
      <xdr:colOff>333375</xdr:colOff>
      <xdr:row>475</xdr:row>
      <xdr:rowOff>76200</xdr:rowOff>
    </xdr:to>
    <xdr:sp macro="" textlink="">
      <xdr:nvSpPr>
        <xdr:cNvPr id="628" name="Line 339"/>
        <xdr:cNvSpPr>
          <a:spLocks noChangeShapeType="1"/>
        </xdr:cNvSpPr>
      </xdr:nvSpPr>
      <xdr:spPr bwMode="auto">
        <a:xfrm flipH="1">
          <a:off x="2667000" y="77419200"/>
          <a:ext cx="20955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228600</xdr:colOff>
      <xdr:row>476</xdr:row>
      <xdr:rowOff>0</xdr:rowOff>
    </xdr:from>
    <xdr:to>
      <xdr:col>4</xdr:col>
      <xdr:colOff>361950</xdr:colOff>
      <xdr:row>476</xdr:row>
      <xdr:rowOff>0</xdr:rowOff>
    </xdr:to>
    <xdr:sp macro="" textlink="">
      <xdr:nvSpPr>
        <xdr:cNvPr id="629" name="Line 340"/>
        <xdr:cNvSpPr>
          <a:spLocks noChangeShapeType="1"/>
        </xdr:cNvSpPr>
      </xdr:nvSpPr>
      <xdr:spPr bwMode="auto">
        <a:xfrm>
          <a:off x="2771775" y="7761922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478</xdr:row>
      <xdr:rowOff>0</xdr:rowOff>
    </xdr:from>
    <xdr:to>
      <xdr:col>4</xdr:col>
      <xdr:colOff>371475</xdr:colOff>
      <xdr:row>478</xdr:row>
      <xdr:rowOff>0</xdr:rowOff>
    </xdr:to>
    <xdr:sp macro="" textlink="">
      <xdr:nvSpPr>
        <xdr:cNvPr id="630" name="Line 341"/>
        <xdr:cNvSpPr>
          <a:spLocks noChangeShapeType="1"/>
        </xdr:cNvSpPr>
      </xdr:nvSpPr>
      <xdr:spPr bwMode="auto">
        <a:xfrm>
          <a:off x="2771775" y="779430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476</xdr:row>
      <xdr:rowOff>0</xdr:rowOff>
    </xdr:from>
    <xdr:to>
      <xdr:col>4</xdr:col>
      <xdr:colOff>285750</xdr:colOff>
      <xdr:row>478</xdr:row>
      <xdr:rowOff>0</xdr:rowOff>
    </xdr:to>
    <xdr:sp macro="" textlink="">
      <xdr:nvSpPr>
        <xdr:cNvPr id="631" name="Line 342"/>
        <xdr:cNvSpPr>
          <a:spLocks noChangeShapeType="1"/>
        </xdr:cNvSpPr>
      </xdr:nvSpPr>
      <xdr:spPr bwMode="auto">
        <a:xfrm>
          <a:off x="2828925" y="776192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285749</xdr:colOff>
      <xdr:row>475</xdr:row>
      <xdr:rowOff>104775</xdr:rowOff>
    </xdr:from>
    <xdr:to>
      <xdr:col>5</xdr:col>
      <xdr:colOff>9524</xdr:colOff>
      <xdr:row>476</xdr:row>
      <xdr:rowOff>104775</xdr:rowOff>
    </xdr:to>
    <xdr:sp macro="" textlink="">
      <xdr:nvSpPr>
        <xdr:cNvPr id="632" name="Line 343"/>
        <xdr:cNvSpPr>
          <a:spLocks noChangeShapeType="1"/>
        </xdr:cNvSpPr>
      </xdr:nvSpPr>
      <xdr:spPr bwMode="auto">
        <a:xfrm flipH="1">
          <a:off x="2828924" y="77562075"/>
          <a:ext cx="36195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542924</xdr:colOff>
      <xdr:row>475</xdr:row>
      <xdr:rowOff>28575</xdr:rowOff>
    </xdr:from>
    <xdr:to>
      <xdr:col>3</xdr:col>
      <xdr:colOff>285749</xdr:colOff>
      <xdr:row>478</xdr:row>
      <xdr:rowOff>0</xdr:rowOff>
    </xdr:to>
    <xdr:sp macro="" textlink="">
      <xdr:nvSpPr>
        <xdr:cNvPr id="633" name="Line 344"/>
        <xdr:cNvSpPr>
          <a:spLocks noChangeShapeType="1"/>
        </xdr:cNvSpPr>
      </xdr:nvSpPr>
      <xdr:spPr bwMode="auto">
        <a:xfrm flipV="1">
          <a:off x="1866899" y="77485875"/>
          <a:ext cx="3524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533400</xdr:colOff>
      <xdr:row>477</xdr:row>
      <xdr:rowOff>66675</xdr:rowOff>
    </xdr:from>
    <xdr:to>
      <xdr:col>4</xdr:col>
      <xdr:colOff>628650</xdr:colOff>
      <xdr:row>477</xdr:row>
      <xdr:rowOff>66675</xdr:rowOff>
    </xdr:to>
    <xdr:sp macro="" textlink="">
      <xdr:nvSpPr>
        <xdr:cNvPr id="634" name="Line 346"/>
        <xdr:cNvSpPr>
          <a:spLocks noChangeShapeType="1"/>
        </xdr:cNvSpPr>
      </xdr:nvSpPr>
      <xdr:spPr bwMode="auto">
        <a:xfrm>
          <a:off x="3076575" y="7784782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478</xdr:row>
      <xdr:rowOff>0</xdr:rowOff>
    </xdr:from>
    <xdr:to>
      <xdr:col>4</xdr:col>
      <xdr:colOff>628650</xdr:colOff>
      <xdr:row>478</xdr:row>
      <xdr:rowOff>0</xdr:rowOff>
    </xdr:to>
    <xdr:sp macro="" textlink="">
      <xdr:nvSpPr>
        <xdr:cNvPr id="635" name="Line 347"/>
        <xdr:cNvSpPr>
          <a:spLocks noChangeShapeType="1"/>
        </xdr:cNvSpPr>
      </xdr:nvSpPr>
      <xdr:spPr bwMode="auto">
        <a:xfrm>
          <a:off x="3105150" y="7794307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478</xdr:row>
      <xdr:rowOff>0</xdr:rowOff>
    </xdr:from>
    <xdr:to>
      <xdr:col>4</xdr:col>
      <xdr:colOff>600075</xdr:colOff>
      <xdr:row>478</xdr:row>
      <xdr:rowOff>142875</xdr:rowOff>
    </xdr:to>
    <xdr:sp macro="" textlink="">
      <xdr:nvSpPr>
        <xdr:cNvPr id="636" name="Line 348"/>
        <xdr:cNvSpPr>
          <a:spLocks noChangeShapeType="1"/>
        </xdr:cNvSpPr>
      </xdr:nvSpPr>
      <xdr:spPr bwMode="auto">
        <a:xfrm flipV="1">
          <a:off x="3143250" y="779430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476</xdr:row>
      <xdr:rowOff>114300</xdr:rowOff>
    </xdr:from>
    <xdr:to>
      <xdr:col>4</xdr:col>
      <xdr:colOff>600075</xdr:colOff>
      <xdr:row>477</xdr:row>
      <xdr:rowOff>66675</xdr:rowOff>
    </xdr:to>
    <xdr:sp macro="" textlink="">
      <xdr:nvSpPr>
        <xdr:cNvPr id="637" name="Line 349"/>
        <xdr:cNvSpPr>
          <a:spLocks noChangeShapeType="1"/>
        </xdr:cNvSpPr>
      </xdr:nvSpPr>
      <xdr:spPr bwMode="auto">
        <a:xfrm>
          <a:off x="3143250" y="777335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0</xdr:col>
      <xdr:colOff>523875</xdr:colOff>
      <xdr:row>474</xdr:row>
      <xdr:rowOff>19050</xdr:rowOff>
    </xdr:from>
    <xdr:to>
      <xdr:col>1</xdr:col>
      <xdr:colOff>85725</xdr:colOff>
      <xdr:row>475</xdr:row>
      <xdr:rowOff>76200</xdr:rowOff>
    </xdr:to>
    <xdr:sp macro="" textlink="">
      <xdr:nvSpPr>
        <xdr:cNvPr id="638" name="Line 352"/>
        <xdr:cNvSpPr>
          <a:spLocks noChangeShapeType="1"/>
        </xdr:cNvSpPr>
      </xdr:nvSpPr>
      <xdr:spPr bwMode="auto">
        <a:xfrm flipV="1">
          <a:off x="523875" y="77314425"/>
          <a:ext cx="276225" cy="2190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76200</xdr:colOff>
      <xdr:row>471</xdr:row>
      <xdr:rowOff>95250</xdr:rowOff>
    </xdr:from>
    <xdr:to>
      <xdr:col>2</xdr:col>
      <xdr:colOff>504825</xdr:colOff>
      <xdr:row>471</xdr:row>
      <xdr:rowOff>95250</xdr:rowOff>
    </xdr:to>
    <xdr:sp macro="" textlink="">
      <xdr:nvSpPr>
        <xdr:cNvPr id="639" name="Line 354"/>
        <xdr:cNvSpPr>
          <a:spLocks noChangeShapeType="1"/>
        </xdr:cNvSpPr>
      </xdr:nvSpPr>
      <xdr:spPr bwMode="auto">
        <a:xfrm flipH="1">
          <a:off x="790575" y="76904850"/>
          <a:ext cx="10382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471</xdr:row>
      <xdr:rowOff>76200</xdr:rowOff>
    </xdr:from>
    <xdr:to>
      <xdr:col>4</xdr:col>
      <xdr:colOff>0</xdr:colOff>
      <xdr:row>471</xdr:row>
      <xdr:rowOff>76200</xdr:rowOff>
    </xdr:to>
    <xdr:sp macro="" textlink="">
      <xdr:nvSpPr>
        <xdr:cNvPr id="640" name="Line 355"/>
        <xdr:cNvSpPr>
          <a:spLocks noChangeShapeType="1"/>
        </xdr:cNvSpPr>
      </xdr:nvSpPr>
      <xdr:spPr bwMode="auto">
        <a:xfrm>
          <a:off x="2209800" y="76885800"/>
          <a:ext cx="33337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471</xdr:row>
      <xdr:rowOff>85725</xdr:rowOff>
    </xdr:from>
    <xdr:to>
      <xdr:col>1</xdr:col>
      <xdr:colOff>76200</xdr:colOff>
      <xdr:row>473</xdr:row>
      <xdr:rowOff>0</xdr:rowOff>
    </xdr:to>
    <xdr:sp macro="" textlink="">
      <xdr:nvSpPr>
        <xdr:cNvPr id="641" name="Line 356"/>
        <xdr:cNvSpPr>
          <a:spLocks noChangeShapeType="1"/>
        </xdr:cNvSpPr>
      </xdr:nvSpPr>
      <xdr:spPr bwMode="auto">
        <a:xfrm>
          <a:off x="790575" y="76895325"/>
          <a:ext cx="0" cy="23812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473</xdr:row>
      <xdr:rowOff>0</xdr:rowOff>
    </xdr:from>
    <xdr:to>
      <xdr:col>3</xdr:col>
      <xdr:colOff>504825</xdr:colOff>
      <xdr:row>473</xdr:row>
      <xdr:rowOff>152400</xdr:rowOff>
    </xdr:to>
    <xdr:sp macro="" textlink="">
      <xdr:nvSpPr>
        <xdr:cNvPr id="642" name="Line 358"/>
        <xdr:cNvSpPr>
          <a:spLocks noChangeShapeType="1"/>
        </xdr:cNvSpPr>
      </xdr:nvSpPr>
      <xdr:spPr bwMode="auto">
        <a:xfrm>
          <a:off x="2305050" y="77133450"/>
          <a:ext cx="133350" cy="15240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472</xdr:row>
      <xdr:rowOff>152400</xdr:rowOff>
    </xdr:from>
    <xdr:to>
      <xdr:col>4</xdr:col>
      <xdr:colOff>514350</xdr:colOff>
      <xdr:row>472</xdr:row>
      <xdr:rowOff>152400</xdr:rowOff>
    </xdr:to>
    <xdr:sp macro="" textlink="">
      <xdr:nvSpPr>
        <xdr:cNvPr id="643" name="Line 360"/>
        <xdr:cNvSpPr>
          <a:spLocks noChangeShapeType="1"/>
        </xdr:cNvSpPr>
      </xdr:nvSpPr>
      <xdr:spPr bwMode="auto">
        <a:xfrm>
          <a:off x="2790825" y="7712392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471</xdr:row>
      <xdr:rowOff>85725</xdr:rowOff>
    </xdr:from>
    <xdr:to>
      <xdr:col>4</xdr:col>
      <xdr:colOff>533400</xdr:colOff>
      <xdr:row>471</xdr:row>
      <xdr:rowOff>85725</xdr:rowOff>
    </xdr:to>
    <xdr:sp macro="" textlink="">
      <xdr:nvSpPr>
        <xdr:cNvPr id="644" name="Line 361"/>
        <xdr:cNvSpPr>
          <a:spLocks noChangeShapeType="1"/>
        </xdr:cNvSpPr>
      </xdr:nvSpPr>
      <xdr:spPr bwMode="auto">
        <a:xfrm flipV="1">
          <a:off x="2762250" y="76895325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479</xdr:row>
      <xdr:rowOff>123825</xdr:rowOff>
    </xdr:from>
    <xdr:to>
      <xdr:col>3</xdr:col>
      <xdr:colOff>476250</xdr:colOff>
      <xdr:row>480</xdr:row>
      <xdr:rowOff>28575</xdr:rowOff>
    </xdr:to>
    <xdr:sp macro="" textlink="">
      <xdr:nvSpPr>
        <xdr:cNvPr id="645" name="Line 365"/>
        <xdr:cNvSpPr>
          <a:spLocks noChangeShapeType="1"/>
        </xdr:cNvSpPr>
      </xdr:nvSpPr>
      <xdr:spPr bwMode="auto">
        <a:xfrm>
          <a:off x="2409825" y="78228825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479</xdr:row>
      <xdr:rowOff>114300</xdr:rowOff>
    </xdr:from>
    <xdr:to>
      <xdr:col>4</xdr:col>
      <xdr:colOff>9525</xdr:colOff>
      <xdr:row>480</xdr:row>
      <xdr:rowOff>47625</xdr:rowOff>
    </xdr:to>
    <xdr:sp macro="" textlink="">
      <xdr:nvSpPr>
        <xdr:cNvPr id="646" name="Line 366"/>
        <xdr:cNvSpPr>
          <a:spLocks noChangeShapeType="1"/>
        </xdr:cNvSpPr>
      </xdr:nvSpPr>
      <xdr:spPr bwMode="auto">
        <a:xfrm>
          <a:off x="2552700" y="782193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480</xdr:row>
      <xdr:rowOff>0</xdr:rowOff>
    </xdr:from>
    <xdr:to>
      <xdr:col>4</xdr:col>
      <xdr:colOff>9525</xdr:colOff>
      <xdr:row>480</xdr:row>
      <xdr:rowOff>0</xdr:rowOff>
    </xdr:to>
    <xdr:sp macro="" textlink="">
      <xdr:nvSpPr>
        <xdr:cNvPr id="647" name="Line 367"/>
        <xdr:cNvSpPr>
          <a:spLocks noChangeShapeType="1"/>
        </xdr:cNvSpPr>
      </xdr:nvSpPr>
      <xdr:spPr bwMode="auto">
        <a:xfrm>
          <a:off x="2409825" y="782669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476250</xdr:colOff>
      <xdr:row>480</xdr:row>
      <xdr:rowOff>95250</xdr:rowOff>
    </xdr:from>
    <xdr:to>
      <xdr:col>3</xdr:col>
      <xdr:colOff>476250</xdr:colOff>
      <xdr:row>481</xdr:row>
      <xdr:rowOff>38100</xdr:rowOff>
    </xdr:to>
    <xdr:sp macro="" textlink="">
      <xdr:nvSpPr>
        <xdr:cNvPr id="648" name="Line 368"/>
        <xdr:cNvSpPr>
          <a:spLocks noChangeShapeType="1"/>
        </xdr:cNvSpPr>
      </xdr:nvSpPr>
      <xdr:spPr bwMode="auto">
        <a:xfrm>
          <a:off x="2409825" y="7836217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295275</xdr:colOff>
      <xdr:row>480</xdr:row>
      <xdr:rowOff>114300</xdr:rowOff>
    </xdr:from>
    <xdr:to>
      <xdr:col>3</xdr:col>
      <xdr:colOff>295275</xdr:colOff>
      <xdr:row>481</xdr:row>
      <xdr:rowOff>19050</xdr:rowOff>
    </xdr:to>
    <xdr:sp macro="" textlink="">
      <xdr:nvSpPr>
        <xdr:cNvPr id="649" name="Line 371"/>
        <xdr:cNvSpPr>
          <a:spLocks noChangeShapeType="1"/>
        </xdr:cNvSpPr>
      </xdr:nvSpPr>
      <xdr:spPr bwMode="auto">
        <a:xfrm>
          <a:off x="2228850" y="78381225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472</xdr:row>
      <xdr:rowOff>152400</xdr:rowOff>
    </xdr:from>
    <xdr:to>
      <xdr:col>4</xdr:col>
      <xdr:colOff>9525</xdr:colOff>
      <xdr:row>472</xdr:row>
      <xdr:rowOff>152400</xdr:rowOff>
    </xdr:to>
    <xdr:sp macro="" textlink="">
      <xdr:nvSpPr>
        <xdr:cNvPr id="650" name="Line 376"/>
        <xdr:cNvSpPr>
          <a:spLocks noChangeShapeType="1"/>
        </xdr:cNvSpPr>
      </xdr:nvSpPr>
      <xdr:spPr bwMode="auto">
        <a:xfrm>
          <a:off x="2324100" y="771239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495300</xdr:colOff>
      <xdr:row>472</xdr:row>
      <xdr:rowOff>152400</xdr:rowOff>
    </xdr:from>
    <xdr:to>
      <xdr:col>3</xdr:col>
      <xdr:colOff>495300</xdr:colOff>
      <xdr:row>473</xdr:row>
      <xdr:rowOff>152400</xdr:rowOff>
    </xdr:to>
    <xdr:sp macro="" textlink="">
      <xdr:nvSpPr>
        <xdr:cNvPr id="651" name="Line 377"/>
        <xdr:cNvSpPr>
          <a:spLocks noChangeShapeType="1"/>
        </xdr:cNvSpPr>
      </xdr:nvSpPr>
      <xdr:spPr bwMode="auto">
        <a:xfrm flipV="1">
          <a:off x="2428875" y="771239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471</xdr:row>
      <xdr:rowOff>85725</xdr:rowOff>
    </xdr:from>
    <xdr:to>
      <xdr:col>3</xdr:col>
      <xdr:colOff>276225</xdr:colOff>
      <xdr:row>472</xdr:row>
      <xdr:rowOff>152400</xdr:rowOff>
    </xdr:to>
    <xdr:sp macro="" textlink="">
      <xdr:nvSpPr>
        <xdr:cNvPr id="652" name="Line 378"/>
        <xdr:cNvSpPr>
          <a:spLocks noChangeShapeType="1"/>
        </xdr:cNvSpPr>
      </xdr:nvSpPr>
      <xdr:spPr bwMode="auto">
        <a:xfrm>
          <a:off x="2209800" y="76895325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1</xdr:col>
      <xdr:colOff>104775</xdr:colOff>
      <xdr:row>483</xdr:row>
      <xdr:rowOff>0</xdr:rowOff>
    </xdr:from>
    <xdr:to>
      <xdr:col>4</xdr:col>
      <xdr:colOff>0</xdr:colOff>
      <xdr:row>483</xdr:row>
      <xdr:rowOff>0</xdr:rowOff>
    </xdr:to>
    <xdr:sp macro="" textlink="">
      <xdr:nvSpPr>
        <xdr:cNvPr id="653" name="Line 393"/>
        <xdr:cNvSpPr>
          <a:spLocks noChangeShapeType="1"/>
        </xdr:cNvSpPr>
      </xdr:nvSpPr>
      <xdr:spPr bwMode="auto">
        <a:xfrm>
          <a:off x="819150" y="78752700"/>
          <a:ext cx="1724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483</xdr:row>
      <xdr:rowOff>66675</xdr:rowOff>
    </xdr:from>
    <xdr:to>
      <xdr:col>4</xdr:col>
      <xdr:colOff>581025</xdr:colOff>
      <xdr:row>484</xdr:row>
      <xdr:rowOff>38100</xdr:rowOff>
    </xdr:to>
    <xdr:sp macro="" textlink="">
      <xdr:nvSpPr>
        <xdr:cNvPr id="654" name="Line 396"/>
        <xdr:cNvSpPr>
          <a:spLocks noChangeShapeType="1"/>
        </xdr:cNvSpPr>
      </xdr:nvSpPr>
      <xdr:spPr bwMode="auto">
        <a:xfrm flipH="1">
          <a:off x="2552700" y="78819375"/>
          <a:ext cx="57150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9525</xdr:colOff>
      <xdr:row>462</xdr:row>
      <xdr:rowOff>0</xdr:rowOff>
    </xdr:from>
    <xdr:to>
      <xdr:col>3</xdr:col>
      <xdr:colOff>276225</xdr:colOff>
      <xdr:row>462</xdr:row>
      <xdr:rowOff>0</xdr:rowOff>
    </xdr:to>
    <xdr:sp macro="" textlink="">
      <xdr:nvSpPr>
        <xdr:cNvPr id="655" name="Line 399"/>
        <xdr:cNvSpPr>
          <a:spLocks noChangeShapeType="1"/>
        </xdr:cNvSpPr>
      </xdr:nvSpPr>
      <xdr:spPr bwMode="auto">
        <a:xfrm>
          <a:off x="1943100" y="7535227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66675</xdr:colOff>
      <xdr:row>481</xdr:row>
      <xdr:rowOff>95250</xdr:rowOff>
    </xdr:from>
    <xdr:to>
      <xdr:col>3</xdr:col>
      <xdr:colOff>666750</xdr:colOff>
      <xdr:row>481</xdr:row>
      <xdr:rowOff>95250</xdr:rowOff>
    </xdr:to>
    <xdr:sp macro="" textlink="">
      <xdr:nvSpPr>
        <xdr:cNvPr id="656" name="Line 420"/>
        <xdr:cNvSpPr>
          <a:spLocks noChangeShapeType="1"/>
        </xdr:cNvSpPr>
      </xdr:nvSpPr>
      <xdr:spPr bwMode="auto">
        <a:xfrm>
          <a:off x="781050" y="78524100"/>
          <a:ext cx="1762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676275</xdr:colOff>
      <xdr:row>481</xdr:row>
      <xdr:rowOff>47625</xdr:rowOff>
    </xdr:from>
    <xdr:to>
      <xdr:col>3</xdr:col>
      <xdr:colOff>676275</xdr:colOff>
      <xdr:row>482</xdr:row>
      <xdr:rowOff>9525</xdr:rowOff>
    </xdr:to>
    <xdr:sp macro="" textlink="">
      <xdr:nvSpPr>
        <xdr:cNvPr id="657" name="Line 421"/>
        <xdr:cNvSpPr>
          <a:spLocks noChangeShapeType="1"/>
        </xdr:cNvSpPr>
      </xdr:nvSpPr>
      <xdr:spPr bwMode="auto">
        <a:xfrm>
          <a:off x="2543175" y="784764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66675</xdr:colOff>
      <xdr:row>481</xdr:row>
      <xdr:rowOff>28575</xdr:rowOff>
    </xdr:from>
    <xdr:to>
      <xdr:col>1</xdr:col>
      <xdr:colOff>66675</xdr:colOff>
      <xdr:row>481</xdr:row>
      <xdr:rowOff>123825</xdr:rowOff>
    </xdr:to>
    <xdr:sp macro="" textlink="">
      <xdr:nvSpPr>
        <xdr:cNvPr id="658" name="Line 422"/>
        <xdr:cNvSpPr>
          <a:spLocks noChangeShapeType="1"/>
        </xdr:cNvSpPr>
      </xdr:nvSpPr>
      <xdr:spPr bwMode="auto">
        <a:xfrm>
          <a:off x="781050" y="784574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466</xdr:row>
      <xdr:rowOff>152400</xdr:rowOff>
    </xdr:from>
    <xdr:to>
      <xdr:col>2</xdr:col>
      <xdr:colOff>523875</xdr:colOff>
      <xdr:row>466</xdr:row>
      <xdr:rowOff>152400</xdr:rowOff>
    </xdr:to>
    <xdr:sp macro="" textlink="">
      <xdr:nvSpPr>
        <xdr:cNvPr id="659" name="Line 423"/>
        <xdr:cNvSpPr>
          <a:spLocks noChangeShapeType="1"/>
        </xdr:cNvSpPr>
      </xdr:nvSpPr>
      <xdr:spPr bwMode="auto">
        <a:xfrm>
          <a:off x="800100" y="76152375"/>
          <a:ext cx="1047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95250</xdr:colOff>
      <xdr:row>470</xdr:row>
      <xdr:rowOff>9525</xdr:rowOff>
    </xdr:from>
    <xdr:to>
      <xdr:col>2</xdr:col>
      <xdr:colOff>542925</xdr:colOff>
      <xdr:row>470</xdr:row>
      <xdr:rowOff>9525</xdr:rowOff>
    </xdr:to>
    <xdr:sp macro="" textlink="">
      <xdr:nvSpPr>
        <xdr:cNvPr id="660" name="Line 430"/>
        <xdr:cNvSpPr>
          <a:spLocks noChangeShapeType="1"/>
        </xdr:cNvSpPr>
      </xdr:nvSpPr>
      <xdr:spPr bwMode="auto">
        <a:xfrm>
          <a:off x="809625" y="76657200"/>
          <a:ext cx="1057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123825</xdr:colOff>
      <xdr:row>470</xdr:row>
      <xdr:rowOff>114300</xdr:rowOff>
    </xdr:from>
    <xdr:to>
      <xdr:col>2</xdr:col>
      <xdr:colOff>180975</xdr:colOff>
      <xdr:row>471</xdr:row>
      <xdr:rowOff>76200</xdr:rowOff>
    </xdr:to>
    <xdr:sp macro="" textlink="">
      <xdr:nvSpPr>
        <xdr:cNvPr id="661" name="AutoShape 432"/>
        <xdr:cNvSpPr>
          <a:spLocks noChangeArrowheads="1"/>
        </xdr:cNvSpPr>
      </xdr:nvSpPr>
      <xdr:spPr bwMode="auto">
        <a:xfrm>
          <a:off x="1447800" y="76761975"/>
          <a:ext cx="57150" cy="123825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304800</xdr:colOff>
      <xdr:row>463</xdr:row>
      <xdr:rowOff>152400</xdr:rowOff>
    </xdr:from>
    <xdr:to>
      <xdr:col>4</xdr:col>
      <xdr:colOff>676275</xdr:colOff>
      <xdr:row>463</xdr:row>
      <xdr:rowOff>152400</xdr:rowOff>
    </xdr:to>
    <xdr:sp macro="" textlink="">
      <xdr:nvSpPr>
        <xdr:cNvPr id="662" name="Line 433"/>
        <xdr:cNvSpPr>
          <a:spLocks noChangeShapeType="1"/>
        </xdr:cNvSpPr>
      </xdr:nvSpPr>
      <xdr:spPr bwMode="auto">
        <a:xfrm>
          <a:off x="2238375" y="75666600"/>
          <a:ext cx="942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123825</xdr:colOff>
      <xdr:row>467</xdr:row>
      <xdr:rowOff>0</xdr:rowOff>
    </xdr:from>
    <xdr:to>
      <xdr:col>0</xdr:col>
      <xdr:colOff>123825</xdr:colOff>
      <xdr:row>473</xdr:row>
      <xdr:rowOff>0</xdr:rowOff>
    </xdr:to>
    <xdr:sp macro="" textlink="">
      <xdr:nvSpPr>
        <xdr:cNvPr id="663" name="Line 435"/>
        <xdr:cNvSpPr>
          <a:spLocks noChangeShapeType="1"/>
        </xdr:cNvSpPr>
      </xdr:nvSpPr>
      <xdr:spPr bwMode="auto">
        <a:xfrm>
          <a:off x="123825" y="76161900"/>
          <a:ext cx="0" cy="9715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0</xdr:col>
      <xdr:colOff>47625</xdr:colOff>
      <xdr:row>467</xdr:row>
      <xdr:rowOff>0</xdr:rowOff>
    </xdr:from>
    <xdr:to>
      <xdr:col>0</xdr:col>
      <xdr:colOff>180975</xdr:colOff>
      <xdr:row>467</xdr:row>
      <xdr:rowOff>0</xdr:rowOff>
    </xdr:to>
    <xdr:sp macro="" textlink="">
      <xdr:nvSpPr>
        <xdr:cNvPr id="664" name="Line 436"/>
        <xdr:cNvSpPr>
          <a:spLocks noChangeShapeType="1"/>
        </xdr:cNvSpPr>
      </xdr:nvSpPr>
      <xdr:spPr bwMode="auto">
        <a:xfrm>
          <a:off x="47625" y="761619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</xdr:colOff>
      <xdr:row>473</xdr:row>
      <xdr:rowOff>0</xdr:rowOff>
    </xdr:from>
    <xdr:to>
      <xdr:col>0</xdr:col>
      <xdr:colOff>200025</xdr:colOff>
      <xdr:row>473</xdr:row>
      <xdr:rowOff>0</xdr:rowOff>
    </xdr:to>
    <xdr:sp macro="" textlink="">
      <xdr:nvSpPr>
        <xdr:cNvPr id="665" name="Line 437"/>
        <xdr:cNvSpPr>
          <a:spLocks noChangeShapeType="1"/>
        </xdr:cNvSpPr>
      </xdr:nvSpPr>
      <xdr:spPr bwMode="auto">
        <a:xfrm>
          <a:off x="57150" y="771334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123825</xdr:colOff>
      <xdr:row>607</xdr:row>
      <xdr:rowOff>0</xdr:rowOff>
    </xdr:from>
    <xdr:to>
      <xdr:col>0</xdr:col>
      <xdr:colOff>219075</xdr:colOff>
      <xdr:row>608</xdr:row>
      <xdr:rowOff>66675</xdr:rowOff>
    </xdr:to>
    <xdr:sp macro="" textlink="">
      <xdr:nvSpPr>
        <xdr:cNvPr id="666" name="Text Box 443"/>
        <xdr:cNvSpPr txBox="1">
          <a:spLocks noChangeArrowheads="1"/>
        </xdr:cNvSpPr>
      </xdr:nvSpPr>
      <xdr:spPr bwMode="auto">
        <a:xfrm>
          <a:off x="123825" y="9958387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0</xdr:col>
      <xdr:colOff>123825</xdr:colOff>
      <xdr:row>607</xdr:row>
      <xdr:rowOff>0</xdr:rowOff>
    </xdr:from>
    <xdr:to>
      <xdr:col>0</xdr:col>
      <xdr:colOff>219075</xdr:colOff>
      <xdr:row>608</xdr:row>
      <xdr:rowOff>66675</xdr:rowOff>
    </xdr:to>
    <xdr:sp macro="" textlink="">
      <xdr:nvSpPr>
        <xdr:cNvPr id="667" name="Text Box 444"/>
        <xdr:cNvSpPr txBox="1">
          <a:spLocks noChangeArrowheads="1"/>
        </xdr:cNvSpPr>
      </xdr:nvSpPr>
      <xdr:spPr bwMode="auto">
        <a:xfrm>
          <a:off x="123825" y="99583875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104775</xdr:colOff>
      <xdr:row>466</xdr:row>
      <xdr:rowOff>152400</xdr:rowOff>
    </xdr:from>
    <xdr:to>
      <xdr:col>1</xdr:col>
      <xdr:colOff>104775</xdr:colOff>
      <xdr:row>471</xdr:row>
      <xdr:rowOff>85725</xdr:rowOff>
    </xdr:to>
    <xdr:sp macro="" textlink="">
      <xdr:nvSpPr>
        <xdr:cNvPr id="668" name="Line 454"/>
        <xdr:cNvSpPr>
          <a:spLocks noChangeShapeType="1"/>
        </xdr:cNvSpPr>
      </xdr:nvSpPr>
      <xdr:spPr bwMode="auto">
        <a:xfrm>
          <a:off x="819150" y="76152375"/>
          <a:ext cx="0" cy="7429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 editAs="oneCell">
    <xdr:from>
      <xdr:col>6</xdr:col>
      <xdr:colOff>542925</xdr:colOff>
      <xdr:row>607</xdr:row>
      <xdr:rowOff>0</xdr:rowOff>
    </xdr:from>
    <xdr:to>
      <xdr:col>7</xdr:col>
      <xdr:colOff>266700</xdr:colOff>
      <xdr:row>608</xdr:row>
      <xdr:rowOff>38100</xdr:rowOff>
    </xdr:to>
    <xdr:sp macro="" textlink="">
      <xdr:nvSpPr>
        <xdr:cNvPr id="669" name="Text Box 462"/>
        <xdr:cNvSpPr txBox="1">
          <a:spLocks noChangeArrowheads="1"/>
        </xdr:cNvSpPr>
      </xdr:nvSpPr>
      <xdr:spPr bwMode="auto">
        <a:xfrm>
          <a:off x="4333875" y="99583875"/>
          <a:ext cx="3333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142875</xdr:colOff>
      <xdr:row>607</xdr:row>
      <xdr:rowOff>0</xdr:rowOff>
    </xdr:from>
    <xdr:to>
      <xdr:col>7</xdr:col>
      <xdr:colOff>466725</xdr:colOff>
      <xdr:row>608</xdr:row>
      <xdr:rowOff>38100</xdr:rowOff>
    </xdr:to>
    <xdr:sp macro="" textlink="">
      <xdr:nvSpPr>
        <xdr:cNvPr id="670" name="Text Box 463"/>
        <xdr:cNvSpPr txBox="1">
          <a:spLocks noChangeArrowheads="1"/>
        </xdr:cNvSpPr>
      </xdr:nvSpPr>
      <xdr:spPr bwMode="auto">
        <a:xfrm>
          <a:off x="4543425" y="99583875"/>
          <a:ext cx="3238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542925</xdr:colOff>
      <xdr:row>607</xdr:row>
      <xdr:rowOff>0</xdr:rowOff>
    </xdr:from>
    <xdr:to>
      <xdr:col>7</xdr:col>
      <xdr:colOff>266700</xdr:colOff>
      <xdr:row>608</xdr:row>
      <xdr:rowOff>38100</xdr:rowOff>
    </xdr:to>
    <xdr:sp macro="" textlink="">
      <xdr:nvSpPr>
        <xdr:cNvPr id="671" name="Text Box 464"/>
        <xdr:cNvSpPr txBox="1">
          <a:spLocks noChangeArrowheads="1"/>
        </xdr:cNvSpPr>
      </xdr:nvSpPr>
      <xdr:spPr bwMode="auto">
        <a:xfrm>
          <a:off x="4333875" y="99583875"/>
          <a:ext cx="3333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104775</xdr:colOff>
      <xdr:row>312</xdr:row>
      <xdr:rowOff>0</xdr:rowOff>
    </xdr:from>
    <xdr:to>
      <xdr:col>5</xdr:col>
      <xdr:colOff>476250</xdr:colOff>
      <xdr:row>312</xdr:row>
      <xdr:rowOff>0</xdr:rowOff>
    </xdr:to>
    <xdr:sp macro="" textlink="">
      <xdr:nvSpPr>
        <xdr:cNvPr id="672" name="Line 468"/>
        <xdr:cNvSpPr>
          <a:spLocks noChangeShapeType="1"/>
        </xdr:cNvSpPr>
      </xdr:nvSpPr>
      <xdr:spPr bwMode="auto">
        <a:xfrm flipV="1">
          <a:off x="3286125" y="50034825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609600</xdr:colOff>
      <xdr:row>477</xdr:row>
      <xdr:rowOff>66675</xdr:rowOff>
    </xdr:from>
    <xdr:to>
      <xdr:col>6</xdr:col>
      <xdr:colOff>19050</xdr:colOff>
      <xdr:row>477</xdr:row>
      <xdr:rowOff>133350</xdr:rowOff>
    </xdr:to>
    <xdr:sp macro="" textlink="">
      <xdr:nvSpPr>
        <xdr:cNvPr id="673" name="Line 469"/>
        <xdr:cNvSpPr>
          <a:spLocks noChangeShapeType="1"/>
        </xdr:cNvSpPr>
      </xdr:nvSpPr>
      <xdr:spPr bwMode="auto">
        <a:xfrm flipH="1">
          <a:off x="3152775" y="77847825"/>
          <a:ext cx="6572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oneCellAnchor>
    <xdr:from>
      <xdr:col>16</xdr:col>
      <xdr:colOff>76200</xdr:colOff>
      <xdr:row>339</xdr:row>
      <xdr:rowOff>28575</xdr:rowOff>
    </xdr:from>
    <xdr:ext cx="19050" cy="345042"/>
    <xdr:sp macro="" textlink="">
      <xdr:nvSpPr>
        <xdr:cNvPr id="674" name="Text Box 476"/>
        <xdr:cNvSpPr txBox="1">
          <a:spLocks noChangeArrowheads="1"/>
        </xdr:cNvSpPr>
      </xdr:nvSpPr>
      <xdr:spPr bwMode="auto">
        <a:xfrm>
          <a:off x="8810625" y="54530625"/>
          <a:ext cx="19050" cy="3450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1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2</xdr:col>
      <xdr:colOff>514350</xdr:colOff>
      <xdr:row>523</xdr:row>
      <xdr:rowOff>9525</xdr:rowOff>
    </xdr:from>
    <xdr:to>
      <xdr:col>3</xdr:col>
      <xdr:colOff>0</xdr:colOff>
      <xdr:row>534</xdr:row>
      <xdr:rowOff>104775</xdr:rowOff>
    </xdr:to>
    <xdr:sp macro="" textlink="">
      <xdr:nvSpPr>
        <xdr:cNvPr id="675" name="Line 652"/>
        <xdr:cNvSpPr>
          <a:spLocks noChangeShapeType="1"/>
        </xdr:cNvSpPr>
      </xdr:nvSpPr>
      <xdr:spPr bwMode="auto">
        <a:xfrm flipH="1">
          <a:off x="1838325" y="85429725"/>
          <a:ext cx="95250" cy="1876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528</xdr:row>
      <xdr:rowOff>0</xdr:rowOff>
    </xdr:from>
    <xdr:to>
      <xdr:col>3</xdr:col>
      <xdr:colOff>276225</xdr:colOff>
      <xdr:row>534</xdr:row>
      <xdr:rowOff>95250</xdr:rowOff>
    </xdr:to>
    <xdr:sp macro="" textlink="">
      <xdr:nvSpPr>
        <xdr:cNvPr id="676" name="Line 653"/>
        <xdr:cNvSpPr>
          <a:spLocks noChangeShapeType="1"/>
        </xdr:cNvSpPr>
      </xdr:nvSpPr>
      <xdr:spPr bwMode="auto">
        <a:xfrm>
          <a:off x="2209800" y="86229825"/>
          <a:ext cx="0" cy="1066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536</xdr:row>
      <xdr:rowOff>152400</xdr:rowOff>
    </xdr:from>
    <xdr:to>
      <xdr:col>3</xdr:col>
      <xdr:colOff>390525</xdr:colOff>
      <xdr:row>537</xdr:row>
      <xdr:rowOff>0</xdr:rowOff>
    </xdr:to>
    <xdr:sp macro="" textlink="">
      <xdr:nvSpPr>
        <xdr:cNvPr id="677" name="Line 654"/>
        <xdr:cNvSpPr>
          <a:spLocks noChangeShapeType="1"/>
        </xdr:cNvSpPr>
      </xdr:nvSpPr>
      <xdr:spPr bwMode="auto">
        <a:xfrm flipH="1">
          <a:off x="800100" y="87677625"/>
          <a:ext cx="1524000" cy="9525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539</xdr:row>
      <xdr:rowOff>142875</xdr:rowOff>
    </xdr:from>
    <xdr:to>
      <xdr:col>4</xdr:col>
      <xdr:colOff>0</xdr:colOff>
      <xdr:row>541</xdr:row>
      <xdr:rowOff>152400</xdr:rowOff>
    </xdr:to>
    <xdr:sp macro="" textlink="">
      <xdr:nvSpPr>
        <xdr:cNvPr id="678" name="Line 655"/>
        <xdr:cNvSpPr>
          <a:spLocks noChangeShapeType="1"/>
        </xdr:cNvSpPr>
      </xdr:nvSpPr>
      <xdr:spPr bwMode="auto">
        <a:xfrm>
          <a:off x="790575" y="88153875"/>
          <a:ext cx="175260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676275</xdr:colOff>
      <xdr:row>533</xdr:row>
      <xdr:rowOff>9525</xdr:rowOff>
    </xdr:from>
    <xdr:to>
      <xdr:col>3</xdr:col>
      <xdr:colOff>676275</xdr:colOff>
      <xdr:row>533</xdr:row>
      <xdr:rowOff>57150</xdr:rowOff>
    </xdr:to>
    <xdr:sp macro="" textlink="">
      <xdr:nvSpPr>
        <xdr:cNvPr id="679" name="Line 656"/>
        <xdr:cNvSpPr>
          <a:spLocks noChangeShapeType="1"/>
        </xdr:cNvSpPr>
      </xdr:nvSpPr>
      <xdr:spPr bwMode="auto">
        <a:xfrm>
          <a:off x="2543175" y="87048975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534</xdr:row>
      <xdr:rowOff>66675</xdr:rowOff>
    </xdr:from>
    <xdr:to>
      <xdr:col>4</xdr:col>
      <xdr:colOff>485775</xdr:colOff>
      <xdr:row>534</xdr:row>
      <xdr:rowOff>66675</xdr:rowOff>
    </xdr:to>
    <xdr:sp macro="" textlink="">
      <xdr:nvSpPr>
        <xdr:cNvPr id="680" name="Line 657"/>
        <xdr:cNvSpPr>
          <a:spLocks noChangeShapeType="1"/>
        </xdr:cNvSpPr>
      </xdr:nvSpPr>
      <xdr:spPr bwMode="auto">
        <a:xfrm>
          <a:off x="2628900" y="87268050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523875</xdr:colOff>
      <xdr:row>536</xdr:row>
      <xdr:rowOff>142875</xdr:rowOff>
    </xdr:from>
    <xdr:to>
      <xdr:col>2</xdr:col>
      <xdr:colOff>523875</xdr:colOff>
      <xdr:row>540</xdr:row>
      <xdr:rowOff>142875</xdr:rowOff>
    </xdr:to>
    <xdr:sp macro="" textlink="">
      <xdr:nvSpPr>
        <xdr:cNvPr id="681" name="Line 659"/>
        <xdr:cNvSpPr>
          <a:spLocks noChangeShapeType="1"/>
        </xdr:cNvSpPr>
      </xdr:nvSpPr>
      <xdr:spPr bwMode="auto">
        <a:xfrm flipV="1">
          <a:off x="1847850" y="87668100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3</xdr:col>
      <xdr:colOff>285750</xdr:colOff>
      <xdr:row>536</xdr:row>
      <xdr:rowOff>152400</xdr:rowOff>
    </xdr:from>
    <xdr:to>
      <xdr:col>3</xdr:col>
      <xdr:colOff>285750</xdr:colOff>
      <xdr:row>541</xdr:row>
      <xdr:rowOff>66675</xdr:rowOff>
    </xdr:to>
    <xdr:sp macro="" textlink="">
      <xdr:nvSpPr>
        <xdr:cNvPr id="682" name="Line 660"/>
        <xdr:cNvSpPr>
          <a:spLocks noChangeShapeType="1"/>
        </xdr:cNvSpPr>
      </xdr:nvSpPr>
      <xdr:spPr bwMode="auto">
        <a:xfrm flipV="1">
          <a:off x="2219325" y="87677625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4</xdr:col>
      <xdr:colOff>9525</xdr:colOff>
      <xdr:row>537</xdr:row>
      <xdr:rowOff>133350</xdr:rowOff>
    </xdr:from>
    <xdr:to>
      <xdr:col>4</xdr:col>
      <xdr:colOff>9525</xdr:colOff>
      <xdr:row>541</xdr:row>
      <xdr:rowOff>152400</xdr:rowOff>
    </xdr:to>
    <xdr:sp macro="" textlink="">
      <xdr:nvSpPr>
        <xdr:cNvPr id="683" name="Line 661"/>
        <xdr:cNvSpPr>
          <a:spLocks noChangeShapeType="1"/>
        </xdr:cNvSpPr>
      </xdr:nvSpPr>
      <xdr:spPr bwMode="auto">
        <a:xfrm flipV="1">
          <a:off x="2552700" y="87820500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95250</xdr:colOff>
      <xdr:row>536</xdr:row>
      <xdr:rowOff>152400</xdr:rowOff>
    </xdr:from>
    <xdr:to>
      <xdr:col>1</xdr:col>
      <xdr:colOff>95250</xdr:colOff>
      <xdr:row>539</xdr:row>
      <xdr:rowOff>152400</xdr:rowOff>
    </xdr:to>
    <xdr:sp macro="" textlink="">
      <xdr:nvSpPr>
        <xdr:cNvPr id="684" name="Line 662"/>
        <xdr:cNvSpPr>
          <a:spLocks noChangeShapeType="1"/>
        </xdr:cNvSpPr>
      </xdr:nvSpPr>
      <xdr:spPr bwMode="auto">
        <a:xfrm flipV="1">
          <a:off x="809625" y="876776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104775</xdr:colOff>
      <xdr:row>540</xdr:row>
      <xdr:rowOff>0</xdr:rowOff>
    </xdr:from>
    <xdr:to>
      <xdr:col>4</xdr:col>
      <xdr:colOff>9525</xdr:colOff>
      <xdr:row>540</xdr:row>
      <xdr:rowOff>0</xdr:rowOff>
    </xdr:to>
    <xdr:sp macro="" textlink="">
      <xdr:nvSpPr>
        <xdr:cNvPr id="685" name="Line 663"/>
        <xdr:cNvSpPr>
          <a:spLocks noChangeShapeType="1"/>
        </xdr:cNvSpPr>
      </xdr:nvSpPr>
      <xdr:spPr bwMode="auto">
        <a:xfrm>
          <a:off x="819150" y="88172925"/>
          <a:ext cx="1733550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541</xdr:row>
      <xdr:rowOff>66675</xdr:rowOff>
    </xdr:from>
    <xdr:to>
      <xdr:col>4</xdr:col>
      <xdr:colOff>0</xdr:colOff>
      <xdr:row>541</xdr:row>
      <xdr:rowOff>66675</xdr:rowOff>
    </xdr:to>
    <xdr:sp macro="" textlink="">
      <xdr:nvSpPr>
        <xdr:cNvPr id="686" name="Line 664"/>
        <xdr:cNvSpPr>
          <a:spLocks noChangeShapeType="1"/>
        </xdr:cNvSpPr>
      </xdr:nvSpPr>
      <xdr:spPr bwMode="auto">
        <a:xfrm>
          <a:off x="2171700" y="88401525"/>
          <a:ext cx="371475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76200</xdr:colOff>
      <xdr:row>537</xdr:row>
      <xdr:rowOff>0</xdr:rowOff>
    </xdr:from>
    <xdr:to>
      <xdr:col>4</xdr:col>
      <xdr:colOff>180975</xdr:colOff>
      <xdr:row>537</xdr:row>
      <xdr:rowOff>0</xdr:rowOff>
    </xdr:to>
    <xdr:sp macro="" textlink="">
      <xdr:nvSpPr>
        <xdr:cNvPr id="687" name="Line 665"/>
        <xdr:cNvSpPr>
          <a:spLocks noChangeShapeType="1"/>
        </xdr:cNvSpPr>
      </xdr:nvSpPr>
      <xdr:spPr bwMode="auto">
        <a:xfrm>
          <a:off x="2619375" y="876871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542</xdr:row>
      <xdr:rowOff>0</xdr:rowOff>
    </xdr:from>
    <xdr:to>
      <xdr:col>4</xdr:col>
      <xdr:colOff>142875</xdr:colOff>
      <xdr:row>542</xdr:row>
      <xdr:rowOff>0</xdr:rowOff>
    </xdr:to>
    <xdr:sp macro="" textlink="">
      <xdr:nvSpPr>
        <xdr:cNvPr id="688" name="Line 666"/>
        <xdr:cNvSpPr>
          <a:spLocks noChangeShapeType="1"/>
        </xdr:cNvSpPr>
      </xdr:nvSpPr>
      <xdr:spPr bwMode="auto">
        <a:xfrm>
          <a:off x="2590800" y="885253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536</xdr:row>
      <xdr:rowOff>142875</xdr:rowOff>
    </xdr:from>
    <xdr:to>
      <xdr:col>4</xdr:col>
      <xdr:colOff>104775</xdr:colOff>
      <xdr:row>541</xdr:row>
      <xdr:rowOff>152400</xdr:rowOff>
    </xdr:to>
    <xdr:sp macro="" textlink="">
      <xdr:nvSpPr>
        <xdr:cNvPr id="689" name="Line 667"/>
        <xdr:cNvSpPr>
          <a:spLocks noChangeShapeType="1"/>
        </xdr:cNvSpPr>
      </xdr:nvSpPr>
      <xdr:spPr bwMode="auto">
        <a:xfrm>
          <a:off x="2647950" y="87668100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228600</xdr:colOff>
      <xdr:row>540</xdr:row>
      <xdr:rowOff>0</xdr:rowOff>
    </xdr:from>
    <xdr:to>
      <xdr:col>4</xdr:col>
      <xdr:colOff>361950</xdr:colOff>
      <xdr:row>540</xdr:row>
      <xdr:rowOff>0</xdr:rowOff>
    </xdr:to>
    <xdr:sp macro="" textlink="">
      <xdr:nvSpPr>
        <xdr:cNvPr id="690" name="Line 669"/>
        <xdr:cNvSpPr>
          <a:spLocks noChangeShapeType="1"/>
        </xdr:cNvSpPr>
      </xdr:nvSpPr>
      <xdr:spPr bwMode="auto">
        <a:xfrm>
          <a:off x="2771775" y="8817292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542</xdr:row>
      <xdr:rowOff>0</xdr:rowOff>
    </xdr:from>
    <xdr:to>
      <xdr:col>4</xdr:col>
      <xdr:colOff>371475</xdr:colOff>
      <xdr:row>542</xdr:row>
      <xdr:rowOff>0</xdr:rowOff>
    </xdr:to>
    <xdr:sp macro="" textlink="">
      <xdr:nvSpPr>
        <xdr:cNvPr id="691" name="Line 670"/>
        <xdr:cNvSpPr>
          <a:spLocks noChangeShapeType="1"/>
        </xdr:cNvSpPr>
      </xdr:nvSpPr>
      <xdr:spPr bwMode="auto">
        <a:xfrm>
          <a:off x="2771775" y="885253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540</xdr:row>
      <xdr:rowOff>0</xdr:rowOff>
    </xdr:from>
    <xdr:to>
      <xdr:col>4</xdr:col>
      <xdr:colOff>285750</xdr:colOff>
      <xdr:row>542</xdr:row>
      <xdr:rowOff>0</xdr:rowOff>
    </xdr:to>
    <xdr:sp macro="" textlink="">
      <xdr:nvSpPr>
        <xdr:cNvPr id="692" name="Line 671"/>
        <xdr:cNvSpPr>
          <a:spLocks noChangeShapeType="1"/>
        </xdr:cNvSpPr>
      </xdr:nvSpPr>
      <xdr:spPr bwMode="auto">
        <a:xfrm>
          <a:off x="2828925" y="88172925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561975</xdr:colOff>
      <xdr:row>540</xdr:row>
      <xdr:rowOff>85725</xdr:rowOff>
    </xdr:from>
    <xdr:to>
      <xdr:col>3</xdr:col>
      <xdr:colOff>285750</xdr:colOff>
      <xdr:row>543</xdr:row>
      <xdr:rowOff>95250</xdr:rowOff>
    </xdr:to>
    <xdr:sp macro="" textlink="">
      <xdr:nvSpPr>
        <xdr:cNvPr id="693" name="Line 673"/>
        <xdr:cNvSpPr>
          <a:spLocks noChangeShapeType="1"/>
        </xdr:cNvSpPr>
      </xdr:nvSpPr>
      <xdr:spPr bwMode="auto">
        <a:xfrm flipV="1">
          <a:off x="1885950" y="88258650"/>
          <a:ext cx="333375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533400</xdr:colOff>
      <xdr:row>541</xdr:row>
      <xdr:rowOff>66675</xdr:rowOff>
    </xdr:from>
    <xdr:to>
      <xdr:col>4</xdr:col>
      <xdr:colOff>628650</xdr:colOff>
      <xdr:row>541</xdr:row>
      <xdr:rowOff>66675</xdr:rowOff>
    </xdr:to>
    <xdr:sp macro="" textlink="">
      <xdr:nvSpPr>
        <xdr:cNvPr id="694" name="Line 675"/>
        <xdr:cNvSpPr>
          <a:spLocks noChangeShapeType="1"/>
        </xdr:cNvSpPr>
      </xdr:nvSpPr>
      <xdr:spPr bwMode="auto">
        <a:xfrm>
          <a:off x="3076575" y="8840152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542</xdr:row>
      <xdr:rowOff>0</xdr:rowOff>
    </xdr:from>
    <xdr:to>
      <xdr:col>4</xdr:col>
      <xdr:colOff>628650</xdr:colOff>
      <xdr:row>542</xdr:row>
      <xdr:rowOff>0</xdr:rowOff>
    </xdr:to>
    <xdr:sp macro="" textlink="">
      <xdr:nvSpPr>
        <xdr:cNvPr id="695" name="Line 676"/>
        <xdr:cNvSpPr>
          <a:spLocks noChangeShapeType="1"/>
        </xdr:cNvSpPr>
      </xdr:nvSpPr>
      <xdr:spPr bwMode="auto">
        <a:xfrm>
          <a:off x="3105150" y="8852535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542</xdr:row>
      <xdr:rowOff>0</xdr:rowOff>
    </xdr:from>
    <xdr:to>
      <xdr:col>4</xdr:col>
      <xdr:colOff>600075</xdr:colOff>
      <xdr:row>542</xdr:row>
      <xdr:rowOff>142875</xdr:rowOff>
    </xdr:to>
    <xdr:sp macro="" textlink="">
      <xdr:nvSpPr>
        <xdr:cNvPr id="696" name="Line 677"/>
        <xdr:cNvSpPr>
          <a:spLocks noChangeShapeType="1"/>
        </xdr:cNvSpPr>
      </xdr:nvSpPr>
      <xdr:spPr bwMode="auto">
        <a:xfrm flipV="1">
          <a:off x="3143250" y="8852535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540</xdr:row>
      <xdr:rowOff>114300</xdr:rowOff>
    </xdr:from>
    <xdr:to>
      <xdr:col>4</xdr:col>
      <xdr:colOff>600075</xdr:colOff>
      <xdr:row>541</xdr:row>
      <xdr:rowOff>66675</xdr:rowOff>
    </xdr:to>
    <xdr:sp macro="" textlink="">
      <xdr:nvSpPr>
        <xdr:cNvPr id="697" name="Line 678"/>
        <xdr:cNvSpPr>
          <a:spLocks noChangeShapeType="1"/>
        </xdr:cNvSpPr>
      </xdr:nvSpPr>
      <xdr:spPr bwMode="auto">
        <a:xfrm>
          <a:off x="3143250" y="882872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609600</xdr:colOff>
      <xdr:row>541</xdr:row>
      <xdr:rowOff>104775</xdr:rowOff>
    </xdr:from>
    <xdr:to>
      <xdr:col>5</xdr:col>
      <xdr:colOff>171450</xdr:colOff>
      <xdr:row>541</xdr:row>
      <xdr:rowOff>114300</xdr:rowOff>
    </xdr:to>
    <xdr:sp macro="" textlink="">
      <xdr:nvSpPr>
        <xdr:cNvPr id="698" name="Line 680"/>
        <xdr:cNvSpPr>
          <a:spLocks noChangeShapeType="1"/>
        </xdr:cNvSpPr>
      </xdr:nvSpPr>
      <xdr:spPr bwMode="auto">
        <a:xfrm flipH="1">
          <a:off x="3152775" y="88439625"/>
          <a:ext cx="2000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38100</xdr:colOff>
      <xdr:row>527</xdr:row>
      <xdr:rowOff>9525</xdr:rowOff>
    </xdr:from>
    <xdr:to>
      <xdr:col>2</xdr:col>
      <xdr:colOff>466725</xdr:colOff>
      <xdr:row>527</xdr:row>
      <xdr:rowOff>9525</xdr:rowOff>
    </xdr:to>
    <xdr:sp macro="" textlink="">
      <xdr:nvSpPr>
        <xdr:cNvPr id="699" name="Line 682"/>
        <xdr:cNvSpPr>
          <a:spLocks noChangeShapeType="1"/>
        </xdr:cNvSpPr>
      </xdr:nvSpPr>
      <xdr:spPr bwMode="auto">
        <a:xfrm flipH="1">
          <a:off x="752475" y="86077425"/>
          <a:ext cx="10382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534</xdr:row>
      <xdr:rowOff>85725</xdr:rowOff>
    </xdr:from>
    <xdr:to>
      <xdr:col>1</xdr:col>
      <xdr:colOff>76200</xdr:colOff>
      <xdr:row>537</xdr:row>
      <xdr:rowOff>0</xdr:rowOff>
    </xdr:to>
    <xdr:sp macro="" textlink="">
      <xdr:nvSpPr>
        <xdr:cNvPr id="700" name="Line 684"/>
        <xdr:cNvSpPr>
          <a:spLocks noChangeShapeType="1"/>
        </xdr:cNvSpPr>
      </xdr:nvSpPr>
      <xdr:spPr bwMode="auto">
        <a:xfrm>
          <a:off x="790575" y="87287100"/>
          <a:ext cx="0" cy="40005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537</xdr:row>
      <xdr:rowOff>0</xdr:rowOff>
    </xdr:from>
    <xdr:to>
      <xdr:col>3</xdr:col>
      <xdr:colOff>504825</xdr:colOff>
      <xdr:row>537</xdr:row>
      <xdr:rowOff>152400</xdr:rowOff>
    </xdr:to>
    <xdr:sp macro="" textlink="">
      <xdr:nvSpPr>
        <xdr:cNvPr id="701" name="Line 686"/>
        <xdr:cNvSpPr>
          <a:spLocks noChangeShapeType="1"/>
        </xdr:cNvSpPr>
      </xdr:nvSpPr>
      <xdr:spPr bwMode="auto">
        <a:xfrm>
          <a:off x="2305050" y="87687150"/>
          <a:ext cx="133350" cy="15240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</xdr:col>
      <xdr:colOff>514350</xdr:colOff>
      <xdr:row>537</xdr:row>
      <xdr:rowOff>142875</xdr:rowOff>
    </xdr:from>
    <xdr:to>
      <xdr:col>4</xdr:col>
      <xdr:colOff>9525</xdr:colOff>
      <xdr:row>537</xdr:row>
      <xdr:rowOff>142875</xdr:rowOff>
    </xdr:to>
    <xdr:sp macro="" textlink="">
      <xdr:nvSpPr>
        <xdr:cNvPr id="702" name="Line 687"/>
        <xdr:cNvSpPr>
          <a:spLocks noChangeShapeType="1"/>
        </xdr:cNvSpPr>
      </xdr:nvSpPr>
      <xdr:spPr bwMode="auto">
        <a:xfrm>
          <a:off x="2447925" y="87830025"/>
          <a:ext cx="104775" cy="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537</xdr:row>
      <xdr:rowOff>0</xdr:rowOff>
    </xdr:from>
    <xdr:to>
      <xdr:col>4</xdr:col>
      <xdr:colOff>361950</xdr:colOff>
      <xdr:row>537</xdr:row>
      <xdr:rowOff>0</xdr:rowOff>
    </xdr:to>
    <xdr:sp macro="" textlink="">
      <xdr:nvSpPr>
        <xdr:cNvPr id="703" name="Line 688"/>
        <xdr:cNvSpPr>
          <a:spLocks noChangeShapeType="1"/>
        </xdr:cNvSpPr>
      </xdr:nvSpPr>
      <xdr:spPr bwMode="auto">
        <a:xfrm>
          <a:off x="2790825" y="876871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543</xdr:row>
      <xdr:rowOff>114300</xdr:rowOff>
    </xdr:from>
    <xdr:to>
      <xdr:col>4</xdr:col>
      <xdr:colOff>9525</xdr:colOff>
      <xdr:row>544</xdr:row>
      <xdr:rowOff>47625</xdr:rowOff>
    </xdr:to>
    <xdr:sp macro="" textlink="">
      <xdr:nvSpPr>
        <xdr:cNvPr id="704" name="Line 694"/>
        <xdr:cNvSpPr>
          <a:spLocks noChangeShapeType="1"/>
        </xdr:cNvSpPr>
      </xdr:nvSpPr>
      <xdr:spPr bwMode="auto">
        <a:xfrm>
          <a:off x="2552700" y="888015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544</xdr:row>
      <xdr:rowOff>0</xdr:rowOff>
    </xdr:from>
    <xdr:to>
      <xdr:col>4</xdr:col>
      <xdr:colOff>9525</xdr:colOff>
      <xdr:row>544</xdr:row>
      <xdr:rowOff>0</xdr:rowOff>
    </xdr:to>
    <xdr:sp macro="" textlink="">
      <xdr:nvSpPr>
        <xdr:cNvPr id="705" name="Line 695"/>
        <xdr:cNvSpPr>
          <a:spLocks noChangeShapeType="1"/>
        </xdr:cNvSpPr>
      </xdr:nvSpPr>
      <xdr:spPr bwMode="auto">
        <a:xfrm>
          <a:off x="2409825" y="888492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542925</xdr:colOff>
      <xdr:row>544</xdr:row>
      <xdr:rowOff>95250</xdr:rowOff>
    </xdr:from>
    <xdr:to>
      <xdr:col>3</xdr:col>
      <xdr:colOff>542925</xdr:colOff>
      <xdr:row>545</xdr:row>
      <xdr:rowOff>38100</xdr:rowOff>
    </xdr:to>
    <xdr:sp macro="" textlink="">
      <xdr:nvSpPr>
        <xdr:cNvPr id="706" name="Line 696"/>
        <xdr:cNvSpPr>
          <a:spLocks noChangeShapeType="1"/>
        </xdr:cNvSpPr>
      </xdr:nvSpPr>
      <xdr:spPr bwMode="auto">
        <a:xfrm>
          <a:off x="2476500" y="889444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381000</xdr:colOff>
      <xdr:row>536</xdr:row>
      <xdr:rowOff>152400</xdr:rowOff>
    </xdr:from>
    <xdr:to>
      <xdr:col>4</xdr:col>
      <xdr:colOff>0</xdr:colOff>
      <xdr:row>536</xdr:row>
      <xdr:rowOff>152400</xdr:rowOff>
    </xdr:to>
    <xdr:sp macro="" textlink="">
      <xdr:nvSpPr>
        <xdr:cNvPr id="707" name="Line 703"/>
        <xdr:cNvSpPr>
          <a:spLocks noChangeShapeType="1"/>
        </xdr:cNvSpPr>
      </xdr:nvSpPr>
      <xdr:spPr bwMode="auto">
        <a:xfrm>
          <a:off x="2314575" y="876776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495300</xdr:colOff>
      <xdr:row>536</xdr:row>
      <xdr:rowOff>152400</xdr:rowOff>
    </xdr:from>
    <xdr:to>
      <xdr:col>3</xdr:col>
      <xdr:colOff>495300</xdr:colOff>
      <xdr:row>537</xdr:row>
      <xdr:rowOff>152400</xdr:rowOff>
    </xdr:to>
    <xdr:sp macro="" textlink="">
      <xdr:nvSpPr>
        <xdr:cNvPr id="708" name="Line 704"/>
        <xdr:cNvSpPr>
          <a:spLocks noChangeShapeType="1"/>
        </xdr:cNvSpPr>
      </xdr:nvSpPr>
      <xdr:spPr bwMode="auto">
        <a:xfrm flipV="1">
          <a:off x="2428875" y="876776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276225</xdr:colOff>
      <xdr:row>522</xdr:row>
      <xdr:rowOff>152400</xdr:rowOff>
    </xdr:from>
    <xdr:to>
      <xdr:col>3</xdr:col>
      <xdr:colOff>276225</xdr:colOff>
      <xdr:row>534</xdr:row>
      <xdr:rowOff>95250</xdr:rowOff>
    </xdr:to>
    <xdr:sp macro="" textlink="">
      <xdr:nvSpPr>
        <xdr:cNvPr id="709" name="Line 712"/>
        <xdr:cNvSpPr>
          <a:spLocks noChangeShapeType="1"/>
        </xdr:cNvSpPr>
      </xdr:nvSpPr>
      <xdr:spPr bwMode="auto">
        <a:xfrm>
          <a:off x="2209800" y="85410675"/>
          <a:ext cx="0" cy="1885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438150</xdr:colOff>
      <xdr:row>523</xdr:row>
      <xdr:rowOff>0</xdr:rowOff>
    </xdr:from>
    <xdr:to>
      <xdr:col>2</xdr:col>
      <xdr:colOff>600075</xdr:colOff>
      <xdr:row>523</xdr:row>
      <xdr:rowOff>0</xdr:rowOff>
    </xdr:to>
    <xdr:sp macro="" textlink="">
      <xdr:nvSpPr>
        <xdr:cNvPr id="710" name="Line 713"/>
        <xdr:cNvSpPr>
          <a:spLocks noChangeShapeType="1"/>
        </xdr:cNvSpPr>
      </xdr:nvSpPr>
      <xdr:spPr bwMode="auto">
        <a:xfrm flipH="1">
          <a:off x="1152525" y="85420200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536</xdr:row>
      <xdr:rowOff>152400</xdr:rowOff>
    </xdr:from>
    <xdr:to>
      <xdr:col>3</xdr:col>
      <xdr:colOff>390525</xdr:colOff>
      <xdr:row>537</xdr:row>
      <xdr:rowOff>0</xdr:rowOff>
    </xdr:to>
    <xdr:sp macro="" textlink="">
      <xdr:nvSpPr>
        <xdr:cNvPr id="711" name="Line 714"/>
        <xdr:cNvSpPr>
          <a:spLocks noChangeShapeType="1"/>
        </xdr:cNvSpPr>
      </xdr:nvSpPr>
      <xdr:spPr bwMode="auto">
        <a:xfrm flipH="1">
          <a:off x="800100" y="87677625"/>
          <a:ext cx="1524000" cy="952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539</xdr:row>
      <xdr:rowOff>142875</xdr:rowOff>
    </xdr:from>
    <xdr:to>
      <xdr:col>4</xdr:col>
      <xdr:colOff>0</xdr:colOff>
      <xdr:row>541</xdr:row>
      <xdr:rowOff>152400</xdr:rowOff>
    </xdr:to>
    <xdr:sp macro="" textlink="">
      <xdr:nvSpPr>
        <xdr:cNvPr id="712" name="Line 715"/>
        <xdr:cNvSpPr>
          <a:spLocks noChangeShapeType="1"/>
        </xdr:cNvSpPr>
      </xdr:nvSpPr>
      <xdr:spPr bwMode="auto">
        <a:xfrm>
          <a:off x="790575" y="88153875"/>
          <a:ext cx="175260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533</xdr:row>
      <xdr:rowOff>47625</xdr:rowOff>
    </xdr:from>
    <xdr:to>
      <xdr:col>4</xdr:col>
      <xdr:colOff>0</xdr:colOff>
      <xdr:row>533</xdr:row>
      <xdr:rowOff>47625</xdr:rowOff>
    </xdr:to>
    <xdr:sp macro="" textlink="">
      <xdr:nvSpPr>
        <xdr:cNvPr id="713" name="Line 717"/>
        <xdr:cNvSpPr>
          <a:spLocks noChangeShapeType="1"/>
        </xdr:cNvSpPr>
      </xdr:nvSpPr>
      <xdr:spPr bwMode="auto">
        <a:xfrm>
          <a:off x="2219325" y="8708707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523875</xdr:colOff>
      <xdr:row>534</xdr:row>
      <xdr:rowOff>95250</xdr:rowOff>
    </xdr:from>
    <xdr:to>
      <xdr:col>3</xdr:col>
      <xdr:colOff>266700</xdr:colOff>
      <xdr:row>534</xdr:row>
      <xdr:rowOff>95250</xdr:rowOff>
    </xdr:to>
    <xdr:sp macro="" textlink="">
      <xdr:nvSpPr>
        <xdr:cNvPr id="714" name="Line 718"/>
        <xdr:cNvSpPr>
          <a:spLocks noChangeShapeType="1"/>
        </xdr:cNvSpPr>
      </xdr:nvSpPr>
      <xdr:spPr bwMode="auto">
        <a:xfrm>
          <a:off x="1847850" y="8729662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523875</xdr:colOff>
      <xdr:row>536</xdr:row>
      <xdr:rowOff>142875</xdr:rowOff>
    </xdr:from>
    <xdr:to>
      <xdr:col>2</xdr:col>
      <xdr:colOff>523875</xdr:colOff>
      <xdr:row>540</xdr:row>
      <xdr:rowOff>142875</xdr:rowOff>
    </xdr:to>
    <xdr:sp macro="" textlink="">
      <xdr:nvSpPr>
        <xdr:cNvPr id="715" name="Line 719"/>
        <xdr:cNvSpPr>
          <a:spLocks noChangeShapeType="1"/>
        </xdr:cNvSpPr>
      </xdr:nvSpPr>
      <xdr:spPr bwMode="auto">
        <a:xfrm flipV="1">
          <a:off x="1847850" y="87668100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3</xdr:col>
      <xdr:colOff>285750</xdr:colOff>
      <xdr:row>536</xdr:row>
      <xdr:rowOff>152400</xdr:rowOff>
    </xdr:from>
    <xdr:to>
      <xdr:col>3</xdr:col>
      <xdr:colOff>285750</xdr:colOff>
      <xdr:row>541</xdr:row>
      <xdr:rowOff>66675</xdr:rowOff>
    </xdr:to>
    <xdr:sp macro="" textlink="">
      <xdr:nvSpPr>
        <xdr:cNvPr id="716" name="Line 720"/>
        <xdr:cNvSpPr>
          <a:spLocks noChangeShapeType="1"/>
        </xdr:cNvSpPr>
      </xdr:nvSpPr>
      <xdr:spPr bwMode="auto">
        <a:xfrm flipV="1">
          <a:off x="2219325" y="87677625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4</xdr:col>
      <xdr:colOff>9525</xdr:colOff>
      <xdr:row>537</xdr:row>
      <xdr:rowOff>133350</xdr:rowOff>
    </xdr:from>
    <xdr:to>
      <xdr:col>4</xdr:col>
      <xdr:colOff>9525</xdr:colOff>
      <xdr:row>541</xdr:row>
      <xdr:rowOff>152400</xdr:rowOff>
    </xdr:to>
    <xdr:sp macro="" textlink="">
      <xdr:nvSpPr>
        <xdr:cNvPr id="717" name="Line 721"/>
        <xdr:cNvSpPr>
          <a:spLocks noChangeShapeType="1"/>
        </xdr:cNvSpPr>
      </xdr:nvSpPr>
      <xdr:spPr bwMode="auto">
        <a:xfrm flipV="1">
          <a:off x="2552700" y="87820500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95250</xdr:colOff>
      <xdr:row>536</xdr:row>
      <xdr:rowOff>152400</xdr:rowOff>
    </xdr:from>
    <xdr:to>
      <xdr:col>1</xdr:col>
      <xdr:colOff>95250</xdr:colOff>
      <xdr:row>539</xdr:row>
      <xdr:rowOff>152400</xdr:rowOff>
    </xdr:to>
    <xdr:sp macro="" textlink="">
      <xdr:nvSpPr>
        <xdr:cNvPr id="718" name="Line 722"/>
        <xdr:cNvSpPr>
          <a:spLocks noChangeShapeType="1"/>
        </xdr:cNvSpPr>
      </xdr:nvSpPr>
      <xdr:spPr bwMode="auto">
        <a:xfrm flipV="1">
          <a:off x="809625" y="8767762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104775</xdr:colOff>
      <xdr:row>540</xdr:row>
      <xdr:rowOff>0</xdr:rowOff>
    </xdr:from>
    <xdr:to>
      <xdr:col>4</xdr:col>
      <xdr:colOff>9525</xdr:colOff>
      <xdr:row>540</xdr:row>
      <xdr:rowOff>0</xdr:rowOff>
    </xdr:to>
    <xdr:sp macro="" textlink="">
      <xdr:nvSpPr>
        <xdr:cNvPr id="719" name="Line 723"/>
        <xdr:cNvSpPr>
          <a:spLocks noChangeShapeType="1"/>
        </xdr:cNvSpPr>
      </xdr:nvSpPr>
      <xdr:spPr bwMode="auto">
        <a:xfrm>
          <a:off x="819150" y="88172925"/>
          <a:ext cx="173355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541</xdr:row>
      <xdr:rowOff>66675</xdr:rowOff>
    </xdr:from>
    <xdr:to>
      <xdr:col>4</xdr:col>
      <xdr:colOff>0</xdr:colOff>
      <xdr:row>541</xdr:row>
      <xdr:rowOff>66675</xdr:rowOff>
    </xdr:to>
    <xdr:sp macro="" textlink="">
      <xdr:nvSpPr>
        <xdr:cNvPr id="720" name="Line 724"/>
        <xdr:cNvSpPr>
          <a:spLocks noChangeShapeType="1"/>
        </xdr:cNvSpPr>
      </xdr:nvSpPr>
      <xdr:spPr bwMode="auto">
        <a:xfrm>
          <a:off x="2171700" y="88401525"/>
          <a:ext cx="371475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76200</xdr:colOff>
      <xdr:row>537</xdr:row>
      <xdr:rowOff>0</xdr:rowOff>
    </xdr:from>
    <xdr:to>
      <xdr:col>4</xdr:col>
      <xdr:colOff>180975</xdr:colOff>
      <xdr:row>537</xdr:row>
      <xdr:rowOff>0</xdr:rowOff>
    </xdr:to>
    <xdr:sp macro="" textlink="">
      <xdr:nvSpPr>
        <xdr:cNvPr id="721" name="Line 725"/>
        <xdr:cNvSpPr>
          <a:spLocks noChangeShapeType="1"/>
        </xdr:cNvSpPr>
      </xdr:nvSpPr>
      <xdr:spPr bwMode="auto">
        <a:xfrm>
          <a:off x="2619375" y="876871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542</xdr:row>
      <xdr:rowOff>0</xdr:rowOff>
    </xdr:from>
    <xdr:to>
      <xdr:col>4</xdr:col>
      <xdr:colOff>142875</xdr:colOff>
      <xdr:row>542</xdr:row>
      <xdr:rowOff>0</xdr:rowOff>
    </xdr:to>
    <xdr:sp macro="" textlink="">
      <xdr:nvSpPr>
        <xdr:cNvPr id="722" name="Line 726"/>
        <xdr:cNvSpPr>
          <a:spLocks noChangeShapeType="1"/>
        </xdr:cNvSpPr>
      </xdr:nvSpPr>
      <xdr:spPr bwMode="auto">
        <a:xfrm>
          <a:off x="2590800" y="885253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536</xdr:row>
      <xdr:rowOff>142875</xdr:rowOff>
    </xdr:from>
    <xdr:to>
      <xdr:col>4</xdr:col>
      <xdr:colOff>104775</xdr:colOff>
      <xdr:row>541</xdr:row>
      <xdr:rowOff>152400</xdr:rowOff>
    </xdr:to>
    <xdr:sp macro="" textlink="">
      <xdr:nvSpPr>
        <xdr:cNvPr id="723" name="Line 727"/>
        <xdr:cNvSpPr>
          <a:spLocks noChangeShapeType="1"/>
        </xdr:cNvSpPr>
      </xdr:nvSpPr>
      <xdr:spPr bwMode="auto">
        <a:xfrm>
          <a:off x="2647950" y="87668100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104775</xdr:colOff>
      <xdr:row>538</xdr:row>
      <xdr:rowOff>85726</xdr:rowOff>
    </xdr:from>
    <xdr:to>
      <xdr:col>4</xdr:col>
      <xdr:colOff>295275</xdr:colOff>
      <xdr:row>539</xdr:row>
      <xdr:rowOff>76201</xdr:rowOff>
    </xdr:to>
    <xdr:sp macro="" textlink="">
      <xdr:nvSpPr>
        <xdr:cNvPr id="724" name="Line 728"/>
        <xdr:cNvSpPr>
          <a:spLocks noChangeShapeType="1"/>
        </xdr:cNvSpPr>
      </xdr:nvSpPr>
      <xdr:spPr bwMode="auto">
        <a:xfrm flipH="1">
          <a:off x="2647950" y="87934801"/>
          <a:ext cx="1905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228600</xdr:colOff>
      <xdr:row>540</xdr:row>
      <xdr:rowOff>0</xdr:rowOff>
    </xdr:from>
    <xdr:to>
      <xdr:col>4</xdr:col>
      <xdr:colOff>361950</xdr:colOff>
      <xdr:row>540</xdr:row>
      <xdr:rowOff>0</xdr:rowOff>
    </xdr:to>
    <xdr:sp macro="" textlink="">
      <xdr:nvSpPr>
        <xdr:cNvPr id="725" name="Line 729"/>
        <xdr:cNvSpPr>
          <a:spLocks noChangeShapeType="1"/>
        </xdr:cNvSpPr>
      </xdr:nvSpPr>
      <xdr:spPr bwMode="auto">
        <a:xfrm>
          <a:off x="2771775" y="8817292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542</xdr:row>
      <xdr:rowOff>0</xdr:rowOff>
    </xdr:from>
    <xdr:to>
      <xdr:col>4</xdr:col>
      <xdr:colOff>371475</xdr:colOff>
      <xdr:row>542</xdr:row>
      <xdr:rowOff>0</xdr:rowOff>
    </xdr:to>
    <xdr:sp macro="" textlink="">
      <xdr:nvSpPr>
        <xdr:cNvPr id="726" name="Line 730"/>
        <xdr:cNvSpPr>
          <a:spLocks noChangeShapeType="1"/>
        </xdr:cNvSpPr>
      </xdr:nvSpPr>
      <xdr:spPr bwMode="auto">
        <a:xfrm>
          <a:off x="2771775" y="885253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540</xdr:row>
      <xdr:rowOff>0</xdr:rowOff>
    </xdr:from>
    <xdr:to>
      <xdr:col>4</xdr:col>
      <xdr:colOff>285750</xdr:colOff>
      <xdr:row>542</xdr:row>
      <xdr:rowOff>0</xdr:rowOff>
    </xdr:to>
    <xdr:sp macro="" textlink="">
      <xdr:nvSpPr>
        <xdr:cNvPr id="727" name="Line 731"/>
        <xdr:cNvSpPr>
          <a:spLocks noChangeShapeType="1"/>
        </xdr:cNvSpPr>
      </xdr:nvSpPr>
      <xdr:spPr bwMode="auto">
        <a:xfrm>
          <a:off x="2828925" y="88172925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295274</xdr:colOff>
      <xdr:row>539</xdr:row>
      <xdr:rowOff>95250</xdr:rowOff>
    </xdr:from>
    <xdr:to>
      <xdr:col>5</xdr:col>
      <xdr:colOff>228600</xdr:colOff>
      <xdr:row>541</xdr:row>
      <xdr:rowOff>19050</xdr:rowOff>
    </xdr:to>
    <xdr:sp macro="" textlink="">
      <xdr:nvSpPr>
        <xdr:cNvPr id="728" name="Line 732"/>
        <xdr:cNvSpPr>
          <a:spLocks noChangeShapeType="1"/>
        </xdr:cNvSpPr>
      </xdr:nvSpPr>
      <xdr:spPr bwMode="auto">
        <a:xfrm flipH="1">
          <a:off x="2838449" y="88106250"/>
          <a:ext cx="571501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561975</xdr:colOff>
      <xdr:row>540</xdr:row>
      <xdr:rowOff>85725</xdr:rowOff>
    </xdr:from>
    <xdr:to>
      <xdr:col>3</xdr:col>
      <xdr:colOff>285750</xdr:colOff>
      <xdr:row>543</xdr:row>
      <xdr:rowOff>95250</xdr:rowOff>
    </xdr:to>
    <xdr:sp macro="" textlink="">
      <xdr:nvSpPr>
        <xdr:cNvPr id="729" name="Line 733"/>
        <xdr:cNvSpPr>
          <a:spLocks noChangeShapeType="1"/>
        </xdr:cNvSpPr>
      </xdr:nvSpPr>
      <xdr:spPr bwMode="auto">
        <a:xfrm flipV="1">
          <a:off x="1885950" y="88258650"/>
          <a:ext cx="333375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628650</xdr:colOff>
      <xdr:row>539</xdr:row>
      <xdr:rowOff>142875</xdr:rowOff>
    </xdr:from>
    <xdr:to>
      <xdr:col>2</xdr:col>
      <xdr:colOff>495300</xdr:colOff>
      <xdr:row>542</xdr:row>
      <xdr:rowOff>28575</xdr:rowOff>
    </xdr:to>
    <xdr:sp macro="" textlink="">
      <xdr:nvSpPr>
        <xdr:cNvPr id="730" name="Line 734"/>
        <xdr:cNvSpPr>
          <a:spLocks noChangeShapeType="1"/>
        </xdr:cNvSpPr>
      </xdr:nvSpPr>
      <xdr:spPr bwMode="auto">
        <a:xfrm flipV="1">
          <a:off x="1323975" y="88153875"/>
          <a:ext cx="49530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533400</xdr:colOff>
      <xdr:row>541</xdr:row>
      <xdr:rowOff>66675</xdr:rowOff>
    </xdr:from>
    <xdr:to>
      <xdr:col>4</xdr:col>
      <xdr:colOff>628650</xdr:colOff>
      <xdr:row>541</xdr:row>
      <xdr:rowOff>66675</xdr:rowOff>
    </xdr:to>
    <xdr:sp macro="" textlink="">
      <xdr:nvSpPr>
        <xdr:cNvPr id="731" name="Line 735"/>
        <xdr:cNvSpPr>
          <a:spLocks noChangeShapeType="1"/>
        </xdr:cNvSpPr>
      </xdr:nvSpPr>
      <xdr:spPr bwMode="auto">
        <a:xfrm>
          <a:off x="3076575" y="8840152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542</xdr:row>
      <xdr:rowOff>0</xdr:rowOff>
    </xdr:from>
    <xdr:to>
      <xdr:col>4</xdr:col>
      <xdr:colOff>628650</xdr:colOff>
      <xdr:row>542</xdr:row>
      <xdr:rowOff>0</xdr:rowOff>
    </xdr:to>
    <xdr:sp macro="" textlink="">
      <xdr:nvSpPr>
        <xdr:cNvPr id="732" name="Line 736"/>
        <xdr:cNvSpPr>
          <a:spLocks noChangeShapeType="1"/>
        </xdr:cNvSpPr>
      </xdr:nvSpPr>
      <xdr:spPr bwMode="auto">
        <a:xfrm>
          <a:off x="3105150" y="8852535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542</xdr:row>
      <xdr:rowOff>0</xdr:rowOff>
    </xdr:from>
    <xdr:to>
      <xdr:col>4</xdr:col>
      <xdr:colOff>600075</xdr:colOff>
      <xdr:row>542</xdr:row>
      <xdr:rowOff>142875</xdr:rowOff>
    </xdr:to>
    <xdr:sp macro="" textlink="">
      <xdr:nvSpPr>
        <xdr:cNvPr id="733" name="Line 737"/>
        <xdr:cNvSpPr>
          <a:spLocks noChangeShapeType="1"/>
        </xdr:cNvSpPr>
      </xdr:nvSpPr>
      <xdr:spPr bwMode="auto">
        <a:xfrm flipV="1">
          <a:off x="3143250" y="8852535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540</xdr:row>
      <xdr:rowOff>114300</xdr:rowOff>
    </xdr:from>
    <xdr:to>
      <xdr:col>4</xdr:col>
      <xdr:colOff>600075</xdr:colOff>
      <xdr:row>541</xdr:row>
      <xdr:rowOff>66675</xdr:rowOff>
    </xdr:to>
    <xdr:sp macro="" textlink="">
      <xdr:nvSpPr>
        <xdr:cNvPr id="734" name="Line 738"/>
        <xdr:cNvSpPr>
          <a:spLocks noChangeShapeType="1"/>
        </xdr:cNvSpPr>
      </xdr:nvSpPr>
      <xdr:spPr bwMode="auto">
        <a:xfrm>
          <a:off x="3143250" y="882872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609599</xdr:colOff>
      <xdr:row>541</xdr:row>
      <xdr:rowOff>68581</xdr:rowOff>
    </xdr:from>
    <xdr:to>
      <xdr:col>6</xdr:col>
      <xdr:colOff>266699</xdr:colOff>
      <xdr:row>541</xdr:row>
      <xdr:rowOff>114300</xdr:rowOff>
    </xdr:to>
    <xdr:sp macro="" textlink="">
      <xdr:nvSpPr>
        <xdr:cNvPr id="735" name="Line 740"/>
        <xdr:cNvSpPr>
          <a:spLocks noChangeShapeType="1"/>
        </xdr:cNvSpPr>
      </xdr:nvSpPr>
      <xdr:spPr bwMode="auto">
        <a:xfrm flipH="1">
          <a:off x="3152774" y="88403431"/>
          <a:ext cx="904875" cy="457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0</xdr:col>
      <xdr:colOff>400050</xdr:colOff>
      <xdr:row>538</xdr:row>
      <xdr:rowOff>28575</xdr:rowOff>
    </xdr:from>
    <xdr:to>
      <xdr:col>1</xdr:col>
      <xdr:colOff>66675</xdr:colOff>
      <xdr:row>538</xdr:row>
      <xdr:rowOff>85725</xdr:rowOff>
    </xdr:to>
    <xdr:sp macro="" textlink="">
      <xdr:nvSpPr>
        <xdr:cNvPr id="736" name="Line 741"/>
        <xdr:cNvSpPr>
          <a:spLocks noChangeShapeType="1"/>
        </xdr:cNvSpPr>
      </xdr:nvSpPr>
      <xdr:spPr bwMode="auto">
        <a:xfrm flipV="1">
          <a:off x="400050" y="87877650"/>
          <a:ext cx="381000" cy="571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66675</xdr:colOff>
      <xdr:row>534</xdr:row>
      <xdr:rowOff>85725</xdr:rowOff>
    </xdr:from>
    <xdr:to>
      <xdr:col>2</xdr:col>
      <xdr:colOff>495300</xdr:colOff>
      <xdr:row>534</xdr:row>
      <xdr:rowOff>85725</xdr:rowOff>
    </xdr:to>
    <xdr:sp macro="" textlink="">
      <xdr:nvSpPr>
        <xdr:cNvPr id="737" name="Line 743"/>
        <xdr:cNvSpPr>
          <a:spLocks noChangeShapeType="1"/>
        </xdr:cNvSpPr>
      </xdr:nvSpPr>
      <xdr:spPr bwMode="auto">
        <a:xfrm flipH="1">
          <a:off x="781050" y="87287100"/>
          <a:ext cx="10382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534</xdr:row>
      <xdr:rowOff>76200</xdr:rowOff>
    </xdr:from>
    <xdr:to>
      <xdr:col>4</xdr:col>
      <xdr:colOff>9525</xdr:colOff>
      <xdr:row>534</xdr:row>
      <xdr:rowOff>76200</xdr:rowOff>
    </xdr:to>
    <xdr:sp macro="" textlink="">
      <xdr:nvSpPr>
        <xdr:cNvPr id="738" name="Line 744"/>
        <xdr:cNvSpPr>
          <a:spLocks noChangeShapeType="1"/>
        </xdr:cNvSpPr>
      </xdr:nvSpPr>
      <xdr:spPr bwMode="auto">
        <a:xfrm>
          <a:off x="2219325" y="87277575"/>
          <a:ext cx="33337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534</xdr:row>
      <xdr:rowOff>85725</xdr:rowOff>
    </xdr:from>
    <xdr:to>
      <xdr:col>1</xdr:col>
      <xdr:colOff>76200</xdr:colOff>
      <xdr:row>537</xdr:row>
      <xdr:rowOff>0</xdr:rowOff>
    </xdr:to>
    <xdr:sp macro="" textlink="">
      <xdr:nvSpPr>
        <xdr:cNvPr id="739" name="Line 745"/>
        <xdr:cNvSpPr>
          <a:spLocks noChangeShapeType="1"/>
        </xdr:cNvSpPr>
      </xdr:nvSpPr>
      <xdr:spPr bwMode="auto">
        <a:xfrm>
          <a:off x="790575" y="87287100"/>
          <a:ext cx="0" cy="40005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19050</xdr:colOff>
      <xdr:row>534</xdr:row>
      <xdr:rowOff>66675</xdr:rowOff>
    </xdr:from>
    <xdr:to>
      <xdr:col>4</xdr:col>
      <xdr:colOff>19050</xdr:colOff>
      <xdr:row>538</xdr:row>
      <xdr:rowOff>9525</xdr:rowOff>
    </xdr:to>
    <xdr:sp macro="" textlink="">
      <xdr:nvSpPr>
        <xdr:cNvPr id="740" name="Line 746"/>
        <xdr:cNvSpPr>
          <a:spLocks noChangeShapeType="1"/>
        </xdr:cNvSpPr>
      </xdr:nvSpPr>
      <xdr:spPr bwMode="auto">
        <a:xfrm>
          <a:off x="2562225" y="87268050"/>
          <a:ext cx="0" cy="590550"/>
        </a:xfrm>
        <a:custGeom>
          <a:avLst/>
          <a:gdLst>
            <a:gd name="T0" fmla="*/ 0 w 6986"/>
            <a:gd name="T1" fmla="*/ 0 h 566925"/>
            <a:gd name="T2" fmla="*/ 0 w 6986"/>
            <a:gd name="T3" fmla="*/ 695311 h 566925"/>
            <a:gd name="T4" fmla="*/ 0 60000 65536"/>
            <a:gd name="T5" fmla="*/ 0 60000 65536"/>
            <a:gd name="T6" fmla="*/ 0 w 6986"/>
            <a:gd name="T7" fmla="*/ 0 h 566925"/>
            <a:gd name="T8" fmla="*/ 0 w 6986"/>
            <a:gd name="T9" fmla="*/ 566925 h 566925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6986" h="566925">
              <a:moveTo>
                <a:pt x="4446" y="0"/>
              </a:moveTo>
              <a:cubicBezTo>
                <a:pt x="6986" y="231648"/>
                <a:pt x="0" y="335277"/>
                <a:pt x="2540" y="566925"/>
              </a:cubicBezTo>
            </a:path>
          </a:pathLst>
        </a:cu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537</xdr:row>
      <xdr:rowOff>0</xdr:rowOff>
    </xdr:from>
    <xdr:to>
      <xdr:col>3</xdr:col>
      <xdr:colOff>504825</xdr:colOff>
      <xdr:row>537</xdr:row>
      <xdr:rowOff>152400</xdr:rowOff>
    </xdr:to>
    <xdr:sp macro="" textlink="">
      <xdr:nvSpPr>
        <xdr:cNvPr id="741" name="Line 747"/>
        <xdr:cNvSpPr>
          <a:spLocks noChangeShapeType="1"/>
        </xdr:cNvSpPr>
      </xdr:nvSpPr>
      <xdr:spPr bwMode="auto">
        <a:xfrm>
          <a:off x="2305050" y="87687150"/>
          <a:ext cx="133350" cy="15240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514350</xdr:colOff>
      <xdr:row>537</xdr:row>
      <xdr:rowOff>142875</xdr:rowOff>
    </xdr:from>
    <xdr:to>
      <xdr:col>4</xdr:col>
      <xdr:colOff>9525</xdr:colOff>
      <xdr:row>537</xdr:row>
      <xdr:rowOff>142875</xdr:rowOff>
    </xdr:to>
    <xdr:sp macro="" textlink="">
      <xdr:nvSpPr>
        <xdr:cNvPr id="742" name="Line 748"/>
        <xdr:cNvSpPr>
          <a:spLocks noChangeShapeType="1"/>
        </xdr:cNvSpPr>
      </xdr:nvSpPr>
      <xdr:spPr bwMode="auto">
        <a:xfrm>
          <a:off x="2447925" y="87830025"/>
          <a:ext cx="10477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537</xdr:row>
      <xdr:rowOff>0</xdr:rowOff>
    </xdr:from>
    <xdr:to>
      <xdr:col>4</xdr:col>
      <xdr:colOff>361950</xdr:colOff>
      <xdr:row>537</xdr:row>
      <xdr:rowOff>0</xdr:rowOff>
    </xdr:to>
    <xdr:sp macro="" textlink="">
      <xdr:nvSpPr>
        <xdr:cNvPr id="743" name="Line 749"/>
        <xdr:cNvSpPr>
          <a:spLocks noChangeShapeType="1"/>
        </xdr:cNvSpPr>
      </xdr:nvSpPr>
      <xdr:spPr bwMode="auto">
        <a:xfrm>
          <a:off x="2790825" y="876871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537</xdr:row>
      <xdr:rowOff>0</xdr:rowOff>
    </xdr:from>
    <xdr:to>
      <xdr:col>4</xdr:col>
      <xdr:colOff>247650</xdr:colOff>
      <xdr:row>537</xdr:row>
      <xdr:rowOff>152400</xdr:rowOff>
    </xdr:to>
    <xdr:sp macro="" textlink="">
      <xdr:nvSpPr>
        <xdr:cNvPr id="744" name="Line 753"/>
        <xdr:cNvSpPr>
          <a:spLocks noChangeShapeType="1"/>
        </xdr:cNvSpPr>
      </xdr:nvSpPr>
      <xdr:spPr bwMode="auto">
        <a:xfrm>
          <a:off x="2790825" y="876871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9525</xdr:colOff>
      <xdr:row>543</xdr:row>
      <xdr:rowOff>114300</xdr:rowOff>
    </xdr:from>
    <xdr:to>
      <xdr:col>4</xdr:col>
      <xdr:colOff>9525</xdr:colOff>
      <xdr:row>544</xdr:row>
      <xdr:rowOff>47625</xdr:rowOff>
    </xdr:to>
    <xdr:sp macro="" textlink="">
      <xdr:nvSpPr>
        <xdr:cNvPr id="745" name="Line 755"/>
        <xdr:cNvSpPr>
          <a:spLocks noChangeShapeType="1"/>
        </xdr:cNvSpPr>
      </xdr:nvSpPr>
      <xdr:spPr bwMode="auto">
        <a:xfrm>
          <a:off x="2552700" y="888015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544</xdr:row>
      <xdr:rowOff>0</xdr:rowOff>
    </xdr:from>
    <xdr:to>
      <xdr:col>4</xdr:col>
      <xdr:colOff>9525</xdr:colOff>
      <xdr:row>544</xdr:row>
      <xdr:rowOff>0</xdr:rowOff>
    </xdr:to>
    <xdr:sp macro="" textlink="">
      <xdr:nvSpPr>
        <xdr:cNvPr id="746" name="Line 756"/>
        <xdr:cNvSpPr>
          <a:spLocks noChangeShapeType="1"/>
        </xdr:cNvSpPr>
      </xdr:nvSpPr>
      <xdr:spPr bwMode="auto">
        <a:xfrm>
          <a:off x="2409825" y="888492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0</xdr:colOff>
      <xdr:row>545</xdr:row>
      <xdr:rowOff>104775</xdr:rowOff>
    </xdr:from>
    <xdr:to>
      <xdr:col>4</xdr:col>
      <xdr:colOff>0</xdr:colOff>
      <xdr:row>546</xdr:row>
      <xdr:rowOff>47625</xdr:rowOff>
    </xdr:to>
    <xdr:sp macro="" textlink="">
      <xdr:nvSpPr>
        <xdr:cNvPr id="747" name="Line 757"/>
        <xdr:cNvSpPr>
          <a:spLocks noChangeShapeType="1"/>
        </xdr:cNvSpPr>
      </xdr:nvSpPr>
      <xdr:spPr bwMode="auto">
        <a:xfrm>
          <a:off x="2543175" y="891159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545</xdr:row>
      <xdr:rowOff>0</xdr:rowOff>
    </xdr:from>
    <xdr:to>
      <xdr:col>3</xdr:col>
      <xdr:colOff>552450</xdr:colOff>
      <xdr:row>545</xdr:row>
      <xdr:rowOff>0</xdr:rowOff>
    </xdr:to>
    <xdr:sp macro="" textlink="">
      <xdr:nvSpPr>
        <xdr:cNvPr id="748" name="Line 759"/>
        <xdr:cNvSpPr>
          <a:spLocks noChangeShapeType="1"/>
        </xdr:cNvSpPr>
      </xdr:nvSpPr>
      <xdr:spPr bwMode="auto">
        <a:xfrm>
          <a:off x="2209800" y="890111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600075</xdr:colOff>
      <xdr:row>545</xdr:row>
      <xdr:rowOff>114300</xdr:rowOff>
    </xdr:from>
    <xdr:to>
      <xdr:col>0</xdr:col>
      <xdr:colOff>600075</xdr:colOff>
      <xdr:row>546</xdr:row>
      <xdr:rowOff>19050</xdr:rowOff>
    </xdr:to>
    <xdr:sp macro="" textlink="">
      <xdr:nvSpPr>
        <xdr:cNvPr id="749" name="Line 760"/>
        <xdr:cNvSpPr>
          <a:spLocks noChangeShapeType="1"/>
        </xdr:cNvSpPr>
      </xdr:nvSpPr>
      <xdr:spPr bwMode="auto">
        <a:xfrm>
          <a:off x="600075" y="89125425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381000</xdr:colOff>
      <xdr:row>536</xdr:row>
      <xdr:rowOff>152400</xdr:rowOff>
    </xdr:from>
    <xdr:to>
      <xdr:col>4</xdr:col>
      <xdr:colOff>0</xdr:colOff>
      <xdr:row>536</xdr:row>
      <xdr:rowOff>152400</xdr:rowOff>
    </xdr:to>
    <xdr:sp macro="" textlink="">
      <xdr:nvSpPr>
        <xdr:cNvPr id="750" name="Line 764"/>
        <xdr:cNvSpPr>
          <a:spLocks noChangeShapeType="1"/>
        </xdr:cNvSpPr>
      </xdr:nvSpPr>
      <xdr:spPr bwMode="auto">
        <a:xfrm>
          <a:off x="2314575" y="876776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495300</xdr:colOff>
      <xdr:row>536</xdr:row>
      <xdr:rowOff>152400</xdr:rowOff>
    </xdr:from>
    <xdr:to>
      <xdr:col>3</xdr:col>
      <xdr:colOff>495300</xdr:colOff>
      <xdr:row>537</xdr:row>
      <xdr:rowOff>152400</xdr:rowOff>
    </xdr:to>
    <xdr:sp macro="" textlink="">
      <xdr:nvSpPr>
        <xdr:cNvPr id="751" name="Line 765"/>
        <xdr:cNvSpPr>
          <a:spLocks noChangeShapeType="1"/>
        </xdr:cNvSpPr>
      </xdr:nvSpPr>
      <xdr:spPr bwMode="auto">
        <a:xfrm flipV="1">
          <a:off x="2428875" y="876776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9525</xdr:colOff>
      <xdr:row>523</xdr:row>
      <xdr:rowOff>0</xdr:rowOff>
    </xdr:from>
    <xdr:to>
      <xdr:col>3</xdr:col>
      <xdr:colOff>276225</xdr:colOff>
      <xdr:row>523</xdr:row>
      <xdr:rowOff>0</xdr:rowOff>
    </xdr:to>
    <xdr:sp macro="" textlink="">
      <xdr:nvSpPr>
        <xdr:cNvPr id="752" name="Line 779"/>
        <xdr:cNvSpPr>
          <a:spLocks noChangeShapeType="1"/>
        </xdr:cNvSpPr>
      </xdr:nvSpPr>
      <xdr:spPr bwMode="auto">
        <a:xfrm>
          <a:off x="1943100" y="8542020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19050</xdr:colOff>
      <xdr:row>545</xdr:row>
      <xdr:rowOff>142875</xdr:rowOff>
    </xdr:from>
    <xdr:to>
      <xdr:col>3</xdr:col>
      <xdr:colOff>619125</xdr:colOff>
      <xdr:row>545</xdr:row>
      <xdr:rowOff>142875</xdr:rowOff>
    </xdr:to>
    <xdr:sp macro="" textlink="">
      <xdr:nvSpPr>
        <xdr:cNvPr id="753" name="Line 800"/>
        <xdr:cNvSpPr>
          <a:spLocks noChangeShapeType="1"/>
        </xdr:cNvSpPr>
      </xdr:nvSpPr>
      <xdr:spPr bwMode="auto">
        <a:xfrm>
          <a:off x="733425" y="89154000"/>
          <a:ext cx="1809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428625</xdr:colOff>
      <xdr:row>543</xdr:row>
      <xdr:rowOff>104775</xdr:rowOff>
    </xdr:from>
    <xdr:to>
      <xdr:col>3</xdr:col>
      <xdr:colOff>428625</xdr:colOff>
      <xdr:row>544</xdr:row>
      <xdr:rowOff>66675</xdr:rowOff>
    </xdr:to>
    <xdr:sp macro="" textlink="">
      <xdr:nvSpPr>
        <xdr:cNvPr id="754" name="Line 801"/>
        <xdr:cNvSpPr>
          <a:spLocks noChangeShapeType="1"/>
        </xdr:cNvSpPr>
      </xdr:nvSpPr>
      <xdr:spPr bwMode="auto">
        <a:xfrm>
          <a:off x="2362200" y="8879205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228600</xdr:colOff>
      <xdr:row>531</xdr:row>
      <xdr:rowOff>0</xdr:rowOff>
    </xdr:from>
    <xdr:to>
      <xdr:col>7</xdr:col>
      <xdr:colOff>228600</xdr:colOff>
      <xdr:row>531</xdr:row>
      <xdr:rowOff>0</xdr:rowOff>
    </xdr:to>
    <xdr:sp macro="" textlink="">
      <xdr:nvSpPr>
        <xdr:cNvPr id="755" name="Line 803"/>
        <xdr:cNvSpPr>
          <a:spLocks noChangeShapeType="1"/>
        </xdr:cNvSpPr>
      </xdr:nvSpPr>
      <xdr:spPr bwMode="auto">
        <a:xfrm>
          <a:off x="4019550" y="8671560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533</xdr:row>
      <xdr:rowOff>95250</xdr:rowOff>
    </xdr:from>
    <xdr:to>
      <xdr:col>2</xdr:col>
      <xdr:colOff>104775</xdr:colOff>
      <xdr:row>534</xdr:row>
      <xdr:rowOff>85725</xdr:rowOff>
    </xdr:to>
    <xdr:sp macro="" textlink="">
      <xdr:nvSpPr>
        <xdr:cNvPr id="756" name="AutoShape 804"/>
        <xdr:cNvSpPr>
          <a:spLocks noChangeArrowheads="1"/>
        </xdr:cNvSpPr>
      </xdr:nvSpPr>
      <xdr:spPr bwMode="auto">
        <a:xfrm>
          <a:off x="1333500" y="87134700"/>
          <a:ext cx="95250" cy="1524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532</xdr:row>
      <xdr:rowOff>0</xdr:rowOff>
    </xdr:from>
    <xdr:to>
      <xdr:col>2</xdr:col>
      <xdr:colOff>523875</xdr:colOff>
      <xdr:row>532</xdr:row>
      <xdr:rowOff>9525</xdr:rowOff>
    </xdr:to>
    <xdr:sp macro="" textlink="">
      <xdr:nvSpPr>
        <xdr:cNvPr id="757" name="Line 808"/>
        <xdr:cNvSpPr>
          <a:spLocks noChangeShapeType="1"/>
        </xdr:cNvSpPr>
      </xdr:nvSpPr>
      <xdr:spPr bwMode="auto">
        <a:xfrm flipV="1">
          <a:off x="714375" y="86877525"/>
          <a:ext cx="11334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0</xdr:col>
      <xdr:colOff>57150</xdr:colOff>
      <xdr:row>537</xdr:row>
      <xdr:rowOff>0</xdr:rowOff>
    </xdr:from>
    <xdr:to>
      <xdr:col>0</xdr:col>
      <xdr:colOff>200025</xdr:colOff>
      <xdr:row>537</xdr:row>
      <xdr:rowOff>0</xdr:rowOff>
    </xdr:to>
    <xdr:sp macro="" textlink="">
      <xdr:nvSpPr>
        <xdr:cNvPr id="758" name="Line 814"/>
        <xdr:cNvSpPr>
          <a:spLocks noChangeShapeType="1"/>
        </xdr:cNvSpPr>
      </xdr:nvSpPr>
      <xdr:spPr bwMode="auto">
        <a:xfrm>
          <a:off x="57150" y="876871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142875</xdr:colOff>
      <xdr:row>531</xdr:row>
      <xdr:rowOff>9525</xdr:rowOff>
    </xdr:from>
    <xdr:to>
      <xdr:col>7</xdr:col>
      <xdr:colOff>142875</xdr:colOff>
      <xdr:row>534</xdr:row>
      <xdr:rowOff>66675</xdr:rowOff>
    </xdr:to>
    <xdr:sp macro="" textlink="">
      <xdr:nvSpPr>
        <xdr:cNvPr id="759" name="Line 822"/>
        <xdr:cNvSpPr>
          <a:spLocks noChangeShapeType="1"/>
        </xdr:cNvSpPr>
      </xdr:nvSpPr>
      <xdr:spPr bwMode="auto">
        <a:xfrm>
          <a:off x="4543425" y="86725125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0</xdr:colOff>
      <xdr:row>527</xdr:row>
      <xdr:rowOff>0</xdr:rowOff>
    </xdr:from>
    <xdr:to>
      <xdr:col>0</xdr:col>
      <xdr:colOff>285750</xdr:colOff>
      <xdr:row>527</xdr:row>
      <xdr:rowOff>0</xdr:rowOff>
    </xdr:to>
    <xdr:sp macro="" textlink="">
      <xdr:nvSpPr>
        <xdr:cNvPr id="760" name="Line 824"/>
        <xdr:cNvSpPr>
          <a:spLocks noChangeShapeType="1"/>
        </xdr:cNvSpPr>
      </xdr:nvSpPr>
      <xdr:spPr bwMode="auto">
        <a:xfrm>
          <a:off x="0" y="8606790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523875</xdr:colOff>
      <xdr:row>415</xdr:row>
      <xdr:rowOff>0</xdr:rowOff>
    </xdr:from>
    <xdr:to>
      <xdr:col>3</xdr:col>
      <xdr:colOff>38100</xdr:colOff>
      <xdr:row>422</xdr:row>
      <xdr:rowOff>142875</xdr:rowOff>
    </xdr:to>
    <xdr:sp macro="" textlink="">
      <xdr:nvSpPr>
        <xdr:cNvPr id="761" name="Line 830"/>
        <xdr:cNvSpPr>
          <a:spLocks noChangeShapeType="1"/>
        </xdr:cNvSpPr>
      </xdr:nvSpPr>
      <xdr:spPr bwMode="auto">
        <a:xfrm flipH="1">
          <a:off x="1847850" y="67579875"/>
          <a:ext cx="123825" cy="1276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695326</xdr:colOff>
      <xdr:row>428</xdr:row>
      <xdr:rowOff>9525</xdr:rowOff>
    </xdr:from>
    <xdr:to>
      <xdr:col>4</xdr:col>
      <xdr:colOff>1</xdr:colOff>
      <xdr:row>429</xdr:row>
      <xdr:rowOff>152400</xdr:rowOff>
    </xdr:to>
    <xdr:sp macro="" textlink="">
      <xdr:nvSpPr>
        <xdr:cNvPr id="762" name="Line 833"/>
        <xdr:cNvSpPr>
          <a:spLocks noChangeShapeType="1"/>
        </xdr:cNvSpPr>
      </xdr:nvSpPr>
      <xdr:spPr bwMode="auto">
        <a:xfrm>
          <a:off x="695326" y="69694425"/>
          <a:ext cx="184785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423</xdr:row>
      <xdr:rowOff>142875</xdr:rowOff>
    </xdr:from>
    <xdr:to>
      <xdr:col>4</xdr:col>
      <xdr:colOff>0</xdr:colOff>
      <xdr:row>424</xdr:row>
      <xdr:rowOff>28575</xdr:rowOff>
    </xdr:to>
    <xdr:sp macro="" textlink="">
      <xdr:nvSpPr>
        <xdr:cNvPr id="763" name="Line 834"/>
        <xdr:cNvSpPr>
          <a:spLocks noChangeShapeType="1"/>
        </xdr:cNvSpPr>
      </xdr:nvSpPr>
      <xdr:spPr bwMode="auto">
        <a:xfrm>
          <a:off x="2543175" y="69018150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514350</xdr:colOff>
      <xdr:row>424</xdr:row>
      <xdr:rowOff>152400</xdr:rowOff>
    </xdr:from>
    <xdr:to>
      <xdr:col>2</xdr:col>
      <xdr:colOff>523875</xdr:colOff>
      <xdr:row>428</xdr:row>
      <xdr:rowOff>142875</xdr:rowOff>
    </xdr:to>
    <xdr:sp macro="" textlink="">
      <xdr:nvSpPr>
        <xdr:cNvPr id="764" name="Line 837"/>
        <xdr:cNvSpPr>
          <a:spLocks noChangeShapeType="1"/>
        </xdr:cNvSpPr>
      </xdr:nvSpPr>
      <xdr:spPr bwMode="auto">
        <a:xfrm flipH="1" flipV="1">
          <a:off x="1838325" y="69189600"/>
          <a:ext cx="9525" cy="638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3</xdr:col>
      <xdr:colOff>285750</xdr:colOff>
      <xdr:row>424</xdr:row>
      <xdr:rowOff>152400</xdr:rowOff>
    </xdr:from>
    <xdr:to>
      <xdr:col>3</xdr:col>
      <xdr:colOff>285750</xdr:colOff>
      <xdr:row>429</xdr:row>
      <xdr:rowOff>66675</xdr:rowOff>
    </xdr:to>
    <xdr:sp macro="" textlink="">
      <xdr:nvSpPr>
        <xdr:cNvPr id="765" name="Line 838"/>
        <xdr:cNvSpPr>
          <a:spLocks noChangeShapeType="1"/>
        </xdr:cNvSpPr>
      </xdr:nvSpPr>
      <xdr:spPr bwMode="auto">
        <a:xfrm flipV="1">
          <a:off x="2219325" y="69189600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4</xdr:col>
      <xdr:colOff>9525</xdr:colOff>
      <xdr:row>425</xdr:row>
      <xdr:rowOff>133350</xdr:rowOff>
    </xdr:from>
    <xdr:to>
      <xdr:col>4</xdr:col>
      <xdr:colOff>9525</xdr:colOff>
      <xdr:row>429</xdr:row>
      <xdr:rowOff>152400</xdr:rowOff>
    </xdr:to>
    <xdr:sp macro="" textlink="">
      <xdr:nvSpPr>
        <xdr:cNvPr id="766" name="Line 839"/>
        <xdr:cNvSpPr>
          <a:spLocks noChangeShapeType="1"/>
        </xdr:cNvSpPr>
      </xdr:nvSpPr>
      <xdr:spPr bwMode="auto">
        <a:xfrm flipH="1" flipV="1">
          <a:off x="2552700" y="69332475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0</xdr:colOff>
      <xdr:row>424</xdr:row>
      <xdr:rowOff>133350</xdr:rowOff>
    </xdr:from>
    <xdr:to>
      <xdr:col>1</xdr:col>
      <xdr:colOff>0</xdr:colOff>
      <xdr:row>427</xdr:row>
      <xdr:rowOff>152400</xdr:rowOff>
    </xdr:to>
    <xdr:sp macro="" textlink="">
      <xdr:nvSpPr>
        <xdr:cNvPr id="767" name="Line 840"/>
        <xdr:cNvSpPr>
          <a:spLocks noChangeShapeType="1"/>
        </xdr:cNvSpPr>
      </xdr:nvSpPr>
      <xdr:spPr bwMode="auto">
        <a:xfrm flipV="1">
          <a:off x="714375" y="69170550"/>
          <a:ext cx="0" cy="504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104775</xdr:colOff>
      <xdr:row>428</xdr:row>
      <xdr:rowOff>0</xdr:rowOff>
    </xdr:from>
    <xdr:to>
      <xdr:col>4</xdr:col>
      <xdr:colOff>9525</xdr:colOff>
      <xdr:row>428</xdr:row>
      <xdr:rowOff>0</xdr:rowOff>
    </xdr:to>
    <xdr:sp macro="" textlink="">
      <xdr:nvSpPr>
        <xdr:cNvPr id="768" name="Line 841"/>
        <xdr:cNvSpPr>
          <a:spLocks noChangeShapeType="1"/>
        </xdr:cNvSpPr>
      </xdr:nvSpPr>
      <xdr:spPr bwMode="auto">
        <a:xfrm>
          <a:off x="819150" y="69684900"/>
          <a:ext cx="1733550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429</xdr:row>
      <xdr:rowOff>66675</xdr:rowOff>
    </xdr:from>
    <xdr:to>
      <xdr:col>4</xdr:col>
      <xdr:colOff>0</xdr:colOff>
      <xdr:row>429</xdr:row>
      <xdr:rowOff>66675</xdr:rowOff>
    </xdr:to>
    <xdr:sp macro="" textlink="">
      <xdr:nvSpPr>
        <xdr:cNvPr id="769" name="Line 842"/>
        <xdr:cNvSpPr>
          <a:spLocks noChangeShapeType="1"/>
        </xdr:cNvSpPr>
      </xdr:nvSpPr>
      <xdr:spPr bwMode="auto">
        <a:xfrm>
          <a:off x="2171700" y="69913500"/>
          <a:ext cx="371475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76200</xdr:colOff>
      <xdr:row>426</xdr:row>
      <xdr:rowOff>0</xdr:rowOff>
    </xdr:from>
    <xdr:to>
      <xdr:col>4</xdr:col>
      <xdr:colOff>180975</xdr:colOff>
      <xdr:row>426</xdr:row>
      <xdr:rowOff>0</xdr:rowOff>
    </xdr:to>
    <xdr:sp macro="" textlink="">
      <xdr:nvSpPr>
        <xdr:cNvPr id="770" name="Line 843"/>
        <xdr:cNvSpPr>
          <a:spLocks noChangeShapeType="1"/>
        </xdr:cNvSpPr>
      </xdr:nvSpPr>
      <xdr:spPr bwMode="auto">
        <a:xfrm>
          <a:off x="2619375" y="693610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430</xdr:row>
      <xdr:rowOff>0</xdr:rowOff>
    </xdr:from>
    <xdr:to>
      <xdr:col>4</xdr:col>
      <xdr:colOff>142875</xdr:colOff>
      <xdr:row>430</xdr:row>
      <xdr:rowOff>0</xdr:rowOff>
    </xdr:to>
    <xdr:sp macro="" textlink="">
      <xdr:nvSpPr>
        <xdr:cNvPr id="771" name="Line 844"/>
        <xdr:cNvSpPr>
          <a:spLocks noChangeShapeType="1"/>
        </xdr:cNvSpPr>
      </xdr:nvSpPr>
      <xdr:spPr bwMode="auto">
        <a:xfrm>
          <a:off x="2590800" y="7003732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425</xdr:row>
      <xdr:rowOff>142875</xdr:rowOff>
    </xdr:from>
    <xdr:to>
      <xdr:col>4</xdr:col>
      <xdr:colOff>104775</xdr:colOff>
      <xdr:row>429</xdr:row>
      <xdr:rowOff>152400</xdr:rowOff>
    </xdr:to>
    <xdr:sp macro="" textlink="">
      <xdr:nvSpPr>
        <xdr:cNvPr id="772" name="Line 845"/>
        <xdr:cNvSpPr>
          <a:spLocks noChangeShapeType="1"/>
        </xdr:cNvSpPr>
      </xdr:nvSpPr>
      <xdr:spPr bwMode="auto">
        <a:xfrm>
          <a:off x="2647950" y="69342000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228600</xdr:colOff>
      <xdr:row>428</xdr:row>
      <xdr:rowOff>0</xdr:rowOff>
    </xdr:from>
    <xdr:to>
      <xdr:col>4</xdr:col>
      <xdr:colOff>361950</xdr:colOff>
      <xdr:row>428</xdr:row>
      <xdr:rowOff>0</xdr:rowOff>
    </xdr:to>
    <xdr:sp macro="" textlink="">
      <xdr:nvSpPr>
        <xdr:cNvPr id="773" name="Line 847"/>
        <xdr:cNvSpPr>
          <a:spLocks noChangeShapeType="1"/>
        </xdr:cNvSpPr>
      </xdr:nvSpPr>
      <xdr:spPr bwMode="auto">
        <a:xfrm>
          <a:off x="2771775" y="696849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430</xdr:row>
      <xdr:rowOff>0</xdr:rowOff>
    </xdr:from>
    <xdr:to>
      <xdr:col>4</xdr:col>
      <xdr:colOff>371475</xdr:colOff>
      <xdr:row>430</xdr:row>
      <xdr:rowOff>0</xdr:rowOff>
    </xdr:to>
    <xdr:sp macro="" textlink="">
      <xdr:nvSpPr>
        <xdr:cNvPr id="774" name="Line 848"/>
        <xdr:cNvSpPr>
          <a:spLocks noChangeShapeType="1"/>
        </xdr:cNvSpPr>
      </xdr:nvSpPr>
      <xdr:spPr bwMode="auto">
        <a:xfrm>
          <a:off x="2771775" y="700373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428</xdr:row>
      <xdr:rowOff>0</xdr:rowOff>
    </xdr:from>
    <xdr:to>
      <xdr:col>4</xdr:col>
      <xdr:colOff>285750</xdr:colOff>
      <xdr:row>430</xdr:row>
      <xdr:rowOff>0</xdr:rowOff>
    </xdr:to>
    <xdr:sp macro="" textlink="">
      <xdr:nvSpPr>
        <xdr:cNvPr id="775" name="Line 849"/>
        <xdr:cNvSpPr>
          <a:spLocks noChangeShapeType="1"/>
        </xdr:cNvSpPr>
      </xdr:nvSpPr>
      <xdr:spPr bwMode="auto">
        <a:xfrm>
          <a:off x="2828925" y="6968490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533400</xdr:colOff>
      <xdr:row>429</xdr:row>
      <xdr:rowOff>66675</xdr:rowOff>
    </xdr:from>
    <xdr:to>
      <xdr:col>4</xdr:col>
      <xdr:colOff>628650</xdr:colOff>
      <xdr:row>429</xdr:row>
      <xdr:rowOff>66675</xdr:rowOff>
    </xdr:to>
    <xdr:sp macro="" textlink="">
      <xdr:nvSpPr>
        <xdr:cNvPr id="776" name="Line 853"/>
        <xdr:cNvSpPr>
          <a:spLocks noChangeShapeType="1"/>
        </xdr:cNvSpPr>
      </xdr:nvSpPr>
      <xdr:spPr bwMode="auto">
        <a:xfrm>
          <a:off x="3076575" y="6991350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430</xdr:row>
      <xdr:rowOff>0</xdr:rowOff>
    </xdr:from>
    <xdr:to>
      <xdr:col>4</xdr:col>
      <xdr:colOff>628650</xdr:colOff>
      <xdr:row>430</xdr:row>
      <xdr:rowOff>0</xdr:rowOff>
    </xdr:to>
    <xdr:sp macro="" textlink="">
      <xdr:nvSpPr>
        <xdr:cNvPr id="777" name="Line 854"/>
        <xdr:cNvSpPr>
          <a:spLocks noChangeShapeType="1"/>
        </xdr:cNvSpPr>
      </xdr:nvSpPr>
      <xdr:spPr bwMode="auto">
        <a:xfrm>
          <a:off x="3105150" y="7003732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430</xdr:row>
      <xdr:rowOff>0</xdr:rowOff>
    </xdr:from>
    <xdr:to>
      <xdr:col>4</xdr:col>
      <xdr:colOff>600075</xdr:colOff>
      <xdr:row>430</xdr:row>
      <xdr:rowOff>142875</xdr:rowOff>
    </xdr:to>
    <xdr:sp macro="" textlink="">
      <xdr:nvSpPr>
        <xdr:cNvPr id="778" name="Line 855"/>
        <xdr:cNvSpPr>
          <a:spLocks noChangeShapeType="1"/>
        </xdr:cNvSpPr>
      </xdr:nvSpPr>
      <xdr:spPr bwMode="auto">
        <a:xfrm flipV="1">
          <a:off x="3143250" y="700373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428</xdr:row>
      <xdr:rowOff>114300</xdr:rowOff>
    </xdr:from>
    <xdr:to>
      <xdr:col>4</xdr:col>
      <xdr:colOff>600075</xdr:colOff>
      <xdr:row>429</xdr:row>
      <xdr:rowOff>66675</xdr:rowOff>
    </xdr:to>
    <xdr:sp macro="" textlink="">
      <xdr:nvSpPr>
        <xdr:cNvPr id="779" name="Line 856"/>
        <xdr:cNvSpPr>
          <a:spLocks noChangeShapeType="1"/>
        </xdr:cNvSpPr>
      </xdr:nvSpPr>
      <xdr:spPr bwMode="auto">
        <a:xfrm>
          <a:off x="3143250" y="6979920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609600</xdr:colOff>
      <xdr:row>429</xdr:row>
      <xdr:rowOff>104775</xdr:rowOff>
    </xdr:from>
    <xdr:to>
      <xdr:col>5</xdr:col>
      <xdr:colOff>171450</xdr:colOff>
      <xdr:row>429</xdr:row>
      <xdr:rowOff>114300</xdr:rowOff>
    </xdr:to>
    <xdr:sp macro="" textlink="">
      <xdr:nvSpPr>
        <xdr:cNvPr id="780" name="Line 858"/>
        <xdr:cNvSpPr>
          <a:spLocks noChangeShapeType="1"/>
        </xdr:cNvSpPr>
      </xdr:nvSpPr>
      <xdr:spPr bwMode="auto">
        <a:xfrm flipH="1">
          <a:off x="3152775" y="69951600"/>
          <a:ext cx="2000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276225</xdr:colOff>
      <xdr:row>423</xdr:row>
      <xdr:rowOff>0</xdr:rowOff>
    </xdr:from>
    <xdr:to>
      <xdr:col>4</xdr:col>
      <xdr:colOff>0</xdr:colOff>
      <xdr:row>423</xdr:row>
      <xdr:rowOff>0</xdr:rowOff>
    </xdr:to>
    <xdr:sp macro="" textlink="">
      <xdr:nvSpPr>
        <xdr:cNvPr id="781" name="Line 861"/>
        <xdr:cNvSpPr>
          <a:spLocks noChangeShapeType="1"/>
        </xdr:cNvSpPr>
      </xdr:nvSpPr>
      <xdr:spPr bwMode="auto">
        <a:xfrm>
          <a:off x="2209800" y="68875275"/>
          <a:ext cx="33337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57150</xdr:colOff>
      <xdr:row>426</xdr:row>
      <xdr:rowOff>0</xdr:rowOff>
    </xdr:from>
    <xdr:to>
      <xdr:col>4</xdr:col>
      <xdr:colOff>171450</xdr:colOff>
      <xdr:row>426</xdr:row>
      <xdr:rowOff>0</xdr:rowOff>
    </xdr:to>
    <xdr:sp macro="" textlink="">
      <xdr:nvSpPr>
        <xdr:cNvPr id="782" name="Line 866"/>
        <xdr:cNvSpPr>
          <a:spLocks noChangeShapeType="1"/>
        </xdr:cNvSpPr>
      </xdr:nvSpPr>
      <xdr:spPr bwMode="auto">
        <a:xfrm>
          <a:off x="2600325" y="693610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432</xdr:row>
      <xdr:rowOff>123825</xdr:rowOff>
    </xdr:from>
    <xdr:to>
      <xdr:col>3</xdr:col>
      <xdr:colOff>476250</xdr:colOff>
      <xdr:row>433</xdr:row>
      <xdr:rowOff>28575</xdr:rowOff>
    </xdr:to>
    <xdr:sp macro="" textlink="">
      <xdr:nvSpPr>
        <xdr:cNvPr id="783" name="Line 871"/>
        <xdr:cNvSpPr>
          <a:spLocks noChangeShapeType="1"/>
        </xdr:cNvSpPr>
      </xdr:nvSpPr>
      <xdr:spPr bwMode="auto">
        <a:xfrm>
          <a:off x="2409825" y="70485000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431</xdr:row>
      <xdr:rowOff>114300</xdr:rowOff>
    </xdr:from>
    <xdr:to>
      <xdr:col>4</xdr:col>
      <xdr:colOff>9525</xdr:colOff>
      <xdr:row>432</xdr:row>
      <xdr:rowOff>47625</xdr:rowOff>
    </xdr:to>
    <xdr:sp macro="" textlink="">
      <xdr:nvSpPr>
        <xdr:cNvPr id="784" name="Line 872"/>
        <xdr:cNvSpPr>
          <a:spLocks noChangeShapeType="1"/>
        </xdr:cNvSpPr>
      </xdr:nvSpPr>
      <xdr:spPr bwMode="auto">
        <a:xfrm>
          <a:off x="2552700" y="703135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432</xdr:row>
      <xdr:rowOff>0</xdr:rowOff>
    </xdr:from>
    <xdr:to>
      <xdr:col>4</xdr:col>
      <xdr:colOff>9525</xdr:colOff>
      <xdr:row>432</xdr:row>
      <xdr:rowOff>0</xdr:rowOff>
    </xdr:to>
    <xdr:sp macro="" textlink="">
      <xdr:nvSpPr>
        <xdr:cNvPr id="785" name="Line 873"/>
        <xdr:cNvSpPr>
          <a:spLocks noChangeShapeType="1"/>
        </xdr:cNvSpPr>
      </xdr:nvSpPr>
      <xdr:spPr bwMode="auto">
        <a:xfrm>
          <a:off x="2409825" y="703611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0</xdr:colOff>
      <xdr:row>433</xdr:row>
      <xdr:rowOff>104775</xdr:rowOff>
    </xdr:from>
    <xdr:to>
      <xdr:col>4</xdr:col>
      <xdr:colOff>0</xdr:colOff>
      <xdr:row>434</xdr:row>
      <xdr:rowOff>28575</xdr:rowOff>
    </xdr:to>
    <xdr:sp macro="" textlink="">
      <xdr:nvSpPr>
        <xdr:cNvPr id="786" name="Line 875"/>
        <xdr:cNvSpPr>
          <a:spLocks noChangeShapeType="1"/>
        </xdr:cNvSpPr>
      </xdr:nvSpPr>
      <xdr:spPr bwMode="auto">
        <a:xfrm>
          <a:off x="2543175" y="706278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295275</xdr:colOff>
      <xdr:row>432</xdr:row>
      <xdr:rowOff>114300</xdr:rowOff>
    </xdr:from>
    <xdr:to>
      <xdr:col>3</xdr:col>
      <xdr:colOff>295275</xdr:colOff>
      <xdr:row>433</xdr:row>
      <xdr:rowOff>19050</xdr:rowOff>
    </xdr:to>
    <xdr:sp macro="" textlink="">
      <xdr:nvSpPr>
        <xdr:cNvPr id="787" name="Line 877"/>
        <xdr:cNvSpPr>
          <a:spLocks noChangeShapeType="1"/>
        </xdr:cNvSpPr>
      </xdr:nvSpPr>
      <xdr:spPr bwMode="auto">
        <a:xfrm>
          <a:off x="2228850" y="70475475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415</xdr:row>
      <xdr:rowOff>0</xdr:rowOff>
    </xdr:from>
    <xdr:to>
      <xdr:col>3</xdr:col>
      <xdr:colOff>285750</xdr:colOff>
      <xdr:row>422</xdr:row>
      <xdr:rowOff>142875</xdr:rowOff>
    </xdr:to>
    <xdr:sp macro="" textlink="">
      <xdr:nvSpPr>
        <xdr:cNvPr id="788" name="Line 890"/>
        <xdr:cNvSpPr>
          <a:spLocks noChangeShapeType="1"/>
        </xdr:cNvSpPr>
      </xdr:nvSpPr>
      <xdr:spPr bwMode="auto">
        <a:xfrm>
          <a:off x="2219325" y="67579875"/>
          <a:ext cx="0" cy="1276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425</xdr:row>
      <xdr:rowOff>0</xdr:rowOff>
    </xdr:from>
    <xdr:to>
      <xdr:col>3</xdr:col>
      <xdr:colOff>361950</xdr:colOff>
      <xdr:row>425</xdr:row>
      <xdr:rowOff>0</xdr:rowOff>
    </xdr:to>
    <xdr:sp macro="" textlink="">
      <xdr:nvSpPr>
        <xdr:cNvPr id="789" name="Line 892"/>
        <xdr:cNvSpPr>
          <a:spLocks noChangeShapeType="1"/>
        </xdr:cNvSpPr>
      </xdr:nvSpPr>
      <xdr:spPr bwMode="auto">
        <a:xfrm flipH="1">
          <a:off x="714375" y="69199125"/>
          <a:ext cx="1581150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423</xdr:row>
      <xdr:rowOff>142875</xdr:rowOff>
    </xdr:from>
    <xdr:to>
      <xdr:col>4</xdr:col>
      <xdr:colOff>0</xdr:colOff>
      <xdr:row>424</xdr:row>
      <xdr:rowOff>28575</xdr:rowOff>
    </xdr:to>
    <xdr:sp macro="" textlink="">
      <xdr:nvSpPr>
        <xdr:cNvPr id="790" name="Line 894"/>
        <xdr:cNvSpPr>
          <a:spLocks noChangeShapeType="1"/>
        </xdr:cNvSpPr>
      </xdr:nvSpPr>
      <xdr:spPr bwMode="auto">
        <a:xfrm>
          <a:off x="2543175" y="69018150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295275</xdr:colOff>
      <xdr:row>432</xdr:row>
      <xdr:rowOff>152400</xdr:rowOff>
    </xdr:from>
    <xdr:to>
      <xdr:col>3</xdr:col>
      <xdr:colOff>476250</xdr:colOff>
      <xdr:row>432</xdr:row>
      <xdr:rowOff>152400</xdr:rowOff>
    </xdr:to>
    <xdr:sp macro="" textlink="">
      <xdr:nvSpPr>
        <xdr:cNvPr id="791" name="Line 895"/>
        <xdr:cNvSpPr>
          <a:spLocks noChangeShapeType="1"/>
        </xdr:cNvSpPr>
      </xdr:nvSpPr>
      <xdr:spPr bwMode="auto">
        <a:xfrm flipV="1">
          <a:off x="2228850" y="7051357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514350</xdr:colOff>
      <xdr:row>423</xdr:row>
      <xdr:rowOff>76200</xdr:rowOff>
    </xdr:from>
    <xdr:to>
      <xdr:col>3</xdr:col>
      <xdr:colOff>333375</xdr:colOff>
      <xdr:row>423</xdr:row>
      <xdr:rowOff>76200</xdr:rowOff>
    </xdr:to>
    <xdr:sp macro="" textlink="">
      <xdr:nvSpPr>
        <xdr:cNvPr id="792" name="Line 896"/>
        <xdr:cNvSpPr>
          <a:spLocks noChangeShapeType="1"/>
        </xdr:cNvSpPr>
      </xdr:nvSpPr>
      <xdr:spPr bwMode="auto">
        <a:xfrm>
          <a:off x="1838325" y="68951475"/>
          <a:ext cx="42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</xdr:col>
      <xdr:colOff>104775</xdr:colOff>
      <xdr:row>428</xdr:row>
      <xdr:rowOff>0</xdr:rowOff>
    </xdr:from>
    <xdr:to>
      <xdr:col>4</xdr:col>
      <xdr:colOff>9525</xdr:colOff>
      <xdr:row>428</xdr:row>
      <xdr:rowOff>0</xdr:rowOff>
    </xdr:to>
    <xdr:sp macro="" textlink="">
      <xdr:nvSpPr>
        <xdr:cNvPr id="793" name="Line 901"/>
        <xdr:cNvSpPr>
          <a:spLocks noChangeShapeType="1"/>
        </xdr:cNvSpPr>
      </xdr:nvSpPr>
      <xdr:spPr bwMode="auto">
        <a:xfrm>
          <a:off x="819150" y="69684900"/>
          <a:ext cx="173355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429</xdr:row>
      <xdr:rowOff>66675</xdr:rowOff>
    </xdr:from>
    <xdr:to>
      <xdr:col>4</xdr:col>
      <xdr:colOff>0</xdr:colOff>
      <xdr:row>429</xdr:row>
      <xdr:rowOff>66675</xdr:rowOff>
    </xdr:to>
    <xdr:sp macro="" textlink="">
      <xdr:nvSpPr>
        <xdr:cNvPr id="794" name="Line 902"/>
        <xdr:cNvSpPr>
          <a:spLocks noChangeShapeType="1"/>
        </xdr:cNvSpPr>
      </xdr:nvSpPr>
      <xdr:spPr bwMode="auto">
        <a:xfrm>
          <a:off x="2171700" y="69913500"/>
          <a:ext cx="371475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76200</xdr:colOff>
      <xdr:row>426</xdr:row>
      <xdr:rowOff>0</xdr:rowOff>
    </xdr:from>
    <xdr:to>
      <xdr:col>4</xdr:col>
      <xdr:colOff>180975</xdr:colOff>
      <xdr:row>426</xdr:row>
      <xdr:rowOff>0</xdr:rowOff>
    </xdr:to>
    <xdr:sp macro="" textlink="">
      <xdr:nvSpPr>
        <xdr:cNvPr id="795" name="Line 903"/>
        <xdr:cNvSpPr>
          <a:spLocks noChangeShapeType="1"/>
        </xdr:cNvSpPr>
      </xdr:nvSpPr>
      <xdr:spPr bwMode="auto">
        <a:xfrm>
          <a:off x="2619375" y="693610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430</xdr:row>
      <xdr:rowOff>0</xdr:rowOff>
    </xdr:from>
    <xdr:to>
      <xdr:col>4</xdr:col>
      <xdr:colOff>142875</xdr:colOff>
      <xdr:row>430</xdr:row>
      <xdr:rowOff>0</xdr:rowOff>
    </xdr:to>
    <xdr:sp macro="" textlink="">
      <xdr:nvSpPr>
        <xdr:cNvPr id="796" name="Line 904"/>
        <xdr:cNvSpPr>
          <a:spLocks noChangeShapeType="1"/>
        </xdr:cNvSpPr>
      </xdr:nvSpPr>
      <xdr:spPr bwMode="auto">
        <a:xfrm>
          <a:off x="2590800" y="7003732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425</xdr:row>
      <xdr:rowOff>142875</xdr:rowOff>
    </xdr:from>
    <xdr:to>
      <xdr:col>4</xdr:col>
      <xdr:colOff>104775</xdr:colOff>
      <xdr:row>429</xdr:row>
      <xdr:rowOff>152400</xdr:rowOff>
    </xdr:to>
    <xdr:sp macro="" textlink="">
      <xdr:nvSpPr>
        <xdr:cNvPr id="797" name="Line 905"/>
        <xdr:cNvSpPr>
          <a:spLocks noChangeShapeType="1"/>
        </xdr:cNvSpPr>
      </xdr:nvSpPr>
      <xdr:spPr bwMode="auto">
        <a:xfrm>
          <a:off x="2647950" y="69342000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95250</xdr:colOff>
      <xdr:row>426</xdr:row>
      <xdr:rowOff>114300</xdr:rowOff>
    </xdr:from>
    <xdr:to>
      <xdr:col>4</xdr:col>
      <xdr:colOff>304800</xdr:colOff>
      <xdr:row>427</xdr:row>
      <xdr:rowOff>85725</xdr:rowOff>
    </xdr:to>
    <xdr:sp macro="" textlink="">
      <xdr:nvSpPr>
        <xdr:cNvPr id="798" name="Line 906"/>
        <xdr:cNvSpPr>
          <a:spLocks noChangeShapeType="1"/>
        </xdr:cNvSpPr>
      </xdr:nvSpPr>
      <xdr:spPr bwMode="auto">
        <a:xfrm flipH="1">
          <a:off x="2638425" y="69475350"/>
          <a:ext cx="20955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228600</xdr:colOff>
      <xdr:row>428</xdr:row>
      <xdr:rowOff>0</xdr:rowOff>
    </xdr:from>
    <xdr:to>
      <xdr:col>4</xdr:col>
      <xdr:colOff>361950</xdr:colOff>
      <xdr:row>428</xdr:row>
      <xdr:rowOff>0</xdr:rowOff>
    </xdr:to>
    <xdr:sp macro="" textlink="">
      <xdr:nvSpPr>
        <xdr:cNvPr id="799" name="Line 907"/>
        <xdr:cNvSpPr>
          <a:spLocks noChangeShapeType="1"/>
        </xdr:cNvSpPr>
      </xdr:nvSpPr>
      <xdr:spPr bwMode="auto">
        <a:xfrm>
          <a:off x="2771775" y="696849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430</xdr:row>
      <xdr:rowOff>0</xdr:rowOff>
    </xdr:from>
    <xdr:to>
      <xdr:col>4</xdr:col>
      <xdr:colOff>371475</xdr:colOff>
      <xdr:row>430</xdr:row>
      <xdr:rowOff>0</xdr:rowOff>
    </xdr:to>
    <xdr:sp macro="" textlink="">
      <xdr:nvSpPr>
        <xdr:cNvPr id="800" name="Line 908"/>
        <xdr:cNvSpPr>
          <a:spLocks noChangeShapeType="1"/>
        </xdr:cNvSpPr>
      </xdr:nvSpPr>
      <xdr:spPr bwMode="auto">
        <a:xfrm>
          <a:off x="2771775" y="700373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428</xdr:row>
      <xdr:rowOff>0</xdr:rowOff>
    </xdr:from>
    <xdr:to>
      <xdr:col>4</xdr:col>
      <xdr:colOff>285750</xdr:colOff>
      <xdr:row>430</xdr:row>
      <xdr:rowOff>0</xdr:rowOff>
    </xdr:to>
    <xdr:sp macro="" textlink="">
      <xdr:nvSpPr>
        <xdr:cNvPr id="801" name="Line 909"/>
        <xdr:cNvSpPr>
          <a:spLocks noChangeShapeType="1"/>
        </xdr:cNvSpPr>
      </xdr:nvSpPr>
      <xdr:spPr bwMode="auto">
        <a:xfrm>
          <a:off x="2828925" y="6968490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295275</xdr:colOff>
      <xdr:row>427</xdr:row>
      <xdr:rowOff>95250</xdr:rowOff>
    </xdr:from>
    <xdr:to>
      <xdr:col>4</xdr:col>
      <xdr:colOff>657225</xdr:colOff>
      <xdr:row>429</xdr:row>
      <xdr:rowOff>19050</xdr:rowOff>
    </xdr:to>
    <xdr:sp macro="" textlink="">
      <xdr:nvSpPr>
        <xdr:cNvPr id="802" name="Line 910"/>
        <xdr:cNvSpPr>
          <a:spLocks noChangeShapeType="1"/>
        </xdr:cNvSpPr>
      </xdr:nvSpPr>
      <xdr:spPr bwMode="auto">
        <a:xfrm flipH="1">
          <a:off x="2838450" y="69618225"/>
          <a:ext cx="34290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523875</xdr:colOff>
      <xdr:row>427</xdr:row>
      <xdr:rowOff>28575</xdr:rowOff>
    </xdr:from>
    <xdr:to>
      <xdr:col>3</xdr:col>
      <xdr:colOff>285750</xdr:colOff>
      <xdr:row>429</xdr:row>
      <xdr:rowOff>171450</xdr:rowOff>
    </xdr:to>
    <xdr:sp macro="" textlink="">
      <xdr:nvSpPr>
        <xdr:cNvPr id="803" name="Line 911"/>
        <xdr:cNvSpPr>
          <a:spLocks noChangeShapeType="1"/>
        </xdr:cNvSpPr>
      </xdr:nvSpPr>
      <xdr:spPr bwMode="auto">
        <a:xfrm flipV="1">
          <a:off x="1847850" y="69551550"/>
          <a:ext cx="371475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533400</xdr:colOff>
      <xdr:row>429</xdr:row>
      <xdr:rowOff>66675</xdr:rowOff>
    </xdr:from>
    <xdr:to>
      <xdr:col>4</xdr:col>
      <xdr:colOff>628650</xdr:colOff>
      <xdr:row>429</xdr:row>
      <xdr:rowOff>66675</xdr:rowOff>
    </xdr:to>
    <xdr:sp macro="" textlink="">
      <xdr:nvSpPr>
        <xdr:cNvPr id="804" name="Line 913"/>
        <xdr:cNvSpPr>
          <a:spLocks noChangeShapeType="1"/>
        </xdr:cNvSpPr>
      </xdr:nvSpPr>
      <xdr:spPr bwMode="auto">
        <a:xfrm>
          <a:off x="3076575" y="6991350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430</xdr:row>
      <xdr:rowOff>0</xdr:rowOff>
    </xdr:from>
    <xdr:to>
      <xdr:col>4</xdr:col>
      <xdr:colOff>628650</xdr:colOff>
      <xdr:row>430</xdr:row>
      <xdr:rowOff>0</xdr:rowOff>
    </xdr:to>
    <xdr:sp macro="" textlink="">
      <xdr:nvSpPr>
        <xdr:cNvPr id="805" name="Line 914"/>
        <xdr:cNvSpPr>
          <a:spLocks noChangeShapeType="1"/>
        </xdr:cNvSpPr>
      </xdr:nvSpPr>
      <xdr:spPr bwMode="auto">
        <a:xfrm>
          <a:off x="3105150" y="7003732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430</xdr:row>
      <xdr:rowOff>0</xdr:rowOff>
    </xdr:from>
    <xdr:to>
      <xdr:col>4</xdr:col>
      <xdr:colOff>600075</xdr:colOff>
      <xdr:row>430</xdr:row>
      <xdr:rowOff>142875</xdr:rowOff>
    </xdr:to>
    <xdr:sp macro="" textlink="">
      <xdr:nvSpPr>
        <xdr:cNvPr id="806" name="Line 915"/>
        <xdr:cNvSpPr>
          <a:spLocks noChangeShapeType="1"/>
        </xdr:cNvSpPr>
      </xdr:nvSpPr>
      <xdr:spPr bwMode="auto">
        <a:xfrm flipV="1">
          <a:off x="3143250" y="7003732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428</xdr:row>
      <xdr:rowOff>114300</xdr:rowOff>
    </xdr:from>
    <xdr:to>
      <xdr:col>4</xdr:col>
      <xdr:colOff>600075</xdr:colOff>
      <xdr:row>429</xdr:row>
      <xdr:rowOff>66675</xdr:rowOff>
    </xdr:to>
    <xdr:sp macro="" textlink="">
      <xdr:nvSpPr>
        <xdr:cNvPr id="807" name="Line 916"/>
        <xdr:cNvSpPr>
          <a:spLocks noChangeShapeType="1"/>
        </xdr:cNvSpPr>
      </xdr:nvSpPr>
      <xdr:spPr bwMode="auto">
        <a:xfrm>
          <a:off x="3143250" y="6979920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609600</xdr:colOff>
      <xdr:row>429</xdr:row>
      <xdr:rowOff>104775</xdr:rowOff>
    </xdr:from>
    <xdr:to>
      <xdr:col>5</xdr:col>
      <xdr:colOff>171450</xdr:colOff>
      <xdr:row>429</xdr:row>
      <xdr:rowOff>114300</xdr:rowOff>
    </xdr:to>
    <xdr:sp macro="" textlink="">
      <xdr:nvSpPr>
        <xdr:cNvPr id="808" name="Line 918"/>
        <xdr:cNvSpPr>
          <a:spLocks noChangeShapeType="1"/>
        </xdr:cNvSpPr>
      </xdr:nvSpPr>
      <xdr:spPr bwMode="auto">
        <a:xfrm flipH="1">
          <a:off x="3152775" y="69951600"/>
          <a:ext cx="2000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0</xdr:colOff>
      <xdr:row>423</xdr:row>
      <xdr:rowOff>0</xdr:rowOff>
    </xdr:from>
    <xdr:to>
      <xdr:col>1</xdr:col>
      <xdr:colOff>9525</xdr:colOff>
      <xdr:row>424</xdr:row>
      <xdr:rowOff>142875</xdr:rowOff>
    </xdr:to>
    <xdr:sp macro="" textlink="">
      <xdr:nvSpPr>
        <xdr:cNvPr id="809" name="Line 923"/>
        <xdr:cNvSpPr>
          <a:spLocks noChangeShapeType="1"/>
        </xdr:cNvSpPr>
      </xdr:nvSpPr>
      <xdr:spPr bwMode="auto">
        <a:xfrm flipH="1">
          <a:off x="714375" y="68875275"/>
          <a:ext cx="9525" cy="30480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423</xdr:row>
      <xdr:rowOff>0</xdr:rowOff>
    </xdr:from>
    <xdr:to>
      <xdr:col>4</xdr:col>
      <xdr:colOff>0</xdr:colOff>
      <xdr:row>426</xdr:row>
      <xdr:rowOff>0</xdr:rowOff>
    </xdr:to>
    <xdr:sp macro="" textlink="">
      <xdr:nvSpPr>
        <xdr:cNvPr id="810" name="Line 924"/>
        <xdr:cNvSpPr>
          <a:spLocks noChangeShapeType="1"/>
        </xdr:cNvSpPr>
      </xdr:nvSpPr>
      <xdr:spPr bwMode="auto">
        <a:xfrm flipH="1">
          <a:off x="2543175" y="68875275"/>
          <a:ext cx="0" cy="48577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342900</xdr:colOff>
      <xdr:row>424</xdr:row>
      <xdr:rowOff>142875</xdr:rowOff>
    </xdr:from>
    <xdr:to>
      <xdr:col>3</xdr:col>
      <xdr:colOff>466725</xdr:colOff>
      <xdr:row>425</xdr:row>
      <xdr:rowOff>161925</xdr:rowOff>
    </xdr:to>
    <xdr:sp macro="" textlink="">
      <xdr:nvSpPr>
        <xdr:cNvPr id="811" name="Line 925"/>
        <xdr:cNvSpPr>
          <a:spLocks noChangeShapeType="1"/>
        </xdr:cNvSpPr>
      </xdr:nvSpPr>
      <xdr:spPr bwMode="auto">
        <a:xfrm>
          <a:off x="2276475" y="69180075"/>
          <a:ext cx="123825" cy="18097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485775</xdr:colOff>
      <xdr:row>426</xdr:row>
      <xdr:rowOff>0</xdr:rowOff>
    </xdr:from>
    <xdr:to>
      <xdr:col>3</xdr:col>
      <xdr:colOff>666750</xdr:colOff>
      <xdr:row>426</xdr:row>
      <xdr:rowOff>0</xdr:rowOff>
    </xdr:to>
    <xdr:sp macro="" textlink="">
      <xdr:nvSpPr>
        <xdr:cNvPr id="812" name="Line 926"/>
        <xdr:cNvSpPr>
          <a:spLocks noChangeShapeType="1"/>
        </xdr:cNvSpPr>
      </xdr:nvSpPr>
      <xdr:spPr bwMode="auto">
        <a:xfrm>
          <a:off x="2419350" y="69361050"/>
          <a:ext cx="1238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76200</xdr:colOff>
      <xdr:row>425</xdr:row>
      <xdr:rowOff>152400</xdr:rowOff>
    </xdr:from>
    <xdr:to>
      <xdr:col>4</xdr:col>
      <xdr:colOff>190500</xdr:colOff>
      <xdr:row>425</xdr:row>
      <xdr:rowOff>152400</xdr:rowOff>
    </xdr:to>
    <xdr:sp macro="" textlink="">
      <xdr:nvSpPr>
        <xdr:cNvPr id="813" name="Line 927"/>
        <xdr:cNvSpPr>
          <a:spLocks noChangeShapeType="1"/>
        </xdr:cNvSpPr>
      </xdr:nvSpPr>
      <xdr:spPr bwMode="auto">
        <a:xfrm>
          <a:off x="2619375" y="693515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423</xdr:row>
      <xdr:rowOff>19050</xdr:rowOff>
    </xdr:from>
    <xdr:to>
      <xdr:col>4</xdr:col>
      <xdr:colOff>161925</xdr:colOff>
      <xdr:row>423</xdr:row>
      <xdr:rowOff>19050</xdr:rowOff>
    </xdr:to>
    <xdr:sp macro="" textlink="">
      <xdr:nvSpPr>
        <xdr:cNvPr id="814" name="Line 928"/>
        <xdr:cNvSpPr>
          <a:spLocks noChangeShapeType="1"/>
        </xdr:cNvSpPr>
      </xdr:nvSpPr>
      <xdr:spPr bwMode="auto">
        <a:xfrm>
          <a:off x="2590800" y="688943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424</xdr:row>
      <xdr:rowOff>123825</xdr:rowOff>
    </xdr:from>
    <xdr:to>
      <xdr:col>4</xdr:col>
      <xdr:colOff>85725</xdr:colOff>
      <xdr:row>426</xdr:row>
      <xdr:rowOff>0</xdr:rowOff>
    </xdr:to>
    <xdr:sp macro="" textlink="">
      <xdr:nvSpPr>
        <xdr:cNvPr id="815" name="Line 931"/>
        <xdr:cNvSpPr>
          <a:spLocks noChangeShapeType="1"/>
        </xdr:cNvSpPr>
      </xdr:nvSpPr>
      <xdr:spPr bwMode="auto">
        <a:xfrm>
          <a:off x="2628900" y="69161025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476250</xdr:colOff>
      <xdr:row>431</xdr:row>
      <xdr:rowOff>123825</xdr:rowOff>
    </xdr:from>
    <xdr:to>
      <xdr:col>3</xdr:col>
      <xdr:colOff>476250</xdr:colOff>
      <xdr:row>433</xdr:row>
      <xdr:rowOff>85725</xdr:rowOff>
    </xdr:to>
    <xdr:sp macro="" textlink="">
      <xdr:nvSpPr>
        <xdr:cNvPr id="816" name="Line 932"/>
        <xdr:cNvSpPr>
          <a:spLocks noChangeShapeType="1"/>
        </xdr:cNvSpPr>
      </xdr:nvSpPr>
      <xdr:spPr bwMode="auto">
        <a:xfrm flipH="1">
          <a:off x="2409825" y="70323075"/>
          <a:ext cx="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431</xdr:row>
      <xdr:rowOff>114300</xdr:rowOff>
    </xdr:from>
    <xdr:to>
      <xdr:col>4</xdr:col>
      <xdr:colOff>9525</xdr:colOff>
      <xdr:row>432</xdr:row>
      <xdr:rowOff>47625</xdr:rowOff>
    </xdr:to>
    <xdr:sp macro="" textlink="">
      <xdr:nvSpPr>
        <xdr:cNvPr id="817" name="Line 933"/>
        <xdr:cNvSpPr>
          <a:spLocks noChangeShapeType="1"/>
        </xdr:cNvSpPr>
      </xdr:nvSpPr>
      <xdr:spPr bwMode="auto">
        <a:xfrm>
          <a:off x="2552700" y="703135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432</xdr:row>
      <xdr:rowOff>0</xdr:rowOff>
    </xdr:from>
    <xdr:to>
      <xdr:col>4</xdr:col>
      <xdr:colOff>9525</xdr:colOff>
      <xdr:row>432</xdr:row>
      <xdr:rowOff>0</xdr:rowOff>
    </xdr:to>
    <xdr:sp macro="" textlink="">
      <xdr:nvSpPr>
        <xdr:cNvPr id="818" name="Line 934"/>
        <xdr:cNvSpPr>
          <a:spLocks noChangeShapeType="1"/>
        </xdr:cNvSpPr>
      </xdr:nvSpPr>
      <xdr:spPr bwMode="auto">
        <a:xfrm>
          <a:off x="2409825" y="703611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</xdr:col>
      <xdr:colOff>0</xdr:colOff>
      <xdr:row>433</xdr:row>
      <xdr:rowOff>95250</xdr:rowOff>
    </xdr:from>
    <xdr:to>
      <xdr:col>1</xdr:col>
      <xdr:colOff>0</xdr:colOff>
      <xdr:row>434</xdr:row>
      <xdr:rowOff>19050</xdr:rowOff>
    </xdr:to>
    <xdr:sp macro="" textlink="">
      <xdr:nvSpPr>
        <xdr:cNvPr id="819" name="Line 936"/>
        <xdr:cNvSpPr>
          <a:spLocks noChangeShapeType="1"/>
        </xdr:cNvSpPr>
      </xdr:nvSpPr>
      <xdr:spPr bwMode="auto">
        <a:xfrm>
          <a:off x="714375" y="706183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295275</xdr:colOff>
      <xdr:row>432</xdr:row>
      <xdr:rowOff>114300</xdr:rowOff>
    </xdr:from>
    <xdr:to>
      <xdr:col>3</xdr:col>
      <xdr:colOff>295275</xdr:colOff>
      <xdr:row>433</xdr:row>
      <xdr:rowOff>19050</xdr:rowOff>
    </xdr:to>
    <xdr:sp macro="" textlink="">
      <xdr:nvSpPr>
        <xdr:cNvPr id="820" name="Line 938"/>
        <xdr:cNvSpPr>
          <a:spLocks noChangeShapeType="1"/>
        </xdr:cNvSpPr>
      </xdr:nvSpPr>
      <xdr:spPr bwMode="auto">
        <a:xfrm>
          <a:off x="2228850" y="70475475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415</xdr:row>
      <xdr:rowOff>0</xdr:rowOff>
    </xdr:from>
    <xdr:to>
      <xdr:col>3</xdr:col>
      <xdr:colOff>304800</xdr:colOff>
      <xdr:row>415</xdr:row>
      <xdr:rowOff>0</xdr:rowOff>
    </xdr:to>
    <xdr:sp macro="" textlink="">
      <xdr:nvSpPr>
        <xdr:cNvPr id="821" name="Line 951"/>
        <xdr:cNvSpPr>
          <a:spLocks noChangeShapeType="1"/>
        </xdr:cNvSpPr>
      </xdr:nvSpPr>
      <xdr:spPr bwMode="auto">
        <a:xfrm>
          <a:off x="1971675" y="6757987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434</xdr:row>
      <xdr:rowOff>0</xdr:rowOff>
    </xdr:from>
    <xdr:to>
      <xdr:col>3</xdr:col>
      <xdr:colOff>676275</xdr:colOff>
      <xdr:row>434</xdr:row>
      <xdr:rowOff>0</xdr:rowOff>
    </xdr:to>
    <xdr:sp macro="" textlink="">
      <xdr:nvSpPr>
        <xdr:cNvPr id="822" name="Line 972"/>
        <xdr:cNvSpPr>
          <a:spLocks noChangeShapeType="1"/>
        </xdr:cNvSpPr>
      </xdr:nvSpPr>
      <xdr:spPr bwMode="auto">
        <a:xfrm>
          <a:off x="571500" y="70685025"/>
          <a:ext cx="1971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485775</xdr:colOff>
      <xdr:row>420</xdr:row>
      <xdr:rowOff>85725</xdr:rowOff>
    </xdr:from>
    <xdr:to>
      <xdr:col>2</xdr:col>
      <xdr:colOff>485775</xdr:colOff>
      <xdr:row>421</xdr:row>
      <xdr:rowOff>38100</xdr:rowOff>
    </xdr:to>
    <xdr:sp macro="" textlink="">
      <xdr:nvSpPr>
        <xdr:cNvPr id="823" name="Line 979"/>
        <xdr:cNvSpPr>
          <a:spLocks noChangeShapeType="1"/>
        </xdr:cNvSpPr>
      </xdr:nvSpPr>
      <xdr:spPr bwMode="auto">
        <a:xfrm>
          <a:off x="1809750" y="684752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600075</xdr:colOff>
      <xdr:row>420</xdr:row>
      <xdr:rowOff>152400</xdr:rowOff>
    </xdr:from>
    <xdr:to>
      <xdr:col>2</xdr:col>
      <xdr:colOff>514350</xdr:colOff>
      <xdr:row>420</xdr:row>
      <xdr:rowOff>152400</xdr:rowOff>
    </xdr:to>
    <xdr:sp macro="" textlink="">
      <xdr:nvSpPr>
        <xdr:cNvPr id="824" name="Line 980"/>
        <xdr:cNvSpPr>
          <a:spLocks noChangeShapeType="1"/>
        </xdr:cNvSpPr>
      </xdr:nvSpPr>
      <xdr:spPr bwMode="auto">
        <a:xfrm>
          <a:off x="600075" y="68541900"/>
          <a:ext cx="1238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542925</xdr:colOff>
      <xdr:row>328</xdr:row>
      <xdr:rowOff>0</xdr:rowOff>
    </xdr:from>
    <xdr:to>
      <xdr:col>6</xdr:col>
      <xdr:colOff>542925</xdr:colOff>
      <xdr:row>329</xdr:row>
      <xdr:rowOff>0</xdr:rowOff>
    </xdr:to>
    <xdr:sp macro="" textlink="">
      <xdr:nvSpPr>
        <xdr:cNvPr id="825" name="Line 14"/>
        <xdr:cNvSpPr>
          <a:spLocks noChangeShapeType="1"/>
        </xdr:cNvSpPr>
      </xdr:nvSpPr>
      <xdr:spPr bwMode="auto">
        <a:xfrm>
          <a:off x="4333875" y="526256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161925</xdr:colOff>
      <xdr:row>312</xdr:row>
      <xdr:rowOff>9525</xdr:rowOff>
    </xdr:from>
    <xdr:to>
      <xdr:col>5</xdr:col>
      <xdr:colOff>161925</xdr:colOff>
      <xdr:row>324</xdr:row>
      <xdr:rowOff>133350</xdr:rowOff>
    </xdr:to>
    <xdr:cxnSp macro="">
      <xdr:nvCxnSpPr>
        <xdr:cNvPr id="826" name="Straight Arrow Connector 786"/>
        <xdr:cNvCxnSpPr>
          <a:cxnSpLocks noChangeShapeType="1"/>
        </xdr:cNvCxnSpPr>
      </xdr:nvCxnSpPr>
      <xdr:spPr bwMode="auto">
        <a:xfrm>
          <a:off x="3343275" y="50044350"/>
          <a:ext cx="0" cy="206692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419100</xdr:colOff>
      <xdr:row>329</xdr:row>
      <xdr:rowOff>0</xdr:rowOff>
    </xdr:from>
    <xdr:to>
      <xdr:col>7</xdr:col>
      <xdr:colOff>152400</xdr:colOff>
      <xdr:row>329</xdr:row>
      <xdr:rowOff>0</xdr:rowOff>
    </xdr:to>
    <xdr:sp macro="" textlink="">
      <xdr:nvSpPr>
        <xdr:cNvPr id="827" name="Line 468"/>
        <xdr:cNvSpPr>
          <a:spLocks noChangeShapeType="1"/>
        </xdr:cNvSpPr>
      </xdr:nvSpPr>
      <xdr:spPr bwMode="auto">
        <a:xfrm>
          <a:off x="4210050" y="5278755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312</xdr:row>
      <xdr:rowOff>0</xdr:rowOff>
    </xdr:from>
    <xdr:to>
      <xdr:col>0</xdr:col>
      <xdr:colOff>266700</xdr:colOff>
      <xdr:row>312</xdr:row>
      <xdr:rowOff>0</xdr:rowOff>
    </xdr:to>
    <xdr:sp macro="" textlink="">
      <xdr:nvSpPr>
        <xdr:cNvPr id="828" name="Line 18206"/>
        <xdr:cNvSpPr>
          <a:spLocks noChangeShapeType="1"/>
        </xdr:cNvSpPr>
      </xdr:nvSpPr>
      <xdr:spPr bwMode="auto">
        <a:xfrm>
          <a:off x="0" y="5003482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318</xdr:row>
      <xdr:rowOff>9525</xdr:rowOff>
    </xdr:from>
    <xdr:to>
      <xdr:col>0</xdr:col>
      <xdr:colOff>314325</xdr:colOff>
      <xdr:row>318</xdr:row>
      <xdr:rowOff>9525</xdr:rowOff>
    </xdr:to>
    <xdr:sp macro="" textlink="">
      <xdr:nvSpPr>
        <xdr:cNvPr id="829" name="Line 18207"/>
        <xdr:cNvSpPr>
          <a:spLocks noChangeShapeType="1"/>
        </xdr:cNvSpPr>
      </xdr:nvSpPr>
      <xdr:spPr bwMode="auto">
        <a:xfrm>
          <a:off x="9525" y="51015900"/>
          <a:ext cx="304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333375</xdr:colOff>
      <xdr:row>328</xdr:row>
      <xdr:rowOff>9525</xdr:rowOff>
    </xdr:from>
    <xdr:to>
      <xdr:col>8</xdr:col>
      <xdr:colOff>19050</xdr:colOff>
      <xdr:row>328</xdr:row>
      <xdr:rowOff>9525</xdr:rowOff>
    </xdr:to>
    <xdr:sp macro="" textlink="">
      <xdr:nvSpPr>
        <xdr:cNvPr id="830" name="Line 18211"/>
        <xdr:cNvSpPr>
          <a:spLocks noChangeShapeType="1"/>
        </xdr:cNvSpPr>
      </xdr:nvSpPr>
      <xdr:spPr bwMode="auto">
        <a:xfrm>
          <a:off x="4124325" y="52635150"/>
          <a:ext cx="90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523875</xdr:colOff>
      <xdr:row>426</xdr:row>
      <xdr:rowOff>152400</xdr:rowOff>
    </xdr:from>
    <xdr:to>
      <xdr:col>2</xdr:col>
      <xdr:colOff>523875</xdr:colOff>
      <xdr:row>429</xdr:row>
      <xdr:rowOff>19050</xdr:rowOff>
    </xdr:to>
    <xdr:cxnSp macro="">
      <xdr:nvCxnSpPr>
        <xdr:cNvPr id="831" name="Straight Connector 792"/>
        <xdr:cNvCxnSpPr>
          <a:cxnSpLocks noChangeShapeType="1"/>
        </xdr:cNvCxnSpPr>
      </xdr:nvCxnSpPr>
      <xdr:spPr bwMode="auto">
        <a:xfrm flipV="1">
          <a:off x="1238250" y="69513450"/>
          <a:ext cx="609600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0</xdr:col>
      <xdr:colOff>228600</xdr:colOff>
      <xdr:row>440</xdr:row>
      <xdr:rowOff>104775</xdr:rowOff>
    </xdr:from>
    <xdr:to>
      <xdr:col>0</xdr:col>
      <xdr:colOff>361950</xdr:colOff>
      <xdr:row>442</xdr:row>
      <xdr:rowOff>95250</xdr:rowOff>
    </xdr:to>
    <xdr:sp macro="" textlink="">
      <xdr:nvSpPr>
        <xdr:cNvPr id="832" name="Down Arrow 510"/>
        <xdr:cNvSpPr>
          <a:spLocks noChangeArrowheads="1"/>
        </xdr:cNvSpPr>
      </xdr:nvSpPr>
      <xdr:spPr bwMode="auto">
        <a:xfrm flipH="1">
          <a:off x="228600" y="71789925"/>
          <a:ext cx="133350" cy="314325"/>
        </a:xfrm>
        <a:prstGeom prst="downArrow">
          <a:avLst>
            <a:gd name="adj1" fmla="val 50000"/>
            <a:gd name="adj2" fmla="val 50006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238125</xdr:colOff>
      <xdr:row>444</xdr:row>
      <xdr:rowOff>0</xdr:rowOff>
    </xdr:from>
    <xdr:to>
      <xdr:col>0</xdr:col>
      <xdr:colOff>323850</xdr:colOff>
      <xdr:row>445</xdr:row>
      <xdr:rowOff>19050</xdr:rowOff>
    </xdr:to>
    <xdr:sp macro="" textlink="">
      <xdr:nvSpPr>
        <xdr:cNvPr id="833" name="Up Arrow 516"/>
        <xdr:cNvSpPr>
          <a:spLocks noChangeArrowheads="1"/>
        </xdr:cNvSpPr>
      </xdr:nvSpPr>
      <xdr:spPr bwMode="auto">
        <a:xfrm>
          <a:off x="238125" y="72332850"/>
          <a:ext cx="85725" cy="180975"/>
        </a:xfrm>
        <a:prstGeom prst="upArrow">
          <a:avLst>
            <a:gd name="adj1" fmla="val 50000"/>
            <a:gd name="adj2" fmla="val 36102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19050</xdr:colOff>
      <xdr:row>440</xdr:row>
      <xdr:rowOff>66675</xdr:rowOff>
    </xdr:from>
    <xdr:to>
      <xdr:col>7</xdr:col>
      <xdr:colOff>485775</xdr:colOff>
      <xdr:row>442</xdr:row>
      <xdr:rowOff>66675</xdr:rowOff>
    </xdr:to>
    <xdr:sp macro="" textlink="">
      <xdr:nvSpPr>
        <xdr:cNvPr id="834" name="Arc 833"/>
        <xdr:cNvSpPr/>
      </xdr:nvSpPr>
      <xdr:spPr bwMode="auto">
        <a:xfrm>
          <a:off x="4419600" y="71751825"/>
          <a:ext cx="466725" cy="323850"/>
        </a:xfrm>
        <a:prstGeom prst="arc">
          <a:avLst>
            <a:gd name="adj1" fmla="val 16200000"/>
            <a:gd name="adj2" fmla="val 365255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123825</xdr:colOff>
      <xdr:row>444</xdr:row>
      <xdr:rowOff>57151</xdr:rowOff>
    </xdr:from>
    <xdr:to>
      <xdr:col>7</xdr:col>
      <xdr:colOff>485775</xdr:colOff>
      <xdr:row>446</xdr:row>
      <xdr:rowOff>0</xdr:rowOff>
    </xdr:to>
    <xdr:sp macro="" textlink="">
      <xdr:nvSpPr>
        <xdr:cNvPr id="835" name="Arc 834"/>
        <xdr:cNvSpPr/>
      </xdr:nvSpPr>
      <xdr:spPr bwMode="auto">
        <a:xfrm>
          <a:off x="4524375" y="72390001"/>
          <a:ext cx="361950" cy="266699"/>
        </a:xfrm>
        <a:prstGeom prst="arc">
          <a:avLst>
            <a:gd name="adj1" fmla="val 16200000"/>
            <a:gd name="adj2" fmla="val 3187812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219075</xdr:colOff>
      <xdr:row>452</xdr:row>
      <xdr:rowOff>95250</xdr:rowOff>
    </xdr:from>
    <xdr:to>
      <xdr:col>0</xdr:col>
      <xdr:colOff>333375</xdr:colOff>
      <xdr:row>454</xdr:row>
      <xdr:rowOff>76200</xdr:rowOff>
    </xdr:to>
    <xdr:sp macro="" textlink="">
      <xdr:nvSpPr>
        <xdr:cNvPr id="836" name="Down Arrow 510"/>
        <xdr:cNvSpPr>
          <a:spLocks noChangeArrowheads="1"/>
        </xdr:cNvSpPr>
      </xdr:nvSpPr>
      <xdr:spPr bwMode="auto">
        <a:xfrm flipH="1">
          <a:off x="219075" y="73790175"/>
          <a:ext cx="114300" cy="304800"/>
        </a:xfrm>
        <a:prstGeom prst="downArrow">
          <a:avLst>
            <a:gd name="adj1" fmla="val 50000"/>
            <a:gd name="adj2" fmla="val 50002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247650</xdr:colOff>
      <xdr:row>455</xdr:row>
      <xdr:rowOff>0</xdr:rowOff>
    </xdr:from>
    <xdr:to>
      <xdr:col>0</xdr:col>
      <xdr:colOff>371475</xdr:colOff>
      <xdr:row>456</xdr:row>
      <xdr:rowOff>57150</xdr:rowOff>
    </xdr:to>
    <xdr:sp macro="" textlink="">
      <xdr:nvSpPr>
        <xdr:cNvPr id="837" name="Up Arrow 516"/>
        <xdr:cNvSpPr>
          <a:spLocks noChangeArrowheads="1"/>
        </xdr:cNvSpPr>
      </xdr:nvSpPr>
      <xdr:spPr bwMode="auto">
        <a:xfrm flipH="1">
          <a:off x="247650" y="74180700"/>
          <a:ext cx="123825" cy="219075"/>
        </a:xfrm>
        <a:prstGeom prst="upArrow">
          <a:avLst>
            <a:gd name="adj1" fmla="val 50000"/>
            <a:gd name="adj2" fmla="val 48237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104775</xdr:colOff>
      <xdr:row>452</xdr:row>
      <xdr:rowOff>95250</xdr:rowOff>
    </xdr:from>
    <xdr:to>
      <xdr:col>7</xdr:col>
      <xdr:colOff>552450</xdr:colOff>
      <xdr:row>454</xdr:row>
      <xdr:rowOff>57151</xdr:rowOff>
    </xdr:to>
    <xdr:sp macro="" textlink="">
      <xdr:nvSpPr>
        <xdr:cNvPr id="838" name="Arc 837"/>
        <xdr:cNvSpPr/>
      </xdr:nvSpPr>
      <xdr:spPr bwMode="auto">
        <a:xfrm>
          <a:off x="4505325" y="73790175"/>
          <a:ext cx="447675" cy="285751"/>
        </a:xfrm>
        <a:prstGeom prst="arc">
          <a:avLst>
            <a:gd name="adj1" fmla="val 5611846"/>
            <a:gd name="adj2" fmla="val 16341242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190500</xdr:colOff>
      <xdr:row>455</xdr:row>
      <xdr:rowOff>38100</xdr:rowOff>
    </xdr:from>
    <xdr:to>
      <xdr:col>7</xdr:col>
      <xdr:colOff>552450</xdr:colOff>
      <xdr:row>456</xdr:row>
      <xdr:rowOff>104775</xdr:rowOff>
    </xdr:to>
    <xdr:sp macro="" textlink="">
      <xdr:nvSpPr>
        <xdr:cNvPr id="839" name="Arc 838"/>
        <xdr:cNvSpPr/>
      </xdr:nvSpPr>
      <xdr:spPr bwMode="auto">
        <a:xfrm>
          <a:off x="4591050" y="74218800"/>
          <a:ext cx="361950" cy="228600"/>
        </a:xfrm>
        <a:prstGeom prst="arc">
          <a:avLst>
            <a:gd name="adj1" fmla="val 4411912"/>
            <a:gd name="adj2" fmla="val 14930442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304800</xdr:colOff>
      <xdr:row>528</xdr:row>
      <xdr:rowOff>152400</xdr:rowOff>
    </xdr:from>
    <xdr:to>
      <xdr:col>4</xdr:col>
      <xdr:colOff>676275</xdr:colOff>
      <xdr:row>528</xdr:row>
      <xdr:rowOff>152400</xdr:rowOff>
    </xdr:to>
    <xdr:sp macro="" textlink="">
      <xdr:nvSpPr>
        <xdr:cNvPr id="840" name="Line 433"/>
        <xdr:cNvSpPr>
          <a:spLocks noChangeShapeType="1"/>
        </xdr:cNvSpPr>
      </xdr:nvSpPr>
      <xdr:spPr bwMode="auto">
        <a:xfrm>
          <a:off x="2238375" y="86382225"/>
          <a:ext cx="942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548</xdr:row>
      <xdr:rowOff>85725</xdr:rowOff>
    </xdr:from>
    <xdr:to>
      <xdr:col>3</xdr:col>
      <xdr:colOff>609601</xdr:colOff>
      <xdr:row>550</xdr:row>
      <xdr:rowOff>28575</xdr:rowOff>
    </xdr:to>
    <xdr:sp macro="" textlink="">
      <xdr:nvSpPr>
        <xdr:cNvPr id="841" name="Line 393"/>
        <xdr:cNvSpPr>
          <a:spLocks noChangeShapeType="1"/>
        </xdr:cNvSpPr>
      </xdr:nvSpPr>
      <xdr:spPr bwMode="auto">
        <a:xfrm flipV="1">
          <a:off x="714375" y="89582625"/>
          <a:ext cx="1828801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19050</xdr:colOff>
      <xdr:row>547</xdr:row>
      <xdr:rowOff>95250</xdr:rowOff>
    </xdr:from>
    <xdr:to>
      <xdr:col>3</xdr:col>
      <xdr:colOff>609600</xdr:colOff>
      <xdr:row>547</xdr:row>
      <xdr:rowOff>95250</xdr:rowOff>
    </xdr:to>
    <xdr:sp macro="" textlink="">
      <xdr:nvSpPr>
        <xdr:cNvPr id="842" name="Line 394"/>
        <xdr:cNvSpPr>
          <a:spLocks noChangeShapeType="1"/>
        </xdr:cNvSpPr>
      </xdr:nvSpPr>
      <xdr:spPr bwMode="auto">
        <a:xfrm>
          <a:off x="733425" y="89430225"/>
          <a:ext cx="1809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219075</xdr:colOff>
      <xdr:row>493</xdr:row>
      <xdr:rowOff>0</xdr:rowOff>
    </xdr:from>
    <xdr:to>
      <xdr:col>0</xdr:col>
      <xdr:colOff>361950</xdr:colOff>
      <xdr:row>495</xdr:row>
      <xdr:rowOff>0</xdr:rowOff>
    </xdr:to>
    <xdr:sp macro="" textlink="">
      <xdr:nvSpPr>
        <xdr:cNvPr id="843" name="Down Arrow 510"/>
        <xdr:cNvSpPr>
          <a:spLocks noChangeArrowheads="1"/>
        </xdr:cNvSpPr>
      </xdr:nvSpPr>
      <xdr:spPr bwMode="auto">
        <a:xfrm flipH="1">
          <a:off x="219075" y="80400525"/>
          <a:ext cx="142875" cy="323850"/>
        </a:xfrm>
        <a:prstGeom prst="downArrow">
          <a:avLst>
            <a:gd name="adj1" fmla="val 50000"/>
            <a:gd name="adj2" fmla="val 50009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238125</xdr:colOff>
      <xdr:row>497</xdr:row>
      <xdr:rowOff>85725</xdr:rowOff>
    </xdr:from>
    <xdr:to>
      <xdr:col>0</xdr:col>
      <xdr:colOff>323850</xdr:colOff>
      <xdr:row>499</xdr:row>
      <xdr:rowOff>142875</xdr:rowOff>
    </xdr:to>
    <xdr:sp macro="" textlink="">
      <xdr:nvSpPr>
        <xdr:cNvPr id="844" name="Up Arrow 516"/>
        <xdr:cNvSpPr>
          <a:spLocks noChangeArrowheads="1"/>
        </xdr:cNvSpPr>
      </xdr:nvSpPr>
      <xdr:spPr bwMode="auto">
        <a:xfrm>
          <a:off x="238125" y="81133950"/>
          <a:ext cx="85725" cy="381000"/>
        </a:xfrm>
        <a:prstGeom prst="upArrow">
          <a:avLst>
            <a:gd name="adj1" fmla="val 50000"/>
            <a:gd name="adj2" fmla="val 48995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47625</xdr:colOff>
      <xdr:row>493</xdr:row>
      <xdr:rowOff>0</xdr:rowOff>
    </xdr:from>
    <xdr:to>
      <xdr:col>7</xdr:col>
      <xdr:colOff>514350</xdr:colOff>
      <xdr:row>496</xdr:row>
      <xdr:rowOff>38100</xdr:rowOff>
    </xdr:to>
    <xdr:sp macro="" textlink="">
      <xdr:nvSpPr>
        <xdr:cNvPr id="845" name="Arc 844"/>
        <xdr:cNvSpPr/>
      </xdr:nvSpPr>
      <xdr:spPr bwMode="auto">
        <a:xfrm>
          <a:off x="4448175" y="80400525"/>
          <a:ext cx="466725" cy="523875"/>
        </a:xfrm>
        <a:prstGeom prst="arc">
          <a:avLst>
            <a:gd name="adj1" fmla="val 16200000"/>
            <a:gd name="adj2" fmla="val 338934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114300</xdr:colOff>
      <xdr:row>498</xdr:row>
      <xdr:rowOff>9525</xdr:rowOff>
    </xdr:from>
    <xdr:to>
      <xdr:col>7</xdr:col>
      <xdr:colOff>476250</xdr:colOff>
      <xdr:row>499</xdr:row>
      <xdr:rowOff>152400</xdr:rowOff>
    </xdr:to>
    <xdr:sp macro="" textlink="">
      <xdr:nvSpPr>
        <xdr:cNvPr id="846" name="Arc 845"/>
        <xdr:cNvSpPr/>
      </xdr:nvSpPr>
      <xdr:spPr bwMode="auto">
        <a:xfrm>
          <a:off x="4514850" y="81219675"/>
          <a:ext cx="361950" cy="304800"/>
        </a:xfrm>
        <a:prstGeom prst="arc">
          <a:avLst>
            <a:gd name="adj1" fmla="val 16200000"/>
            <a:gd name="adj2" fmla="val 3187812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219075</xdr:colOff>
      <xdr:row>508</xdr:row>
      <xdr:rowOff>57150</xdr:rowOff>
    </xdr:from>
    <xdr:to>
      <xdr:col>0</xdr:col>
      <xdr:colOff>333375</xdr:colOff>
      <xdr:row>511</xdr:row>
      <xdr:rowOff>57150</xdr:rowOff>
    </xdr:to>
    <xdr:sp macro="" textlink="">
      <xdr:nvSpPr>
        <xdr:cNvPr id="847" name="Down Arrow 510"/>
        <xdr:cNvSpPr>
          <a:spLocks noChangeArrowheads="1"/>
        </xdr:cNvSpPr>
      </xdr:nvSpPr>
      <xdr:spPr bwMode="auto">
        <a:xfrm flipH="1">
          <a:off x="219075" y="82981800"/>
          <a:ext cx="114300" cy="485775"/>
        </a:xfrm>
        <a:prstGeom prst="downArrow">
          <a:avLst>
            <a:gd name="adj1" fmla="val 50000"/>
            <a:gd name="adj2" fmla="val 50009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238125</xdr:colOff>
      <xdr:row>512</xdr:row>
      <xdr:rowOff>85725</xdr:rowOff>
    </xdr:from>
    <xdr:to>
      <xdr:col>0</xdr:col>
      <xdr:colOff>323850</xdr:colOff>
      <xdr:row>514</xdr:row>
      <xdr:rowOff>142875</xdr:rowOff>
    </xdr:to>
    <xdr:sp macro="" textlink="">
      <xdr:nvSpPr>
        <xdr:cNvPr id="848" name="Up Arrow 516"/>
        <xdr:cNvSpPr>
          <a:spLocks noChangeArrowheads="1"/>
        </xdr:cNvSpPr>
      </xdr:nvSpPr>
      <xdr:spPr bwMode="auto">
        <a:xfrm>
          <a:off x="238125" y="83658075"/>
          <a:ext cx="85725" cy="381000"/>
        </a:xfrm>
        <a:prstGeom prst="upArrow">
          <a:avLst>
            <a:gd name="adj1" fmla="val 50000"/>
            <a:gd name="adj2" fmla="val 48995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190500</xdr:colOff>
      <xdr:row>508</xdr:row>
      <xdr:rowOff>114301</xdr:rowOff>
    </xdr:from>
    <xdr:to>
      <xdr:col>8</xdr:col>
      <xdr:colOff>28575</xdr:colOff>
      <xdr:row>511</xdr:row>
      <xdr:rowOff>104776</xdr:rowOff>
    </xdr:to>
    <xdr:sp macro="" textlink="">
      <xdr:nvSpPr>
        <xdr:cNvPr id="849" name="Arc 848"/>
        <xdr:cNvSpPr/>
      </xdr:nvSpPr>
      <xdr:spPr bwMode="auto">
        <a:xfrm>
          <a:off x="4591050" y="83038951"/>
          <a:ext cx="447675" cy="476250"/>
        </a:xfrm>
        <a:prstGeom prst="arc">
          <a:avLst>
            <a:gd name="adj1" fmla="val 6072491"/>
            <a:gd name="adj2" fmla="val 16557597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66675</xdr:colOff>
      <xdr:row>513</xdr:row>
      <xdr:rowOff>38100</xdr:rowOff>
    </xdr:from>
    <xdr:to>
      <xdr:col>7</xdr:col>
      <xdr:colOff>428625</xdr:colOff>
      <xdr:row>515</xdr:row>
      <xdr:rowOff>0</xdr:rowOff>
    </xdr:to>
    <xdr:sp macro="" textlink="">
      <xdr:nvSpPr>
        <xdr:cNvPr id="850" name="Arc 849"/>
        <xdr:cNvSpPr/>
      </xdr:nvSpPr>
      <xdr:spPr bwMode="auto">
        <a:xfrm>
          <a:off x="4467225" y="83772375"/>
          <a:ext cx="361950" cy="285750"/>
        </a:xfrm>
        <a:prstGeom prst="arc">
          <a:avLst>
            <a:gd name="adj1" fmla="val 5597017"/>
            <a:gd name="adj2" fmla="val 1589682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219075</xdr:colOff>
      <xdr:row>557</xdr:row>
      <xdr:rowOff>0</xdr:rowOff>
    </xdr:from>
    <xdr:to>
      <xdr:col>0</xdr:col>
      <xdr:colOff>361950</xdr:colOff>
      <xdr:row>559</xdr:row>
      <xdr:rowOff>0</xdr:rowOff>
    </xdr:to>
    <xdr:sp macro="" textlink="">
      <xdr:nvSpPr>
        <xdr:cNvPr id="851" name="Down Arrow 510"/>
        <xdr:cNvSpPr>
          <a:spLocks noChangeArrowheads="1"/>
        </xdr:cNvSpPr>
      </xdr:nvSpPr>
      <xdr:spPr bwMode="auto">
        <a:xfrm flipH="1">
          <a:off x="219075" y="90982800"/>
          <a:ext cx="142875" cy="323850"/>
        </a:xfrm>
        <a:prstGeom prst="downArrow">
          <a:avLst>
            <a:gd name="adj1" fmla="val 50000"/>
            <a:gd name="adj2" fmla="val 50009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238125</xdr:colOff>
      <xdr:row>561</xdr:row>
      <xdr:rowOff>85725</xdr:rowOff>
    </xdr:from>
    <xdr:to>
      <xdr:col>0</xdr:col>
      <xdr:colOff>323850</xdr:colOff>
      <xdr:row>563</xdr:row>
      <xdr:rowOff>142875</xdr:rowOff>
    </xdr:to>
    <xdr:sp macro="" textlink="">
      <xdr:nvSpPr>
        <xdr:cNvPr id="852" name="Up Arrow 516"/>
        <xdr:cNvSpPr>
          <a:spLocks noChangeArrowheads="1"/>
        </xdr:cNvSpPr>
      </xdr:nvSpPr>
      <xdr:spPr bwMode="auto">
        <a:xfrm>
          <a:off x="238125" y="91716225"/>
          <a:ext cx="85725" cy="381000"/>
        </a:xfrm>
        <a:prstGeom prst="upArrow">
          <a:avLst>
            <a:gd name="adj1" fmla="val 50000"/>
            <a:gd name="adj2" fmla="val 48995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581025</xdr:colOff>
      <xdr:row>557</xdr:row>
      <xdr:rowOff>85725</xdr:rowOff>
    </xdr:from>
    <xdr:to>
      <xdr:col>7</xdr:col>
      <xdr:colOff>438150</xdr:colOff>
      <xdr:row>559</xdr:row>
      <xdr:rowOff>57150</xdr:rowOff>
    </xdr:to>
    <xdr:sp macro="" textlink="">
      <xdr:nvSpPr>
        <xdr:cNvPr id="853" name="Arc 852"/>
        <xdr:cNvSpPr/>
      </xdr:nvSpPr>
      <xdr:spPr bwMode="auto">
        <a:xfrm>
          <a:off x="4371975" y="91068525"/>
          <a:ext cx="466725" cy="295275"/>
        </a:xfrm>
        <a:prstGeom prst="arc">
          <a:avLst>
            <a:gd name="adj1" fmla="val 16200000"/>
            <a:gd name="adj2" fmla="val 366194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95250</xdr:colOff>
      <xdr:row>562</xdr:row>
      <xdr:rowOff>28575</xdr:rowOff>
    </xdr:from>
    <xdr:to>
      <xdr:col>7</xdr:col>
      <xdr:colOff>447675</xdr:colOff>
      <xdr:row>564</xdr:row>
      <xdr:rowOff>9525</xdr:rowOff>
    </xdr:to>
    <xdr:sp macro="" textlink="">
      <xdr:nvSpPr>
        <xdr:cNvPr id="854" name="Arc 853"/>
        <xdr:cNvSpPr/>
      </xdr:nvSpPr>
      <xdr:spPr bwMode="auto">
        <a:xfrm>
          <a:off x="4495800" y="91821000"/>
          <a:ext cx="352425" cy="304800"/>
        </a:xfrm>
        <a:prstGeom prst="arc">
          <a:avLst>
            <a:gd name="adj1" fmla="val 16200000"/>
            <a:gd name="adj2" fmla="val 3187812"/>
          </a:avLst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219074</xdr:colOff>
      <xdr:row>573</xdr:row>
      <xdr:rowOff>0</xdr:rowOff>
    </xdr:from>
    <xdr:to>
      <xdr:col>0</xdr:col>
      <xdr:colOff>342899</xdr:colOff>
      <xdr:row>575</xdr:row>
      <xdr:rowOff>104775</xdr:rowOff>
    </xdr:to>
    <xdr:sp macro="" textlink="">
      <xdr:nvSpPr>
        <xdr:cNvPr id="855" name="Down Arrow 510"/>
        <xdr:cNvSpPr>
          <a:spLocks noChangeArrowheads="1"/>
        </xdr:cNvSpPr>
      </xdr:nvSpPr>
      <xdr:spPr bwMode="auto">
        <a:xfrm flipH="1">
          <a:off x="219074" y="93640275"/>
          <a:ext cx="123825" cy="428625"/>
        </a:xfrm>
        <a:prstGeom prst="downArrow">
          <a:avLst>
            <a:gd name="adj1" fmla="val 50000"/>
            <a:gd name="adj2" fmla="val 50009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266700</xdr:colOff>
      <xdr:row>576</xdr:row>
      <xdr:rowOff>47625</xdr:rowOff>
    </xdr:from>
    <xdr:to>
      <xdr:col>0</xdr:col>
      <xdr:colOff>352425</xdr:colOff>
      <xdr:row>578</xdr:row>
      <xdr:rowOff>104775</xdr:rowOff>
    </xdr:to>
    <xdr:sp macro="" textlink="">
      <xdr:nvSpPr>
        <xdr:cNvPr id="856" name="Up Arrow 516"/>
        <xdr:cNvSpPr>
          <a:spLocks noChangeArrowheads="1"/>
        </xdr:cNvSpPr>
      </xdr:nvSpPr>
      <xdr:spPr bwMode="auto">
        <a:xfrm>
          <a:off x="266700" y="94173675"/>
          <a:ext cx="85725" cy="381000"/>
        </a:xfrm>
        <a:prstGeom prst="upArrow">
          <a:avLst>
            <a:gd name="adj1" fmla="val 50000"/>
            <a:gd name="adj2" fmla="val 48995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104775</xdr:colOff>
      <xdr:row>572</xdr:row>
      <xdr:rowOff>142876</xdr:rowOff>
    </xdr:from>
    <xdr:to>
      <xdr:col>7</xdr:col>
      <xdr:colOff>552450</xdr:colOff>
      <xdr:row>575</xdr:row>
      <xdr:rowOff>133351</xdr:rowOff>
    </xdr:to>
    <xdr:sp macro="" textlink="">
      <xdr:nvSpPr>
        <xdr:cNvPr id="857" name="Arc 856"/>
        <xdr:cNvSpPr/>
      </xdr:nvSpPr>
      <xdr:spPr bwMode="auto">
        <a:xfrm>
          <a:off x="4505325" y="93621226"/>
          <a:ext cx="447675" cy="476250"/>
        </a:xfrm>
        <a:prstGeom prst="arc">
          <a:avLst>
            <a:gd name="adj1" fmla="val 6797758"/>
            <a:gd name="adj2" fmla="val 1636142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123825</xdr:colOff>
      <xdr:row>577</xdr:row>
      <xdr:rowOff>1</xdr:rowOff>
    </xdr:from>
    <xdr:to>
      <xdr:col>7</xdr:col>
      <xdr:colOff>485775</xdr:colOff>
      <xdr:row>579</xdr:row>
      <xdr:rowOff>19050</xdr:rowOff>
    </xdr:to>
    <xdr:sp macro="" textlink="">
      <xdr:nvSpPr>
        <xdr:cNvPr id="858" name="Arc 857"/>
        <xdr:cNvSpPr/>
      </xdr:nvSpPr>
      <xdr:spPr bwMode="auto">
        <a:xfrm>
          <a:off x="4524375" y="94287976"/>
          <a:ext cx="361950" cy="342899"/>
        </a:xfrm>
        <a:prstGeom prst="arc">
          <a:avLst>
            <a:gd name="adj1" fmla="val 6655713"/>
            <a:gd name="adj2" fmla="val 15194386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oneCellAnchor>
    <xdr:from>
      <xdr:col>2</xdr:col>
      <xdr:colOff>285750</xdr:colOff>
      <xdr:row>585</xdr:row>
      <xdr:rowOff>0</xdr:rowOff>
    </xdr:from>
    <xdr:ext cx="323850" cy="170560"/>
    <xdr:sp macro="" textlink="">
      <xdr:nvSpPr>
        <xdr:cNvPr id="859" name="Text Box 135"/>
        <xdr:cNvSpPr txBox="1">
          <a:spLocks noChangeArrowheads="1"/>
        </xdr:cNvSpPr>
      </xdr:nvSpPr>
      <xdr:spPr bwMode="auto">
        <a:xfrm>
          <a:off x="1609725" y="95621475"/>
          <a:ext cx="323850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7</xdr:col>
      <xdr:colOff>285750</xdr:colOff>
      <xdr:row>584</xdr:row>
      <xdr:rowOff>152400</xdr:rowOff>
    </xdr:from>
    <xdr:ext cx="304800" cy="170560"/>
    <xdr:sp macro="" textlink="">
      <xdr:nvSpPr>
        <xdr:cNvPr id="860" name="Text Box 135"/>
        <xdr:cNvSpPr txBox="1">
          <a:spLocks noChangeArrowheads="1"/>
        </xdr:cNvSpPr>
      </xdr:nvSpPr>
      <xdr:spPr bwMode="auto">
        <a:xfrm>
          <a:off x="4686300" y="95611950"/>
          <a:ext cx="304800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2</xdr:col>
      <xdr:colOff>342900</xdr:colOff>
      <xdr:row>596</xdr:row>
      <xdr:rowOff>152400</xdr:rowOff>
    </xdr:from>
    <xdr:ext cx="323850" cy="170560"/>
    <xdr:sp macro="" textlink="">
      <xdr:nvSpPr>
        <xdr:cNvPr id="861" name="Text Box 135"/>
        <xdr:cNvSpPr txBox="1">
          <a:spLocks noChangeArrowheads="1"/>
        </xdr:cNvSpPr>
      </xdr:nvSpPr>
      <xdr:spPr bwMode="auto">
        <a:xfrm>
          <a:off x="1666875" y="97755075"/>
          <a:ext cx="323850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twoCellAnchor editAs="oneCell">
    <xdr:from>
      <xdr:col>7</xdr:col>
      <xdr:colOff>542925</xdr:colOff>
      <xdr:row>607</xdr:row>
      <xdr:rowOff>0</xdr:rowOff>
    </xdr:from>
    <xdr:to>
      <xdr:col>8</xdr:col>
      <xdr:colOff>409575</xdr:colOff>
      <xdr:row>608</xdr:row>
      <xdr:rowOff>38100</xdr:rowOff>
    </xdr:to>
    <xdr:sp macro="" textlink="">
      <xdr:nvSpPr>
        <xdr:cNvPr id="863" name="Text Box 462"/>
        <xdr:cNvSpPr txBox="1">
          <a:spLocks noChangeArrowheads="1"/>
        </xdr:cNvSpPr>
      </xdr:nvSpPr>
      <xdr:spPr bwMode="auto">
        <a:xfrm>
          <a:off x="4943475" y="99583875"/>
          <a:ext cx="4762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542925</xdr:colOff>
      <xdr:row>607</xdr:row>
      <xdr:rowOff>0</xdr:rowOff>
    </xdr:from>
    <xdr:to>
      <xdr:col>8</xdr:col>
      <xdr:colOff>409575</xdr:colOff>
      <xdr:row>608</xdr:row>
      <xdr:rowOff>38100</xdr:rowOff>
    </xdr:to>
    <xdr:sp macro="" textlink="">
      <xdr:nvSpPr>
        <xdr:cNvPr id="864" name="Text Box 464"/>
        <xdr:cNvSpPr txBox="1">
          <a:spLocks noChangeArrowheads="1"/>
        </xdr:cNvSpPr>
      </xdr:nvSpPr>
      <xdr:spPr bwMode="auto">
        <a:xfrm>
          <a:off x="4943475" y="99583875"/>
          <a:ext cx="4762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85725</xdr:colOff>
      <xdr:row>317</xdr:row>
      <xdr:rowOff>161924</xdr:rowOff>
    </xdr:from>
    <xdr:to>
      <xdr:col>8</xdr:col>
      <xdr:colOff>552450</xdr:colOff>
      <xdr:row>324</xdr:row>
      <xdr:rowOff>152400</xdr:rowOff>
    </xdr:to>
    <xdr:sp macro="" textlink="">
      <xdr:nvSpPr>
        <xdr:cNvPr id="865" name="Line 624"/>
        <xdr:cNvSpPr>
          <a:spLocks noChangeShapeType="1"/>
        </xdr:cNvSpPr>
      </xdr:nvSpPr>
      <xdr:spPr bwMode="auto">
        <a:xfrm>
          <a:off x="5095875" y="51006374"/>
          <a:ext cx="466725" cy="112395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66675</xdr:colOff>
      <xdr:row>318</xdr:row>
      <xdr:rowOff>9532</xdr:rowOff>
    </xdr:from>
    <xdr:to>
      <xdr:col>8</xdr:col>
      <xdr:colOff>76202</xdr:colOff>
      <xdr:row>325</xdr:row>
      <xdr:rowOff>9531</xdr:rowOff>
    </xdr:to>
    <xdr:cxnSp macro="">
      <xdr:nvCxnSpPr>
        <xdr:cNvPr id="866" name="Straight Connector 598"/>
        <xdr:cNvCxnSpPr>
          <a:cxnSpLocks noChangeShapeType="1"/>
        </xdr:cNvCxnSpPr>
      </xdr:nvCxnSpPr>
      <xdr:spPr bwMode="auto">
        <a:xfrm rot="5400000">
          <a:off x="4514852" y="51577880"/>
          <a:ext cx="1133474" cy="9527"/>
        </a:xfrm>
        <a:prstGeom prst="line">
          <a:avLst/>
        </a:prstGeom>
        <a:noFill/>
        <a:ln w="9525" algn="ctr">
          <a:solidFill>
            <a:srgbClr val="000000"/>
          </a:solidFill>
          <a:prstDash val="dash"/>
          <a:round/>
          <a:headEnd/>
          <a:tailEnd/>
        </a:ln>
      </xdr:spPr>
    </xdr:cxnSp>
    <xdr:clientData/>
  </xdr:twoCellAnchor>
  <xdr:twoCellAnchor>
    <xdr:from>
      <xdr:col>8</xdr:col>
      <xdr:colOff>66675</xdr:colOff>
      <xdr:row>324</xdr:row>
      <xdr:rowOff>152400</xdr:rowOff>
    </xdr:from>
    <xdr:to>
      <xdr:col>8</xdr:col>
      <xdr:colOff>561975</xdr:colOff>
      <xdr:row>325</xdr:row>
      <xdr:rowOff>0</xdr:rowOff>
    </xdr:to>
    <xdr:cxnSp macro="">
      <xdr:nvCxnSpPr>
        <xdr:cNvPr id="867" name="Straight Connector 600"/>
        <xdr:cNvCxnSpPr>
          <a:cxnSpLocks noChangeShapeType="1"/>
        </xdr:cNvCxnSpPr>
      </xdr:nvCxnSpPr>
      <xdr:spPr bwMode="auto">
        <a:xfrm flipV="1">
          <a:off x="5076825" y="52130325"/>
          <a:ext cx="4953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/>
        </a:ln>
      </xdr:spPr>
    </xdr:cxnSp>
    <xdr:clientData/>
  </xdr:twoCellAnchor>
  <xdr:twoCellAnchor>
    <xdr:from>
      <xdr:col>8</xdr:col>
      <xdr:colOff>0</xdr:colOff>
      <xdr:row>318</xdr:row>
      <xdr:rowOff>7</xdr:rowOff>
    </xdr:from>
    <xdr:to>
      <xdr:col>8</xdr:col>
      <xdr:colOff>9525</xdr:colOff>
      <xdr:row>325</xdr:row>
      <xdr:rowOff>4</xdr:rowOff>
    </xdr:to>
    <xdr:cxnSp macro="">
      <xdr:nvCxnSpPr>
        <xdr:cNvPr id="868" name="Straight Arrow Connector 604"/>
        <xdr:cNvCxnSpPr>
          <a:cxnSpLocks noChangeShapeType="1"/>
        </xdr:cNvCxnSpPr>
      </xdr:nvCxnSpPr>
      <xdr:spPr bwMode="auto">
        <a:xfrm rot="5400000">
          <a:off x="4448177" y="51568355"/>
          <a:ext cx="1133472" cy="952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485775</xdr:colOff>
      <xdr:row>318</xdr:row>
      <xdr:rowOff>0</xdr:rowOff>
    </xdr:from>
    <xdr:to>
      <xdr:col>10</xdr:col>
      <xdr:colOff>66675</xdr:colOff>
      <xdr:row>318</xdr:row>
      <xdr:rowOff>0</xdr:rowOff>
    </xdr:to>
    <xdr:cxnSp macro="">
      <xdr:nvCxnSpPr>
        <xdr:cNvPr id="869" name="Straight Connector 607"/>
        <xdr:cNvCxnSpPr>
          <a:cxnSpLocks noChangeShapeType="1"/>
        </xdr:cNvCxnSpPr>
      </xdr:nvCxnSpPr>
      <xdr:spPr bwMode="auto">
        <a:xfrm>
          <a:off x="4886325" y="51006375"/>
          <a:ext cx="11430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5</xdr:col>
      <xdr:colOff>552452</xdr:colOff>
      <xdr:row>316</xdr:row>
      <xdr:rowOff>5</xdr:rowOff>
    </xdr:from>
    <xdr:to>
      <xdr:col>5</xdr:col>
      <xdr:colOff>552453</xdr:colOff>
      <xdr:row>325</xdr:row>
      <xdr:rowOff>19054</xdr:rowOff>
    </xdr:to>
    <xdr:cxnSp macro="">
      <xdr:nvCxnSpPr>
        <xdr:cNvPr id="870" name="Straight Connector 679"/>
        <xdr:cNvCxnSpPr>
          <a:cxnSpLocks noChangeShapeType="1"/>
        </xdr:cNvCxnSpPr>
      </xdr:nvCxnSpPr>
      <xdr:spPr bwMode="auto">
        <a:xfrm rot="5400000">
          <a:off x="2995616" y="51420716"/>
          <a:ext cx="1476374" cy="1"/>
        </a:xfrm>
        <a:prstGeom prst="line">
          <a:avLst/>
        </a:prstGeom>
        <a:noFill/>
        <a:ln w="9525" algn="ctr">
          <a:solidFill>
            <a:srgbClr val="000000"/>
          </a:solidFill>
          <a:prstDash val="dash"/>
          <a:round/>
          <a:headEnd/>
          <a:tailEnd/>
        </a:ln>
      </xdr:spPr>
    </xdr:cxnSp>
    <xdr:clientData/>
  </xdr:twoCellAnchor>
  <xdr:twoCellAnchor>
    <xdr:from>
      <xdr:col>5</xdr:col>
      <xdr:colOff>561977</xdr:colOff>
      <xdr:row>315</xdr:row>
      <xdr:rowOff>152402</xdr:rowOff>
    </xdr:from>
    <xdr:to>
      <xdr:col>6</xdr:col>
      <xdr:colOff>200024</xdr:colOff>
      <xdr:row>325</xdr:row>
      <xdr:rowOff>0</xdr:rowOff>
    </xdr:to>
    <xdr:cxnSp macro="">
      <xdr:nvCxnSpPr>
        <xdr:cNvPr id="871" name="Straight Connector 681"/>
        <xdr:cNvCxnSpPr>
          <a:cxnSpLocks noChangeShapeType="1"/>
        </xdr:cNvCxnSpPr>
      </xdr:nvCxnSpPr>
      <xdr:spPr bwMode="auto">
        <a:xfrm rot="16200000" flipH="1">
          <a:off x="3133727" y="51282602"/>
          <a:ext cx="1466848" cy="247647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5</xdr:col>
      <xdr:colOff>533402</xdr:colOff>
      <xdr:row>325</xdr:row>
      <xdr:rowOff>0</xdr:rowOff>
    </xdr:from>
    <xdr:to>
      <xdr:col>6</xdr:col>
      <xdr:colOff>266701</xdr:colOff>
      <xdr:row>325</xdr:row>
      <xdr:rowOff>1588</xdr:rowOff>
    </xdr:to>
    <xdr:cxnSp macro="">
      <xdr:nvCxnSpPr>
        <xdr:cNvPr id="872" name="Straight Arrow Connector 683"/>
        <xdr:cNvCxnSpPr>
          <a:cxnSpLocks noChangeShapeType="1"/>
        </xdr:cNvCxnSpPr>
      </xdr:nvCxnSpPr>
      <xdr:spPr bwMode="auto">
        <a:xfrm rot="10800000">
          <a:off x="3714752" y="52139850"/>
          <a:ext cx="342899" cy="1588"/>
        </a:xfrm>
        <a:prstGeom prst="straightConnector1">
          <a:avLst/>
        </a:prstGeom>
        <a:noFill/>
        <a:ln w="9525" algn="ctr">
          <a:solidFill>
            <a:sysClr val="windowText" lastClr="000000"/>
          </a:solidFill>
          <a:round/>
          <a:headEnd type="none" w="med" len="med"/>
          <a:tailEnd type="triangle" w="med" len="med"/>
        </a:ln>
      </xdr:spPr>
    </xdr:cxnSp>
    <xdr:clientData/>
  </xdr:twoCellAnchor>
  <xdr:twoCellAnchor editAs="oneCell">
    <xdr:from>
      <xdr:col>4</xdr:col>
      <xdr:colOff>600075</xdr:colOff>
      <xdr:row>406</xdr:row>
      <xdr:rowOff>0</xdr:rowOff>
    </xdr:from>
    <xdr:to>
      <xdr:col>5</xdr:col>
      <xdr:colOff>171450</xdr:colOff>
      <xdr:row>406</xdr:row>
      <xdr:rowOff>161925</xdr:rowOff>
    </xdr:to>
    <xdr:sp macro="" textlink="">
      <xdr:nvSpPr>
        <xdr:cNvPr id="873" name="Text Box 154"/>
        <xdr:cNvSpPr txBox="1">
          <a:spLocks noChangeArrowheads="1"/>
        </xdr:cNvSpPr>
      </xdr:nvSpPr>
      <xdr:spPr bwMode="auto">
        <a:xfrm>
          <a:off x="3143250" y="65951100"/>
          <a:ext cx="2095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408</xdr:row>
      <xdr:rowOff>0</xdr:rowOff>
    </xdr:from>
    <xdr:to>
      <xdr:col>5</xdr:col>
      <xdr:colOff>171450</xdr:colOff>
      <xdr:row>408</xdr:row>
      <xdr:rowOff>161925</xdr:rowOff>
    </xdr:to>
    <xdr:sp macro="" textlink="">
      <xdr:nvSpPr>
        <xdr:cNvPr id="874" name="Text Box 154"/>
        <xdr:cNvSpPr txBox="1">
          <a:spLocks noChangeArrowheads="1"/>
        </xdr:cNvSpPr>
      </xdr:nvSpPr>
      <xdr:spPr bwMode="auto">
        <a:xfrm>
          <a:off x="3143250" y="66341625"/>
          <a:ext cx="2095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409</xdr:row>
      <xdr:rowOff>0</xdr:rowOff>
    </xdr:from>
    <xdr:to>
      <xdr:col>5</xdr:col>
      <xdr:colOff>171450</xdr:colOff>
      <xdr:row>409</xdr:row>
      <xdr:rowOff>161925</xdr:rowOff>
    </xdr:to>
    <xdr:sp macro="" textlink="">
      <xdr:nvSpPr>
        <xdr:cNvPr id="875" name="Text Box 154"/>
        <xdr:cNvSpPr txBox="1">
          <a:spLocks noChangeArrowheads="1"/>
        </xdr:cNvSpPr>
      </xdr:nvSpPr>
      <xdr:spPr bwMode="auto">
        <a:xfrm>
          <a:off x="3143250" y="66541650"/>
          <a:ext cx="2095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621</xdr:row>
      <xdr:rowOff>0</xdr:rowOff>
    </xdr:from>
    <xdr:to>
      <xdr:col>5</xdr:col>
      <xdr:colOff>171450</xdr:colOff>
      <xdr:row>621</xdr:row>
      <xdr:rowOff>161925</xdr:rowOff>
    </xdr:to>
    <xdr:sp macro="" textlink="">
      <xdr:nvSpPr>
        <xdr:cNvPr id="876" name="Text Box 154"/>
        <xdr:cNvSpPr txBox="1">
          <a:spLocks noChangeArrowheads="1"/>
        </xdr:cNvSpPr>
      </xdr:nvSpPr>
      <xdr:spPr bwMode="auto">
        <a:xfrm>
          <a:off x="3143250" y="101907975"/>
          <a:ext cx="2095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623</xdr:row>
      <xdr:rowOff>0</xdr:rowOff>
    </xdr:from>
    <xdr:to>
      <xdr:col>5</xdr:col>
      <xdr:colOff>171450</xdr:colOff>
      <xdr:row>623</xdr:row>
      <xdr:rowOff>161925</xdr:rowOff>
    </xdr:to>
    <xdr:sp macro="" textlink="">
      <xdr:nvSpPr>
        <xdr:cNvPr id="877" name="Text Box 154"/>
        <xdr:cNvSpPr txBox="1">
          <a:spLocks noChangeArrowheads="1"/>
        </xdr:cNvSpPr>
      </xdr:nvSpPr>
      <xdr:spPr bwMode="auto">
        <a:xfrm>
          <a:off x="3143250" y="102298500"/>
          <a:ext cx="2095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624</xdr:row>
      <xdr:rowOff>0</xdr:rowOff>
    </xdr:from>
    <xdr:to>
      <xdr:col>5</xdr:col>
      <xdr:colOff>171450</xdr:colOff>
      <xdr:row>624</xdr:row>
      <xdr:rowOff>161925</xdr:rowOff>
    </xdr:to>
    <xdr:sp macro="" textlink="">
      <xdr:nvSpPr>
        <xdr:cNvPr id="878" name="Text Box 154"/>
        <xdr:cNvSpPr txBox="1">
          <a:spLocks noChangeArrowheads="1"/>
        </xdr:cNvSpPr>
      </xdr:nvSpPr>
      <xdr:spPr bwMode="auto">
        <a:xfrm>
          <a:off x="3143250" y="102498525"/>
          <a:ext cx="2095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620</xdr:row>
      <xdr:rowOff>0</xdr:rowOff>
    </xdr:from>
    <xdr:to>
      <xdr:col>5</xdr:col>
      <xdr:colOff>171450</xdr:colOff>
      <xdr:row>620</xdr:row>
      <xdr:rowOff>161925</xdr:rowOff>
    </xdr:to>
    <xdr:sp macro="" textlink="">
      <xdr:nvSpPr>
        <xdr:cNvPr id="879" name="Text Box 154"/>
        <xdr:cNvSpPr txBox="1">
          <a:spLocks noChangeArrowheads="1"/>
        </xdr:cNvSpPr>
      </xdr:nvSpPr>
      <xdr:spPr bwMode="auto">
        <a:xfrm>
          <a:off x="3143250" y="101707950"/>
          <a:ext cx="20955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9525</xdr:colOff>
      <xdr:row>424</xdr:row>
      <xdr:rowOff>133350</xdr:rowOff>
    </xdr:from>
    <xdr:to>
      <xdr:col>4</xdr:col>
      <xdr:colOff>285750</xdr:colOff>
      <xdr:row>424</xdr:row>
      <xdr:rowOff>142875</xdr:rowOff>
    </xdr:to>
    <xdr:cxnSp macro="">
      <xdr:nvCxnSpPr>
        <xdr:cNvPr id="880" name="Straight Connector 704"/>
        <xdr:cNvCxnSpPr>
          <a:cxnSpLocks noChangeShapeType="1"/>
        </xdr:cNvCxnSpPr>
      </xdr:nvCxnSpPr>
      <xdr:spPr bwMode="auto">
        <a:xfrm>
          <a:off x="2552700" y="69170550"/>
          <a:ext cx="2762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3</xdr:col>
      <xdr:colOff>295276</xdr:colOff>
      <xdr:row>422</xdr:row>
      <xdr:rowOff>28575</xdr:rowOff>
    </xdr:from>
    <xdr:to>
      <xdr:col>4</xdr:col>
      <xdr:colOff>19051</xdr:colOff>
      <xdr:row>422</xdr:row>
      <xdr:rowOff>30163</xdr:rowOff>
    </xdr:to>
    <xdr:cxnSp macro="">
      <xdr:nvCxnSpPr>
        <xdr:cNvPr id="881" name="Straight Connector 710"/>
        <xdr:cNvCxnSpPr>
          <a:cxnSpLocks noChangeShapeType="1"/>
        </xdr:cNvCxnSpPr>
      </xdr:nvCxnSpPr>
      <xdr:spPr bwMode="auto">
        <a:xfrm rot="10800000">
          <a:off x="2228851" y="68741925"/>
          <a:ext cx="333375" cy="1588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4</xdr:col>
      <xdr:colOff>238125</xdr:colOff>
      <xdr:row>534</xdr:row>
      <xdr:rowOff>38100</xdr:rowOff>
    </xdr:from>
    <xdr:to>
      <xdr:col>4</xdr:col>
      <xdr:colOff>247650</xdr:colOff>
      <xdr:row>537</xdr:row>
      <xdr:rowOff>0</xdr:rowOff>
    </xdr:to>
    <xdr:cxnSp macro="">
      <xdr:nvCxnSpPr>
        <xdr:cNvPr id="882" name="Straight Arrow Connector 743"/>
        <xdr:cNvCxnSpPr>
          <a:cxnSpLocks noChangeShapeType="1"/>
          <a:stCxn id="743" idx="0"/>
        </xdr:cNvCxnSpPr>
      </xdr:nvCxnSpPr>
      <xdr:spPr bwMode="auto">
        <a:xfrm rot="5400000" flipH="1">
          <a:off x="2562225" y="87458550"/>
          <a:ext cx="447675" cy="952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0</xdr:col>
      <xdr:colOff>28575</xdr:colOff>
      <xdr:row>522</xdr:row>
      <xdr:rowOff>152401</xdr:rowOff>
    </xdr:from>
    <xdr:to>
      <xdr:col>1</xdr:col>
      <xdr:colOff>219075</xdr:colOff>
      <xdr:row>523</xdr:row>
      <xdr:rowOff>0</xdr:rowOff>
    </xdr:to>
    <xdr:cxnSp macro="">
      <xdr:nvCxnSpPr>
        <xdr:cNvPr id="883" name="Straight Connector 747"/>
        <xdr:cNvCxnSpPr>
          <a:cxnSpLocks noChangeShapeType="1"/>
        </xdr:cNvCxnSpPr>
      </xdr:nvCxnSpPr>
      <xdr:spPr bwMode="auto">
        <a:xfrm>
          <a:off x="28575" y="85410676"/>
          <a:ext cx="904875" cy="9524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4</xdr:col>
      <xdr:colOff>161925</xdr:colOff>
      <xdr:row>538</xdr:row>
      <xdr:rowOff>0</xdr:rowOff>
    </xdr:from>
    <xdr:to>
      <xdr:col>4</xdr:col>
      <xdr:colOff>419100</xdr:colOff>
      <xdr:row>538</xdr:row>
      <xdr:rowOff>0</xdr:rowOff>
    </xdr:to>
    <xdr:cxnSp macro="">
      <xdr:nvCxnSpPr>
        <xdr:cNvPr id="884" name="Straight Connector 753"/>
        <xdr:cNvCxnSpPr>
          <a:cxnSpLocks noChangeShapeType="1"/>
        </xdr:cNvCxnSpPr>
      </xdr:nvCxnSpPr>
      <xdr:spPr bwMode="auto">
        <a:xfrm>
          <a:off x="2705100" y="87849075"/>
          <a:ext cx="25717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4</xdr:col>
      <xdr:colOff>209550</xdr:colOff>
      <xdr:row>528</xdr:row>
      <xdr:rowOff>152400</xdr:rowOff>
    </xdr:from>
    <xdr:to>
      <xdr:col>4</xdr:col>
      <xdr:colOff>209550</xdr:colOff>
      <xdr:row>534</xdr:row>
      <xdr:rowOff>76200</xdr:rowOff>
    </xdr:to>
    <xdr:cxnSp macro="">
      <xdr:nvCxnSpPr>
        <xdr:cNvPr id="885" name="Straight Connector 757"/>
        <xdr:cNvCxnSpPr>
          <a:cxnSpLocks noChangeShapeType="1"/>
        </xdr:cNvCxnSpPr>
      </xdr:nvCxnSpPr>
      <xdr:spPr bwMode="auto">
        <a:xfrm rot="5400000">
          <a:off x="2305050" y="86829900"/>
          <a:ext cx="8953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</xdr:col>
      <xdr:colOff>66675</xdr:colOff>
      <xdr:row>484</xdr:row>
      <xdr:rowOff>9525</xdr:rowOff>
    </xdr:from>
    <xdr:to>
      <xdr:col>3</xdr:col>
      <xdr:colOff>676275</xdr:colOff>
      <xdr:row>485</xdr:row>
      <xdr:rowOff>0</xdr:rowOff>
    </xdr:to>
    <xdr:cxnSp macro="">
      <xdr:nvCxnSpPr>
        <xdr:cNvPr id="886" name="Straight Connector 885"/>
        <xdr:cNvCxnSpPr/>
      </xdr:nvCxnSpPr>
      <xdr:spPr bwMode="auto">
        <a:xfrm>
          <a:off x="781050" y="78924150"/>
          <a:ext cx="1762125" cy="15240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75407</xdr:colOff>
      <xdr:row>482</xdr:row>
      <xdr:rowOff>134144</xdr:rowOff>
    </xdr:from>
    <xdr:to>
      <xdr:col>1</xdr:col>
      <xdr:colOff>76995</xdr:colOff>
      <xdr:row>483</xdr:row>
      <xdr:rowOff>153194</xdr:rowOff>
    </xdr:to>
    <xdr:cxnSp macro="">
      <xdr:nvCxnSpPr>
        <xdr:cNvPr id="887" name="Straight Arrow Connector 886"/>
        <xdr:cNvCxnSpPr/>
      </xdr:nvCxnSpPr>
      <xdr:spPr bwMode="auto">
        <a:xfrm rot="5400000" flipH="1" flipV="1">
          <a:off x="700088" y="78814613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1</xdr:colOff>
      <xdr:row>483</xdr:row>
      <xdr:rowOff>9525</xdr:rowOff>
    </xdr:from>
    <xdr:to>
      <xdr:col>4</xdr:col>
      <xdr:colOff>1</xdr:colOff>
      <xdr:row>485</xdr:row>
      <xdr:rowOff>0</xdr:rowOff>
    </xdr:to>
    <xdr:cxnSp macro="">
      <xdr:nvCxnSpPr>
        <xdr:cNvPr id="888" name="Straight Arrow Connector 887"/>
        <xdr:cNvCxnSpPr/>
      </xdr:nvCxnSpPr>
      <xdr:spPr bwMode="auto">
        <a:xfrm rot="5400000" flipH="1" flipV="1">
          <a:off x="2386013" y="78919388"/>
          <a:ext cx="3143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284957</xdr:colOff>
      <xdr:row>483</xdr:row>
      <xdr:rowOff>10319</xdr:rowOff>
    </xdr:from>
    <xdr:to>
      <xdr:col>3</xdr:col>
      <xdr:colOff>286545</xdr:colOff>
      <xdr:row>484</xdr:row>
      <xdr:rowOff>124619</xdr:rowOff>
    </xdr:to>
    <xdr:cxnSp macro="">
      <xdr:nvCxnSpPr>
        <xdr:cNvPr id="889" name="Straight Arrow Connector 888"/>
        <xdr:cNvCxnSpPr/>
      </xdr:nvCxnSpPr>
      <xdr:spPr bwMode="auto">
        <a:xfrm rot="5400000" flipH="1" flipV="1">
          <a:off x="2081213" y="78900338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542131</xdr:colOff>
      <xdr:row>483</xdr:row>
      <xdr:rowOff>10319</xdr:rowOff>
    </xdr:from>
    <xdr:to>
      <xdr:col>2</xdr:col>
      <xdr:colOff>543719</xdr:colOff>
      <xdr:row>484</xdr:row>
      <xdr:rowOff>115094</xdr:rowOff>
    </xdr:to>
    <xdr:cxnSp macro="">
      <xdr:nvCxnSpPr>
        <xdr:cNvPr id="890" name="Straight Arrow Connector 889"/>
        <xdr:cNvCxnSpPr/>
      </xdr:nvCxnSpPr>
      <xdr:spPr bwMode="auto">
        <a:xfrm rot="5400000" flipH="1" flipV="1">
          <a:off x="1733550" y="78895575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19050</xdr:colOff>
      <xdr:row>483</xdr:row>
      <xdr:rowOff>142875</xdr:rowOff>
    </xdr:from>
    <xdr:to>
      <xdr:col>2</xdr:col>
      <xdr:colOff>485775</xdr:colOff>
      <xdr:row>485</xdr:row>
      <xdr:rowOff>57150</xdr:rowOff>
    </xdr:to>
    <xdr:cxnSp macro="">
      <xdr:nvCxnSpPr>
        <xdr:cNvPr id="891" name="Straight Arrow Connector 890"/>
        <xdr:cNvCxnSpPr/>
      </xdr:nvCxnSpPr>
      <xdr:spPr bwMode="auto">
        <a:xfrm flipV="1">
          <a:off x="1343025" y="78895575"/>
          <a:ext cx="466725" cy="2381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647700</xdr:colOff>
      <xdr:row>484</xdr:row>
      <xdr:rowOff>9525</xdr:rowOff>
    </xdr:from>
    <xdr:to>
      <xdr:col>3</xdr:col>
      <xdr:colOff>266700</xdr:colOff>
      <xdr:row>486</xdr:row>
      <xdr:rowOff>123825</xdr:rowOff>
    </xdr:to>
    <xdr:sp macro="" textlink="">
      <xdr:nvSpPr>
        <xdr:cNvPr id="892" name="Freeform 891"/>
        <xdr:cNvSpPr/>
      </xdr:nvSpPr>
      <xdr:spPr bwMode="auto">
        <a:xfrm>
          <a:off x="1933575" y="78924150"/>
          <a:ext cx="266700" cy="438150"/>
        </a:xfrm>
        <a:custGeom>
          <a:avLst/>
          <a:gdLst>
            <a:gd name="connsiteX0" fmla="*/ 31750 w 222250"/>
            <a:gd name="connsiteY0" fmla="*/ 409575 h 423862"/>
            <a:gd name="connsiteX1" fmla="*/ 146050 w 222250"/>
            <a:gd name="connsiteY1" fmla="*/ 381000 h 423862"/>
            <a:gd name="connsiteX2" fmla="*/ 12700 w 222250"/>
            <a:gd name="connsiteY2" fmla="*/ 152400 h 423862"/>
            <a:gd name="connsiteX3" fmla="*/ 222250 w 222250"/>
            <a:gd name="connsiteY3" fmla="*/ 0 h 4238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22250" h="423862">
              <a:moveTo>
                <a:pt x="31750" y="409575"/>
              </a:moveTo>
              <a:cubicBezTo>
                <a:pt x="90487" y="416718"/>
                <a:pt x="149225" y="423862"/>
                <a:pt x="146050" y="381000"/>
              </a:cubicBezTo>
              <a:cubicBezTo>
                <a:pt x="142875" y="338138"/>
                <a:pt x="0" y="215900"/>
                <a:pt x="12700" y="152400"/>
              </a:cubicBezTo>
              <a:cubicBezTo>
                <a:pt x="25400" y="88900"/>
                <a:pt x="123825" y="44450"/>
                <a:pt x="22225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600075</xdr:colOff>
      <xdr:row>547</xdr:row>
      <xdr:rowOff>76201</xdr:rowOff>
    </xdr:from>
    <xdr:to>
      <xdr:col>3</xdr:col>
      <xdr:colOff>600076</xdr:colOff>
      <xdr:row>548</xdr:row>
      <xdr:rowOff>66676</xdr:rowOff>
    </xdr:to>
    <xdr:cxnSp macro="">
      <xdr:nvCxnSpPr>
        <xdr:cNvPr id="893" name="Straight Arrow Connector 892"/>
        <xdr:cNvCxnSpPr/>
      </xdr:nvCxnSpPr>
      <xdr:spPr bwMode="auto">
        <a:xfrm rot="5400000" flipH="1">
          <a:off x="2457451" y="89487375"/>
          <a:ext cx="15240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285751</xdr:colOff>
      <xdr:row>547</xdr:row>
      <xdr:rowOff>85725</xdr:rowOff>
    </xdr:from>
    <xdr:to>
      <xdr:col>3</xdr:col>
      <xdr:colOff>295276</xdr:colOff>
      <xdr:row>548</xdr:row>
      <xdr:rowOff>123825</xdr:rowOff>
    </xdr:to>
    <xdr:cxnSp macro="">
      <xdr:nvCxnSpPr>
        <xdr:cNvPr id="894" name="Straight Arrow Connector 893"/>
        <xdr:cNvCxnSpPr/>
      </xdr:nvCxnSpPr>
      <xdr:spPr bwMode="auto">
        <a:xfrm rot="16200000" flipV="1">
          <a:off x="2124076" y="89515950"/>
          <a:ext cx="2000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380206</xdr:colOff>
      <xdr:row>547</xdr:row>
      <xdr:rowOff>96044</xdr:rowOff>
    </xdr:from>
    <xdr:to>
      <xdr:col>2</xdr:col>
      <xdr:colOff>381794</xdr:colOff>
      <xdr:row>549</xdr:row>
      <xdr:rowOff>57944</xdr:rowOff>
    </xdr:to>
    <xdr:cxnSp macro="">
      <xdr:nvCxnSpPr>
        <xdr:cNvPr id="895" name="Straight Arrow Connector 894"/>
        <xdr:cNvCxnSpPr/>
      </xdr:nvCxnSpPr>
      <xdr:spPr bwMode="auto">
        <a:xfrm rot="5400000" flipH="1" flipV="1">
          <a:off x="1562100" y="89573100"/>
          <a:ext cx="285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1</xdr:colOff>
      <xdr:row>547</xdr:row>
      <xdr:rowOff>76201</xdr:rowOff>
    </xdr:from>
    <xdr:to>
      <xdr:col>1</xdr:col>
      <xdr:colOff>9525</xdr:colOff>
      <xdr:row>550</xdr:row>
      <xdr:rowOff>28575</xdr:rowOff>
    </xdr:to>
    <xdr:cxnSp macro="">
      <xdr:nvCxnSpPr>
        <xdr:cNvPr id="896" name="Straight Arrow Connector 895"/>
        <xdr:cNvCxnSpPr/>
      </xdr:nvCxnSpPr>
      <xdr:spPr bwMode="auto">
        <a:xfrm rot="5400000" flipH="1" flipV="1">
          <a:off x="500063" y="89625489"/>
          <a:ext cx="438149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323852</xdr:colOff>
      <xdr:row>548</xdr:row>
      <xdr:rowOff>57150</xdr:rowOff>
    </xdr:from>
    <xdr:to>
      <xdr:col>4</xdr:col>
      <xdr:colOff>228600</xdr:colOff>
      <xdr:row>549</xdr:row>
      <xdr:rowOff>66675</xdr:rowOff>
    </xdr:to>
    <xdr:cxnSp macro="">
      <xdr:nvCxnSpPr>
        <xdr:cNvPr id="897" name="Straight Arrow Connector 896"/>
        <xdr:cNvCxnSpPr/>
      </xdr:nvCxnSpPr>
      <xdr:spPr bwMode="auto">
        <a:xfrm rot="10800000">
          <a:off x="2257427" y="89554050"/>
          <a:ext cx="514348" cy="1714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400050</xdr:colOff>
      <xdr:row>548</xdr:row>
      <xdr:rowOff>28575</xdr:rowOff>
    </xdr:from>
    <xdr:to>
      <xdr:col>3</xdr:col>
      <xdr:colOff>600075</xdr:colOff>
      <xdr:row>550</xdr:row>
      <xdr:rowOff>95250</xdr:rowOff>
    </xdr:to>
    <xdr:sp macro="" textlink="">
      <xdr:nvSpPr>
        <xdr:cNvPr id="898" name="Freeform 897"/>
        <xdr:cNvSpPr/>
      </xdr:nvSpPr>
      <xdr:spPr bwMode="auto">
        <a:xfrm>
          <a:off x="1724025" y="89525475"/>
          <a:ext cx="809625" cy="390525"/>
        </a:xfrm>
        <a:custGeom>
          <a:avLst/>
          <a:gdLst>
            <a:gd name="connsiteX0" fmla="*/ 857250 w 857250"/>
            <a:gd name="connsiteY0" fmla="*/ 390525 h 390525"/>
            <a:gd name="connsiteX1" fmla="*/ 323850 w 857250"/>
            <a:gd name="connsiteY1" fmla="*/ 304800 h 390525"/>
            <a:gd name="connsiteX2" fmla="*/ 247650 w 857250"/>
            <a:gd name="connsiteY2" fmla="*/ 38100 h 390525"/>
            <a:gd name="connsiteX3" fmla="*/ 0 w 857250"/>
            <a:gd name="connsiteY3" fmla="*/ 76200 h 390525"/>
            <a:gd name="connsiteX4" fmla="*/ 0 w 857250"/>
            <a:gd name="connsiteY4" fmla="*/ 76200 h 3905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57250" h="390525">
              <a:moveTo>
                <a:pt x="857250" y="390525"/>
              </a:moveTo>
              <a:cubicBezTo>
                <a:pt x="641350" y="377031"/>
                <a:pt x="425450" y="363538"/>
                <a:pt x="323850" y="304800"/>
              </a:cubicBezTo>
              <a:cubicBezTo>
                <a:pt x="222250" y="246063"/>
                <a:pt x="301625" y="76200"/>
                <a:pt x="247650" y="38100"/>
              </a:cubicBezTo>
              <a:cubicBezTo>
                <a:pt x="193675" y="0"/>
                <a:pt x="0" y="76200"/>
                <a:pt x="0" y="76200"/>
              </a:cubicBezTo>
              <a:lnTo>
                <a:pt x="0" y="7620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0</xdr:colOff>
      <xdr:row>546</xdr:row>
      <xdr:rowOff>76200</xdr:rowOff>
    </xdr:from>
    <xdr:to>
      <xdr:col>4</xdr:col>
      <xdr:colOff>600075</xdr:colOff>
      <xdr:row>548</xdr:row>
      <xdr:rowOff>9525</xdr:rowOff>
    </xdr:to>
    <xdr:sp macro="" textlink="">
      <xdr:nvSpPr>
        <xdr:cNvPr id="899" name="Freeform 898"/>
        <xdr:cNvSpPr/>
      </xdr:nvSpPr>
      <xdr:spPr bwMode="auto">
        <a:xfrm>
          <a:off x="2543175" y="89249250"/>
          <a:ext cx="600075" cy="257175"/>
        </a:xfrm>
        <a:custGeom>
          <a:avLst/>
          <a:gdLst>
            <a:gd name="connsiteX0" fmla="*/ 409575 w 409575"/>
            <a:gd name="connsiteY0" fmla="*/ 0 h 266700"/>
            <a:gd name="connsiteX1" fmla="*/ 104775 w 409575"/>
            <a:gd name="connsiteY1" fmla="*/ 66675 h 266700"/>
            <a:gd name="connsiteX2" fmla="*/ 295275 w 409575"/>
            <a:gd name="connsiteY2" fmla="*/ 114300 h 266700"/>
            <a:gd name="connsiteX3" fmla="*/ 0 w 409575"/>
            <a:gd name="connsiteY3" fmla="*/ 266700 h 2667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09575" h="266700">
              <a:moveTo>
                <a:pt x="409575" y="0"/>
              </a:moveTo>
              <a:cubicBezTo>
                <a:pt x="266700" y="23812"/>
                <a:pt x="123825" y="47625"/>
                <a:pt x="104775" y="66675"/>
              </a:cubicBezTo>
              <a:cubicBezTo>
                <a:pt x="85725" y="85725"/>
                <a:pt x="312737" y="80963"/>
                <a:pt x="295275" y="114300"/>
              </a:cubicBezTo>
              <a:cubicBezTo>
                <a:pt x="277813" y="147637"/>
                <a:pt x="138906" y="207168"/>
                <a:pt x="0" y="2667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219075</xdr:colOff>
      <xdr:row>473</xdr:row>
      <xdr:rowOff>152400</xdr:rowOff>
    </xdr:from>
    <xdr:to>
      <xdr:col>4</xdr:col>
      <xdr:colOff>523875</xdr:colOff>
      <xdr:row>473</xdr:row>
      <xdr:rowOff>153988</xdr:rowOff>
    </xdr:to>
    <xdr:cxnSp macro="">
      <xdr:nvCxnSpPr>
        <xdr:cNvPr id="900" name="Straight Connector 899"/>
        <xdr:cNvCxnSpPr/>
      </xdr:nvCxnSpPr>
      <xdr:spPr bwMode="auto">
        <a:xfrm>
          <a:off x="2762250" y="77285850"/>
          <a:ext cx="3048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304007</xdr:colOff>
      <xdr:row>473</xdr:row>
      <xdr:rowOff>10319</xdr:rowOff>
    </xdr:from>
    <xdr:to>
      <xdr:col>4</xdr:col>
      <xdr:colOff>305595</xdr:colOff>
      <xdr:row>474</xdr:row>
      <xdr:rowOff>10319</xdr:rowOff>
    </xdr:to>
    <xdr:cxnSp macro="">
      <xdr:nvCxnSpPr>
        <xdr:cNvPr id="901" name="Straight Connector 900"/>
        <xdr:cNvCxnSpPr/>
      </xdr:nvCxnSpPr>
      <xdr:spPr bwMode="auto">
        <a:xfrm rot="5400000">
          <a:off x="2767013" y="77223938"/>
          <a:ext cx="1619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0</xdr:col>
      <xdr:colOff>419100</xdr:colOff>
      <xdr:row>311</xdr:row>
      <xdr:rowOff>152400</xdr:rowOff>
    </xdr:from>
    <xdr:to>
      <xdr:col>4</xdr:col>
      <xdr:colOff>342900</xdr:colOff>
      <xdr:row>311</xdr:row>
      <xdr:rowOff>153988</xdr:rowOff>
    </xdr:to>
    <xdr:cxnSp macro="">
      <xdr:nvCxnSpPr>
        <xdr:cNvPr id="902" name="Straight Connector 901"/>
        <xdr:cNvCxnSpPr/>
      </xdr:nvCxnSpPr>
      <xdr:spPr bwMode="auto">
        <a:xfrm>
          <a:off x="419100" y="50025300"/>
          <a:ext cx="2466975" cy="1588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219075</xdr:colOff>
      <xdr:row>415</xdr:row>
      <xdr:rowOff>9525</xdr:rowOff>
    </xdr:from>
    <xdr:to>
      <xdr:col>2</xdr:col>
      <xdr:colOff>542925</xdr:colOff>
      <xdr:row>415</xdr:row>
      <xdr:rowOff>11113</xdr:rowOff>
    </xdr:to>
    <xdr:cxnSp macro="">
      <xdr:nvCxnSpPr>
        <xdr:cNvPr id="903" name="Straight Connector 902"/>
        <xdr:cNvCxnSpPr/>
      </xdr:nvCxnSpPr>
      <xdr:spPr bwMode="auto">
        <a:xfrm>
          <a:off x="219075" y="67589400"/>
          <a:ext cx="16478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647700</xdr:colOff>
      <xdr:row>427</xdr:row>
      <xdr:rowOff>95251</xdr:rowOff>
    </xdr:from>
    <xdr:to>
      <xdr:col>5</xdr:col>
      <xdr:colOff>142875</xdr:colOff>
      <xdr:row>427</xdr:row>
      <xdr:rowOff>104775</xdr:rowOff>
    </xdr:to>
    <xdr:cxnSp macro="">
      <xdr:nvCxnSpPr>
        <xdr:cNvPr id="904" name="Straight Connector 903"/>
        <xdr:cNvCxnSpPr/>
      </xdr:nvCxnSpPr>
      <xdr:spPr bwMode="auto">
        <a:xfrm flipV="1">
          <a:off x="3181350" y="69618226"/>
          <a:ext cx="142875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104775</xdr:colOff>
      <xdr:row>423</xdr:row>
      <xdr:rowOff>19049</xdr:rowOff>
    </xdr:from>
    <xdr:to>
      <xdr:col>4</xdr:col>
      <xdr:colOff>114300</xdr:colOff>
      <xdr:row>424</xdr:row>
      <xdr:rowOff>114299</xdr:rowOff>
    </xdr:to>
    <xdr:cxnSp macro="">
      <xdr:nvCxnSpPr>
        <xdr:cNvPr id="905" name="Straight Arrow Connector 904"/>
        <xdr:cNvCxnSpPr/>
      </xdr:nvCxnSpPr>
      <xdr:spPr bwMode="auto">
        <a:xfrm rot="16200000" flipH="1">
          <a:off x="2524125" y="69018149"/>
          <a:ext cx="2571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</xdr:colOff>
      <xdr:row>422</xdr:row>
      <xdr:rowOff>0</xdr:rowOff>
    </xdr:from>
    <xdr:to>
      <xdr:col>4</xdr:col>
      <xdr:colOff>9526</xdr:colOff>
      <xdr:row>422</xdr:row>
      <xdr:rowOff>104775</xdr:rowOff>
    </xdr:to>
    <xdr:cxnSp macro="">
      <xdr:nvCxnSpPr>
        <xdr:cNvPr id="906" name="Straight Connector 905"/>
        <xdr:cNvCxnSpPr/>
      </xdr:nvCxnSpPr>
      <xdr:spPr bwMode="auto">
        <a:xfrm rot="5400000">
          <a:off x="2495551" y="68760975"/>
          <a:ext cx="1047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284957</xdr:colOff>
      <xdr:row>471</xdr:row>
      <xdr:rowOff>86519</xdr:rowOff>
    </xdr:from>
    <xdr:to>
      <xdr:col>4</xdr:col>
      <xdr:colOff>286545</xdr:colOff>
      <xdr:row>473</xdr:row>
      <xdr:rowOff>794</xdr:rowOff>
    </xdr:to>
    <xdr:cxnSp macro="">
      <xdr:nvCxnSpPr>
        <xdr:cNvPr id="907" name="Straight Arrow Connector 906"/>
        <xdr:cNvCxnSpPr/>
      </xdr:nvCxnSpPr>
      <xdr:spPr bwMode="auto">
        <a:xfrm rot="5400000">
          <a:off x="2709863" y="77014388"/>
          <a:ext cx="238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3</xdr:col>
      <xdr:colOff>285750</xdr:colOff>
      <xdr:row>480</xdr:row>
      <xdr:rowOff>142877</xdr:rowOff>
    </xdr:from>
    <xdr:to>
      <xdr:col>3</xdr:col>
      <xdr:colOff>466725</xdr:colOff>
      <xdr:row>481</xdr:row>
      <xdr:rowOff>2</xdr:rowOff>
    </xdr:to>
    <xdr:cxnSp macro="">
      <xdr:nvCxnSpPr>
        <xdr:cNvPr id="908" name="Straight Arrow Connector 907"/>
        <xdr:cNvCxnSpPr/>
      </xdr:nvCxnSpPr>
      <xdr:spPr bwMode="auto">
        <a:xfrm rot="16200000" flipH="1">
          <a:off x="2300288" y="78328839"/>
          <a:ext cx="19050" cy="1809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600075</xdr:colOff>
      <xdr:row>312</xdr:row>
      <xdr:rowOff>4</xdr:rowOff>
    </xdr:from>
    <xdr:to>
      <xdr:col>2</xdr:col>
      <xdr:colOff>19050</xdr:colOff>
      <xdr:row>325</xdr:row>
      <xdr:rowOff>1</xdr:rowOff>
    </xdr:to>
    <xdr:cxnSp macro="">
      <xdr:nvCxnSpPr>
        <xdr:cNvPr id="909" name="Straight Connector 908"/>
        <xdr:cNvCxnSpPr>
          <a:endCxn id="512" idx="0"/>
        </xdr:cNvCxnSpPr>
      </xdr:nvCxnSpPr>
      <xdr:spPr bwMode="auto">
        <a:xfrm rot="5400000">
          <a:off x="276227" y="51073052"/>
          <a:ext cx="2105022" cy="2857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284956</xdr:colOff>
      <xdr:row>464</xdr:row>
      <xdr:rowOff>794</xdr:rowOff>
    </xdr:from>
    <xdr:to>
      <xdr:col>4</xdr:col>
      <xdr:colOff>286544</xdr:colOff>
      <xdr:row>471</xdr:row>
      <xdr:rowOff>86519</xdr:rowOff>
    </xdr:to>
    <xdr:cxnSp macro="">
      <xdr:nvCxnSpPr>
        <xdr:cNvPr id="910" name="Straight Arrow Connector 909"/>
        <xdr:cNvCxnSpPr/>
      </xdr:nvCxnSpPr>
      <xdr:spPr bwMode="auto">
        <a:xfrm rot="5400000" flipH="1" flipV="1">
          <a:off x="2219325" y="76285725"/>
          <a:ext cx="1219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342902</xdr:colOff>
      <xdr:row>316</xdr:row>
      <xdr:rowOff>3</xdr:rowOff>
    </xdr:from>
    <xdr:to>
      <xdr:col>6</xdr:col>
      <xdr:colOff>352427</xdr:colOff>
      <xdr:row>325</xdr:row>
      <xdr:rowOff>9528</xdr:rowOff>
    </xdr:to>
    <xdr:cxnSp macro="">
      <xdr:nvCxnSpPr>
        <xdr:cNvPr id="911" name="Straight Arrow Connector 910"/>
        <xdr:cNvCxnSpPr/>
      </xdr:nvCxnSpPr>
      <xdr:spPr bwMode="auto">
        <a:xfrm rot="16200000" flipH="1">
          <a:off x="3405190" y="51411190"/>
          <a:ext cx="14668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0</xdr:colOff>
      <xdr:row>184</xdr:row>
      <xdr:rowOff>161924</xdr:rowOff>
    </xdr:from>
    <xdr:to>
      <xdr:col>6</xdr:col>
      <xdr:colOff>9525</xdr:colOff>
      <xdr:row>195</xdr:row>
      <xdr:rowOff>9524</xdr:rowOff>
    </xdr:to>
    <xdr:cxnSp macro="">
      <xdr:nvCxnSpPr>
        <xdr:cNvPr id="912" name="Straight Arrow Connector 911"/>
        <xdr:cNvCxnSpPr/>
      </xdr:nvCxnSpPr>
      <xdr:spPr bwMode="auto">
        <a:xfrm rot="16200000" flipH="1">
          <a:off x="2981325" y="31556324"/>
          <a:ext cx="16287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514350</xdr:colOff>
      <xdr:row>195</xdr:row>
      <xdr:rowOff>1</xdr:rowOff>
    </xdr:from>
    <xdr:to>
      <xdr:col>6</xdr:col>
      <xdr:colOff>133350</xdr:colOff>
      <xdr:row>195</xdr:row>
      <xdr:rowOff>9525</xdr:rowOff>
    </xdr:to>
    <xdr:cxnSp macro="">
      <xdr:nvCxnSpPr>
        <xdr:cNvPr id="913" name="Straight Connector 609"/>
        <xdr:cNvCxnSpPr>
          <a:cxnSpLocks noChangeShapeType="1"/>
        </xdr:cNvCxnSpPr>
      </xdr:nvCxnSpPr>
      <xdr:spPr bwMode="auto">
        <a:xfrm>
          <a:off x="3695700" y="32365951"/>
          <a:ext cx="228600" cy="9524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6</xdr:col>
      <xdr:colOff>257176</xdr:colOff>
      <xdr:row>185</xdr:row>
      <xdr:rowOff>57150</xdr:rowOff>
    </xdr:from>
    <xdr:to>
      <xdr:col>6</xdr:col>
      <xdr:colOff>447676</xdr:colOff>
      <xdr:row>186</xdr:row>
      <xdr:rowOff>38100</xdr:rowOff>
    </xdr:to>
    <xdr:sp macro="" textlink="">
      <xdr:nvSpPr>
        <xdr:cNvPr id="914" name="Rectangle 913"/>
        <xdr:cNvSpPr/>
      </xdr:nvSpPr>
      <xdr:spPr bwMode="auto">
        <a:xfrm>
          <a:off x="4048126" y="30803850"/>
          <a:ext cx="190500" cy="1428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GB" sz="1100"/>
            <a:t>W</a:t>
          </a:r>
        </a:p>
      </xdr:txBody>
    </xdr:sp>
    <xdr:clientData/>
  </xdr:twoCellAnchor>
  <xdr:twoCellAnchor>
    <xdr:from>
      <xdr:col>7</xdr:col>
      <xdr:colOff>0</xdr:colOff>
      <xdr:row>184</xdr:row>
      <xdr:rowOff>161923</xdr:rowOff>
    </xdr:from>
    <xdr:to>
      <xdr:col>7</xdr:col>
      <xdr:colOff>9525</xdr:colOff>
      <xdr:row>198</xdr:row>
      <xdr:rowOff>9524</xdr:rowOff>
    </xdr:to>
    <xdr:cxnSp macro="">
      <xdr:nvCxnSpPr>
        <xdr:cNvPr id="915" name="Straight Arrow Connector 914"/>
        <xdr:cNvCxnSpPr/>
      </xdr:nvCxnSpPr>
      <xdr:spPr bwMode="auto">
        <a:xfrm rot="16200000" flipH="1">
          <a:off x="3348037" y="31799211"/>
          <a:ext cx="2114551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590550</xdr:colOff>
      <xdr:row>197</xdr:row>
      <xdr:rowOff>152400</xdr:rowOff>
    </xdr:from>
    <xdr:to>
      <xdr:col>7</xdr:col>
      <xdr:colOff>371475</xdr:colOff>
      <xdr:row>197</xdr:row>
      <xdr:rowOff>152401</xdr:rowOff>
    </xdr:to>
    <xdr:cxnSp macro="">
      <xdr:nvCxnSpPr>
        <xdr:cNvPr id="916" name="Straight Connector 609"/>
        <xdr:cNvCxnSpPr>
          <a:cxnSpLocks noChangeShapeType="1"/>
        </xdr:cNvCxnSpPr>
      </xdr:nvCxnSpPr>
      <xdr:spPr bwMode="auto">
        <a:xfrm flipV="1">
          <a:off x="4381500" y="32842200"/>
          <a:ext cx="390525" cy="1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oneCellAnchor>
    <xdr:from>
      <xdr:col>7</xdr:col>
      <xdr:colOff>104775</xdr:colOff>
      <xdr:row>320</xdr:row>
      <xdr:rowOff>161924</xdr:rowOff>
    </xdr:from>
    <xdr:ext cx="266700" cy="170560"/>
    <xdr:sp macro="" textlink="">
      <xdr:nvSpPr>
        <xdr:cNvPr id="917" name="Text Box 147"/>
        <xdr:cNvSpPr txBox="1">
          <a:spLocks noChangeArrowheads="1"/>
        </xdr:cNvSpPr>
      </xdr:nvSpPr>
      <xdr:spPr bwMode="auto">
        <a:xfrm>
          <a:off x="4505325" y="51492149"/>
          <a:ext cx="266700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h4=</a:t>
          </a:r>
        </a:p>
      </xdr:txBody>
    </xdr:sp>
    <xdr:clientData/>
  </xdr:oneCellAnchor>
  <xdr:twoCellAnchor>
    <xdr:from>
      <xdr:col>0</xdr:col>
      <xdr:colOff>19050</xdr:colOff>
      <xdr:row>462</xdr:row>
      <xdr:rowOff>0</xdr:rowOff>
    </xdr:from>
    <xdr:to>
      <xdr:col>1</xdr:col>
      <xdr:colOff>190500</xdr:colOff>
      <xdr:row>462</xdr:row>
      <xdr:rowOff>9525</xdr:rowOff>
    </xdr:to>
    <xdr:cxnSp macro="">
      <xdr:nvCxnSpPr>
        <xdr:cNvPr id="918" name="Straight Connector 917"/>
        <xdr:cNvCxnSpPr/>
      </xdr:nvCxnSpPr>
      <xdr:spPr bwMode="auto">
        <a:xfrm flipV="1">
          <a:off x="19050" y="75352275"/>
          <a:ext cx="8858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514350</xdr:colOff>
      <xdr:row>534</xdr:row>
      <xdr:rowOff>57150</xdr:rowOff>
    </xdr:from>
    <xdr:to>
      <xdr:col>7</xdr:col>
      <xdr:colOff>304800</xdr:colOff>
      <xdr:row>534</xdr:row>
      <xdr:rowOff>57150</xdr:rowOff>
    </xdr:to>
    <xdr:sp macro="" textlink="">
      <xdr:nvSpPr>
        <xdr:cNvPr id="919" name="Line 657"/>
        <xdr:cNvSpPr>
          <a:spLocks noChangeShapeType="1"/>
        </xdr:cNvSpPr>
      </xdr:nvSpPr>
      <xdr:spPr bwMode="auto">
        <a:xfrm>
          <a:off x="4305300" y="87258525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95</xdr:row>
      <xdr:rowOff>9525</xdr:rowOff>
    </xdr:from>
    <xdr:to>
      <xdr:col>1</xdr:col>
      <xdr:colOff>600075</xdr:colOff>
      <xdr:row>111</xdr:row>
      <xdr:rowOff>9525</xdr:rowOff>
    </xdr:to>
    <xdr:sp macro="" textlink="">
      <xdr:nvSpPr>
        <xdr:cNvPr id="920" name="Line 197"/>
        <xdr:cNvSpPr>
          <a:spLocks noChangeShapeType="1"/>
        </xdr:cNvSpPr>
      </xdr:nvSpPr>
      <xdr:spPr bwMode="auto">
        <a:xfrm>
          <a:off x="1314450" y="15925800"/>
          <a:ext cx="0" cy="259080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0</xdr:col>
      <xdr:colOff>200025</xdr:colOff>
      <xdr:row>177</xdr:row>
      <xdr:rowOff>152400</xdr:rowOff>
    </xdr:from>
    <xdr:to>
      <xdr:col>0</xdr:col>
      <xdr:colOff>200025</xdr:colOff>
      <xdr:row>187</xdr:row>
      <xdr:rowOff>123825</xdr:rowOff>
    </xdr:to>
    <xdr:sp macro="" textlink="">
      <xdr:nvSpPr>
        <xdr:cNvPr id="921" name="Line 608"/>
        <xdr:cNvSpPr>
          <a:spLocks noChangeShapeType="1"/>
        </xdr:cNvSpPr>
      </xdr:nvSpPr>
      <xdr:spPr bwMode="auto">
        <a:xfrm flipV="1">
          <a:off x="200025" y="29603700"/>
          <a:ext cx="0" cy="1590675"/>
        </a:xfrm>
        <a:prstGeom prst="line">
          <a:avLst/>
        </a:prstGeom>
        <a:noFill/>
        <a:ln w="9525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</xdr:col>
      <xdr:colOff>0</xdr:colOff>
      <xdr:row>178</xdr:row>
      <xdr:rowOff>0</xdr:rowOff>
    </xdr:from>
    <xdr:to>
      <xdr:col>2</xdr:col>
      <xdr:colOff>0</xdr:colOff>
      <xdr:row>195</xdr:row>
      <xdr:rowOff>0</xdr:rowOff>
    </xdr:to>
    <xdr:sp macro="" textlink="">
      <xdr:nvSpPr>
        <xdr:cNvPr id="922" name="Line 554"/>
        <xdr:cNvSpPr>
          <a:spLocks noChangeShapeType="1"/>
        </xdr:cNvSpPr>
      </xdr:nvSpPr>
      <xdr:spPr bwMode="auto">
        <a:xfrm>
          <a:off x="1323975" y="29613225"/>
          <a:ext cx="0" cy="275272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1</xdr:col>
      <xdr:colOff>95250</xdr:colOff>
      <xdr:row>110</xdr:row>
      <xdr:rowOff>76200</xdr:rowOff>
    </xdr:from>
    <xdr:to>
      <xdr:col>1</xdr:col>
      <xdr:colOff>400050</xdr:colOff>
      <xdr:row>110</xdr:row>
      <xdr:rowOff>77788</xdr:rowOff>
    </xdr:to>
    <xdr:cxnSp macro="">
      <xdr:nvCxnSpPr>
        <xdr:cNvPr id="923" name="Straight Arrow Connector 922"/>
        <xdr:cNvCxnSpPr/>
      </xdr:nvCxnSpPr>
      <xdr:spPr bwMode="auto">
        <a:xfrm>
          <a:off x="809625" y="18421350"/>
          <a:ext cx="30480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57150</xdr:colOff>
      <xdr:row>108</xdr:row>
      <xdr:rowOff>85725</xdr:rowOff>
    </xdr:from>
    <xdr:to>
      <xdr:col>1</xdr:col>
      <xdr:colOff>600075</xdr:colOff>
      <xdr:row>108</xdr:row>
      <xdr:rowOff>87313</xdr:rowOff>
    </xdr:to>
    <xdr:cxnSp macro="">
      <xdr:nvCxnSpPr>
        <xdr:cNvPr id="924" name="Straight Arrow Connector 923"/>
        <xdr:cNvCxnSpPr/>
      </xdr:nvCxnSpPr>
      <xdr:spPr bwMode="auto">
        <a:xfrm>
          <a:off x="771525" y="18107025"/>
          <a:ext cx="542925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142875</xdr:colOff>
      <xdr:row>192</xdr:row>
      <xdr:rowOff>66677</xdr:rowOff>
    </xdr:from>
    <xdr:to>
      <xdr:col>1</xdr:col>
      <xdr:colOff>600075</xdr:colOff>
      <xdr:row>192</xdr:row>
      <xdr:rowOff>76200</xdr:rowOff>
    </xdr:to>
    <xdr:cxnSp macro="">
      <xdr:nvCxnSpPr>
        <xdr:cNvPr id="925" name="Straight Arrow Connector 924"/>
        <xdr:cNvCxnSpPr/>
      </xdr:nvCxnSpPr>
      <xdr:spPr bwMode="auto">
        <a:xfrm>
          <a:off x="857250" y="31946852"/>
          <a:ext cx="457200" cy="9523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85725</xdr:colOff>
      <xdr:row>194</xdr:row>
      <xdr:rowOff>76200</xdr:rowOff>
    </xdr:from>
    <xdr:to>
      <xdr:col>1</xdr:col>
      <xdr:colOff>400050</xdr:colOff>
      <xdr:row>194</xdr:row>
      <xdr:rowOff>85723</xdr:rowOff>
    </xdr:to>
    <xdr:cxnSp macro="">
      <xdr:nvCxnSpPr>
        <xdr:cNvPr id="926" name="Straight Arrow Connector 925"/>
        <xdr:cNvCxnSpPr/>
      </xdr:nvCxnSpPr>
      <xdr:spPr bwMode="auto">
        <a:xfrm>
          <a:off x="800100" y="32280225"/>
          <a:ext cx="314325" cy="9523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438150</xdr:colOff>
      <xdr:row>115</xdr:row>
      <xdr:rowOff>19050</xdr:rowOff>
    </xdr:from>
    <xdr:to>
      <xdr:col>7</xdr:col>
      <xdr:colOff>57150</xdr:colOff>
      <xdr:row>115</xdr:row>
      <xdr:rowOff>19050</xdr:rowOff>
    </xdr:to>
    <xdr:sp macro="" textlink="">
      <xdr:nvSpPr>
        <xdr:cNvPr id="927" name="Line 250"/>
        <xdr:cNvSpPr>
          <a:spLocks noChangeShapeType="1"/>
        </xdr:cNvSpPr>
      </xdr:nvSpPr>
      <xdr:spPr bwMode="auto">
        <a:xfrm flipV="1">
          <a:off x="4229100" y="191738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714374</xdr:colOff>
      <xdr:row>415</xdr:row>
      <xdr:rowOff>9525</xdr:rowOff>
    </xdr:from>
    <xdr:to>
      <xdr:col>1</xdr:col>
      <xdr:colOff>9524</xdr:colOff>
      <xdr:row>422</xdr:row>
      <xdr:rowOff>152400</xdr:rowOff>
    </xdr:to>
    <xdr:cxnSp macro="">
      <xdr:nvCxnSpPr>
        <xdr:cNvPr id="928" name="Straight Arrow Connector 927"/>
        <xdr:cNvCxnSpPr/>
      </xdr:nvCxnSpPr>
      <xdr:spPr bwMode="auto">
        <a:xfrm rot="16200000" flipH="1">
          <a:off x="80962" y="68222812"/>
          <a:ext cx="12763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9525</xdr:colOff>
      <xdr:row>422</xdr:row>
      <xdr:rowOff>152400</xdr:rowOff>
    </xdr:from>
    <xdr:to>
      <xdr:col>2</xdr:col>
      <xdr:colOff>504825</xdr:colOff>
      <xdr:row>423</xdr:row>
      <xdr:rowOff>0</xdr:rowOff>
    </xdr:to>
    <xdr:cxnSp macro="">
      <xdr:nvCxnSpPr>
        <xdr:cNvPr id="929" name="Straight Connector 928"/>
        <xdr:cNvCxnSpPr>
          <a:stCxn id="809" idx="0"/>
        </xdr:cNvCxnSpPr>
      </xdr:nvCxnSpPr>
      <xdr:spPr bwMode="auto">
        <a:xfrm rot="5400000" flipH="1" flipV="1">
          <a:off x="1271587" y="68318063"/>
          <a:ext cx="9525" cy="1104900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285747</xdr:colOff>
      <xdr:row>24</xdr:row>
      <xdr:rowOff>19050</xdr:rowOff>
    </xdr:from>
    <xdr:to>
      <xdr:col>0</xdr:col>
      <xdr:colOff>287335</xdr:colOff>
      <xdr:row>41</xdr:row>
      <xdr:rowOff>0</xdr:rowOff>
    </xdr:to>
    <xdr:cxnSp macro="">
      <xdr:nvCxnSpPr>
        <xdr:cNvPr id="930" name="Straight Arrow Connector 929"/>
        <xdr:cNvCxnSpPr/>
      </xdr:nvCxnSpPr>
      <xdr:spPr bwMode="auto">
        <a:xfrm rot="5400000">
          <a:off x="-1080297" y="5499894"/>
          <a:ext cx="27336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171450</xdr:colOff>
      <xdr:row>95</xdr:row>
      <xdr:rowOff>19050</xdr:rowOff>
    </xdr:from>
    <xdr:to>
      <xdr:col>0</xdr:col>
      <xdr:colOff>180975</xdr:colOff>
      <xdr:row>104</xdr:row>
      <xdr:rowOff>0</xdr:rowOff>
    </xdr:to>
    <xdr:cxnSp macro="">
      <xdr:nvCxnSpPr>
        <xdr:cNvPr id="931" name="Straight Arrow Connector 930"/>
        <xdr:cNvCxnSpPr/>
      </xdr:nvCxnSpPr>
      <xdr:spPr bwMode="auto">
        <a:xfrm rot="16200000" flipH="1">
          <a:off x="-542925" y="16649700"/>
          <a:ext cx="14382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24</xdr:row>
      <xdr:rowOff>0</xdr:rowOff>
    </xdr:from>
    <xdr:to>
      <xdr:col>4</xdr:col>
      <xdr:colOff>361950</xdr:colOff>
      <xdr:row>24</xdr:row>
      <xdr:rowOff>9525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704850" y="4924425"/>
          <a:ext cx="21717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24</xdr:row>
      <xdr:rowOff>0</xdr:rowOff>
    </xdr:from>
    <xdr:to>
      <xdr:col>5</xdr:col>
      <xdr:colOff>0</xdr:colOff>
      <xdr:row>38</xdr:row>
      <xdr:rowOff>9525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3286125" y="4924425"/>
          <a:ext cx="0" cy="22764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38</xdr:row>
      <xdr:rowOff>0</xdr:rowOff>
    </xdr:from>
    <xdr:to>
      <xdr:col>5</xdr:col>
      <xdr:colOff>476250</xdr:colOff>
      <xdr:row>38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3286125" y="7191375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38</xdr:row>
      <xdr:rowOff>9525</xdr:rowOff>
    </xdr:from>
    <xdr:to>
      <xdr:col>5</xdr:col>
      <xdr:colOff>476250</xdr:colOff>
      <xdr:row>41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3762375" y="7200900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40</xdr:row>
      <xdr:rowOff>152400</xdr:rowOff>
    </xdr:from>
    <xdr:to>
      <xdr:col>5</xdr:col>
      <xdr:colOff>161925</xdr:colOff>
      <xdr:row>41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 flipH="1" flipV="1">
          <a:off x="1209675" y="7667625"/>
          <a:ext cx="22383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37</xdr:row>
      <xdr:rowOff>152400</xdr:rowOff>
    </xdr:from>
    <xdr:to>
      <xdr:col>2</xdr:col>
      <xdr:colOff>0</xdr:colOff>
      <xdr:row>40</xdr:row>
      <xdr:rowOff>152400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 flipV="1">
          <a:off x="1219200" y="7181850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09675" y="7191375"/>
          <a:ext cx="13049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24</xdr:row>
      <xdr:rowOff>0</xdr:rowOff>
    </xdr:from>
    <xdr:to>
      <xdr:col>4</xdr:col>
      <xdr:colOff>381000</xdr:colOff>
      <xdr:row>38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 flipV="1">
          <a:off x="2524125" y="4924425"/>
          <a:ext cx="371475" cy="22669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41</xdr:row>
      <xdr:rowOff>0</xdr:rowOff>
    </xdr:from>
    <xdr:to>
      <xdr:col>5</xdr:col>
      <xdr:colOff>476250</xdr:colOff>
      <xdr:row>42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762375" y="7677150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42</xdr:row>
      <xdr:rowOff>9525</xdr:rowOff>
    </xdr:from>
    <xdr:to>
      <xdr:col>5</xdr:col>
      <xdr:colOff>476250</xdr:colOff>
      <xdr:row>42</xdr:row>
      <xdr:rowOff>9525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 flipH="1">
          <a:off x="3629025" y="7848600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40</xdr:row>
      <xdr:rowOff>152400</xdr:rowOff>
    </xdr:from>
    <xdr:to>
      <xdr:col>5</xdr:col>
      <xdr:colOff>352425</xdr:colOff>
      <xdr:row>42</xdr:row>
      <xdr:rowOff>19050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 flipH="1" flipV="1">
          <a:off x="3448050" y="7667625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9525</xdr:colOff>
      <xdr:row>38</xdr:row>
      <xdr:rowOff>0</xdr:rowOff>
    </xdr:from>
    <xdr:to>
      <xdr:col>6</xdr:col>
      <xdr:colOff>9525</xdr:colOff>
      <xdr:row>41</xdr:row>
      <xdr:rowOff>0</xdr:rowOff>
    </xdr:to>
    <xdr:sp macro="" textlink="">
      <xdr:nvSpPr>
        <xdr:cNvPr id="13" name="Line 13"/>
        <xdr:cNvSpPr>
          <a:spLocks noChangeShapeType="1"/>
        </xdr:cNvSpPr>
      </xdr:nvSpPr>
      <xdr:spPr bwMode="auto">
        <a:xfrm>
          <a:off x="4000500" y="7191375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0</xdr:colOff>
      <xdr:row>41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14" name="Line 14"/>
        <xdr:cNvSpPr>
          <a:spLocks noChangeShapeType="1"/>
        </xdr:cNvSpPr>
      </xdr:nvSpPr>
      <xdr:spPr bwMode="auto">
        <a:xfrm>
          <a:off x="3990975" y="76771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7</xdr:col>
      <xdr:colOff>438150</xdr:colOff>
      <xdr:row>41</xdr:row>
      <xdr:rowOff>0</xdr:rowOff>
    </xdr:from>
    <xdr:to>
      <xdr:col>8</xdr:col>
      <xdr:colOff>171450</xdr:colOff>
      <xdr:row>41</xdr:row>
      <xdr:rowOff>0</xdr:rowOff>
    </xdr:to>
    <xdr:sp macro="" textlink="">
      <xdr:nvSpPr>
        <xdr:cNvPr id="15" name="Line 15"/>
        <xdr:cNvSpPr>
          <a:spLocks noChangeShapeType="1"/>
        </xdr:cNvSpPr>
      </xdr:nvSpPr>
      <xdr:spPr bwMode="auto">
        <a:xfrm>
          <a:off x="5038725" y="7677150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542925</xdr:colOff>
      <xdr:row>38</xdr:row>
      <xdr:rowOff>9525</xdr:rowOff>
    </xdr:from>
    <xdr:to>
      <xdr:col>6</xdr:col>
      <xdr:colOff>95250</xdr:colOff>
      <xdr:row>38</xdr:row>
      <xdr:rowOff>9525</xdr:rowOff>
    </xdr:to>
    <xdr:sp macro="" textlink="">
      <xdr:nvSpPr>
        <xdr:cNvPr id="16" name="Line 16"/>
        <xdr:cNvSpPr>
          <a:spLocks noChangeShapeType="1"/>
        </xdr:cNvSpPr>
      </xdr:nvSpPr>
      <xdr:spPr bwMode="auto">
        <a:xfrm>
          <a:off x="3829050" y="720090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542925</xdr:colOff>
      <xdr:row>41</xdr:row>
      <xdr:rowOff>0</xdr:rowOff>
    </xdr:from>
    <xdr:to>
      <xdr:col>6</xdr:col>
      <xdr:colOff>95250</xdr:colOff>
      <xdr:row>41</xdr:row>
      <xdr:rowOff>0</xdr:rowOff>
    </xdr:to>
    <xdr:sp macro="" textlink="">
      <xdr:nvSpPr>
        <xdr:cNvPr id="17" name="Line 17"/>
        <xdr:cNvSpPr>
          <a:spLocks noChangeShapeType="1"/>
        </xdr:cNvSpPr>
      </xdr:nvSpPr>
      <xdr:spPr bwMode="auto">
        <a:xfrm>
          <a:off x="3829050" y="767715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552450</xdr:colOff>
      <xdr:row>42</xdr:row>
      <xdr:rowOff>0</xdr:rowOff>
    </xdr:from>
    <xdr:to>
      <xdr:col>6</xdr:col>
      <xdr:colOff>85725</xdr:colOff>
      <xdr:row>42</xdr:row>
      <xdr:rowOff>0</xdr:rowOff>
    </xdr:to>
    <xdr:sp macro="" textlink="">
      <xdr:nvSpPr>
        <xdr:cNvPr id="18" name="Line 18"/>
        <xdr:cNvSpPr>
          <a:spLocks noChangeShapeType="1"/>
        </xdr:cNvSpPr>
      </xdr:nvSpPr>
      <xdr:spPr bwMode="auto">
        <a:xfrm>
          <a:off x="3838575" y="7839075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42</xdr:row>
      <xdr:rowOff>76200</xdr:rowOff>
    </xdr:from>
    <xdr:to>
      <xdr:col>5</xdr:col>
      <xdr:colOff>485775</xdr:colOff>
      <xdr:row>43</xdr:row>
      <xdr:rowOff>28575</xdr:rowOff>
    </xdr:to>
    <xdr:sp macro="" textlink="">
      <xdr:nvSpPr>
        <xdr:cNvPr id="19" name="Line 19"/>
        <xdr:cNvSpPr>
          <a:spLocks noChangeShapeType="1"/>
        </xdr:cNvSpPr>
      </xdr:nvSpPr>
      <xdr:spPr bwMode="auto">
        <a:xfrm>
          <a:off x="3771900" y="79152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42</xdr:row>
      <xdr:rowOff>76200</xdr:rowOff>
    </xdr:from>
    <xdr:to>
      <xdr:col>5</xdr:col>
      <xdr:colOff>352425</xdr:colOff>
      <xdr:row>43</xdr:row>
      <xdr:rowOff>38100</xdr:rowOff>
    </xdr:to>
    <xdr:sp macro="" textlink="">
      <xdr:nvSpPr>
        <xdr:cNvPr id="20" name="Line 20"/>
        <xdr:cNvSpPr>
          <a:spLocks noChangeShapeType="1"/>
        </xdr:cNvSpPr>
      </xdr:nvSpPr>
      <xdr:spPr bwMode="auto">
        <a:xfrm>
          <a:off x="3638550" y="79152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43</xdr:row>
      <xdr:rowOff>0</xdr:rowOff>
    </xdr:from>
    <xdr:to>
      <xdr:col>5</xdr:col>
      <xdr:colOff>485775</xdr:colOff>
      <xdr:row>43</xdr:row>
      <xdr:rowOff>0</xdr:rowOff>
    </xdr:to>
    <xdr:sp macro="" textlink="">
      <xdr:nvSpPr>
        <xdr:cNvPr id="21" name="Line 21"/>
        <xdr:cNvSpPr>
          <a:spLocks noChangeShapeType="1"/>
        </xdr:cNvSpPr>
      </xdr:nvSpPr>
      <xdr:spPr bwMode="auto">
        <a:xfrm>
          <a:off x="3638550" y="80010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42</xdr:row>
      <xdr:rowOff>114300</xdr:rowOff>
    </xdr:from>
    <xdr:to>
      <xdr:col>5</xdr:col>
      <xdr:colOff>180975</xdr:colOff>
      <xdr:row>43</xdr:row>
      <xdr:rowOff>28575</xdr:rowOff>
    </xdr:to>
    <xdr:sp macro="" textlink="">
      <xdr:nvSpPr>
        <xdr:cNvPr id="22" name="Line 22"/>
        <xdr:cNvSpPr>
          <a:spLocks noChangeShapeType="1"/>
        </xdr:cNvSpPr>
      </xdr:nvSpPr>
      <xdr:spPr bwMode="auto">
        <a:xfrm>
          <a:off x="3467100" y="795337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43</xdr:row>
      <xdr:rowOff>0</xdr:rowOff>
    </xdr:from>
    <xdr:to>
      <xdr:col>5</xdr:col>
      <xdr:colOff>352425</xdr:colOff>
      <xdr:row>43</xdr:row>
      <xdr:rowOff>0</xdr:rowOff>
    </xdr:to>
    <xdr:sp macro="" textlink="">
      <xdr:nvSpPr>
        <xdr:cNvPr id="23" name="Line 23"/>
        <xdr:cNvSpPr>
          <a:spLocks noChangeShapeType="1"/>
        </xdr:cNvSpPr>
      </xdr:nvSpPr>
      <xdr:spPr bwMode="auto">
        <a:xfrm>
          <a:off x="3467100" y="80010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43</xdr:row>
      <xdr:rowOff>19050</xdr:rowOff>
    </xdr:from>
    <xdr:to>
      <xdr:col>5</xdr:col>
      <xdr:colOff>428625</xdr:colOff>
      <xdr:row>43</xdr:row>
      <xdr:rowOff>104775</xdr:rowOff>
    </xdr:to>
    <xdr:sp macro="" textlink="">
      <xdr:nvSpPr>
        <xdr:cNvPr id="24" name="Line 24"/>
        <xdr:cNvSpPr>
          <a:spLocks noChangeShapeType="1"/>
        </xdr:cNvSpPr>
      </xdr:nvSpPr>
      <xdr:spPr bwMode="auto">
        <a:xfrm flipV="1">
          <a:off x="3714750" y="80200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43</xdr:row>
      <xdr:rowOff>104775</xdr:rowOff>
    </xdr:from>
    <xdr:to>
      <xdr:col>6</xdr:col>
      <xdr:colOff>76200</xdr:colOff>
      <xdr:row>43</xdr:row>
      <xdr:rowOff>104775</xdr:rowOff>
    </xdr:to>
    <xdr:sp macro="" textlink="">
      <xdr:nvSpPr>
        <xdr:cNvPr id="25" name="Line 25"/>
        <xdr:cNvSpPr>
          <a:spLocks noChangeShapeType="1"/>
        </xdr:cNvSpPr>
      </xdr:nvSpPr>
      <xdr:spPr bwMode="auto">
        <a:xfrm>
          <a:off x="3733800" y="810577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43</xdr:row>
      <xdr:rowOff>0</xdr:rowOff>
    </xdr:from>
    <xdr:to>
      <xdr:col>5</xdr:col>
      <xdr:colOff>285750</xdr:colOff>
      <xdr:row>44</xdr:row>
      <xdr:rowOff>57150</xdr:rowOff>
    </xdr:to>
    <xdr:sp macro="" textlink="">
      <xdr:nvSpPr>
        <xdr:cNvPr id="26" name="Line 26"/>
        <xdr:cNvSpPr>
          <a:spLocks noChangeShapeType="1"/>
        </xdr:cNvSpPr>
      </xdr:nvSpPr>
      <xdr:spPr bwMode="auto">
        <a:xfrm flipV="1">
          <a:off x="3571875" y="8001000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44</xdr:row>
      <xdr:rowOff>47625</xdr:rowOff>
    </xdr:from>
    <xdr:to>
      <xdr:col>6</xdr:col>
      <xdr:colOff>76200</xdr:colOff>
      <xdr:row>44</xdr:row>
      <xdr:rowOff>47625</xdr:rowOff>
    </xdr:to>
    <xdr:sp macro="" textlink="">
      <xdr:nvSpPr>
        <xdr:cNvPr id="27" name="Line 27"/>
        <xdr:cNvSpPr>
          <a:spLocks noChangeShapeType="1"/>
        </xdr:cNvSpPr>
      </xdr:nvSpPr>
      <xdr:spPr bwMode="auto">
        <a:xfrm>
          <a:off x="3571875" y="821055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45</xdr:row>
      <xdr:rowOff>152400</xdr:rowOff>
    </xdr:from>
    <xdr:to>
      <xdr:col>5</xdr:col>
      <xdr:colOff>504825</xdr:colOff>
      <xdr:row>46</xdr:row>
      <xdr:rowOff>0</xdr:rowOff>
    </xdr:to>
    <xdr:sp macro="" textlink="">
      <xdr:nvSpPr>
        <xdr:cNvPr id="28" name="Line 28"/>
        <xdr:cNvSpPr>
          <a:spLocks noChangeShapeType="1"/>
        </xdr:cNvSpPr>
      </xdr:nvSpPr>
      <xdr:spPr bwMode="auto">
        <a:xfrm flipH="1">
          <a:off x="3286125" y="8477250"/>
          <a:ext cx="5048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0</xdr:colOff>
      <xdr:row>46</xdr:row>
      <xdr:rowOff>9525</xdr:rowOff>
    </xdr:from>
    <xdr:to>
      <xdr:col>5</xdr:col>
      <xdr:colOff>0</xdr:colOff>
      <xdr:row>46</xdr:row>
      <xdr:rowOff>9525</xdr:rowOff>
    </xdr:to>
    <xdr:sp macro="" textlink="">
      <xdr:nvSpPr>
        <xdr:cNvPr id="29" name="Line 29"/>
        <xdr:cNvSpPr>
          <a:spLocks noChangeShapeType="1"/>
        </xdr:cNvSpPr>
      </xdr:nvSpPr>
      <xdr:spPr bwMode="auto">
        <a:xfrm flipH="1">
          <a:off x="2514600" y="8496300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600075</xdr:colOff>
      <xdr:row>46</xdr:row>
      <xdr:rowOff>9525</xdr:rowOff>
    </xdr:from>
    <xdr:to>
      <xdr:col>4</xdr:col>
      <xdr:colOff>19050</xdr:colOff>
      <xdr:row>46</xdr:row>
      <xdr:rowOff>9525</xdr:rowOff>
    </xdr:to>
    <xdr:sp macro="" textlink="">
      <xdr:nvSpPr>
        <xdr:cNvPr id="30" name="Line 31"/>
        <xdr:cNvSpPr>
          <a:spLocks noChangeShapeType="1"/>
        </xdr:cNvSpPr>
      </xdr:nvSpPr>
      <xdr:spPr bwMode="auto">
        <a:xfrm flipH="1">
          <a:off x="1209675" y="8496300"/>
          <a:ext cx="1323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45</xdr:row>
      <xdr:rowOff>104775</xdr:rowOff>
    </xdr:from>
    <xdr:to>
      <xdr:col>2</xdr:col>
      <xdr:colOff>0</xdr:colOff>
      <xdr:row>46</xdr:row>
      <xdr:rowOff>95250</xdr:rowOff>
    </xdr:to>
    <xdr:sp macro="" textlink="">
      <xdr:nvSpPr>
        <xdr:cNvPr id="31" name="Line 32"/>
        <xdr:cNvSpPr>
          <a:spLocks noChangeShapeType="1"/>
        </xdr:cNvSpPr>
      </xdr:nvSpPr>
      <xdr:spPr bwMode="auto">
        <a:xfrm>
          <a:off x="1219200" y="84296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45</xdr:row>
      <xdr:rowOff>104775</xdr:rowOff>
    </xdr:from>
    <xdr:to>
      <xdr:col>4</xdr:col>
      <xdr:colOff>0</xdr:colOff>
      <xdr:row>46</xdr:row>
      <xdr:rowOff>47625</xdr:rowOff>
    </xdr:to>
    <xdr:sp macro="" textlink="">
      <xdr:nvSpPr>
        <xdr:cNvPr id="32" name="Line 33"/>
        <xdr:cNvSpPr>
          <a:spLocks noChangeShapeType="1"/>
        </xdr:cNvSpPr>
      </xdr:nvSpPr>
      <xdr:spPr bwMode="auto">
        <a:xfrm>
          <a:off x="2514600" y="84296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45</xdr:row>
      <xdr:rowOff>104775</xdr:rowOff>
    </xdr:from>
    <xdr:to>
      <xdr:col>5</xdr:col>
      <xdr:colOff>0</xdr:colOff>
      <xdr:row>46</xdr:row>
      <xdr:rowOff>38100</xdr:rowOff>
    </xdr:to>
    <xdr:sp macro="" textlink="">
      <xdr:nvSpPr>
        <xdr:cNvPr id="33" name="Line 34"/>
        <xdr:cNvSpPr>
          <a:spLocks noChangeShapeType="1"/>
        </xdr:cNvSpPr>
      </xdr:nvSpPr>
      <xdr:spPr bwMode="auto">
        <a:xfrm>
          <a:off x="3286125" y="84296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45</xdr:row>
      <xdr:rowOff>123825</xdr:rowOff>
    </xdr:from>
    <xdr:to>
      <xdr:col>5</xdr:col>
      <xdr:colOff>514350</xdr:colOff>
      <xdr:row>46</xdr:row>
      <xdr:rowOff>57150</xdr:rowOff>
    </xdr:to>
    <xdr:sp macro="" textlink="">
      <xdr:nvSpPr>
        <xdr:cNvPr id="34" name="Line 35"/>
        <xdr:cNvSpPr>
          <a:spLocks noChangeShapeType="1"/>
        </xdr:cNvSpPr>
      </xdr:nvSpPr>
      <xdr:spPr bwMode="auto">
        <a:xfrm>
          <a:off x="3800475" y="84486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23</xdr:row>
      <xdr:rowOff>133350</xdr:rowOff>
    </xdr:from>
    <xdr:to>
      <xdr:col>4</xdr:col>
      <xdr:colOff>0</xdr:colOff>
      <xdr:row>38</xdr:row>
      <xdr:rowOff>0</xdr:rowOff>
    </xdr:to>
    <xdr:sp macro="" textlink="">
      <xdr:nvSpPr>
        <xdr:cNvPr id="35" name="Line 36"/>
        <xdr:cNvSpPr>
          <a:spLocks noChangeShapeType="1"/>
        </xdr:cNvSpPr>
      </xdr:nvSpPr>
      <xdr:spPr bwMode="auto">
        <a:xfrm>
          <a:off x="2514600" y="4895850"/>
          <a:ext cx="0" cy="229552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381000</xdr:colOff>
      <xdr:row>24</xdr:row>
      <xdr:rowOff>0</xdr:rowOff>
    </xdr:from>
    <xdr:to>
      <xdr:col>4</xdr:col>
      <xdr:colOff>381000</xdr:colOff>
      <xdr:row>38</xdr:row>
      <xdr:rowOff>0</xdr:rowOff>
    </xdr:to>
    <xdr:sp macro="" textlink="">
      <xdr:nvSpPr>
        <xdr:cNvPr id="36" name="Line 37"/>
        <xdr:cNvSpPr>
          <a:spLocks noChangeShapeType="1"/>
        </xdr:cNvSpPr>
      </xdr:nvSpPr>
      <xdr:spPr bwMode="auto">
        <a:xfrm>
          <a:off x="2895600" y="4924425"/>
          <a:ext cx="0" cy="226695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28575</xdr:colOff>
      <xdr:row>38</xdr:row>
      <xdr:rowOff>0</xdr:rowOff>
    </xdr:from>
    <xdr:to>
      <xdr:col>5</xdr:col>
      <xdr:colOff>0</xdr:colOff>
      <xdr:row>38</xdr:row>
      <xdr:rowOff>0</xdr:rowOff>
    </xdr:to>
    <xdr:sp macro="" textlink="">
      <xdr:nvSpPr>
        <xdr:cNvPr id="37" name="Line 38"/>
        <xdr:cNvSpPr>
          <a:spLocks noChangeShapeType="1"/>
        </xdr:cNvSpPr>
      </xdr:nvSpPr>
      <xdr:spPr bwMode="auto">
        <a:xfrm>
          <a:off x="2543175" y="7191375"/>
          <a:ext cx="74295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171450</xdr:colOff>
      <xdr:row>40</xdr:row>
      <xdr:rowOff>152400</xdr:rowOff>
    </xdr:from>
    <xdr:to>
      <xdr:col>5</xdr:col>
      <xdr:colOff>476250</xdr:colOff>
      <xdr:row>41</xdr:row>
      <xdr:rowOff>0</xdr:rowOff>
    </xdr:to>
    <xdr:sp macro="" textlink="">
      <xdr:nvSpPr>
        <xdr:cNvPr id="38" name="Line 40"/>
        <xdr:cNvSpPr>
          <a:spLocks noChangeShapeType="1"/>
        </xdr:cNvSpPr>
      </xdr:nvSpPr>
      <xdr:spPr bwMode="auto">
        <a:xfrm>
          <a:off x="3457575" y="7667625"/>
          <a:ext cx="30480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342900</xdr:colOff>
      <xdr:row>41</xdr:row>
      <xdr:rowOff>0</xdr:rowOff>
    </xdr:from>
    <xdr:to>
      <xdr:col>5</xdr:col>
      <xdr:colOff>342900</xdr:colOff>
      <xdr:row>42</xdr:row>
      <xdr:rowOff>9525</xdr:rowOff>
    </xdr:to>
    <xdr:sp macro="" textlink="">
      <xdr:nvSpPr>
        <xdr:cNvPr id="39" name="Line 41"/>
        <xdr:cNvSpPr>
          <a:spLocks noChangeShapeType="1"/>
        </xdr:cNvSpPr>
      </xdr:nvSpPr>
      <xdr:spPr bwMode="auto">
        <a:xfrm flipV="1">
          <a:off x="3629025" y="7677150"/>
          <a:ext cx="0" cy="17145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 editAs="oneCell">
    <xdr:from>
      <xdr:col>5</xdr:col>
      <xdr:colOff>314325</xdr:colOff>
      <xdr:row>41</xdr:row>
      <xdr:rowOff>0</xdr:rowOff>
    </xdr:from>
    <xdr:to>
      <xdr:col>5</xdr:col>
      <xdr:colOff>390525</xdr:colOff>
      <xdr:row>41</xdr:row>
      <xdr:rowOff>152400</xdr:rowOff>
    </xdr:to>
    <xdr:sp macro="" textlink="">
      <xdr:nvSpPr>
        <xdr:cNvPr id="40" name="Text Box 42"/>
        <xdr:cNvSpPr txBox="1">
          <a:spLocks noChangeArrowheads="1"/>
        </xdr:cNvSpPr>
      </xdr:nvSpPr>
      <xdr:spPr bwMode="auto">
        <a:xfrm>
          <a:off x="3600450" y="7677150"/>
          <a:ext cx="762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41</xdr:row>
      <xdr:rowOff>57150</xdr:rowOff>
    </xdr:from>
    <xdr:to>
      <xdr:col>5</xdr:col>
      <xdr:colOff>285750</xdr:colOff>
      <xdr:row>42</xdr:row>
      <xdr:rowOff>66675</xdr:rowOff>
    </xdr:to>
    <xdr:sp macro="" textlink="">
      <xdr:nvSpPr>
        <xdr:cNvPr id="41" name="Line 44"/>
        <xdr:cNvSpPr>
          <a:spLocks noChangeShapeType="1"/>
        </xdr:cNvSpPr>
      </xdr:nvSpPr>
      <xdr:spPr bwMode="auto">
        <a:xfrm flipV="1">
          <a:off x="3286125" y="7734300"/>
          <a:ext cx="2857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419100</xdr:colOff>
      <xdr:row>41</xdr:row>
      <xdr:rowOff>104775</xdr:rowOff>
    </xdr:from>
    <xdr:to>
      <xdr:col>6</xdr:col>
      <xdr:colOff>0</xdr:colOff>
      <xdr:row>42</xdr:row>
      <xdr:rowOff>85725</xdr:rowOff>
    </xdr:to>
    <xdr:sp macro="" textlink="">
      <xdr:nvSpPr>
        <xdr:cNvPr id="42" name="Line 45"/>
        <xdr:cNvSpPr>
          <a:spLocks noChangeShapeType="1"/>
        </xdr:cNvSpPr>
      </xdr:nvSpPr>
      <xdr:spPr bwMode="auto">
        <a:xfrm flipH="1" flipV="1">
          <a:off x="3705225" y="7781925"/>
          <a:ext cx="28575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228600</xdr:colOff>
      <xdr:row>24</xdr:row>
      <xdr:rowOff>9525</xdr:rowOff>
    </xdr:from>
    <xdr:to>
      <xdr:col>2</xdr:col>
      <xdr:colOff>381000</xdr:colOff>
      <xdr:row>24</xdr:row>
      <xdr:rowOff>104775</xdr:rowOff>
    </xdr:to>
    <xdr:sp macro="" textlink="">
      <xdr:nvSpPr>
        <xdr:cNvPr id="43" name="Line 46"/>
        <xdr:cNvSpPr>
          <a:spLocks noChangeShapeType="1"/>
        </xdr:cNvSpPr>
      </xdr:nvSpPr>
      <xdr:spPr bwMode="auto">
        <a:xfrm flipH="1">
          <a:off x="1447800" y="49339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24</xdr:row>
      <xdr:rowOff>0</xdr:rowOff>
    </xdr:from>
    <xdr:to>
      <xdr:col>2</xdr:col>
      <xdr:colOff>514350</xdr:colOff>
      <xdr:row>24</xdr:row>
      <xdr:rowOff>123825</xdr:rowOff>
    </xdr:to>
    <xdr:sp macro="" textlink="">
      <xdr:nvSpPr>
        <xdr:cNvPr id="44" name="Line 47"/>
        <xdr:cNvSpPr>
          <a:spLocks noChangeShapeType="1"/>
        </xdr:cNvSpPr>
      </xdr:nvSpPr>
      <xdr:spPr bwMode="auto">
        <a:xfrm>
          <a:off x="1609725" y="49244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24</xdr:row>
      <xdr:rowOff>0</xdr:rowOff>
    </xdr:from>
    <xdr:to>
      <xdr:col>2</xdr:col>
      <xdr:colOff>514350</xdr:colOff>
      <xdr:row>24</xdr:row>
      <xdr:rowOff>114300</xdr:rowOff>
    </xdr:to>
    <xdr:sp macro="" textlink="">
      <xdr:nvSpPr>
        <xdr:cNvPr id="45" name="Line 48"/>
        <xdr:cNvSpPr>
          <a:spLocks noChangeShapeType="1"/>
        </xdr:cNvSpPr>
      </xdr:nvSpPr>
      <xdr:spPr bwMode="auto">
        <a:xfrm flipV="1">
          <a:off x="1590675" y="49244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523875</xdr:colOff>
      <xdr:row>24</xdr:row>
      <xdr:rowOff>9525</xdr:rowOff>
    </xdr:from>
    <xdr:to>
      <xdr:col>3</xdr:col>
      <xdr:colOff>638175</xdr:colOff>
      <xdr:row>24</xdr:row>
      <xdr:rowOff>133350</xdr:rowOff>
    </xdr:to>
    <xdr:sp macro="" textlink="">
      <xdr:nvSpPr>
        <xdr:cNvPr id="46" name="Line 49"/>
        <xdr:cNvSpPr>
          <a:spLocks noChangeShapeType="1"/>
        </xdr:cNvSpPr>
      </xdr:nvSpPr>
      <xdr:spPr bwMode="auto">
        <a:xfrm>
          <a:off x="2486025" y="4933950"/>
          <a:ext cx="2857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24</xdr:row>
      <xdr:rowOff>9525</xdr:rowOff>
    </xdr:from>
    <xdr:to>
      <xdr:col>3</xdr:col>
      <xdr:colOff>381000</xdr:colOff>
      <xdr:row>24</xdr:row>
      <xdr:rowOff>104775</xdr:rowOff>
    </xdr:to>
    <xdr:sp macro="" textlink="">
      <xdr:nvSpPr>
        <xdr:cNvPr id="47" name="Line 50"/>
        <xdr:cNvSpPr>
          <a:spLocks noChangeShapeType="1"/>
        </xdr:cNvSpPr>
      </xdr:nvSpPr>
      <xdr:spPr bwMode="auto">
        <a:xfrm flipH="1">
          <a:off x="2190750" y="49339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24</xdr:row>
      <xdr:rowOff>0</xdr:rowOff>
    </xdr:from>
    <xdr:to>
      <xdr:col>3</xdr:col>
      <xdr:colOff>514350</xdr:colOff>
      <xdr:row>24</xdr:row>
      <xdr:rowOff>123825</xdr:rowOff>
    </xdr:to>
    <xdr:sp macro="" textlink="">
      <xdr:nvSpPr>
        <xdr:cNvPr id="48" name="Line 51"/>
        <xdr:cNvSpPr>
          <a:spLocks noChangeShapeType="1"/>
        </xdr:cNvSpPr>
      </xdr:nvSpPr>
      <xdr:spPr bwMode="auto">
        <a:xfrm>
          <a:off x="2352675" y="49244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24</xdr:row>
      <xdr:rowOff>0</xdr:rowOff>
    </xdr:from>
    <xdr:to>
      <xdr:col>3</xdr:col>
      <xdr:colOff>514350</xdr:colOff>
      <xdr:row>24</xdr:row>
      <xdr:rowOff>114300</xdr:rowOff>
    </xdr:to>
    <xdr:sp macro="" textlink="">
      <xdr:nvSpPr>
        <xdr:cNvPr id="49" name="Line 52"/>
        <xdr:cNvSpPr>
          <a:spLocks noChangeShapeType="1"/>
        </xdr:cNvSpPr>
      </xdr:nvSpPr>
      <xdr:spPr bwMode="auto">
        <a:xfrm flipV="1">
          <a:off x="2333625" y="49244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504825</xdr:colOff>
      <xdr:row>23</xdr:row>
      <xdr:rowOff>152400</xdr:rowOff>
    </xdr:from>
    <xdr:to>
      <xdr:col>3</xdr:col>
      <xdr:colOff>9525</xdr:colOff>
      <xdr:row>24</xdr:row>
      <xdr:rowOff>114300</xdr:rowOff>
    </xdr:to>
    <xdr:sp macro="" textlink="">
      <xdr:nvSpPr>
        <xdr:cNvPr id="50" name="Line 53"/>
        <xdr:cNvSpPr>
          <a:spLocks noChangeShapeType="1"/>
        </xdr:cNvSpPr>
      </xdr:nvSpPr>
      <xdr:spPr bwMode="auto">
        <a:xfrm>
          <a:off x="1724025" y="4914900"/>
          <a:ext cx="2476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24</xdr:row>
      <xdr:rowOff>9525</xdr:rowOff>
    </xdr:from>
    <xdr:to>
      <xdr:col>3</xdr:col>
      <xdr:colOff>381000</xdr:colOff>
      <xdr:row>24</xdr:row>
      <xdr:rowOff>104775</xdr:rowOff>
    </xdr:to>
    <xdr:sp macro="" textlink="">
      <xdr:nvSpPr>
        <xdr:cNvPr id="51" name="Line 54"/>
        <xdr:cNvSpPr>
          <a:spLocks noChangeShapeType="1"/>
        </xdr:cNvSpPr>
      </xdr:nvSpPr>
      <xdr:spPr bwMode="auto">
        <a:xfrm flipH="1">
          <a:off x="2190750" y="49339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24</xdr:row>
      <xdr:rowOff>0</xdr:rowOff>
    </xdr:from>
    <xdr:to>
      <xdr:col>3</xdr:col>
      <xdr:colOff>514350</xdr:colOff>
      <xdr:row>24</xdr:row>
      <xdr:rowOff>123825</xdr:rowOff>
    </xdr:to>
    <xdr:sp macro="" textlink="">
      <xdr:nvSpPr>
        <xdr:cNvPr id="52" name="Line 55"/>
        <xdr:cNvSpPr>
          <a:spLocks noChangeShapeType="1"/>
        </xdr:cNvSpPr>
      </xdr:nvSpPr>
      <xdr:spPr bwMode="auto">
        <a:xfrm>
          <a:off x="2352675" y="49244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24</xdr:row>
      <xdr:rowOff>0</xdr:rowOff>
    </xdr:from>
    <xdr:to>
      <xdr:col>3</xdr:col>
      <xdr:colOff>514350</xdr:colOff>
      <xdr:row>24</xdr:row>
      <xdr:rowOff>114300</xdr:rowOff>
    </xdr:to>
    <xdr:sp macro="" textlink="">
      <xdr:nvSpPr>
        <xdr:cNvPr id="53" name="Line 56"/>
        <xdr:cNvSpPr>
          <a:spLocks noChangeShapeType="1"/>
        </xdr:cNvSpPr>
      </xdr:nvSpPr>
      <xdr:spPr bwMode="auto">
        <a:xfrm flipV="1">
          <a:off x="2333625" y="49244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24</xdr:row>
      <xdr:rowOff>38100</xdr:rowOff>
    </xdr:from>
    <xdr:to>
      <xdr:col>3</xdr:col>
      <xdr:colOff>809625</xdr:colOff>
      <xdr:row>25</xdr:row>
      <xdr:rowOff>0</xdr:rowOff>
    </xdr:to>
    <xdr:sp macro="" textlink="">
      <xdr:nvSpPr>
        <xdr:cNvPr id="54" name="Line 57"/>
        <xdr:cNvSpPr>
          <a:spLocks noChangeShapeType="1"/>
        </xdr:cNvSpPr>
      </xdr:nvSpPr>
      <xdr:spPr bwMode="auto">
        <a:xfrm>
          <a:off x="2428875" y="4962525"/>
          <a:ext cx="857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24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55" name="Line 58"/>
        <xdr:cNvSpPr>
          <a:spLocks noChangeShapeType="1"/>
        </xdr:cNvSpPr>
      </xdr:nvSpPr>
      <xdr:spPr bwMode="auto">
        <a:xfrm>
          <a:off x="2886075" y="4924425"/>
          <a:ext cx="4000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23</xdr:row>
      <xdr:rowOff>0</xdr:rowOff>
    </xdr:from>
    <xdr:to>
      <xdr:col>4</xdr:col>
      <xdr:colOff>371475</xdr:colOff>
      <xdr:row>23</xdr:row>
      <xdr:rowOff>85725</xdr:rowOff>
    </xdr:to>
    <xdr:sp macro="" textlink="">
      <xdr:nvSpPr>
        <xdr:cNvPr id="56" name="Line 59"/>
        <xdr:cNvSpPr>
          <a:spLocks noChangeShapeType="1"/>
        </xdr:cNvSpPr>
      </xdr:nvSpPr>
      <xdr:spPr bwMode="auto">
        <a:xfrm>
          <a:off x="2886075" y="47625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22</xdr:row>
      <xdr:rowOff>152400</xdr:rowOff>
    </xdr:from>
    <xdr:to>
      <xdr:col>5</xdr:col>
      <xdr:colOff>0</xdr:colOff>
      <xdr:row>23</xdr:row>
      <xdr:rowOff>85725</xdr:rowOff>
    </xdr:to>
    <xdr:sp macro="" textlink="">
      <xdr:nvSpPr>
        <xdr:cNvPr id="57" name="Line 60"/>
        <xdr:cNvSpPr>
          <a:spLocks noChangeShapeType="1"/>
        </xdr:cNvSpPr>
      </xdr:nvSpPr>
      <xdr:spPr bwMode="auto">
        <a:xfrm>
          <a:off x="3286125" y="47529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23</xdr:row>
      <xdr:rowOff>47625</xdr:rowOff>
    </xdr:from>
    <xdr:to>
      <xdr:col>5</xdr:col>
      <xdr:colOff>0</xdr:colOff>
      <xdr:row>23</xdr:row>
      <xdr:rowOff>47625</xdr:rowOff>
    </xdr:to>
    <xdr:sp macro="" textlink="">
      <xdr:nvSpPr>
        <xdr:cNvPr id="58" name="Line 61"/>
        <xdr:cNvSpPr>
          <a:spLocks noChangeShapeType="1"/>
        </xdr:cNvSpPr>
      </xdr:nvSpPr>
      <xdr:spPr bwMode="auto">
        <a:xfrm>
          <a:off x="2876550" y="4810125"/>
          <a:ext cx="40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142872</xdr:colOff>
      <xdr:row>23</xdr:row>
      <xdr:rowOff>152401</xdr:rowOff>
    </xdr:from>
    <xdr:to>
      <xdr:col>1</xdr:col>
      <xdr:colOff>609599</xdr:colOff>
      <xdr:row>41</xdr:row>
      <xdr:rowOff>9526</xdr:rowOff>
    </xdr:to>
    <xdr:sp macro="" textlink="">
      <xdr:nvSpPr>
        <xdr:cNvPr id="59" name="Line 62"/>
        <xdr:cNvSpPr>
          <a:spLocks noChangeShapeType="1"/>
        </xdr:cNvSpPr>
      </xdr:nvSpPr>
      <xdr:spPr bwMode="auto">
        <a:xfrm flipH="1">
          <a:off x="752472" y="4914901"/>
          <a:ext cx="466727" cy="2771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133350</xdr:colOff>
      <xdr:row>40</xdr:row>
      <xdr:rowOff>152400</xdr:rowOff>
    </xdr:from>
    <xdr:to>
      <xdr:col>1</xdr:col>
      <xdr:colOff>600075</xdr:colOff>
      <xdr:row>40</xdr:row>
      <xdr:rowOff>152400</xdr:rowOff>
    </xdr:to>
    <xdr:sp macro="" textlink="">
      <xdr:nvSpPr>
        <xdr:cNvPr id="60" name="Line 63"/>
        <xdr:cNvSpPr>
          <a:spLocks noChangeShapeType="1"/>
        </xdr:cNvSpPr>
      </xdr:nvSpPr>
      <xdr:spPr bwMode="auto">
        <a:xfrm>
          <a:off x="742950" y="766762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247650</xdr:colOff>
      <xdr:row>38</xdr:row>
      <xdr:rowOff>0</xdr:rowOff>
    </xdr:from>
    <xdr:to>
      <xdr:col>1</xdr:col>
      <xdr:colOff>590550</xdr:colOff>
      <xdr:row>38</xdr:row>
      <xdr:rowOff>0</xdr:rowOff>
    </xdr:to>
    <xdr:sp macro="" textlink="">
      <xdr:nvSpPr>
        <xdr:cNvPr id="61" name="Line 64"/>
        <xdr:cNvSpPr>
          <a:spLocks noChangeShapeType="1"/>
        </xdr:cNvSpPr>
      </xdr:nvSpPr>
      <xdr:spPr bwMode="auto">
        <a:xfrm>
          <a:off x="857250" y="7191375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361950</xdr:colOff>
      <xdr:row>34</xdr:row>
      <xdr:rowOff>66675</xdr:rowOff>
    </xdr:from>
    <xdr:to>
      <xdr:col>2</xdr:col>
      <xdr:colOff>9525</xdr:colOff>
      <xdr:row>34</xdr:row>
      <xdr:rowOff>66675</xdr:rowOff>
    </xdr:to>
    <xdr:sp macro="" textlink="">
      <xdr:nvSpPr>
        <xdr:cNvPr id="62" name="Line 65"/>
        <xdr:cNvSpPr>
          <a:spLocks noChangeShapeType="1"/>
        </xdr:cNvSpPr>
      </xdr:nvSpPr>
      <xdr:spPr bwMode="auto">
        <a:xfrm>
          <a:off x="971550" y="661035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447675</xdr:colOff>
      <xdr:row>31</xdr:row>
      <xdr:rowOff>76200</xdr:rowOff>
    </xdr:from>
    <xdr:to>
      <xdr:col>1</xdr:col>
      <xdr:colOff>590550</xdr:colOff>
      <xdr:row>31</xdr:row>
      <xdr:rowOff>76200</xdr:rowOff>
    </xdr:to>
    <xdr:sp macro="" textlink="">
      <xdr:nvSpPr>
        <xdr:cNvPr id="63" name="Line 66"/>
        <xdr:cNvSpPr>
          <a:spLocks noChangeShapeType="1"/>
        </xdr:cNvSpPr>
      </xdr:nvSpPr>
      <xdr:spPr bwMode="auto">
        <a:xfrm>
          <a:off x="1057275" y="61341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400050</xdr:colOff>
      <xdr:row>33</xdr:row>
      <xdr:rowOff>0</xdr:rowOff>
    </xdr:from>
    <xdr:to>
      <xdr:col>1</xdr:col>
      <xdr:colOff>590550</xdr:colOff>
      <xdr:row>33</xdr:row>
      <xdr:rowOff>0</xdr:rowOff>
    </xdr:to>
    <xdr:sp macro="" textlink="">
      <xdr:nvSpPr>
        <xdr:cNvPr id="64" name="Line 67"/>
        <xdr:cNvSpPr>
          <a:spLocks noChangeShapeType="1"/>
        </xdr:cNvSpPr>
      </xdr:nvSpPr>
      <xdr:spPr bwMode="auto">
        <a:xfrm>
          <a:off x="1009650" y="63817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171450</xdr:colOff>
      <xdr:row>39</xdr:row>
      <xdr:rowOff>104775</xdr:rowOff>
    </xdr:from>
    <xdr:to>
      <xdr:col>1</xdr:col>
      <xdr:colOff>600075</xdr:colOff>
      <xdr:row>39</xdr:row>
      <xdr:rowOff>114300</xdr:rowOff>
    </xdr:to>
    <xdr:sp macro="" textlink="">
      <xdr:nvSpPr>
        <xdr:cNvPr id="65" name="Line 69"/>
        <xdr:cNvSpPr>
          <a:spLocks noChangeShapeType="1"/>
        </xdr:cNvSpPr>
      </xdr:nvSpPr>
      <xdr:spPr bwMode="auto">
        <a:xfrm>
          <a:off x="781050" y="7458075"/>
          <a:ext cx="4286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514350</xdr:colOff>
      <xdr:row>29</xdr:row>
      <xdr:rowOff>152400</xdr:rowOff>
    </xdr:from>
    <xdr:to>
      <xdr:col>1</xdr:col>
      <xdr:colOff>600075</xdr:colOff>
      <xdr:row>29</xdr:row>
      <xdr:rowOff>152400</xdr:rowOff>
    </xdr:to>
    <xdr:sp macro="" textlink="">
      <xdr:nvSpPr>
        <xdr:cNvPr id="66" name="Line 70"/>
        <xdr:cNvSpPr>
          <a:spLocks noChangeShapeType="1"/>
        </xdr:cNvSpPr>
      </xdr:nvSpPr>
      <xdr:spPr bwMode="auto">
        <a:xfrm>
          <a:off x="1123950" y="588645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600075</xdr:colOff>
      <xdr:row>47</xdr:row>
      <xdr:rowOff>0</xdr:rowOff>
    </xdr:from>
    <xdr:to>
      <xdr:col>5</xdr:col>
      <xdr:colOff>485775</xdr:colOff>
      <xdr:row>47</xdr:row>
      <xdr:rowOff>0</xdr:rowOff>
    </xdr:to>
    <xdr:sp macro="" textlink="">
      <xdr:nvSpPr>
        <xdr:cNvPr id="67" name="Line 71"/>
        <xdr:cNvSpPr>
          <a:spLocks noChangeShapeType="1"/>
        </xdr:cNvSpPr>
      </xdr:nvSpPr>
      <xdr:spPr bwMode="auto">
        <a:xfrm>
          <a:off x="1209675" y="8648700"/>
          <a:ext cx="2562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46</xdr:row>
      <xdr:rowOff>76200</xdr:rowOff>
    </xdr:from>
    <xdr:to>
      <xdr:col>2</xdr:col>
      <xdr:colOff>0</xdr:colOff>
      <xdr:row>47</xdr:row>
      <xdr:rowOff>95250</xdr:rowOff>
    </xdr:to>
    <xdr:sp macro="" textlink="">
      <xdr:nvSpPr>
        <xdr:cNvPr id="68" name="Line 84"/>
        <xdr:cNvSpPr>
          <a:spLocks noChangeShapeType="1"/>
        </xdr:cNvSpPr>
      </xdr:nvSpPr>
      <xdr:spPr bwMode="auto">
        <a:xfrm>
          <a:off x="1219200" y="85629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504825</xdr:colOff>
      <xdr:row>46</xdr:row>
      <xdr:rowOff>66675</xdr:rowOff>
    </xdr:from>
    <xdr:to>
      <xdr:col>5</xdr:col>
      <xdr:colOff>504825</xdr:colOff>
      <xdr:row>47</xdr:row>
      <xdr:rowOff>19050</xdr:rowOff>
    </xdr:to>
    <xdr:sp macro="" textlink="">
      <xdr:nvSpPr>
        <xdr:cNvPr id="69" name="Line 85"/>
        <xdr:cNvSpPr>
          <a:spLocks noChangeShapeType="1"/>
        </xdr:cNvSpPr>
      </xdr:nvSpPr>
      <xdr:spPr bwMode="auto">
        <a:xfrm>
          <a:off x="3790950" y="85534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95</xdr:row>
      <xdr:rowOff>0</xdr:rowOff>
    </xdr:from>
    <xdr:to>
      <xdr:col>5</xdr:col>
      <xdr:colOff>0</xdr:colOff>
      <xdr:row>111</xdr:row>
      <xdr:rowOff>9525</xdr:rowOff>
    </xdr:to>
    <xdr:sp macro="" textlink="">
      <xdr:nvSpPr>
        <xdr:cNvPr id="70" name="Line 89"/>
        <xdr:cNvSpPr>
          <a:spLocks noChangeShapeType="1"/>
        </xdr:cNvSpPr>
      </xdr:nvSpPr>
      <xdr:spPr bwMode="auto">
        <a:xfrm>
          <a:off x="3286125" y="16725900"/>
          <a:ext cx="0" cy="2600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111</xdr:row>
      <xdr:rowOff>0</xdr:rowOff>
    </xdr:from>
    <xdr:to>
      <xdr:col>5</xdr:col>
      <xdr:colOff>476250</xdr:colOff>
      <xdr:row>111</xdr:row>
      <xdr:rowOff>0</xdr:rowOff>
    </xdr:to>
    <xdr:sp macro="" textlink="">
      <xdr:nvSpPr>
        <xdr:cNvPr id="71" name="Line 90"/>
        <xdr:cNvSpPr>
          <a:spLocks noChangeShapeType="1"/>
        </xdr:cNvSpPr>
      </xdr:nvSpPr>
      <xdr:spPr bwMode="auto">
        <a:xfrm>
          <a:off x="3286125" y="19316700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111</xdr:row>
      <xdr:rowOff>9525</xdr:rowOff>
    </xdr:from>
    <xdr:to>
      <xdr:col>5</xdr:col>
      <xdr:colOff>476250</xdr:colOff>
      <xdr:row>114</xdr:row>
      <xdr:rowOff>0</xdr:rowOff>
    </xdr:to>
    <xdr:sp macro="" textlink="">
      <xdr:nvSpPr>
        <xdr:cNvPr id="72" name="Line 91"/>
        <xdr:cNvSpPr>
          <a:spLocks noChangeShapeType="1"/>
        </xdr:cNvSpPr>
      </xdr:nvSpPr>
      <xdr:spPr bwMode="auto">
        <a:xfrm>
          <a:off x="3762375" y="19326225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113</xdr:row>
      <xdr:rowOff>152400</xdr:rowOff>
    </xdr:from>
    <xdr:to>
      <xdr:col>5</xdr:col>
      <xdr:colOff>161925</xdr:colOff>
      <xdr:row>114</xdr:row>
      <xdr:rowOff>0</xdr:rowOff>
    </xdr:to>
    <xdr:sp macro="" textlink="">
      <xdr:nvSpPr>
        <xdr:cNvPr id="73" name="Line 92"/>
        <xdr:cNvSpPr>
          <a:spLocks noChangeShapeType="1"/>
        </xdr:cNvSpPr>
      </xdr:nvSpPr>
      <xdr:spPr bwMode="auto">
        <a:xfrm flipH="1" flipV="1">
          <a:off x="1209675" y="19792950"/>
          <a:ext cx="22383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110</xdr:row>
      <xdr:rowOff>152400</xdr:rowOff>
    </xdr:from>
    <xdr:to>
      <xdr:col>2</xdr:col>
      <xdr:colOff>0</xdr:colOff>
      <xdr:row>113</xdr:row>
      <xdr:rowOff>152400</xdr:rowOff>
    </xdr:to>
    <xdr:sp macro="" textlink="">
      <xdr:nvSpPr>
        <xdr:cNvPr id="74" name="Line 93"/>
        <xdr:cNvSpPr>
          <a:spLocks noChangeShapeType="1"/>
        </xdr:cNvSpPr>
      </xdr:nvSpPr>
      <xdr:spPr bwMode="auto">
        <a:xfrm flipV="1">
          <a:off x="1219200" y="19307175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111</xdr:row>
      <xdr:rowOff>0</xdr:rowOff>
    </xdr:from>
    <xdr:to>
      <xdr:col>4</xdr:col>
      <xdr:colOff>0</xdr:colOff>
      <xdr:row>111</xdr:row>
      <xdr:rowOff>0</xdr:rowOff>
    </xdr:to>
    <xdr:sp macro="" textlink="">
      <xdr:nvSpPr>
        <xdr:cNvPr id="75" name="Line 94"/>
        <xdr:cNvSpPr>
          <a:spLocks noChangeShapeType="1"/>
        </xdr:cNvSpPr>
      </xdr:nvSpPr>
      <xdr:spPr bwMode="auto">
        <a:xfrm>
          <a:off x="1209675" y="19316700"/>
          <a:ext cx="13049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95</xdr:row>
      <xdr:rowOff>0</xdr:rowOff>
    </xdr:from>
    <xdr:to>
      <xdr:col>4</xdr:col>
      <xdr:colOff>381000</xdr:colOff>
      <xdr:row>111</xdr:row>
      <xdr:rowOff>0</xdr:rowOff>
    </xdr:to>
    <xdr:sp macro="" textlink="">
      <xdr:nvSpPr>
        <xdr:cNvPr id="76" name="Line 95"/>
        <xdr:cNvSpPr>
          <a:spLocks noChangeShapeType="1"/>
        </xdr:cNvSpPr>
      </xdr:nvSpPr>
      <xdr:spPr bwMode="auto">
        <a:xfrm flipV="1">
          <a:off x="2524125" y="16725900"/>
          <a:ext cx="371475" cy="25908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114</xdr:row>
      <xdr:rowOff>0</xdr:rowOff>
    </xdr:from>
    <xdr:to>
      <xdr:col>5</xdr:col>
      <xdr:colOff>476250</xdr:colOff>
      <xdr:row>115</xdr:row>
      <xdr:rowOff>0</xdr:rowOff>
    </xdr:to>
    <xdr:sp macro="" textlink="">
      <xdr:nvSpPr>
        <xdr:cNvPr id="77" name="Line 96"/>
        <xdr:cNvSpPr>
          <a:spLocks noChangeShapeType="1"/>
        </xdr:cNvSpPr>
      </xdr:nvSpPr>
      <xdr:spPr bwMode="auto">
        <a:xfrm>
          <a:off x="3762375" y="19802475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115</xdr:row>
      <xdr:rowOff>9525</xdr:rowOff>
    </xdr:from>
    <xdr:to>
      <xdr:col>5</xdr:col>
      <xdr:colOff>476250</xdr:colOff>
      <xdr:row>115</xdr:row>
      <xdr:rowOff>9525</xdr:rowOff>
    </xdr:to>
    <xdr:sp macro="" textlink="">
      <xdr:nvSpPr>
        <xdr:cNvPr id="78" name="Line 97"/>
        <xdr:cNvSpPr>
          <a:spLocks noChangeShapeType="1"/>
        </xdr:cNvSpPr>
      </xdr:nvSpPr>
      <xdr:spPr bwMode="auto">
        <a:xfrm flipH="1">
          <a:off x="3629025" y="19973925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113</xdr:row>
      <xdr:rowOff>152400</xdr:rowOff>
    </xdr:from>
    <xdr:to>
      <xdr:col>5</xdr:col>
      <xdr:colOff>352425</xdr:colOff>
      <xdr:row>115</xdr:row>
      <xdr:rowOff>19050</xdr:rowOff>
    </xdr:to>
    <xdr:sp macro="" textlink="">
      <xdr:nvSpPr>
        <xdr:cNvPr id="79" name="Line 98"/>
        <xdr:cNvSpPr>
          <a:spLocks noChangeShapeType="1"/>
        </xdr:cNvSpPr>
      </xdr:nvSpPr>
      <xdr:spPr bwMode="auto">
        <a:xfrm flipH="1" flipV="1">
          <a:off x="3448050" y="19792950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115</xdr:row>
      <xdr:rowOff>76200</xdr:rowOff>
    </xdr:from>
    <xdr:to>
      <xdr:col>5</xdr:col>
      <xdr:colOff>485775</xdr:colOff>
      <xdr:row>116</xdr:row>
      <xdr:rowOff>28575</xdr:rowOff>
    </xdr:to>
    <xdr:sp macro="" textlink="">
      <xdr:nvSpPr>
        <xdr:cNvPr id="80" name="Line 106"/>
        <xdr:cNvSpPr>
          <a:spLocks noChangeShapeType="1"/>
        </xdr:cNvSpPr>
      </xdr:nvSpPr>
      <xdr:spPr bwMode="auto">
        <a:xfrm>
          <a:off x="3771900" y="2004060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115</xdr:row>
      <xdr:rowOff>76200</xdr:rowOff>
    </xdr:from>
    <xdr:to>
      <xdr:col>5</xdr:col>
      <xdr:colOff>352425</xdr:colOff>
      <xdr:row>116</xdr:row>
      <xdr:rowOff>38100</xdr:rowOff>
    </xdr:to>
    <xdr:sp macro="" textlink="">
      <xdr:nvSpPr>
        <xdr:cNvPr id="81" name="Line 107"/>
        <xdr:cNvSpPr>
          <a:spLocks noChangeShapeType="1"/>
        </xdr:cNvSpPr>
      </xdr:nvSpPr>
      <xdr:spPr bwMode="auto">
        <a:xfrm>
          <a:off x="3638550" y="200406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116</xdr:row>
      <xdr:rowOff>0</xdr:rowOff>
    </xdr:from>
    <xdr:to>
      <xdr:col>5</xdr:col>
      <xdr:colOff>485775</xdr:colOff>
      <xdr:row>116</xdr:row>
      <xdr:rowOff>0</xdr:rowOff>
    </xdr:to>
    <xdr:sp macro="" textlink="">
      <xdr:nvSpPr>
        <xdr:cNvPr id="82" name="Line 108"/>
        <xdr:cNvSpPr>
          <a:spLocks noChangeShapeType="1"/>
        </xdr:cNvSpPr>
      </xdr:nvSpPr>
      <xdr:spPr bwMode="auto">
        <a:xfrm>
          <a:off x="3638550" y="2012632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115</xdr:row>
      <xdr:rowOff>114300</xdr:rowOff>
    </xdr:from>
    <xdr:to>
      <xdr:col>5</xdr:col>
      <xdr:colOff>180975</xdr:colOff>
      <xdr:row>116</xdr:row>
      <xdr:rowOff>28575</xdr:rowOff>
    </xdr:to>
    <xdr:sp macro="" textlink="">
      <xdr:nvSpPr>
        <xdr:cNvPr id="83" name="Line 109"/>
        <xdr:cNvSpPr>
          <a:spLocks noChangeShapeType="1"/>
        </xdr:cNvSpPr>
      </xdr:nvSpPr>
      <xdr:spPr bwMode="auto">
        <a:xfrm>
          <a:off x="3467100" y="2007870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116</xdr:row>
      <xdr:rowOff>0</xdr:rowOff>
    </xdr:from>
    <xdr:to>
      <xdr:col>5</xdr:col>
      <xdr:colOff>352425</xdr:colOff>
      <xdr:row>116</xdr:row>
      <xdr:rowOff>0</xdr:rowOff>
    </xdr:to>
    <xdr:sp macro="" textlink="">
      <xdr:nvSpPr>
        <xdr:cNvPr id="84" name="Line 110"/>
        <xdr:cNvSpPr>
          <a:spLocks noChangeShapeType="1"/>
        </xdr:cNvSpPr>
      </xdr:nvSpPr>
      <xdr:spPr bwMode="auto">
        <a:xfrm>
          <a:off x="3467100" y="2012632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116</xdr:row>
      <xdr:rowOff>19050</xdr:rowOff>
    </xdr:from>
    <xdr:to>
      <xdr:col>5</xdr:col>
      <xdr:colOff>428625</xdr:colOff>
      <xdr:row>116</xdr:row>
      <xdr:rowOff>104775</xdr:rowOff>
    </xdr:to>
    <xdr:sp macro="" textlink="">
      <xdr:nvSpPr>
        <xdr:cNvPr id="85" name="Line 111"/>
        <xdr:cNvSpPr>
          <a:spLocks noChangeShapeType="1"/>
        </xdr:cNvSpPr>
      </xdr:nvSpPr>
      <xdr:spPr bwMode="auto">
        <a:xfrm flipV="1">
          <a:off x="3714750" y="201453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116</xdr:row>
      <xdr:rowOff>104775</xdr:rowOff>
    </xdr:from>
    <xdr:to>
      <xdr:col>6</xdr:col>
      <xdr:colOff>76200</xdr:colOff>
      <xdr:row>116</xdr:row>
      <xdr:rowOff>104775</xdr:rowOff>
    </xdr:to>
    <xdr:sp macro="" textlink="">
      <xdr:nvSpPr>
        <xdr:cNvPr id="86" name="Line 112"/>
        <xdr:cNvSpPr>
          <a:spLocks noChangeShapeType="1"/>
        </xdr:cNvSpPr>
      </xdr:nvSpPr>
      <xdr:spPr bwMode="auto">
        <a:xfrm>
          <a:off x="3733800" y="2023110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116</xdr:row>
      <xdr:rowOff>0</xdr:rowOff>
    </xdr:from>
    <xdr:to>
      <xdr:col>5</xdr:col>
      <xdr:colOff>285750</xdr:colOff>
      <xdr:row>117</xdr:row>
      <xdr:rowOff>57150</xdr:rowOff>
    </xdr:to>
    <xdr:sp macro="" textlink="">
      <xdr:nvSpPr>
        <xdr:cNvPr id="87" name="Line 113"/>
        <xdr:cNvSpPr>
          <a:spLocks noChangeShapeType="1"/>
        </xdr:cNvSpPr>
      </xdr:nvSpPr>
      <xdr:spPr bwMode="auto">
        <a:xfrm flipV="1">
          <a:off x="3571875" y="20126325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117</xdr:row>
      <xdr:rowOff>47625</xdr:rowOff>
    </xdr:from>
    <xdr:to>
      <xdr:col>6</xdr:col>
      <xdr:colOff>76200</xdr:colOff>
      <xdr:row>117</xdr:row>
      <xdr:rowOff>47625</xdr:rowOff>
    </xdr:to>
    <xdr:sp macro="" textlink="">
      <xdr:nvSpPr>
        <xdr:cNvPr id="88" name="Line 114"/>
        <xdr:cNvSpPr>
          <a:spLocks noChangeShapeType="1"/>
        </xdr:cNvSpPr>
      </xdr:nvSpPr>
      <xdr:spPr bwMode="auto">
        <a:xfrm>
          <a:off x="3571875" y="20335875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122</xdr:row>
      <xdr:rowOff>152400</xdr:rowOff>
    </xdr:from>
    <xdr:to>
      <xdr:col>5</xdr:col>
      <xdr:colOff>504825</xdr:colOff>
      <xdr:row>123</xdr:row>
      <xdr:rowOff>0</xdr:rowOff>
    </xdr:to>
    <xdr:sp macro="" textlink="">
      <xdr:nvSpPr>
        <xdr:cNvPr id="89" name="Line 115"/>
        <xdr:cNvSpPr>
          <a:spLocks noChangeShapeType="1"/>
        </xdr:cNvSpPr>
      </xdr:nvSpPr>
      <xdr:spPr bwMode="auto">
        <a:xfrm flipH="1">
          <a:off x="3286125" y="21250275"/>
          <a:ext cx="5048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0</xdr:colOff>
      <xdr:row>123</xdr:row>
      <xdr:rowOff>9525</xdr:rowOff>
    </xdr:from>
    <xdr:to>
      <xdr:col>5</xdr:col>
      <xdr:colOff>0</xdr:colOff>
      <xdr:row>123</xdr:row>
      <xdr:rowOff>9525</xdr:rowOff>
    </xdr:to>
    <xdr:sp macro="" textlink="">
      <xdr:nvSpPr>
        <xdr:cNvPr id="90" name="Line 116"/>
        <xdr:cNvSpPr>
          <a:spLocks noChangeShapeType="1"/>
        </xdr:cNvSpPr>
      </xdr:nvSpPr>
      <xdr:spPr bwMode="auto">
        <a:xfrm flipH="1">
          <a:off x="2514600" y="212693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600075</xdr:colOff>
      <xdr:row>123</xdr:row>
      <xdr:rowOff>9525</xdr:rowOff>
    </xdr:from>
    <xdr:to>
      <xdr:col>4</xdr:col>
      <xdr:colOff>19050</xdr:colOff>
      <xdr:row>123</xdr:row>
      <xdr:rowOff>9525</xdr:rowOff>
    </xdr:to>
    <xdr:sp macro="" textlink="">
      <xdr:nvSpPr>
        <xdr:cNvPr id="91" name="Line 117"/>
        <xdr:cNvSpPr>
          <a:spLocks noChangeShapeType="1"/>
        </xdr:cNvSpPr>
      </xdr:nvSpPr>
      <xdr:spPr bwMode="auto">
        <a:xfrm flipH="1">
          <a:off x="1209675" y="21269325"/>
          <a:ext cx="1323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122</xdr:row>
      <xdr:rowOff>104775</xdr:rowOff>
    </xdr:from>
    <xdr:to>
      <xdr:col>2</xdr:col>
      <xdr:colOff>0</xdr:colOff>
      <xdr:row>123</xdr:row>
      <xdr:rowOff>95250</xdr:rowOff>
    </xdr:to>
    <xdr:sp macro="" textlink="">
      <xdr:nvSpPr>
        <xdr:cNvPr id="92" name="Line 118"/>
        <xdr:cNvSpPr>
          <a:spLocks noChangeShapeType="1"/>
        </xdr:cNvSpPr>
      </xdr:nvSpPr>
      <xdr:spPr bwMode="auto">
        <a:xfrm>
          <a:off x="1219200" y="212026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122</xdr:row>
      <xdr:rowOff>104775</xdr:rowOff>
    </xdr:from>
    <xdr:to>
      <xdr:col>4</xdr:col>
      <xdr:colOff>0</xdr:colOff>
      <xdr:row>123</xdr:row>
      <xdr:rowOff>47625</xdr:rowOff>
    </xdr:to>
    <xdr:sp macro="" textlink="">
      <xdr:nvSpPr>
        <xdr:cNvPr id="93" name="Line 119"/>
        <xdr:cNvSpPr>
          <a:spLocks noChangeShapeType="1"/>
        </xdr:cNvSpPr>
      </xdr:nvSpPr>
      <xdr:spPr bwMode="auto">
        <a:xfrm>
          <a:off x="2514600" y="212026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122</xdr:row>
      <xdr:rowOff>104775</xdr:rowOff>
    </xdr:from>
    <xdr:to>
      <xdr:col>5</xdr:col>
      <xdr:colOff>0</xdr:colOff>
      <xdr:row>123</xdr:row>
      <xdr:rowOff>38100</xdr:rowOff>
    </xdr:to>
    <xdr:sp macro="" textlink="">
      <xdr:nvSpPr>
        <xdr:cNvPr id="94" name="Line 120"/>
        <xdr:cNvSpPr>
          <a:spLocks noChangeShapeType="1"/>
        </xdr:cNvSpPr>
      </xdr:nvSpPr>
      <xdr:spPr bwMode="auto">
        <a:xfrm>
          <a:off x="3286125" y="212026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122</xdr:row>
      <xdr:rowOff>123825</xdr:rowOff>
    </xdr:from>
    <xdr:to>
      <xdr:col>5</xdr:col>
      <xdr:colOff>514350</xdr:colOff>
      <xdr:row>123</xdr:row>
      <xdr:rowOff>57150</xdr:rowOff>
    </xdr:to>
    <xdr:sp macro="" textlink="">
      <xdr:nvSpPr>
        <xdr:cNvPr id="95" name="Line 121"/>
        <xdr:cNvSpPr>
          <a:spLocks noChangeShapeType="1"/>
        </xdr:cNvSpPr>
      </xdr:nvSpPr>
      <xdr:spPr bwMode="auto">
        <a:xfrm>
          <a:off x="3800475" y="212217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103</xdr:row>
      <xdr:rowOff>152400</xdr:rowOff>
    </xdr:from>
    <xdr:to>
      <xdr:col>4</xdr:col>
      <xdr:colOff>0</xdr:colOff>
      <xdr:row>111</xdr:row>
      <xdr:rowOff>0</xdr:rowOff>
    </xdr:to>
    <xdr:sp macro="" textlink="">
      <xdr:nvSpPr>
        <xdr:cNvPr id="96" name="Line 122"/>
        <xdr:cNvSpPr>
          <a:spLocks noChangeShapeType="1"/>
        </xdr:cNvSpPr>
      </xdr:nvSpPr>
      <xdr:spPr bwMode="auto">
        <a:xfrm>
          <a:off x="2514600" y="18173700"/>
          <a:ext cx="0" cy="114300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381000</xdr:colOff>
      <xdr:row>95</xdr:row>
      <xdr:rowOff>0</xdr:rowOff>
    </xdr:from>
    <xdr:to>
      <xdr:col>4</xdr:col>
      <xdr:colOff>381000</xdr:colOff>
      <xdr:row>111</xdr:row>
      <xdr:rowOff>0</xdr:rowOff>
    </xdr:to>
    <xdr:sp macro="" textlink="">
      <xdr:nvSpPr>
        <xdr:cNvPr id="97" name="Line 123"/>
        <xdr:cNvSpPr>
          <a:spLocks noChangeShapeType="1"/>
        </xdr:cNvSpPr>
      </xdr:nvSpPr>
      <xdr:spPr bwMode="auto">
        <a:xfrm>
          <a:off x="2895600" y="16725900"/>
          <a:ext cx="0" cy="259080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28575</xdr:colOff>
      <xdr:row>111</xdr:row>
      <xdr:rowOff>0</xdr:rowOff>
    </xdr:from>
    <xdr:to>
      <xdr:col>5</xdr:col>
      <xdr:colOff>0</xdr:colOff>
      <xdr:row>111</xdr:row>
      <xdr:rowOff>0</xdr:rowOff>
    </xdr:to>
    <xdr:sp macro="" textlink="">
      <xdr:nvSpPr>
        <xdr:cNvPr id="98" name="Line 124"/>
        <xdr:cNvSpPr>
          <a:spLocks noChangeShapeType="1"/>
        </xdr:cNvSpPr>
      </xdr:nvSpPr>
      <xdr:spPr bwMode="auto">
        <a:xfrm>
          <a:off x="2543175" y="19316700"/>
          <a:ext cx="742950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171450</xdr:colOff>
      <xdr:row>113</xdr:row>
      <xdr:rowOff>152400</xdr:rowOff>
    </xdr:from>
    <xdr:to>
      <xdr:col>5</xdr:col>
      <xdr:colOff>476250</xdr:colOff>
      <xdr:row>114</xdr:row>
      <xdr:rowOff>0</xdr:rowOff>
    </xdr:to>
    <xdr:sp macro="" textlink="">
      <xdr:nvSpPr>
        <xdr:cNvPr id="99" name="Line 126"/>
        <xdr:cNvSpPr>
          <a:spLocks noChangeShapeType="1"/>
        </xdr:cNvSpPr>
      </xdr:nvSpPr>
      <xdr:spPr bwMode="auto">
        <a:xfrm>
          <a:off x="3457575" y="19792950"/>
          <a:ext cx="30480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114</xdr:row>
      <xdr:rowOff>0</xdr:rowOff>
    </xdr:from>
    <xdr:to>
      <xdr:col>5</xdr:col>
      <xdr:colOff>342900</xdr:colOff>
      <xdr:row>115</xdr:row>
      <xdr:rowOff>9525</xdr:rowOff>
    </xdr:to>
    <xdr:sp macro="" textlink="">
      <xdr:nvSpPr>
        <xdr:cNvPr id="100" name="Line 127"/>
        <xdr:cNvSpPr>
          <a:spLocks noChangeShapeType="1"/>
        </xdr:cNvSpPr>
      </xdr:nvSpPr>
      <xdr:spPr bwMode="auto">
        <a:xfrm flipV="1">
          <a:off x="3629025" y="19802475"/>
          <a:ext cx="0" cy="17145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 editAs="oneCell">
    <xdr:from>
      <xdr:col>5</xdr:col>
      <xdr:colOff>314325</xdr:colOff>
      <xdr:row>178</xdr:row>
      <xdr:rowOff>0</xdr:rowOff>
    </xdr:from>
    <xdr:to>
      <xdr:col>5</xdr:col>
      <xdr:colOff>390525</xdr:colOff>
      <xdr:row>178</xdr:row>
      <xdr:rowOff>152400</xdr:rowOff>
    </xdr:to>
    <xdr:sp macro="" textlink="">
      <xdr:nvSpPr>
        <xdr:cNvPr id="101" name="Text Box 128"/>
        <xdr:cNvSpPr txBox="1">
          <a:spLocks noChangeArrowheads="1"/>
        </xdr:cNvSpPr>
      </xdr:nvSpPr>
      <xdr:spPr bwMode="auto">
        <a:xfrm>
          <a:off x="3600450" y="30422850"/>
          <a:ext cx="762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114</xdr:row>
      <xdr:rowOff>57150</xdr:rowOff>
    </xdr:from>
    <xdr:to>
      <xdr:col>5</xdr:col>
      <xdr:colOff>285750</xdr:colOff>
      <xdr:row>115</xdr:row>
      <xdr:rowOff>66675</xdr:rowOff>
    </xdr:to>
    <xdr:sp macro="" textlink="">
      <xdr:nvSpPr>
        <xdr:cNvPr id="102" name="Line 129"/>
        <xdr:cNvSpPr>
          <a:spLocks noChangeShapeType="1"/>
        </xdr:cNvSpPr>
      </xdr:nvSpPr>
      <xdr:spPr bwMode="auto">
        <a:xfrm flipV="1">
          <a:off x="3286125" y="19859625"/>
          <a:ext cx="2857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419100</xdr:colOff>
      <xdr:row>114</xdr:row>
      <xdr:rowOff>104775</xdr:rowOff>
    </xdr:from>
    <xdr:to>
      <xdr:col>6</xdr:col>
      <xdr:colOff>0</xdr:colOff>
      <xdr:row>115</xdr:row>
      <xdr:rowOff>85725</xdr:rowOff>
    </xdr:to>
    <xdr:sp macro="" textlink="">
      <xdr:nvSpPr>
        <xdr:cNvPr id="103" name="Line 130"/>
        <xdr:cNvSpPr>
          <a:spLocks noChangeShapeType="1"/>
        </xdr:cNvSpPr>
      </xdr:nvSpPr>
      <xdr:spPr bwMode="auto">
        <a:xfrm flipH="1" flipV="1">
          <a:off x="3705225" y="19907250"/>
          <a:ext cx="28575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228600</xdr:colOff>
      <xdr:row>95</xdr:row>
      <xdr:rowOff>9525</xdr:rowOff>
    </xdr:from>
    <xdr:to>
      <xdr:col>2</xdr:col>
      <xdr:colOff>381000</xdr:colOff>
      <xdr:row>95</xdr:row>
      <xdr:rowOff>104775</xdr:rowOff>
    </xdr:to>
    <xdr:sp macro="" textlink="">
      <xdr:nvSpPr>
        <xdr:cNvPr id="104" name="Line 131"/>
        <xdr:cNvSpPr>
          <a:spLocks noChangeShapeType="1"/>
        </xdr:cNvSpPr>
      </xdr:nvSpPr>
      <xdr:spPr bwMode="auto">
        <a:xfrm flipH="1">
          <a:off x="1447800" y="1673542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95</xdr:row>
      <xdr:rowOff>0</xdr:rowOff>
    </xdr:from>
    <xdr:to>
      <xdr:col>2</xdr:col>
      <xdr:colOff>514350</xdr:colOff>
      <xdr:row>95</xdr:row>
      <xdr:rowOff>123825</xdr:rowOff>
    </xdr:to>
    <xdr:sp macro="" textlink="">
      <xdr:nvSpPr>
        <xdr:cNvPr id="105" name="Line 132"/>
        <xdr:cNvSpPr>
          <a:spLocks noChangeShapeType="1"/>
        </xdr:cNvSpPr>
      </xdr:nvSpPr>
      <xdr:spPr bwMode="auto">
        <a:xfrm>
          <a:off x="1609725" y="1672590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95</xdr:row>
      <xdr:rowOff>0</xdr:rowOff>
    </xdr:from>
    <xdr:to>
      <xdr:col>2</xdr:col>
      <xdr:colOff>514350</xdr:colOff>
      <xdr:row>95</xdr:row>
      <xdr:rowOff>114300</xdr:rowOff>
    </xdr:to>
    <xdr:sp macro="" textlink="">
      <xdr:nvSpPr>
        <xdr:cNvPr id="106" name="Line 133"/>
        <xdr:cNvSpPr>
          <a:spLocks noChangeShapeType="1"/>
        </xdr:cNvSpPr>
      </xdr:nvSpPr>
      <xdr:spPr bwMode="auto">
        <a:xfrm flipV="1">
          <a:off x="1590675" y="1672590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657225</xdr:colOff>
      <xdr:row>95</xdr:row>
      <xdr:rowOff>38100</xdr:rowOff>
    </xdr:from>
    <xdr:to>
      <xdr:col>2</xdr:col>
      <xdr:colOff>771525</xdr:colOff>
      <xdr:row>96</xdr:row>
      <xdr:rowOff>0</xdr:rowOff>
    </xdr:to>
    <xdr:sp macro="" textlink="">
      <xdr:nvSpPr>
        <xdr:cNvPr id="107" name="Line 134"/>
        <xdr:cNvSpPr>
          <a:spLocks noChangeShapeType="1"/>
        </xdr:cNvSpPr>
      </xdr:nvSpPr>
      <xdr:spPr bwMode="auto">
        <a:xfrm>
          <a:off x="1876425" y="16764000"/>
          <a:ext cx="857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95</xdr:row>
      <xdr:rowOff>9525</xdr:rowOff>
    </xdr:from>
    <xdr:to>
      <xdr:col>3</xdr:col>
      <xdr:colOff>381000</xdr:colOff>
      <xdr:row>95</xdr:row>
      <xdr:rowOff>104775</xdr:rowOff>
    </xdr:to>
    <xdr:sp macro="" textlink="">
      <xdr:nvSpPr>
        <xdr:cNvPr id="108" name="Line 135"/>
        <xdr:cNvSpPr>
          <a:spLocks noChangeShapeType="1"/>
        </xdr:cNvSpPr>
      </xdr:nvSpPr>
      <xdr:spPr bwMode="auto">
        <a:xfrm flipH="1">
          <a:off x="2190750" y="1673542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95</xdr:row>
      <xdr:rowOff>0</xdr:rowOff>
    </xdr:from>
    <xdr:to>
      <xdr:col>3</xdr:col>
      <xdr:colOff>514350</xdr:colOff>
      <xdr:row>95</xdr:row>
      <xdr:rowOff>123825</xdr:rowOff>
    </xdr:to>
    <xdr:sp macro="" textlink="">
      <xdr:nvSpPr>
        <xdr:cNvPr id="109" name="Line 136"/>
        <xdr:cNvSpPr>
          <a:spLocks noChangeShapeType="1"/>
        </xdr:cNvSpPr>
      </xdr:nvSpPr>
      <xdr:spPr bwMode="auto">
        <a:xfrm>
          <a:off x="2352675" y="1672590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95</xdr:row>
      <xdr:rowOff>0</xdr:rowOff>
    </xdr:from>
    <xdr:to>
      <xdr:col>3</xdr:col>
      <xdr:colOff>514350</xdr:colOff>
      <xdr:row>95</xdr:row>
      <xdr:rowOff>114300</xdr:rowOff>
    </xdr:to>
    <xdr:sp macro="" textlink="">
      <xdr:nvSpPr>
        <xdr:cNvPr id="110" name="Line 137"/>
        <xdr:cNvSpPr>
          <a:spLocks noChangeShapeType="1"/>
        </xdr:cNvSpPr>
      </xdr:nvSpPr>
      <xdr:spPr bwMode="auto">
        <a:xfrm flipV="1">
          <a:off x="2333625" y="1672590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95</xdr:row>
      <xdr:rowOff>9525</xdr:rowOff>
    </xdr:from>
    <xdr:to>
      <xdr:col>3</xdr:col>
      <xdr:colOff>381000</xdr:colOff>
      <xdr:row>95</xdr:row>
      <xdr:rowOff>104775</xdr:rowOff>
    </xdr:to>
    <xdr:sp macro="" textlink="">
      <xdr:nvSpPr>
        <xdr:cNvPr id="111" name="Line 139"/>
        <xdr:cNvSpPr>
          <a:spLocks noChangeShapeType="1"/>
        </xdr:cNvSpPr>
      </xdr:nvSpPr>
      <xdr:spPr bwMode="auto">
        <a:xfrm flipH="1">
          <a:off x="2190750" y="1673542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95</xdr:row>
      <xdr:rowOff>0</xdr:rowOff>
    </xdr:from>
    <xdr:to>
      <xdr:col>3</xdr:col>
      <xdr:colOff>514350</xdr:colOff>
      <xdr:row>95</xdr:row>
      <xdr:rowOff>123825</xdr:rowOff>
    </xdr:to>
    <xdr:sp macro="" textlink="">
      <xdr:nvSpPr>
        <xdr:cNvPr id="112" name="Line 140"/>
        <xdr:cNvSpPr>
          <a:spLocks noChangeShapeType="1"/>
        </xdr:cNvSpPr>
      </xdr:nvSpPr>
      <xdr:spPr bwMode="auto">
        <a:xfrm>
          <a:off x="2352675" y="1672590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95</xdr:row>
      <xdr:rowOff>0</xdr:rowOff>
    </xdr:from>
    <xdr:to>
      <xdr:col>3</xdr:col>
      <xdr:colOff>514350</xdr:colOff>
      <xdr:row>95</xdr:row>
      <xdr:rowOff>114300</xdr:rowOff>
    </xdr:to>
    <xdr:sp macro="" textlink="">
      <xdr:nvSpPr>
        <xdr:cNvPr id="113" name="Line 141"/>
        <xdr:cNvSpPr>
          <a:spLocks noChangeShapeType="1"/>
        </xdr:cNvSpPr>
      </xdr:nvSpPr>
      <xdr:spPr bwMode="auto">
        <a:xfrm flipV="1">
          <a:off x="2333625" y="1672590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95</xdr:row>
      <xdr:rowOff>38100</xdr:rowOff>
    </xdr:from>
    <xdr:to>
      <xdr:col>3</xdr:col>
      <xdr:colOff>809625</xdr:colOff>
      <xdr:row>96</xdr:row>
      <xdr:rowOff>0</xdr:rowOff>
    </xdr:to>
    <xdr:sp macro="" textlink="">
      <xdr:nvSpPr>
        <xdr:cNvPr id="114" name="Line 142"/>
        <xdr:cNvSpPr>
          <a:spLocks noChangeShapeType="1"/>
        </xdr:cNvSpPr>
      </xdr:nvSpPr>
      <xdr:spPr bwMode="auto">
        <a:xfrm>
          <a:off x="2428875" y="16764000"/>
          <a:ext cx="857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95</xdr:row>
      <xdr:rowOff>0</xdr:rowOff>
    </xdr:from>
    <xdr:to>
      <xdr:col>5</xdr:col>
      <xdr:colOff>0</xdr:colOff>
      <xdr:row>95</xdr:row>
      <xdr:rowOff>0</xdr:rowOff>
    </xdr:to>
    <xdr:sp macro="" textlink="">
      <xdr:nvSpPr>
        <xdr:cNvPr id="115" name="Line 143"/>
        <xdr:cNvSpPr>
          <a:spLocks noChangeShapeType="1"/>
        </xdr:cNvSpPr>
      </xdr:nvSpPr>
      <xdr:spPr bwMode="auto">
        <a:xfrm>
          <a:off x="2886075" y="16725900"/>
          <a:ext cx="4000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94</xdr:row>
      <xdr:rowOff>0</xdr:rowOff>
    </xdr:from>
    <xdr:to>
      <xdr:col>4</xdr:col>
      <xdr:colOff>371475</xdr:colOff>
      <xdr:row>94</xdr:row>
      <xdr:rowOff>85725</xdr:rowOff>
    </xdr:to>
    <xdr:sp macro="" textlink="">
      <xdr:nvSpPr>
        <xdr:cNvPr id="116" name="Line 144"/>
        <xdr:cNvSpPr>
          <a:spLocks noChangeShapeType="1"/>
        </xdr:cNvSpPr>
      </xdr:nvSpPr>
      <xdr:spPr bwMode="auto">
        <a:xfrm>
          <a:off x="2886075" y="165639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93</xdr:row>
      <xdr:rowOff>152400</xdr:rowOff>
    </xdr:from>
    <xdr:to>
      <xdr:col>5</xdr:col>
      <xdr:colOff>0</xdr:colOff>
      <xdr:row>94</xdr:row>
      <xdr:rowOff>85725</xdr:rowOff>
    </xdr:to>
    <xdr:sp macro="" textlink="">
      <xdr:nvSpPr>
        <xdr:cNvPr id="117" name="Line 145"/>
        <xdr:cNvSpPr>
          <a:spLocks noChangeShapeType="1"/>
        </xdr:cNvSpPr>
      </xdr:nvSpPr>
      <xdr:spPr bwMode="auto">
        <a:xfrm>
          <a:off x="3286125" y="165544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94</xdr:row>
      <xdr:rowOff>47625</xdr:rowOff>
    </xdr:from>
    <xdr:to>
      <xdr:col>5</xdr:col>
      <xdr:colOff>0</xdr:colOff>
      <xdr:row>94</xdr:row>
      <xdr:rowOff>47625</xdr:rowOff>
    </xdr:to>
    <xdr:sp macro="" textlink="">
      <xdr:nvSpPr>
        <xdr:cNvPr id="118" name="Line 146"/>
        <xdr:cNvSpPr>
          <a:spLocks noChangeShapeType="1"/>
        </xdr:cNvSpPr>
      </xdr:nvSpPr>
      <xdr:spPr bwMode="auto">
        <a:xfrm>
          <a:off x="2876550" y="16611600"/>
          <a:ext cx="40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133350</xdr:colOff>
      <xdr:row>113</xdr:row>
      <xdr:rowOff>152400</xdr:rowOff>
    </xdr:from>
    <xdr:to>
      <xdr:col>1</xdr:col>
      <xdr:colOff>600075</xdr:colOff>
      <xdr:row>113</xdr:row>
      <xdr:rowOff>152400</xdr:rowOff>
    </xdr:to>
    <xdr:sp macro="" textlink="">
      <xdr:nvSpPr>
        <xdr:cNvPr id="119" name="Line 148"/>
        <xdr:cNvSpPr>
          <a:spLocks noChangeShapeType="1"/>
        </xdr:cNvSpPr>
      </xdr:nvSpPr>
      <xdr:spPr bwMode="auto">
        <a:xfrm>
          <a:off x="742950" y="1979295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514350</xdr:colOff>
      <xdr:row>101</xdr:row>
      <xdr:rowOff>152400</xdr:rowOff>
    </xdr:from>
    <xdr:to>
      <xdr:col>1</xdr:col>
      <xdr:colOff>600075</xdr:colOff>
      <xdr:row>101</xdr:row>
      <xdr:rowOff>152400</xdr:rowOff>
    </xdr:to>
    <xdr:sp macro="" textlink="">
      <xdr:nvSpPr>
        <xdr:cNvPr id="121" name="Line 155"/>
        <xdr:cNvSpPr>
          <a:spLocks noChangeShapeType="1"/>
        </xdr:cNvSpPr>
      </xdr:nvSpPr>
      <xdr:spPr bwMode="auto">
        <a:xfrm>
          <a:off x="1123950" y="1784985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</xdr:col>
      <xdr:colOff>0</xdr:colOff>
      <xdr:row>125</xdr:row>
      <xdr:rowOff>0</xdr:rowOff>
    </xdr:from>
    <xdr:to>
      <xdr:col>5</xdr:col>
      <xdr:colOff>495300</xdr:colOff>
      <xdr:row>125</xdr:row>
      <xdr:rowOff>0</xdr:rowOff>
    </xdr:to>
    <xdr:sp macro="" textlink="">
      <xdr:nvSpPr>
        <xdr:cNvPr id="122" name="Line 156"/>
        <xdr:cNvSpPr>
          <a:spLocks noChangeShapeType="1"/>
        </xdr:cNvSpPr>
      </xdr:nvSpPr>
      <xdr:spPr bwMode="auto">
        <a:xfrm>
          <a:off x="1219200" y="21583650"/>
          <a:ext cx="2562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124</xdr:row>
      <xdr:rowOff>66675</xdr:rowOff>
    </xdr:from>
    <xdr:to>
      <xdr:col>2</xdr:col>
      <xdr:colOff>0</xdr:colOff>
      <xdr:row>125</xdr:row>
      <xdr:rowOff>85725</xdr:rowOff>
    </xdr:to>
    <xdr:sp macro="" textlink="">
      <xdr:nvSpPr>
        <xdr:cNvPr id="123" name="Line 160"/>
        <xdr:cNvSpPr>
          <a:spLocks noChangeShapeType="1"/>
        </xdr:cNvSpPr>
      </xdr:nvSpPr>
      <xdr:spPr bwMode="auto">
        <a:xfrm>
          <a:off x="1219200" y="2148840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124</xdr:row>
      <xdr:rowOff>95250</xdr:rowOff>
    </xdr:from>
    <xdr:to>
      <xdr:col>5</xdr:col>
      <xdr:colOff>514350</xdr:colOff>
      <xdr:row>125</xdr:row>
      <xdr:rowOff>47625</xdr:rowOff>
    </xdr:to>
    <xdr:sp macro="" textlink="">
      <xdr:nvSpPr>
        <xdr:cNvPr id="124" name="Line 161"/>
        <xdr:cNvSpPr>
          <a:spLocks noChangeShapeType="1"/>
        </xdr:cNvSpPr>
      </xdr:nvSpPr>
      <xdr:spPr bwMode="auto">
        <a:xfrm>
          <a:off x="3800475" y="215169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95</xdr:row>
      <xdr:rowOff>0</xdr:rowOff>
    </xdr:from>
    <xdr:to>
      <xdr:col>5</xdr:col>
      <xdr:colOff>0</xdr:colOff>
      <xdr:row>111</xdr:row>
      <xdr:rowOff>9525</xdr:rowOff>
    </xdr:to>
    <xdr:sp macro="" textlink="">
      <xdr:nvSpPr>
        <xdr:cNvPr id="125" name="Line 163"/>
        <xdr:cNvSpPr>
          <a:spLocks noChangeShapeType="1"/>
        </xdr:cNvSpPr>
      </xdr:nvSpPr>
      <xdr:spPr bwMode="auto">
        <a:xfrm>
          <a:off x="3286125" y="16725900"/>
          <a:ext cx="0" cy="2600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111</xdr:row>
      <xdr:rowOff>0</xdr:rowOff>
    </xdr:from>
    <xdr:to>
      <xdr:col>5</xdr:col>
      <xdr:colOff>476250</xdr:colOff>
      <xdr:row>111</xdr:row>
      <xdr:rowOff>0</xdr:rowOff>
    </xdr:to>
    <xdr:sp macro="" textlink="">
      <xdr:nvSpPr>
        <xdr:cNvPr id="126" name="Line 164"/>
        <xdr:cNvSpPr>
          <a:spLocks noChangeShapeType="1"/>
        </xdr:cNvSpPr>
      </xdr:nvSpPr>
      <xdr:spPr bwMode="auto">
        <a:xfrm>
          <a:off x="3286125" y="19316700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111</xdr:row>
      <xdr:rowOff>9525</xdr:rowOff>
    </xdr:from>
    <xdr:to>
      <xdr:col>5</xdr:col>
      <xdr:colOff>476250</xdr:colOff>
      <xdr:row>114</xdr:row>
      <xdr:rowOff>0</xdr:rowOff>
    </xdr:to>
    <xdr:sp macro="" textlink="">
      <xdr:nvSpPr>
        <xdr:cNvPr id="127" name="Line 165"/>
        <xdr:cNvSpPr>
          <a:spLocks noChangeShapeType="1"/>
        </xdr:cNvSpPr>
      </xdr:nvSpPr>
      <xdr:spPr bwMode="auto">
        <a:xfrm>
          <a:off x="3762375" y="19326225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113</xdr:row>
      <xdr:rowOff>152400</xdr:rowOff>
    </xdr:from>
    <xdr:to>
      <xdr:col>5</xdr:col>
      <xdr:colOff>161925</xdr:colOff>
      <xdr:row>114</xdr:row>
      <xdr:rowOff>0</xdr:rowOff>
    </xdr:to>
    <xdr:sp macro="" textlink="">
      <xdr:nvSpPr>
        <xdr:cNvPr id="128" name="Line 166"/>
        <xdr:cNvSpPr>
          <a:spLocks noChangeShapeType="1"/>
        </xdr:cNvSpPr>
      </xdr:nvSpPr>
      <xdr:spPr bwMode="auto">
        <a:xfrm flipH="1" flipV="1">
          <a:off x="1209675" y="19792950"/>
          <a:ext cx="22383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110</xdr:row>
      <xdr:rowOff>152400</xdr:rowOff>
    </xdr:from>
    <xdr:to>
      <xdr:col>2</xdr:col>
      <xdr:colOff>0</xdr:colOff>
      <xdr:row>113</xdr:row>
      <xdr:rowOff>152400</xdr:rowOff>
    </xdr:to>
    <xdr:sp macro="" textlink="">
      <xdr:nvSpPr>
        <xdr:cNvPr id="129" name="Line 167"/>
        <xdr:cNvSpPr>
          <a:spLocks noChangeShapeType="1"/>
        </xdr:cNvSpPr>
      </xdr:nvSpPr>
      <xdr:spPr bwMode="auto">
        <a:xfrm flipV="1">
          <a:off x="1219200" y="19307175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111</xdr:row>
      <xdr:rowOff>0</xdr:rowOff>
    </xdr:from>
    <xdr:to>
      <xdr:col>4</xdr:col>
      <xdr:colOff>0</xdr:colOff>
      <xdr:row>111</xdr:row>
      <xdr:rowOff>0</xdr:rowOff>
    </xdr:to>
    <xdr:sp macro="" textlink="">
      <xdr:nvSpPr>
        <xdr:cNvPr id="130" name="Line 168"/>
        <xdr:cNvSpPr>
          <a:spLocks noChangeShapeType="1"/>
        </xdr:cNvSpPr>
      </xdr:nvSpPr>
      <xdr:spPr bwMode="auto">
        <a:xfrm>
          <a:off x="1209675" y="19316700"/>
          <a:ext cx="13049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95</xdr:row>
      <xdr:rowOff>0</xdr:rowOff>
    </xdr:from>
    <xdr:to>
      <xdr:col>4</xdr:col>
      <xdr:colOff>381000</xdr:colOff>
      <xdr:row>111</xdr:row>
      <xdr:rowOff>0</xdr:rowOff>
    </xdr:to>
    <xdr:sp macro="" textlink="">
      <xdr:nvSpPr>
        <xdr:cNvPr id="131" name="Line 169"/>
        <xdr:cNvSpPr>
          <a:spLocks noChangeShapeType="1"/>
        </xdr:cNvSpPr>
      </xdr:nvSpPr>
      <xdr:spPr bwMode="auto">
        <a:xfrm flipV="1">
          <a:off x="2524125" y="16725900"/>
          <a:ext cx="371475" cy="25908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114</xdr:row>
      <xdr:rowOff>0</xdr:rowOff>
    </xdr:from>
    <xdr:to>
      <xdr:col>5</xdr:col>
      <xdr:colOff>476250</xdr:colOff>
      <xdr:row>115</xdr:row>
      <xdr:rowOff>0</xdr:rowOff>
    </xdr:to>
    <xdr:sp macro="" textlink="">
      <xdr:nvSpPr>
        <xdr:cNvPr id="132" name="Line 170"/>
        <xdr:cNvSpPr>
          <a:spLocks noChangeShapeType="1"/>
        </xdr:cNvSpPr>
      </xdr:nvSpPr>
      <xdr:spPr bwMode="auto">
        <a:xfrm>
          <a:off x="3762375" y="19802475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115</xdr:row>
      <xdr:rowOff>9525</xdr:rowOff>
    </xdr:from>
    <xdr:to>
      <xdr:col>5</xdr:col>
      <xdr:colOff>476250</xdr:colOff>
      <xdr:row>115</xdr:row>
      <xdr:rowOff>9525</xdr:rowOff>
    </xdr:to>
    <xdr:sp macro="" textlink="">
      <xdr:nvSpPr>
        <xdr:cNvPr id="133" name="Line 171"/>
        <xdr:cNvSpPr>
          <a:spLocks noChangeShapeType="1"/>
        </xdr:cNvSpPr>
      </xdr:nvSpPr>
      <xdr:spPr bwMode="auto">
        <a:xfrm flipH="1">
          <a:off x="3629025" y="19973925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113</xdr:row>
      <xdr:rowOff>152400</xdr:rowOff>
    </xdr:from>
    <xdr:to>
      <xdr:col>5</xdr:col>
      <xdr:colOff>352425</xdr:colOff>
      <xdr:row>115</xdr:row>
      <xdr:rowOff>19050</xdr:rowOff>
    </xdr:to>
    <xdr:sp macro="" textlink="">
      <xdr:nvSpPr>
        <xdr:cNvPr id="134" name="Line 172"/>
        <xdr:cNvSpPr>
          <a:spLocks noChangeShapeType="1"/>
        </xdr:cNvSpPr>
      </xdr:nvSpPr>
      <xdr:spPr bwMode="auto">
        <a:xfrm flipH="1" flipV="1">
          <a:off x="3448050" y="19792950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115</xdr:row>
      <xdr:rowOff>76200</xdr:rowOff>
    </xdr:from>
    <xdr:to>
      <xdr:col>5</xdr:col>
      <xdr:colOff>485775</xdr:colOff>
      <xdr:row>116</xdr:row>
      <xdr:rowOff>28575</xdr:rowOff>
    </xdr:to>
    <xdr:sp macro="" textlink="">
      <xdr:nvSpPr>
        <xdr:cNvPr id="135" name="Line 180"/>
        <xdr:cNvSpPr>
          <a:spLocks noChangeShapeType="1"/>
        </xdr:cNvSpPr>
      </xdr:nvSpPr>
      <xdr:spPr bwMode="auto">
        <a:xfrm>
          <a:off x="3771900" y="2004060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116</xdr:row>
      <xdr:rowOff>0</xdr:rowOff>
    </xdr:from>
    <xdr:to>
      <xdr:col>5</xdr:col>
      <xdr:colOff>485775</xdr:colOff>
      <xdr:row>116</xdr:row>
      <xdr:rowOff>0</xdr:rowOff>
    </xdr:to>
    <xdr:sp macro="" textlink="">
      <xdr:nvSpPr>
        <xdr:cNvPr id="136" name="Line 182"/>
        <xdr:cNvSpPr>
          <a:spLocks noChangeShapeType="1"/>
        </xdr:cNvSpPr>
      </xdr:nvSpPr>
      <xdr:spPr bwMode="auto">
        <a:xfrm>
          <a:off x="3638550" y="2012632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115</xdr:row>
      <xdr:rowOff>114300</xdr:rowOff>
    </xdr:from>
    <xdr:to>
      <xdr:col>5</xdr:col>
      <xdr:colOff>180975</xdr:colOff>
      <xdr:row>116</xdr:row>
      <xdr:rowOff>28575</xdr:rowOff>
    </xdr:to>
    <xdr:sp macro="" textlink="">
      <xdr:nvSpPr>
        <xdr:cNvPr id="137" name="Line 183"/>
        <xdr:cNvSpPr>
          <a:spLocks noChangeShapeType="1"/>
        </xdr:cNvSpPr>
      </xdr:nvSpPr>
      <xdr:spPr bwMode="auto">
        <a:xfrm>
          <a:off x="3467100" y="2007870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116</xdr:row>
      <xdr:rowOff>0</xdr:rowOff>
    </xdr:from>
    <xdr:to>
      <xdr:col>5</xdr:col>
      <xdr:colOff>352425</xdr:colOff>
      <xdr:row>116</xdr:row>
      <xdr:rowOff>0</xdr:rowOff>
    </xdr:to>
    <xdr:sp macro="" textlink="">
      <xdr:nvSpPr>
        <xdr:cNvPr id="138" name="Line 184"/>
        <xdr:cNvSpPr>
          <a:spLocks noChangeShapeType="1"/>
        </xdr:cNvSpPr>
      </xdr:nvSpPr>
      <xdr:spPr bwMode="auto">
        <a:xfrm>
          <a:off x="3467100" y="2012632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116</xdr:row>
      <xdr:rowOff>19050</xdr:rowOff>
    </xdr:from>
    <xdr:to>
      <xdr:col>5</xdr:col>
      <xdr:colOff>428625</xdr:colOff>
      <xdr:row>116</xdr:row>
      <xdr:rowOff>104775</xdr:rowOff>
    </xdr:to>
    <xdr:sp macro="" textlink="">
      <xdr:nvSpPr>
        <xdr:cNvPr id="139" name="Line 185"/>
        <xdr:cNvSpPr>
          <a:spLocks noChangeShapeType="1"/>
        </xdr:cNvSpPr>
      </xdr:nvSpPr>
      <xdr:spPr bwMode="auto">
        <a:xfrm flipV="1">
          <a:off x="3714750" y="201453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116</xdr:row>
      <xdr:rowOff>104775</xdr:rowOff>
    </xdr:from>
    <xdr:to>
      <xdr:col>6</xdr:col>
      <xdr:colOff>76200</xdr:colOff>
      <xdr:row>116</xdr:row>
      <xdr:rowOff>104775</xdr:rowOff>
    </xdr:to>
    <xdr:sp macro="" textlink="">
      <xdr:nvSpPr>
        <xdr:cNvPr id="140" name="Line 186"/>
        <xdr:cNvSpPr>
          <a:spLocks noChangeShapeType="1"/>
        </xdr:cNvSpPr>
      </xdr:nvSpPr>
      <xdr:spPr bwMode="auto">
        <a:xfrm>
          <a:off x="3733800" y="2023110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116</xdr:row>
      <xdr:rowOff>0</xdr:rowOff>
    </xdr:from>
    <xdr:to>
      <xdr:col>5</xdr:col>
      <xdr:colOff>285750</xdr:colOff>
      <xdr:row>117</xdr:row>
      <xdr:rowOff>57150</xdr:rowOff>
    </xdr:to>
    <xdr:sp macro="" textlink="">
      <xdr:nvSpPr>
        <xdr:cNvPr id="141" name="Line 187"/>
        <xdr:cNvSpPr>
          <a:spLocks noChangeShapeType="1"/>
        </xdr:cNvSpPr>
      </xdr:nvSpPr>
      <xdr:spPr bwMode="auto">
        <a:xfrm flipV="1">
          <a:off x="3571875" y="20126325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117</xdr:row>
      <xdr:rowOff>47625</xdr:rowOff>
    </xdr:from>
    <xdr:to>
      <xdr:col>6</xdr:col>
      <xdr:colOff>76200</xdr:colOff>
      <xdr:row>117</xdr:row>
      <xdr:rowOff>47625</xdr:rowOff>
    </xdr:to>
    <xdr:sp macro="" textlink="">
      <xdr:nvSpPr>
        <xdr:cNvPr id="142" name="Line 188"/>
        <xdr:cNvSpPr>
          <a:spLocks noChangeShapeType="1"/>
        </xdr:cNvSpPr>
      </xdr:nvSpPr>
      <xdr:spPr bwMode="auto">
        <a:xfrm>
          <a:off x="3571875" y="20335875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122</xdr:row>
      <xdr:rowOff>152400</xdr:rowOff>
    </xdr:from>
    <xdr:to>
      <xdr:col>5</xdr:col>
      <xdr:colOff>504825</xdr:colOff>
      <xdr:row>123</xdr:row>
      <xdr:rowOff>0</xdr:rowOff>
    </xdr:to>
    <xdr:sp macro="" textlink="">
      <xdr:nvSpPr>
        <xdr:cNvPr id="143" name="Line 189"/>
        <xdr:cNvSpPr>
          <a:spLocks noChangeShapeType="1"/>
        </xdr:cNvSpPr>
      </xdr:nvSpPr>
      <xdr:spPr bwMode="auto">
        <a:xfrm flipH="1">
          <a:off x="3286125" y="21250275"/>
          <a:ext cx="5048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0</xdr:colOff>
      <xdr:row>123</xdr:row>
      <xdr:rowOff>9525</xdr:rowOff>
    </xdr:from>
    <xdr:to>
      <xdr:col>5</xdr:col>
      <xdr:colOff>0</xdr:colOff>
      <xdr:row>123</xdr:row>
      <xdr:rowOff>9525</xdr:rowOff>
    </xdr:to>
    <xdr:sp macro="" textlink="">
      <xdr:nvSpPr>
        <xdr:cNvPr id="144" name="Line 190"/>
        <xdr:cNvSpPr>
          <a:spLocks noChangeShapeType="1"/>
        </xdr:cNvSpPr>
      </xdr:nvSpPr>
      <xdr:spPr bwMode="auto">
        <a:xfrm flipH="1">
          <a:off x="2514600" y="212693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600075</xdr:colOff>
      <xdr:row>123</xdr:row>
      <xdr:rowOff>9525</xdr:rowOff>
    </xdr:from>
    <xdr:to>
      <xdr:col>4</xdr:col>
      <xdr:colOff>19050</xdr:colOff>
      <xdr:row>123</xdr:row>
      <xdr:rowOff>9525</xdr:rowOff>
    </xdr:to>
    <xdr:sp macro="" textlink="">
      <xdr:nvSpPr>
        <xdr:cNvPr id="145" name="Line 191"/>
        <xdr:cNvSpPr>
          <a:spLocks noChangeShapeType="1"/>
        </xdr:cNvSpPr>
      </xdr:nvSpPr>
      <xdr:spPr bwMode="auto">
        <a:xfrm flipH="1">
          <a:off x="1209675" y="21269325"/>
          <a:ext cx="1323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122</xdr:row>
      <xdr:rowOff>104775</xdr:rowOff>
    </xdr:from>
    <xdr:to>
      <xdr:col>2</xdr:col>
      <xdr:colOff>0</xdr:colOff>
      <xdr:row>123</xdr:row>
      <xdr:rowOff>95250</xdr:rowOff>
    </xdr:to>
    <xdr:sp macro="" textlink="">
      <xdr:nvSpPr>
        <xdr:cNvPr id="146" name="Line 192"/>
        <xdr:cNvSpPr>
          <a:spLocks noChangeShapeType="1"/>
        </xdr:cNvSpPr>
      </xdr:nvSpPr>
      <xdr:spPr bwMode="auto">
        <a:xfrm>
          <a:off x="1219200" y="212026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122</xdr:row>
      <xdr:rowOff>104775</xdr:rowOff>
    </xdr:from>
    <xdr:to>
      <xdr:col>4</xdr:col>
      <xdr:colOff>0</xdr:colOff>
      <xdr:row>123</xdr:row>
      <xdr:rowOff>47625</xdr:rowOff>
    </xdr:to>
    <xdr:sp macro="" textlink="">
      <xdr:nvSpPr>
        <xdr:cNvPr id="147" name="Line 193"/>
        <xdr:cNvSpPr>
          <a:spLocks noChangeShapeType="1"/>
        </xdr:cNvSpPr>
      </xdr:nvSpPr>
      <xdr:spPr bwMode="auto">
        <a:xfrm>
          <a:off x="2514600" y="2120265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122</xdr:row>
      <xdr:rowOff>104775</xdr:rowOff>
    </xdr:from>
    <xdr:to>
      <xdr:col>5</xdr:col>
      <xdr:colOff>0</xdr:colOff>
      <xdr:row>123</xdr:row>
      <xdr:rowOff>38100</xdr:rowOff>
    </xdr:to>
    <xdr:sp macro="" textlink="">
      <xdr:nvSpPr>
        <xdr:cNvPr id="148" name="Line 194"/>
        <xdr:cNvSpPr>
          <a:spLocks noChangeShapeType="1"/>
        </xdr:cNvSpPr>
      </xdr:nvSpPr>
      <xdr:spPr bwMode="auto">
        <a:xfrm>
          <a:off x="3286125" y="212026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122</xdr:row>
      <xdr:rowOff>123825</xdr:rowOff>
    </xdr:from>
    <xdr:to>
      <xdr:col>5</xdr:col>
      <xdr:colOff>514350</xdr:colOff>
      <xdr:row>123</xdr:row>
      <xdr:rowOff>57150</xdr:rowOff>
    </xdr:to>
    <xdr:sp macro="" textlink="">
      <xdr:nvSpPr>
        <xdr:cNvPr id="149" name="Line 195"/>
        <xdr:cNvSpPr>
          <a:spLocks noChangeShapeType="1"/>
        </xdr:cNvSpPr>
      </xdr:nvSpPr>
      <xdr:spPr bwMode="auto">
        <a:xfrm>
          <a:off x="3800475" y="212217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103</xdr:row>
      <xdr:rowOff>142875</xdr:rowOff>
    </xdr:from>
    <xdr:to>
      <xdr:col>4</xdr:col>
      <xdr:colOff>0</xdr:colOff>
      <xdr:row>111</xdr:row>
      <xdr:rowOff>0</xdr:rowOff>
    </xdr:to>
    <xdr:sp macro="" textlink="">
      <xdr:nvSpPr>
        <xdr:cNvPr id="150" name="Line 196"/>
        <xdr:cNvSpPr>
          <a:spLocks noChangeShapeType="1"/>
        </xdr:cNvSpPr>
      </xdr:nvSpPr>
      <xdr:spPr bwMode="auto">
        <a:xfrm>
          <a:off x="2514600" y="18164175"/>
          <a:ext cx="0" cy="115252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381000</xdr:colOff>
      <xdr:row>95</xdr:row>
      <xdr:rowOff>0</xdr:rowOff>
    </xdr:from>
    <xdr:to>
      <xdr:col>4</xdr:col>
      <xdr:colOff>381000</xdr:colOff>
      <xdr:row>111</xdr:row>
      <xdr:rowOff>0</xdr:rowOff>
    </xdr:to>
    <xdr:sp macro="" textlink="">
      <xdr:nvSpPr>
        <xdr:cNvPr id="151" name="Line 197"/>
        <xdr:cNvSpPr>
          <a:spLocks noChangeShapeType="1"/>
        </xdr:cNvSpPr>
      </xdr:nvSpPr>
      <xdr:spPr bwMode="auto">
        <a:xfrm>
          <a:off x="2895600" y="16725900"/>
          <a:ext cx="0" cy="259080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28575</xdr:colOff>
      <xdr:row>111</xdr:row>
      <xdr:rowOff>0</xdr:rowOff>
    </xdr:from>
    <xdr:to>
      <xdr:col>5</xdr:col>
      <xdr:colOff>0</xdr:colOff>
      <xdr:row>111</xdr:row>
      <xdr:rowOff>0</xdr:rowOff>
    </xdr:to>
    <xdr:sp macro="" textlink="">
      <xdr:nvSpPr>
        <xdr:cNvPr id="152" name="Line 198"/>
        <xdr:cNvSpPr>
          <a:spLocks noChangeShapeType="1"/>
        </xdr:cNvSpPr>
      </xdr:nvSpPr>
      <xdr:spPr bwMode="auto">
        <a:xfrm>
          <a:off x="2543175" y="19316700"/>
          <a:ext cx="74295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171450</xdr:colOff>
      <xdr:row>113</xdr:row>
      <xdr:rowOff>152400</xdr:rowOff>
    </xdr:from>
    <xdr:to>
      <xdr:col>5</xdr:col>
      <xdr:colOff>476250</xdr:colOff>
      <xdr:row>114</xdr:row>
      <xdr:rowOff>0</xdr:rowOff>
    </xdr:to>
    <xdr:sp macro="" textlink="">
      <xdr:nvSpPr>
        <xdr:cNvPr id="153" name="Line 200"/>
        <xdr:cNvSpPr>
          <a:spLocks noChangeShapeType="1"/>
        </xdr:cNvSpPr>
      </xdr:nvSpPr>
      <xdr:spPr bwMode="auto">
        <a:xfrm>
          <a:off x="3457575" y="19792950"/>
          <a:ext cx="30480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114</xdr:row>
      <xdr:rowOff>0</xdr:rowOff>
    </xdr:from>
    <xdr:to>
      <xdr:col>5</xdr:col>
      <xdr:colOff>342900</xdr:colOff>
      <xdr:row>115</xdr:row>
      <xdr:rowOff>9525</xdr:rowOff>
    </xdr:to>
    <xdr:sp macro="" textlink="">
      <xdr:nvSpPr>
        <xdr:cNvPr id="154" name="Line 201"/>
        <xdr:cNvSpPr>
          <a:spLocks noChangeShapeType="1"/>
        </xdr:cNvSpPr>
      </xdr:nvSpPr>
      <xdr:spPr bwMode="auto">
        <a:xfrm flipV="1">
          <a:off x="3629025" y="19802475"/>
          <a:ext cx="0" cy="17145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 editAs="oneCell">
    <xdr:from>
      <xdr:col>5</xdr:col>
      <xdr:colOff>314325</xdr:colOff>
      <xdr:row>178</xdr:row>
      <xdr:rowOff>0</xdr:rowOff>
    </xdr:from>
    <xdr:to>
      <xdr:col>5</xdr:col>
      <xdr:colOff>390525</xdr:colOff>
      <xdr:row>178</xdr:row>
      <xdr:rowOff>152400</xdr:rowOff>
    </xdr:to>
    <xdr:sp macro="" textlink="">
      <xdr:nvSpPr>
        <xdr:cNvPr id="155" name="Text Box 202"/>
        <xdr:cNvSpPr txBox="1">
          <a:spLocks noChangeArrowheads="1"/>
        </xdr:cNvSpPr>
      </xdr:nvSpPr>
      <xdr:spPr bwMode="auto">
        <a:xfrm>
          <a:off x="3600450" y="30422850"/>
          <a:ext cx="7620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114</xdr:row>
      <xdr:rowOff>57150</xdr:rowOff>
    </xdr:from>
    <xdr:to>
      <xdr:col>5</xdr:col>
      <xdr:colOff>285750</xdr:colOff>
      <xdr:row>115</xdr:row>
      <xdr:rowOff>66675</xdr:rowOff>
    </xdr:to>
    <xdr:sp macro="" textlink="">
      <xdr:nvSpPr>
        <xdr:cNvPr id="156" name="Line 203"/>
        <xdr:cNvSpPr>
          <a:spLocks noChangeShapeType="1"/>
        </xdr:cNvSpPr>
      </xdr:nvSpPr>
      <xdr:spPr bwMode="auto">
        <a:xfrm flipV="1">
          <a:off x="3286125" y="19859625"/>
          <a:ext cx="2857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419100</xdr:colOff>
      <xdr:row>114</xdr:row>
      <xdr:rowOff>104775</xdr:rowOff>
    </xdr:from>
    <xdr:to>
      <xdr:col>6</xdr:col>
      <xdr:colOff>0</xdr:colOff>
      <xdr:row>115</xdr:row>
      <xdr:rowOff>85725</xdr:rowOff>
    </xdr:to>
    <xdr:sp macro="" textlink="">
      <xdr:nvSpPr>
        <xdr:cNvPr id="157" name="Line 204"/>
        <xdr:cNvSpPr>
          <a:spLocks noChangeShapeType="1"/>
        </xdr:cNvSpPr>
      </xdr:nvSpPr>
      <xdr:spPr bwMode="auto">
        <a:xfrm flipH="1" flipV="1">
          <a:off x="3705225" y="19907250"/>
          <a:ext cx="28575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228600</xdr:colOff>
      <xdr:row>95</xdr:row>
      <xdr:rowOff>9525</xdr:rowOff>
    </xdr:from>
    <xdr:to>
      <xdr:col>2</xdr:col>
      <xdr:colOff>381000</xdr:colOff>
      <xdr:row>95</xdr:row>
      <xdr:rowOff>104775</xdr:rowOff>
    </xdr:to>
    <xdr:sp macro="" textlink="">
      <xdr:nvSpPr>
        <xdr:cNvPr id="158" name="Line 205"/>
        <xdr:cNvSpPr>
          <a:spLocks noChangeShapeType="1"/>
        </xdr:cNvSpPr>
      </xdr:nvSpPr>
      <xdr:spPr bwMode="auto">
        <a:xfrm flipH="1">
          <a:off x="1447800" y="1673542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95</xdr:row>
      <xdr:rowOff>0</xdr:rowOff>
    </xdr:from>
    <xdr:to>
      <xdr:col>2</xdr:col>
      <xdr:colOff>514350</xdr:colOff>
      <xdr:row>95</xdr:row>
      <xdr:rowOff>123825</xdr:rowOff>
    </xdr:to>
    <xdr:sp macro="" textlink="">
      <xdr:nvSpPr>
        <xdr:cNvPr id="159" name="Line 206"/>
        <xdr:cNvSpPr>
          <a:spLocks noChangeShapeType="1"/>
        </xdr:cNvSpPr>
      </xdr:nvSpPr>
      <xdr:spPr bwMode="auto">
        <a:xfrm>
          <a:off x="1609725" y="1672590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95</xdr:row>
      <xdr:rowOff>0</xdr:rowOff>
    </xdr:from>
    <xdr:to>
      <xdr:col>2</xdr:col>
      <xdr:colOff>514350</xdr:colOff>
      <xdr:row>95</xdr:row>
      <xdr:rowOff>114300</xdr:rowOff>
    </xdr:to>
    <xdr:sp macro="" textlink="">
      <xdr:nvSpPr>
        <xdr:cNvPr id="160" name="Line 207"/>
        <xdr:cNvSpPr>
          <a:spLocks noChangeShapeType="1"/>
        </xdr:cNvSpPr>
      </xdr:nvSpPr>
      <xdr:spPr bwMode="auto">
        <a:xfrm flipV="1">
          <a:off x="1590675" y="1672590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581025</xdr:colOff>
      <xdr:row>95</xdr:row>
      <xdr:rowOff>0</xdr:rowOff>
    </xdr:from>
    <xdr:to>
      <xdr:col>3</xdr:col>
      <xdr:colOff>695325</xdr:colOff>
      <xdr:row>95</xdr:row>
      <xdr:rowOff>123825</xdr:rowOff>
    </xdr:to>
    <xdr:sp macro="" textlink="">
      <xdr:nvSpPr>
        <xdr:cNvPr id="161" name="Line 208"/>
        <xdr:cNvSpPr>
          <a:spLocks noChangeShapeType="1"/>
        </xdr:cNvSpPr>
      </xdr:nvSpPr>
      <xdr:spPr bwMode="auto">
        <a:xfrm>
          <a:off x="2514600" y="167259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95</xdr:row>
      <xdr:rowOff>9525</xdr:rowOff>
    </xdr:from>
    <xdr:to>
      <xdr:col>3</xdr:col>
      <xdr:colOff>381000</xdr:colOff>
      <xdr:row>95</xdr:row>
      <xdr:rowOff>104775</xdr:rowOff>
    </xdr:to>
    <xdr:sp macro="" textlink="">
      <xdr:nvSpPr>
        <xdr:cNvPr id="162" name="Line 209"/>
        <xdr:cNvSpPr>
          <a:spLocks noChangeShapeType="1"/>
        </xdr:cNvSpPr>
      </xdr:nvSpPr>
      <xdr:spPr bwMode="auto">
        <a:xfrm flipH="1">
          <a:off x="2190750" y="1673542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95</xdr:row>
      <xdr:rowOff>0</xdr:rowOff>
    </xdr:from>
    <xdr:to>
      <xdr:col>3</xdr:col>
      <xdr:colOff>514350</xdr:colOff>
      <xdr:row>95</xdr:row>
      <xdr:rowOff>123825</xdr:rowOff>
    </xdr:to>
    <xdr:sp macro="" textlink="">
      <xdr:nvSpPr>
        <xdr:cNvPr id="163" name="Line 210"/>
        <xdr:cNvSpPr>
          <a:spLocks noChangeShapeType="1"/>
        </xdr:cNvSpPr>
      </xdr:nvSpPr>
      <xdr:spPr bwMode="auto">
        <a:xfrm>
          <a:off x="2352675" y="1672590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95</xdr:row>
      <xdr:rowOff>0</xdr:rowOff>
    </xdr:from>
    <xdr:to>
      <xdr:col>3</xdr:col>
      <xdr:colOff>514350</xdr:colOff>
      <xdr:row>95</xdr:row>
      <xdr:rowOff>114300</xdr:rowOff>
    </xdr:to>
    <xdr:sp macro="" textlink="">
      <xdr:nvSpPr>
        <xdr:cNvPr id="164" name="Line 211"/>
        <xdr:cNvSpPr>
          <a:spLocks noChangeShapeType="1"/>
        </xdr:cNvSpPr>
      </xdr:nvSpPr>
      <xdr:spPr bwMode="auto">
        <a:xfrm flipV="1">
          <a:off x="2333625" y="1672590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590550</xdr:colOff>
      <xdr:row>95</xdr:row>
      <xdr:rowOff>9525</xdr:rowOff>
    </xdr:from>
    <xdr:to>
      <xdr:col>4</xdr:col>
      <xdr:colOff>95250</xdr:colOff>
      <xdr:row>95</xdr:row>
      <xdr:rowOff>133350</xdr:rowOff>
    </xdr:to>
    <xdr:sp macro="" textlink="">
      <xdr:nvSpPr>
        <xdr:cNvPr id="165" name="Line 212"/>
        <xdr:cNvSpPr>
          <a:spLocks noChangeShapeType="1"/>
        </xdr:cNvSpPr>
      </xdr:nvSpPr>
      <xdr:spPr bwMode="auto">
        <a:xfrm>
          <a:off x="2514600" y="16735425"/>
          <a:ext cx="952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95</xdr:row>
      <xdr:rowOff>9525</xdr:rowOff>
    </xdr:from>
    <xdr:to>
      <xdr:col>3</xdr:col>
      <xdr:colOff>381000</xdr:colOff>
      <xdr:row>95</xdr:row>
      <xdr:rowOff>104775</xdr:rowOff>
    </xdr:to>
    <xdr:sp macro="" textlink="">
      <xdr:nvSpPr>
        <xdr:cNvPr id="166" name="Line 213"/>
        <xdr:cNvSpPr>
          <a:spLocks noChangeShapeType="1"/>
        </xdr:cNvSpPr>
      </xdr:nvSpPr>
      <xdr:spPr bwMode="auto">
        <a:xfrm flipH="1">
          <a:off x="2190750" y="1673542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95</xdr:row>
      <xdr:rowOff>0</xdr:rowOff>
    </xdr:from>
    <xdr:to>
      <xdr:col>3</xdr:col>
      <xdr:colOff>514350</xdr:colOff>
      <xdr:row>95</xdr:row>
      <xdr:rowOff>123825</xdr:rowOff>
    </xdr:to>
    <xdr:sp macro="" textlink="">
      <xdr:nvSpPr>
        <xdr:cNvPr id="167" name="Line 214"/>
        <xdr:cNvSpPr>
          <a:spLocks noChangeShapeType="1"/>
        </xdr:cNvSpPr>
      </xdr:nvSpPr>
      <xdr:spPr bwMode="auto">
        <a:xfrm>
          <a:off x="2352675" y="1672590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95</xdr:row>
      <xdr:rowOff>0</xdr:rowOff>
    </xdr:from>
    <xdr:to>
      <xdr:col>3</xdr:col>
      <xdr:colOff>514350</xdr:colOff>
      <xdr:row>95</xdr:row>
      <xdr:rowOff>114300</xdr:rowOff>
    </xdr:to>
    <xdr:sp macro="" textlink="">
      <xdr:nvSpPr>
        <xdr:cNvPr id="168" name="Line 215"/>
        <xdr:cNvSpPr>
          <a:spLocks noChangeShapeType="1"/>
        </xdr:cNvSpPr>
      </xdr:nvSpPr>
      <xdr:spPr bwMode="auto">
        <a:xfrm flipV="1">
          <a:off x="2333625" y="1672590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95</xdr:row>
      <xdr:rowOff>38100</xdr:rowOff>
    </xdr:from>
    <xdr:to>
      <xdr:col>3</xdr:col>
      <xdr:colOff>809625</xdr:colOff>
      <xdr:row>96</xdr:row>
      <xdr:rowOff>0</xdr:rowOff>
    </xdr:to>
    <xdr:sp macro="" textlink="">
      <xdr:nvSpPr>
        <xdr:cNvPr id="169" name="Line 216"/>
        <xdr:cNvSpPr>
          <a:spLocks noChangeShapeType="1"/>
        </xdr:cNvSpPr>
      </xdr:nvSpPr>
      <xdr:spPr bwMode="auto">
        <a:xfrm>
          <a:off x="2428875" y="16764000"/>
          <a:ext cx="857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95</xdr:row>
      <xdr:rowOff>0</xdr:rowOff>
    </xdr:from>
    <xdr:to>
      <xdr:col>5</xdr:col>
      <xdr:colOff>0</xdr:colOff>
      <xdr:row>95</xdr:row>
      <xdr:rowOff>0</xdr:rowOff>
    </xdr:to>
    <xdr:sp macro="" textlink="">
      <xdr:nvSpPr>
        <xdr:cNvPr id="170" name="Line 217"/>
        <xdr:cNvSpPr>
          <a:spLocks noChangeShapeType="1"/>
        </xdr:cNvSpPr>
      </xdr:nvSpPr>
      <xdr:spPr bwMode="auto">
        <a:xfrm>
          <a:off x="2886075" y="16725900"/>
          <a:ext cx="4000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94</xdr:row>
      <xdr:rowOff>0</xdr:rowOff>
    </xdr:from>
    <xdr:to>
      <xdr:col>4</xdr:col>
      <xdr:colOff>371475</xdr:colOff>
      <xdr:row>94</xdr:row>
      <xdr:rowOff>85725</xdr:rowOff>
    </xdr:to>
    <xdr:sp macro="" textlink="">
      <xdr:nvSpPr>
        <xdr:cNvPr id="171" name="Line 218"/>
        <xdr:cNvSpPr>
          <a:spLocks noChangeShapeType="1"/>
        </xdr:cNvSpPr>
      </xdr:nvSpPr>
      <xdr:spPr bwMode="auto">
        <a:xfrm>
          <a:off x="2886075" y="165639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93</xdr:row>
      <xdr:rowOff>152400</xdr:rowOff>
    </xdr:from>
    <xdr:to>
      <xdr:col>5</xdr:col>
      <xdr:colOff>0</xdr:colOff>
      <xdr:row>94</xdr:row>
      <xdr:rowOff>85725</xdr:rowOff>
    </xdr:to>
    <xdr:sp macro="" textlink="">
      <xdr:nvSpPr>
        <xdr:cNvPr id="172" name="Line 219"/>
        <xdr:cNvSpPr>
          <a:spLocks noChangeShapeType="1"/>
        </xdr:cNvSpPr>
      </xdr:nvSpPr>
      <xdr:spPr bwMode="auto">
        <a:xfrm>
          <a:off x="3286125" y="165544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94</xdr:row>
      <xdr:rowOff>47625</xdr:rowOff>
    </xdr:from>
    <xdr:to>
      <xdr:col>5</xdr:col>
      <xdr:colOff>0</xdr:colOff>
      <xdr:row>94</xdr:row>
      <xdr:rowOff>47625</xdr:rowOff>
    </xdr:to>
    <xdr:sp macro="" textlink="">
      <xdr:nvSpPr>
        <xdr:cNvPr id="173" name="Line 220"/>
        <xdr:cNvSpPr>
          <a:spLocks noChangeShapeType="1"/>
        </xdr:cNvSpPr>
      </xdr:nvSpPr>
      <xdr:spPr bwMode="auto">
        <a:xfrm>
          <a:off x="2876550" y="16611600"/>
          <a:ext cx="40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142873</xdr:colOff>
      <xdr:row>95</xdr:row>
      <xdr:rowOff>9525</xdr:rowOff>
    </xdr:from>
    <xdr:to>
      <xdr:col>1</xdr:col>
      <xdr:colOff>600075</xdr:colOff>
      <xdr:row>114</xdr:row>
      <xdr:rowOff>9526</xdr:rowOff>
    </xdr:to>
    <xdr:sp macro="" textlink="">
      <xdr:nvSpPr>
        <xdr:cNvPr id="174" name="Line 221"/>
        <xdr:cNvSpPr>
          <a:spLocks noChangeShapeType="1"/>
        </xdr:cNvSpPr>
      </xdr:nvSpPr>
      <xdr:spPr bwMode="auto">
        <a:xfrm flipH="1">
          <a:off x="752473" y="15925800"/>
          <a:ext cx="457202" cy="307657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133350</xdr:colOff>
      <xdr:row>113</xdr:row>
      <xdr:rowOff>152400</xdr:rowOff>
    </xdr:from>
    <xdr:to>
      <xdr:col>1</xdr:col>
      <xdr:colOff>600075</xdr:colOff>
      <xdr:row>113</xdr:row>
      <xdr:rowOff>152400</xdr:rowOff>
    </xdr:to>
    <xdr:sp macro="" textlink="">
      <xdr:nvSpPr>
        <xdr:cNvPr id="175" name="Line 222"/>
        <xdr:cNvSpPr>
          <a:spLocks noChangeShapeType="1"/>
        </xdr:cNvSpPr>
      </xdr:nvSpPr>
      <xdr:spPr bwMode="auto">
        <a:xfrm>
          <a:off x="742950" y="19792950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125</xdr:row>
      <xdr:rowOff>0</xdr:rowOff>
    </xdr:from>
    <xdr:to>
      <xdr:col>5</xdr:col>
      <xdr:colOff>495300</xdr:colOff>
      <xdr:row>125</xdr:row>
      <xdr:rowOff>0</xdr:rowOff>
    </xdr:to>
    <xdr:sp macro="" textlink="">
      <xdr:nvSpPr>
        <xdr:cNvPr id="177" name="Line 230"/>
        <xdr:cNvSpPr>
          <a:spLocks noChangeShapeType="1"/>
        </xdr:cNvSpPr>
      </xdr:nvSpPr>
      <xdr:spPr bwMode="auto">
        <a:xfrm>
          <a:off x="1219200" y="21583650"/>
          <a:ext cx="2562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124</xdr:row>
      <xdr:rowOff>66675</xdr:rowOff>
    </xdr:from>
    <xdr:to>
      <xdr:col>2</xdr:col>
      <xdr:colOff>0</xdr:colOff>
      <xdr:row>125</xdr:row>
      <xdr:rowOff>85725</xdr:rowOff>
    </xdr:to>
    <xdr:sp macro="" textlink="">
      <xdr:nvSpPr>
        <xdr:cNvPr id="178" name="Line 234"/>
        <xdr:cNvSpPr>
          <a:spLocks noChangeShapeType="1"/>
        </xdr:cNvSpPr>
      </xdr:nvSpPr>
      <xdr:spPr bwMode="auto">
        <a:xfrm>
          <a:off x="1219200" y="2148840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124</xdr:row>
      <xdr:rowOff>95250</xdr:rowOff>
    </xdr:from>
    <xdr:to>
      <xdr:col>5</xdr:col>
      <xdr:colOff>514350</xdr:colOff>
      <xdr:row>125</xdr:row>
      <xdr:rowOff>47625</xdr:rowOff>
    </xdr:to>
    <xdr:sp macro="" textlink="">
      <xdr:nvSpPr>
        <xdr:cNvPr id="179" name="Line 235"/>
        <xdr:cNvSpPr>
          <a:spLocks noChangeShapeType="1"/>
        </xdr:cNvSpPr>
      </xdr:nvSpPr>
      <xdr:spPr bwMode="auto">
        <a:xfrm>
          <a:off x="3800475" y="215169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104775</xdr:colOff>
      <xdr:row>104</xdr:row>
      <xdr:rowOff>0</xdr:rowOff>
    </xdr:from>
    <xdr:to>
      <xdr:col>4</xdr:col>
      <xdr:colOff>190500</xdr:colOff>
      <xdr:row>104</xdr:row>
      <xdr:rowOff>0</xdr:rowOff>
    </xdr:to>
    <xdr:sp macro="" textlink="">
      <xdr:nvSpPr>
        <xdr:cNvPr id="180" name="Line 237"/>
        <xdr:cNvSpPr>
          <a:spLocks noChangeShapeType="1"/>
        </xdr:cNvSpPr>
      </xdr:nvSpPr>
      <xdr:spPr bwMode="auto">
        <a:xfrm flipH="1">
          <a:off x="714375" y="18183225"/>
          <a:ext cx="1990725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390525</xdr:colOff>
      <xdr:row>103</xdr:row>
      <xdr:rowOff>152400</xdr:rowOff>
    </xdr:from>
    <xdr:to>
      <xdr:col>1</xdr:col>
      <xdr:colOff>390525</xdr:colOff>
      <xdr:row>113</xdr:row>
      <xdr:rowOff>133350</xdr:rowOff>
    </xdr:to>
    <xdr:sp macro="" textlink="">
      <xdr:nvSpPr>
        <xdr:cNvPr id="181" name="Line 238"/>
        <xdr:cNvSpPr>
          <a:spLocks noChangeShapeType="1"/>
        </xdr:cNvSpPr>
      </xdr:nvSpPr>
      <xdr:spPr bwMode="auto">
        <a:xfrm>
          <a:off x="1000125" y="17364075"/>
          <a:ext cx="0" cy="1600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257175</xdr:colOff>
      <xdr:row>102</xdr:row>
      <xdr:rowOff>85725</xdr:rowOff>
    </xdr:from>
    <xdr:to>
      <xdr:col>1</xdr:col>
      <xdr:colOff>600075</xdr:colOff>
      <xdr:row>102</xdr:row>
      <xdr:rowOff>85725</xdr:rowOff>
    </xdr:to>
    <xdr:sp macro="" textlink="">
      <xdr:nvSpPr>
        <xdr:cNvPr id="182" name="Line 239"/>
        <xdr:cNvSpPr>
          <a:spLocks noChangeShapeType="1"/>
        </xdr:cNvSpPr>
      </xdr:nvSpPr>
      <xdr:spPr bwMode="auto">
        <a:xfrm>
          <a:off x="866775" y="17945100"/>
          <a:ext cx="3429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438150</xdr:colOff>
      <xdr:row>99</xdr:row>
      <xdr:rowOff>66675</xdr:rowOff>
    </xdr:from>
    <xdr:to>
      <xdr:col>5</xdr:col>
      <xdr:colOff>561975</xdr:colOff>
      <xdr:row>99</xdr:row>
      <xdr:rowOff>142875</xdr:rowOff>
    </xdr:to>
    <xdr:sp macro="" textlink="">
      <xdr:nvSpPr>
        <xdr:cNvPr id="184" name="AutoShape 242"/>
        <xdr:cNvSpPr>
          <a:spLocks noChangeArrowheads="1"/>
        </xdr:cNvSpPr>
      </xdr:nvSpPr>
      <xdr:spPr bwMode="auto">
        <a:xfrm>
          <a:off x="3724275" y="17440275"/>
          <a:ext cx="123825" cy="76200"/>
        </a:xfrm>
        <a:prstGeom prst="flowChartMerge">
          <a:avLst/>
        </a:prstGeom>
        <a:solidFill>
          <a:srgbClr val="FFFFFF"/>
        </a:solidFill>
        <a:ln w="158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466725</xdr:colOff>
      <xdr:row>100</xdr:row>
      <xdr:rowOff>19050</xdr:rowOff>
    </xdr:from>
    <xdr:to>
      <xdr:col>5</xdr:col>
      <xdr:colOff>466725</xdr:colOff>
      <xdr:row>110</xdr:row>
      <xdr:rowOff>152400</xdr:rowOff>
    </xdr:to>
    <xdr:sp macro="" textlink="">
      <xdr:nvSpPr>
        <xdr:cNvPr id="185" name="Line 243"/>
        <xdr:cNvSpPr>
          <a:spLocks noChangeShapeType="1"/>
        </xdr:cNvSpPr>
      </xdr:nvSpPr>
      <xdr:spPr bwMode="auto">
        <a:xfrm flipH="1" flipV="1">
          <a:off x="3752850" y="17554575"/>
          <a:ext cx="0" cy="1752600"/>
        </a:xfrm>
        <a:prstGeom prst="line">
          <a:avLst/>
        </a:prstGeom>
        <a:noFill/>
        <a:ln w="9525">
          <a:solidFill>
            <a:sysClr val="windowText" lastClr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466726</xdr:colOff>
      <xdr:row>100</xdr:row>
      <xdr:rowOff>9525</xdr:rowOff>
    </xdr:from>
    <xdr:to>
      <xdr:col>6</xdr:col>
      <xdr:colOff>314326</xdr:colOff>
      <xdr:row>113</xdr:row>
      <xdr:rowOff>152400</xdr:rowOff>
    </xdr:to>
    <xdr:sp macro="" textlink="">
      <xdr:nvSpPr>
        <xdr:cNvPr id="186" name="Line 244"/>
        <xdr:cNvSpPr>
          <a:spLocks noChangeShapeType="1"/>
        </xdr:cNvSpPr>
      </xdr:nvSpPr>
      <xdr:spPr bwMode="auto">
        <a:xfrm>
          <a:off x="3752851" y="17545050"/>
          <a:ext cx="552450" cy="2247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466725</xdr:colOff>
      <xdr:row>113</xdr:row>
      <xdr:rowOff>142875</xdr:rowOff>
    </xdr:from>
    <xdr:to>
      <xdr:col>6</xdr:col>
      <xdr:colOff>304800</xdr:colOff>
      <xdr:row>113</xdr:row>
      <xdr:rowOff>142875</xdr:rowOff>
    </xdr:to>
    <xdr:sp macro="" textlink="">
      <xdr:nvSpPr>
        <xdr:cNvPr id="187" name="Line 245"/>
        <xdr:cNvSpPr>
          <a:spLocks noChangeShapeType="1"/>
        </xdr:cNvSpPr>
      </xdr:nvSpPr>
      <xdr:spPr bwMode="auto">
        <a:xfrm flipH="1">
          <a:off x="3752850" y="19783425"/>
          <a:ext cx="542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485775</xdr:colOff>
      <xdr:row>106</xdr:row>
      <xdr:rowOff>152400</xdr:rowOff>
    </xdr:from>
    <xdr:to>
      <xdr:col>6</xdr:col>
      <xdr:colOff>152400</xdr:colOff>
      <xdr:row>106</xdr:row>
      <xdr:rowOff>152400</xdr:rowOff>
    </xdr:to>
    <xdr:sp macro="" textlink="">
      <xdr:nvSpPr>
        <xdr:cNvPr id="188" name="Line 246"/>
        <xdr:cNvSpPr>
          <a:spLocks noChangeShapeType="1"/>
        </xdr:cNvSpPr>
      </xdr:nvSpPr>
      <xdr:spPr bwMode="auto">
        <a:xfrm flipH="1">
          <a:off x="3771900" y="18659475"/>
          <a:ext cx="3714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533400</xdr:colOff>
      <xdr:row>100</xdr:row>
      <xdr:rowOff>38100</xdr:rowOff>
    </xdr:from>
    <xdr:to>
      <xdr:col>6</xdr:col>
      <xdr:colOff>533400</xdr:colOff>
      <xdr:row>110</xdr:row>
      <xdr:rowOff>152400</xdr:rowOff>
    </xdr:to>
    <xdr:sp macro="" textlink="">
      <xdr:nvSpPr>
        <xdr:cNvPr id="189" name="Line 247"/>
        <xdr:cNvSpPr>
          <a:spLocks noChangeShapeType="1"/>
        </xdr:cNvSpPr>
      </xdr:nvSpPr>
      <xdr:spPr bwMode="auto">
        <a:xfrm>
          <a:off x="4524375" y="17573625"/>
          <a:ext cx="0" cy="17335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6</xdr:col>
      <xdr:colOff>542925</xdr:colOff>
      <xdr:row>110</xdr:row>
      <xdr:rowOff>152400</xdr:rowOff>
    </xdr:from>
    <xdr:to>
      <xdr:col>6</xdr:col>
      <xdr:colOff>542925</xdr:colOff>
      <xdr:row>114</xdr:row>
      <xdr:rowOff>19050</xdr:rowOff>
    </xdr:to>
    <xdr:sp macro="" textlink="">
      <xdr:nvSpPr>
        <xdr:cNvPr id="190" name="Line 248"/>
        <xdr:cNvSpPr>
          <a:spLocks noChangeShapeType="1"/>
        </xdr:cNvSpPr>
      </xdr:nvSpPr>
      <xdr:spPr bwMode="auto">
        <a:xfrm>
          <a:off x="4533900" y="19307175"/>
          <a:ext cx="0" cy="5143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6</xdr:col>
      <xdr:colOff>457200</xdr:colOff>
      <xdr:row>111</xdr:row>
      <xdr:rowOff>0</xdr:rowOff>
    </xdr:from>
    <xdr:to>
      <xdr:col>7</xdr:col>
      <xdr:colOff>0</xdr:colOff>
      <xdr:row>111</xdr:row>
      <xdr:rowOff>0</xdr:rowOff>
    </xdr:to>
    <xdr:sp macro="" textlink="">
      <xdr:nvSpPr>
        <xdr:cNvPr id="191" name="Line 249"/>
        <xdr:cNvSpPr>
          <a:spLocks noChangeShapeType="1"/>
        </xdr:cNvSpPr>
      </xdr:nvSpPr>
      <xdr:spPr bwMode="auto">
        <a:xfrm>
          <a:off x="4448175" y="1931670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485775</xdr:colOff>
      <xdr:row>113</xdr:row>
      <xdr:rowOff>152400</xdr:rowOff>
    </xdr:from>
    <xdr:to>
      <xdr:col>7</xdr:col>
      <xdr:colOff>0</xdr:colOff>
      <xdr:row>113</xdr:row>
      <xdr:rowOff>152400</xdr:rowOff>
    </xdr:to>
    <xdr:sp macro="" textlink="">
      <xdr:nvSpPr>
        <xdr:cNvPr id="192" name="Line 250"/>
        <xdr:cNvSpPr>
          <a:spLocks noChangeShapeType="1"/>
        </xdr:cNvSpPr>
      </xdr:nvSpPr>
      <xdr:spPr bwMode="auto">
        <a:xfrm>
          <a:off x="4476750" y="1979295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314325</xdr:colOff>
      <xdr:row>100</xdr:row>
      <xdr:rowOff>38100</xdr:rowOff>
    </xdr:from>
    <xdr:to>
      <xdr:col>7</xdr:col>
      <xdr:colOff>314325</xdr:colOff>
      <xdr:row>114</xdr:row>
      <xdr:rowOff>0</xdr:rowOff>
    </xdr:to>
    <xdr:sp macro="" textlink="">
      <xdr:nvSpPr>
        <xdr:cNvPr id="193" name="Line 252"/>
        <xdr:cNvSpPr>
          <a:spLocks noChangeShapeType="1"/>
        </xdr:cNvSpPr>
      </xdr:nvSpPr>
      <xdr:spPr bwMode="auto">
        <a:xfrm>
          <a:off x="4914900" y="17573625"/>
          <a:ext cx="0" cy="22288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133350</xdr:colOff>
      <xdr:row>104</xdr:row>
      <xdr:rowOff>28575</xdr:rowOff>
    </xdr:from>
    <xdr:to>
      <xdr:col>2</xdr:col>
      <xdr:colOff>133350</xdr:colOff>
      <xdr:row>111</xdr:row>
      <xdr:rowOff>19050</xdr:rowOff>
    </xdr:to>
    <xdr:sp macro="" textlink="">
      <xdr:nvSpPr>
        <xdr:cNvPr id="194" name="Line 254"/>
        <xdr:cNvSpPr>
          <a:spLocks noChangeShapeType="1"/>
        </xdr:cNvSpPr>
      </xdr:nvSpPr>
      <xdr:spPr bwMode="auto">
        <a:xfrm>
          <a:off x="1352550" y="17402175"/>
          <a:ext cx="0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0</xdr:col>
      <xdr:colOff>180975</xdr:colOff>
      <xdr:row>104</xdr:row>
      <xdr:rowOff>0</xdr:rowOff>
    </xdr:from>
    <xdr:to>
      <xdr:col>0</xdr:col>
      <xdr:colOff>180975</xdr:colOff>
      <xdr:row>113</xdr:row>
      <xdr:rowOff>152400</xdr:rowOff>
    </xdr:to>
    <xdr:sp macro="" textlink="">
      <xdr:nvSpPr>
        <xdr:cNvPr id="195" name="Line 256"/>
        <xdr:cNvSpPr>
          <a:spLocks noChangeShapeType="1"/>
        </xdr:cNvSpPr>
      </xdr:nvSpPr>
      <xdr:spPr bwMode="auto">
        <a:xfrm>
          <a:off x="180975" y="17373600"/>
          <a:ext cx="0" cy="1609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3</xdr:col>
      <xdr:colOff>38100</xdr:colOff>
      <xdr:row>103</xdr:row>
      <xdr:rowOff>152400</xdr:rowOff>
    </xdr:from>
    <xdr:to>
      <xdr:col>3</xdr:col>
      <xdr:colOff>152400</xdr:colOff>
      <xdr:row>104</xdr:row>
      <xdr:rowOff>0</xdr:rowOff>
    </xdr:to>
    <xdr:sp macro="" textlink="">
      <xdr:nvSpPr>
        <xdr:cNvPr id="196" name="Line 258"/>
        <xdr:cNvSpPr>
          <a:spLocks noChangeShapeType="1"/>
        </xdr:cNvSpPr>
      </xdr:nvSpPr>
      <xdr:spPr bwMode="auto">
        <a:xfrm flipV="1">
          <a:off x="2000250" y="18173700"/>
          <a:ext cx="1143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</xdr:colOff>
      <xdr:row>95</xdr:row>
      <xdr:rowOff>9525</xdr:rowOff>
    </xdr:from>
    <xdr:to>
      <xdr:col>5</xdr:col>
      <xdr:colOff>209550</xdr:colOff>
      <xdr:row>95</xdr:row>
      <xdr:rowOff>9525</xdr:rowOff>
    </xdr:to>
    <xdr:sp macro="" textlink="">
      <xdr:nvSpPr>
        <xdr:cNvPr id="197" name="Line 259"/>
        <xdr:cNvSpPr>
          <a:spLocks noChangeShapeType="1"/>
        </xdr:cNvSpPr>
      </xdr:nvSpPr>
      <xdr:spPr bwMode="auto">
        <a:xfrm flipV="1">
          <a:off x="3314700" y="16735425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114300</xdr:colOff>
      <xdr:row>95</xdr:row>
      <xdr:rowOff>9525</xdr:rowOff>
    </xdr:from>
    <xdr:to>
      <xdr:col>5</xdr:col>
      <xdr:colOff>114300</xdr:colOff>
      <xdr:row>111</xdr:row>
      <xdr:rowOff>9525</xdr:rowOff>
    </xdr:to>
    <xdr:sp macro="" textlink="">
      <xdr:nvSpPr>
        <xdr:cNvPr id="198" name="Line 260"/>
        <xdr:cNvSpPr>
          <a:spLocks noChangeShapeType="1"/>
        </xdr:cNvSpPr>
      </xdr:nvSpPr>
      <xdr:spPr bwMode="auto">
        <a:xfrm>
          <a:off x="3400425" y="16735425"/>
          <a:ext cx="0" cy="25908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180975</xdr:colOff>
      <xdr:row>95</xdr:row>
      <xdr:rowOff>9525</xdr:rowOff>
    </xdr:from>
    <xdr:to>
      <xdr:col>4</xdr:col>
      <xdr:colOff>180975</xdr:colOff>
      <xdr:row>103</xdr:row>
      <xdr:rowOff>142875</xdr:rowOff>
    </xdr:to>
    <xdr:sp macro="" textlink="">
      <xdr:nvSpPr>
        <xdr:cNvPr id="199" name="Line 261"/>
        <xdr:cNvSpPr>
          <a:spLocks noChangeShapeType="1"/>
        </xdr:cNvSpPr>
      </xdr:nvSpPr>
      <xdr:spPr bwMode="auto">
        <a:xfrm flipV="1">
          <a:off x="2695575" y="16735425"/>
          <a:ext cx="0" cy="142875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0</xdr:colOff>
      <xdr:row>104</xdr:row>
      <xdr:rowOff>0</xdr:rowOff>
    </xdr:from>
    <xdr:to>
      <xdr:col>4</xdr:col>
      <xdr:colOff>219075</xdr:colOff>
      <xdr:row>104</xdr:row>
      <xdr:rowOff>0</xdr:rowOff>
    </xdr:to>
    <xdr:sp macro="" textlink="">
      <xdr:nvSpPr>
        <xdr:cNvPr id="200" name="Line 263"/>
        <xdr:cNvSpPr>
          <a:spLocks noChangeShapeType="1"/>
        </xdr:cNvSpPr>
      </xdr:nvSpPr>
      <xdr:spPr bwMode="auto">
        <a:xfrm>
          <a:off x="2514600" y="1818322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200025</xdr:colOff>
      <xdr:row>94</xdr:row>
      <xdr:rowOff>0</xdr:rowOff>
    </xdr:from>
    <xdr:to>
      <xdr:col>4</xdr:col>
      <xdr:colOff>200025</xdr:colOff>
      <xdr:row>94</xdr:row>
      <xdr:rowOff>76200</xdr:rowOff>
    </xdr:to>
    <xdr:sp macro="" textlink="">
      <xdr:nvSpPr>
        <xdr:cNvPr id="201" name="Line 264"/>
        <xdr:cNvSpPr>
          <a:spLocks noChangeShapeType="1"/>
        </xdr:cNvSpPr>
      </xdr:nvSpPr>
      <xdr:spPr bwMode="auto">
        <a:xfrm>
          <a:off x="2714625" y="1656397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200025</xdr:colOff>
      <xdr:row>94</xdr:row>
      <xdr:rowOff>38100</xdr:rowOff>
    </xdr:from>
    <xdr:to>
      <xdr:col>4</xdr:col>
      <xdr:colOff>371475</xdr:colOff>
      <xdr:row>94</xdr:row>
      <xdr:rowOff>38100</xdr:rowOff>
    </xdr:to>
    <xdr:sp macro="" textlink="">
      <xdr:nvSpPr>
        <xdr:cNvPr id="202" name="Line 265"/>
        <xdr:cNvSpPr>
          <a:spLocks noChangeShapeType="1"/>
        </xdr:cNvSpPr>
      </xdr:nvSpPr>
      <xdr:spPr bwMode="auto">
        <a:xfrm>
          <a:off x="2714625" y="166020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276225</xdr:colOff>
      <xdr:row>93</xdr:row>
      <xdr:rowOff>66675</xdr:rowOff>
    </xdr:from>
    <xdr:to>
      <xdr:col>4</xdr:col>
      <xdr:colOff>285750</xdr:colOff>
      <xdr:row>94</xdr:row>
      <xdr:rowOff>38100</xdr:rowOff>
    </xdr:to>
    <xdr:sp macro="" textlink="">
      <xdr:nvSpPr>
        <xdr:cNvPr id="203" name="Line 266"/>
        <xdr:cNvSpPr>
          <a:spLocks noChangeShapeType="1"/>
        </xdr:cNvSpPr>
      </xdr:nvSpPr>
      <xdr:spPr bwMode="auto">
        <a:xfrm>
          <a:off x="2790825" y="16468725"/>
          <a:ext cx="952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809625</xdr:colOff>
      <xdr:row>93</xdr:row>
      <xdr:rowOff>66675</xdr:rowOff>
    </xdr:from>
    <xdr:to>
      <xdr:col>4</xdr:col>
      <xdr:colOff>276225</xdr:colOff>
      <xdr:row>93</xdr:row>
      <xdr:rowOff>66675</xdr:rowOff>
    </xdr:to>
    <xdr:sp macro="" textlink="">
      <xdr:nvSpPr>
        <xdr:cNvPr id="204" name="Line 267"/>
        <xdr:cNvSpPr>
          <a:spLocks noChangeShapeType="1"/>
        </xdr:cNvSpPr>
      </xdr:nvSpPr>
      <xdr:spPr bwMode="auto">
        <a:xfrm>
          <a:off x="2514600" y="1646872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117</xdr:row>
      <xdr:rowOff>152400</xdr:rowOff>
    </xdr:from>
    <xdr:to>
      <xdr:col>5</xdr:col>
      <xdr:colOff>466725</xdr:colOff>
      <xdr:row>118</xdr:row>
      <xdr:rowOff>0</xdr:rowOff>
    </xdr:to>
    <xdr:sp macro="" textlink="">
      <xdr:nvSpPr>
        <xdr:cNvPr id="205" name="Line 268"/>
        <xdr:cNvSpPr>
          <a:spLocks noChangeShapeType="1"/>
        </xdr:cNvSpPr>
      </xdr:nvSpPr>
      <xdr:spPr bwMode="auto">
        <a:xfrm flipV="1">
          <a:off x="1219200" y="20440650"/>
          <a:ext cx="25336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600076</xdr:colOff>
      <xdr:row>120</xdr:row>
      <xdr:rowOff>9524</xdr:rowOff>
    </xdr:from>
    <xdr:to>
      <xdr:col>5</xdr:col>
      <xdr:colOff>466726</xdr:colOff>
      <xdr:row>121</xdr:row>
      <xdr:rowOff>28574</xdr:rowOff>
    </xdr:to>
    <xdr:sp macro="" textlink="">
      <xdr:nvSpPr>
        <xdr:cNvPr id="206" name="Line 269"/>
        <xdr:cNvSpPr>
          <a:spLocks noChangeShapeType="1"/>
        </xdr:cNvSpPr>
      </xdr:nvSpPr>
      <xdr:spPr bwMode="auto">
        <a:xfrm>
          <a:off x="1209676" y="20783549"/>
          <a:ext cx="25431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457198</xdr:colOff>
      <xdr:row>119</xdr:row>
      <xdr:rowOff>49530</xdr:rowOff>
    </xdr:from>
    <xdr:to>
      <xdr:col>5</xdr:col>
      <xdr:colOff>685799</xdr:colOff>
      <xdr:row>119</xdr:row>
      <xdr:rowOff>95249</xdr:rowOff>
    </xdr:to>
    <xdr:sp macro="" textlink="">
      <xdr:nvSpPr>
        <xdr:cNvPr id="207" name="Line 276"/>
        <xdr:cNvSpPr>
          <a:spLocks noChangeShapeType="1"/>
        </xdr:cNvSpPr>
      </xdr:nvSpPr>
      <xdr:spPr bwMode="auto">
        <a:xfrm flipH="1">
          <a:off x="3743323" y="20661630"/>
          <a:ext cx="228601" cy="457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oneCellAnchor>
    <xdr:from>
      <xdr:col>2</xdr:col>
      <xdr:colOff>352425</xdr:colOff>
      <xdr:row>22</xdr:row>
      <xdr:rowOff>133350</xdr:rowOff>
    </xdr:from>
    <xdr:ext cx="123825" cy="180975"/>
    <xdr:sp macro="" textlink="">
      <xdr:nvSpPr>
        <xdr:cNvPr id="208" name="Text Box 301"/>
        <xdr:cNvSpPr txBox="1">
          <a:spLocks noChangeArrowheads="1"/>
        </xdr:cNvSpPr>
      </xdr:nvSpPr>
      <xdr:spPr bwMode="auto">
        <a:xfrm>
          <a:off x="1571625" y="47339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342900</xdr:colOff>
      <xdr:row>36</xdr:row>
      <xdr:rowOff>152400</xdr:rowOff>
    </xdr:from>
    <xdr:ext cx="123825" cy="180975"/>
    <xdr:sp macro="" textlink="">
      <xdr:nvSpPr>
        <xdr:cNvPr id="209" name="Text Box 304"/>
        <xdr:cNvSpPr txBox="1">
          <a:spLocks noChangeArrowheads="1"/>
        </xdr:cNvSpPr>
      </xdr:nvSpPr>
      <xdr:spPr bwMode="auto">
        <a:xfrm>
          <a:off x="2305050" y="70199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1</xdr:col>
      <xdr:colOff>438150</xdr:colOff>
      <xdr:row>178</xdr:row>
      <xdr:rowOff>0</xdr:rowOff>
    </xdr:from>
    <xdr:to>
      <xdr:col>4</xdr:col>
      <xdr:colOff>361950</xdr:colOff>
      <xdr:row>178</xdr:row>
      <xdr:rowOff>9525</xdr:rowOff>
    </xdr:to>
    <xdr:sp macro="" textlink="">
      <xdr:nvSpPr>
        <xdr:cNvPr id="210" name="Line 469"/>
        <xdr:cNvSpPr>
          <a:spLocks noChangeShapeType="1"/>
        </xdr:cNvSpPr>
      </xdr:nvSpPr>
      <xdr:spPr bwMode="auto">
        <a:xfrm>
          <a:off x="1047750" y="30422850"/>
          <a:ext cx="18288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178</xdr:row>
      <xdr:rowOff>0</xdr:rowOff>
    </xdr:from>
    <xdr:to>
      <xdr:col>5</xdr:col>
      <xdr:colOff>0</xdr:colOff>
      <xdr:row>195</xdr:row>
      <xdr:rowOff>9525</xdr:rowOff>
    </xdr:to>
    <xdr:sp macro="" textlink="">
      <xdr:nvSpPr>
        <xdr:cNvPr id="211" name="Line 470"/>
        <xdr:cNvSpPr>
          <a:spLocks noChangeShapeType="1"/>
        </xdr:cNvSpPr>
      </xdr:nvSpPr>
      <xdr:spPr bwMode="auto">
        <a:xfrm>
          <a:off x="3286125" y="30422850"/>
          <a:ext cx="0" cy="2762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195</xdr:row>
      <xdr:rowOff>0</xdr:rowOff>
    </xdr:from>
    <xdr:to>
      <xdr:col>5</xdr:col>
      <xdr:colOff>476250</xdr:colOff>
      <xdr:row>195</xdr:row>
      <xdr:rowOff>0</xdr:rowOff>
    </xdr:to>
    <xdr:sp macro="" textlink="">
      <xdr:nvSpPr>
        <xdr:cNvPr id="212" name="Line 471"/>
        <xdr:cNvSpPr>
          <a:spLocks noChangeShapeType="1"/>
        </xdr:cNvSpPr>
      </xdr:nvSpPr>
      <xdr:spPr bwMode="auto">
        <a:xfrm>
          <a:off x="3286125" y="33175575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195</xdr:row>
      <xdr:rowOff>9525</xdr:rowOff>
    </xdr:from>
    <xdr:to>
      <xdr:col>5</xdr:col>
      <xdr:colOff>476250</xdr:colOff>
      <xdr:row>198</xdr:row>
      <xdr:rowOff>0</xdr:rowOff>
    </xdr:to>
    <xdr:sp macro="" textlink="">
      <xdr:nvSpPr>
        <xdr:cNvPr id="213" name="Line 472"/>
        <xdr:cNvSpPr>
          <a:spLocks noChangeShapeType="1"/>
        </xdr:cNvSpPr>
      </xdr:nvSpPr>
      <xdr:spPr bwMode="auto">
        <a:xfrm>
          <a:off x="3762375" y="33185100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197</xdr:row>
      <xdr:rowOff>152400</xdr:rowOff>
    </xdr:from>
    <xdr:to>
      <xdr:col>5</xdr:col>
      <xdr:colOff>161925</xdr:colOff>
      <xdr:row>198</xdr:row>
      <xdr:rowOff>0</xdr:rowOff>
    </xdr:to>
    <xdr:sp macro="" textlink="">
      <xdr:nvSpPr>
        <xdr:cNvPr id="214" name="Line 473"/>
        <xdr:cNvSpPr>
          <a:spLocks noChangeShapeType="1"/>
        </xdr:cNvSpPr>
      </xdr:nvSpPr>
      <xdr:spPr bwMode="auto">
        <a:xfrm flipH="1" flipV="1">
          <a:off x="1209675" y="33651825"/>
          <a:ext cx="22383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194</xdr:row>
      <xdr:rowOff>152400</xdr:rowOff>
    </xdr:from>
    <xdr:to>
      <xdr:col>2</xdr:col>
      <xdr:colOff>0</xdr:colOff>
      <xdr:row>197</xdr:row>
      <xdr:rowOff>152400</xdr:rowOff>
    </xdr:to>
    <xdr:sp macro="" textlink="">
      <xdr:nvSpPr>
        <xdr:cNvPr id="215" name="Line 474"/>
        <xdr:cNvSpPr>
          <a:spLocks noChangeShapeType="1"/>
        </xdr:cNvSpPr>
      </xdr:nvSpPr>
      <xdr:spPr bwMode="auto">
        <a:xfrm flipV="1">
          <a:off x="1219200" y="33166050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195</xdr:row>
      <xdr:rowOff>0</xdr:rowOff>
    </xdr:from>
    <xdr:to>
      <xdr:col>4</xdr:col>
      <xdr:colOff>0</xdr:colOff>
      <xdr:row>195</xdr:row>
      <xdr:rowOff>0</xdr:rowOff>
    </xdr:to>
    <xdr:sp macro="" textlink="">
      <xdr:nvSpPr>
        <xdr:cNvPr id="216" name="Line 475"/>
        <xdr:cNvSpPr>
          <a:spLocks noChangeShapeType="1"/>
        </xdr:cNvSpPr>
      </xdr:nvSpPr>
      <xdr:spPr bwMode="auto">
        <a:xfrm>
          <a:off x="1209675" y="33175575"/>
          <a:ext cx="13049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178</xdr:row>
      <xdr:rowOff>0</xdr:rowOff>
    </xdr:from>
    <xdr:to>
      <xdr:col>4</xdr:col>
      <xdr:colOff>381000</xdr:colOff>
      <xdr:row>195</xdr:row>
      <xdr:rowOff>0</xdr:rowOff>
    </xdr:to>
    <xdr:sp macro="" textlink="">
      <xdr:nvSpPr>
        <xdr:cNvPr id="217" name="Line 476"/>
        <xdr:cNvSpPr>
          <a:spLocks noChangeShapeType="1"/>
        </xdr:cNvSpPr>
      </xdr:nvSpPr>
      <xdr:spPr bwMode="auto">
        <a:xfrm flipV="1">
          <a:off x="2524125" y="30422850"/>
          <a:ext cx="371475" cy="27527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198</xdr:row>
      <xdr:rowOff>0</xdr:rowOff>
    </xdr:from>
    <xdr:to>
      <xdr:col>5</xdr:col>
      <xdr:colOff>476250</xdr:colOff>
      <xdr:row>199</xdr:row>
      <xdr:rowOff>0</xdr:rowOff>
    </xdr:to>
    <xdr:sp macro="" textlink="">
      <xdr:nvSpPr>
        <xdr:cNvPr id="218" name="Line 477"/>
        <xdr:cNvSpPr>
          <a:spLocks noChangeShapeType="1"/>
        </xdr:cNvSpPr>
      </xdr:nvSpPr>
      <xdr:spPr bwMode="auto">
        <a:xfrm>
          <a:off x="3762375" y="33661350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199</xdr:row>
      <xdr:rowOff>9525</xdr:rowOff>
    </xdr:from>
    <xdr:to>
      <xdr:col>5</xdr:col>
      <xdr:colOff>476250</xdr:colOff>
      <xdr:row>199</xdr:row>
      <xdr:rowOff>9525</xdr:rowOff>
    </xdr:to>
    <xdr:sp macro="" textlink="">
      <xdr:nvSpPr>
        <xdr:cNvPr id="219" name="Line 478"/>
        <xdr:cNvSpPr>
          <a:spLocks noChangeShapeType="1"/>
        </xdr:cNvSpPr>
      </xdr:nvSpPr>
      <xdr:spPr bwMode="auto">
        <a:xfrm flipH="1">
          <a:off x="3629025" y="33832800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197</xdr:row>
      <xdr:rowOff>152400</xdr:rowOff>
    </xdr:from>
    <xdr:to>
      <xdr:col>5</xdr:col>
      <xdr:colOff>352425</xdr:colOff>
      <xdr:row>199</xdr:row>
      <xdr:rowOff>19050</xdr:rowOff>
    </xdr:to>
    <xdr:sp macro="" textlink="">
      <xdr:nvSpPr>
        <xdr:cNvPr id="220" name="Line 479"/>
        <xdr:cNvSpPr>
          <a:spLocks noChangeShapeType="1"/>
        </xdr:cNvSpPr>
      </xdr:nvSpPr>
      <xdr:spPr bwMode="auto">
        <a:xfrm flipH="1" flipV="1">
          <a:off x="3448050" y="33651825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199</xdr:row>
      <xdr:rowOff>76200</xdr:rowOff>
    </xdr:from>
    <xdr:to>
      <xdr:col>5</xdr:col>
      <xdr:colOff>485775</xdr:colOff>
      <xdr:row>200</xdr:row>
      <xdr:rowOff>28575</xdr:rowOff>
    </xdr:to>
    <xdr:sp macro="" textlink="">
      <xdr:nvSpPr>
        <xdr:cNvPr id="221" name="Line 480"/>
        <xdr:cNvSpPr>
          <a:spLocks noChangeShapeType="1"/>
        </xdr:cNvSpPr>
      </xdr:nvSpPr>
      <xdr:spPr bwMode="auto">
        <a:xfrm>
          <a:off x="3771900" y="338994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199</xdr:row>
      <xdr:rowOff>76200</xdr:rowOff>
    </xdr:from>
    <xdr:to>
      <xdr:col>5</xdr:col>
      <xdr:colOff>352425</xdr:colOff>
      <xdr:row>200</xdr:row>
      <xdr:rowOff>38100</xdr:rowOff>
    </xdr:to>
    <xdr:sp macro="" textlink="">
      <xdr:nvSpPr>
        <xdr:cNvPr id="222" name="Line 481"/>
        <xdr:cNvSpPr>
          <a:spLocks noChangeShapeType="1"/>
        </xdr:cNvSpPr>
      </xdr:nvSpPr>
      <xdr:spPr bwMode="auto">
        <a:xfrm>
          <a:off x="3638550" y="338994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200</xdr:row>
      <xdr:rowOff>0</xdr:rowOff>
    </xdr:from>
    <xdr:to>
      <xdr:col>5</xdr:col>
      <xdr:colOff>485775</xdr:colOff>
      <xdr:row>200</xdr:row>
      <xdr:rowOff>0</xdr:rowOff>
    </xdr:to>
    <xdr:sp macro="" textlink="">
      <xdr:nvSpPr>
        <xdr:cNvPr id="223" name="Line 482"/>
        <xdr:cNvSpPr>
          <a:spLocks noChangeShapeType="1"/>
        </xdr:cNvSpPr>
      </xdr:nvSpPr>
      <xdr:spPr bwMode="auto">
        <a:xfrm>
          <a:off x="3638550" y="339852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199</xdr:row>
      <xdr:rowOff>114300</xdr:rowOff>
    </xdr:from>
    <xdr:to>
      <xdr:col>5</xdr:col>
      <xdr:colOff>180975</xdr:colOff>
      <xdr:row>200</xdr:row>
      <xdr:rowOff>28575</xdr:rowOff>
    </xdr:to>
    <xdr:sp macro="" textlink="">
      <xdr:nvSpPr>
        <xdr:cNvPr id="224" name="Line 483"/>
        <xdr:cNvSpPr>
          <a:spLocks noChangeShapeType="1"/>
        </xdr:cNvSpPr>
      </xdr:nvSpPr>
      <xdr:spPr bwMode="auto">
        <a:xfrm>
          <a:off x="3467100" y="3393757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200</xdr:row>
      <xdr:rowOff>0</xdr:rowOff>
    </xdr:from>
    <xdr:to>
      <xdr:col>5</xdr:col>
      <xdr:colOff>352425</xdr:colOff>
      <xdr:row>200</xdr:row>
      <xdr:rowOff>0</xdr:rowOff>
    </xdr:to>
    <xdr:sp macro="" textlink="">
      <xdr:nvSpPr>
        <xdr:cNvPr id="225" name="Line 484"/>
        <xdr:cNvSpPr>
          <a:spLocks noChangeShapeType="1"/>
        </xdr:cNvSpPr>
      </xdr:nvSpPr>
      <xdr:spPr bwMode="auto">
        <a:xfrm>
          <a:off x="3467100" y="339852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200</xdr:row>
      <xdr:rowOff>19050</xdr:rowOff>
    </xdr:from>
    <xdr:to>
      <xdr:col>5</xdr:col>
      <xdr:colOff>428625</xdr:colOff>
      <xdr:row>200</xdr:row>
      <xdr:rowOff>104775</xdr:rowOff>
    </xdr:to>
    <xdr:sp macro="" textlink="">
      <xdr:nvSpPr>
        <xdr:cNvPr id="226" name="Line 485"/>
        <xdr:cNvSpPr>
          <a:spLocks noChangeShapeType="1"/>
        </xdr:cNvSpPr>
      </xdr:nvSpPr>
      <xdr:spPr bwMode="auto">
        <a:xfrm flipV="1">
          <a:off x="3714750" y="340042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200</xdr:row>
      <xdr:rowOff>104775</xdr:rowOff>
    </xdr:from>
    <xdr:to>
      <xdr:col>6</xdr:col>
      <xdr:colOff>76200</xdr:colOff>
      <xdr:row>200</xdr:row>
      <xdr:rowOff>104775</xdr:rowOff>
    </xdr:to>
    <xdr:sp macro="" textlink="">
      <xdr:nvSpPr>
        <xdr:cNvPr id="227" name="Line 486"/>
        <xdr:cNvSpPr>
          <a:spLocks noChangeShapeType="1"/>
        </xdr:cNvSpPr>
      </xdr:nvSpPr>
      <xdr:spPr bwMode="auto">
        <a:xfrm>
          <a:off x="3733800" y="3408997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200</xdr:row>
      <xdr:rowOff>0</xdr:rowOff>
    </xdr:from>
    <xdr:to>
      <xdr:col>5</xdr:col>
      <xdr:colOff>285750</xdr:colOff>
      <xdr:row>201</xdr:row>
      <xdr:rowOff>57150</xdr:rowOff>
    </xdr:to>
    <xdr:sp macro="" textlink="">
      <xdr:nvSpPr>
        <xdr:cNvPr id="228" name="Line 487"/>
        <xdr:cNvSpPr>
          <a:spLocks noChangeShapeType="1"/>
        </xdr:cNvSpPr>
      </xdr:nvSpPr>
      <xdr:spPr bwMode="auto">
        <a:xfrm flipV="1">
          <a:off x="3571875" y="33985200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201</xdr:row>
      <xdr:rowOff>47625</xdr:rowOff>
    </xdr:from>
    <xdr:to>
      <xdr:col>6</xdr:col>
      <xdr:colOff>76200</xdr:colOff>
      <xdr:row>201</xdr:row>
      <xdr:rowOff>47625</xdr:rowOff>
    </xdr:to>
    <xdr:sp macro="" textlink="">
      <xdr:nvSpPr>
        <xdr:cNvPr id="229" name="Line 488"/>
        <xdr:cNvSpPr>
          <a:spLocks noChangeShapeType="1"/>
        </xdr:cNvSpPr>
      </xdr:nvSpPr>
      <xdr:spPr bwMode="auto">
        <a:xfrm>
          <a:off x="3571875" y="3419475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202</xdr:row>
      <xdr:rowOff>152400</xdr:rowOff>
    </xdr:from>
    <xdr:to>
      <xdr:col>5</xdr:col>
      <xdr:colOff>504825</xdr:colOff>
      <xdr:row>203</xdr:row>
      <xdr:rowOff>0</xdr:rowOff>
    </xdr:to>
    <xdr:sp macro="" textlink="">
      <xdr:nvSpPr>
        <xdr:cNvPr id="230" name="Line 489"/>
        <xdr:cNvSpPr>
          <a:spLocks noChangeShapeType="1"/>
        </xdr:cNvSpPr>
      </xdr:nvSpPr>
      <xdr:spPr bwMode="auto">
        <a:xfrm flipH="1">
          <a:off x="3286125" y="34461450"/>
          <a:ext cx="5048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0</xdr:colOff>
      <xdr:row>203</xdr:row>
      <xdr:rowOff>9525</xdr:rowOff>
    </xdr:from>
    <xdr:to>
      <xdr:col>5</xdr:col>
      <xdr:colOff>0</xdr:colOff>
      <xdr:row>203</xdr:row>
      <xdr:rowOff>9525</xdr:rowOff>
    </xdr:to>
    <xdr:sp macro="" textlink="">
      <xdr:nvSpPr>
        <xdr:cNvPr id="231" name="Line 490"/>
        <xdr:cNvSpPr>
          <a:spLocks noChangeShapeType="1"/>
        </xdr:cNvSpPr>
      </xdr:nvSpPr>
      <xdr:spPr bwMode="auto">
        <a:xfrm flipH="1">
          <a:off x="2514600" y="34480500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600075</xdr:colOff>
      <xdr:row>203</xdr:row>
      <xdr:rowOff>9525</xdr:rowOff>
    </xdr:from>
    <xdr:to>
      <xdr:col>4</xdr:col>
      <xdr:colOff>19050</xdr:colOff>
      <xdr:row>203</xdr:row>
      <xdr:rowOff>9525</xdr:rowOff>
    </xdr:to>
    <xdr:sp macro="" textlink="">
      <xdr:nvSpPr>
        <xdr:cNvPr id="232" name="Line 491"/>
        <xdr:cNvSpPr>
          <a:spLocks noChangeShapeType="1"/>
        </xdr:cNvSpPr>
      </xdr:nvSpPr>
      <xdr:spPr bwMode="auto">
        <a:xfrm flipH="1">
          <a:off x="1209675" y="34480500"/>
          <a:ext cx="1323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202</xdr:row>
      <xdr:rowOff>104775</xdr:rowOff>
    </xdr:from>
    <xdr:to>
      <xdr:col>2</xdr:col>
      <xdr:colOff>0</xdr:colOff>
      <xdr:row>203</xdr:row>
      <xdr:rowOff>95250</xdr:rowOff>
    </xdr:to>
    <xdr:sp macro="" textlink="">
      <xdr:nvSpPr>
        <xdr:cNvPr id="233" name="Line 492"/>
        <xdr:cNvSpPr>
          <a:spLocks noChangeShapeType="1"/>
        </xdr:cNvSpPr>
      </xdr:nvSpPr>
      <xdr:spPr bwMode="auto">
        <a:xfrm>
          <a:off x="1219200" y="344138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202</xdr:row>
      <xdr:rowOff>104775</xdr:rowOff>
    </xdr:from>
    <xdr:to>
      <xdr:col>4</xdr:col>
      <xdr:colOff>0</xdr:colOff>
      <xdr:row>203</xdr:row>
      <xdr:rowOff>47625</xdr:rowOff>
    </xdr:to>
    <xdr:sp macro="" textlink="">
      <xdr:nvSpPr>
        <xdr:cNvPr id="234" name="Line 493"/>
        <xdr:cNvSpPr>
          <a:spLocks noChangeShapeType="1"/>
        </xdr:cNvSpPr>
      </xdr:nvSpPr>
      <xdr:spPr bwMode="auto">
        <a:xfrm>
          <a:off x="2514600" y="344138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202</xdr:row>
      <xdr:rowOff>104775</xdr:rowOff>
    </xdr:from>
    <xdr:to>
      <xdr:col>5</xdr:col>
      <xdr:colOff>0</xdr:colOff>
      <xdr:row>203</xdr:row>
      <xdr:rowOff>38100</xdr:rowOff>
    </xdr:to>
    <xdr:sp macro="" textlink="">
      <xdr:nvSpPr>
        <xdr:cNvPr id="235" name="Line 494"/>
        <xdr:cNvSpPr>
          <a:spLocks noChangeShapeType="1"/>
        </xdr:cNvSpPr>
      </xdr:nvSpPr>
      <xdr:spPr bwMode="auto">
        <a:xfrm>
          <a:off x="3286125" y="344138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202</xdr:row>
      <xdr:rowOff>123825</xdr:rowOff>
    </xdr:from>
    <xdr:to>
      <xdr:col>5</xdr:col>
      <xdr:colOff>514350</xdr:colOff>
      <xdr:row>203</xdr:row>
      <xdr:rowOff>57150</xdr:rowOff>
    </xdr:to>
    <xdr:sp macro="" textlink="">
      <xdr:nvSpPr>
        <xdr:cNvPr id="236" name="Line 495"/>
        <xdr:cNvSpPr>
          <a:spLocks noChangeShapeType="1"/>
        </xdr:cNvSpPr>
      </xdr:nvSpPr>
      <xdr:spPr bwMode="auto">
        <a:xfrm>
          <a:off x="3800475" y="344328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187</xdr:row>
      <xdr:rowOff>152400</xdr:rowOff>
    </xdr:from>
    <xdr:to>
      <xdr:col>4</xdr:col>
      <xdr:colOff>0</xdr:colOff>
      <xdr:row>195</xdr:row>
      <xdr:rowOff>0</xdr:rowOff>
    </xdr:to>
    <xdr:sp macro="" textlink="">
      <xdr:nvSpPr>
        <xdr:cNvPr id="237" name="Line 496"/>
        <xdr:cNvSpPr>
          <a:spLocks noChangeShapeType="1"/>
        </xdr:cNvSpPr>
      </xdr:nvSpPr>
      <xdr:spPr bwMode="auto">
        <a:xfrm>
          <a:off x="2514600" y="32032575"/>
          <a:ext cx="0" cy="114300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381000</xdr:colOff>
      <xdr:row>178</xdr:row>
      <xdr:rowOff>0</xdr:rowOff>
    </xdr:from>
    <xdr:to>
      <xdr:col>4</xdr:col>
      <xdr:colOff>381000</xdr:colOff>
      <xdr:row>195</xdr:row>
      <xdr:rowOff>0</xdr:rowOff>
    </xdr:to>
    <xdr:sp macro="" textlink="">
      <xdr:nvSpPr>
        <xdr:cNvPr id="238" name="Line 497"/>
        <xdr:cNvSpPr>
          <a:spLocks noChangeShapeType="1"/>
        </xdr:cNvSpPr>
      </xdr:nvSpPr>
      <xdr:spPr bwMode="auto">
        <a:xfrm>
          <a:off x="2895600" y="30422850"/>
          <a:ext cx="0" cy="2752725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28575</xdr:colOff>
      <xdr:row>195</xdr:row>
      <xdr:rowOff>0</xdr:rowOff>
    </xdr:from>
    <xdr:to>
      <xdr:col>5</xdr:col>
      <xdr:colOff>0</xdr:colOff>
      <xdr:row>195</xdr:row>
      <xdr:rowOff>0</xdr:rowOff>
    </xdr:to>
    <xdr:sp macro="" textlink="">
      <xdr:nvSpPr>
        <xdr:cNvPr id="239" name="Line 498"/>
        <xdr:cNvSpPr>
          <a:spLocks noChangeShapeType="1"/>
        </xdr:cNvSpPr>
      </xdr:nvSpPr>
      <xdr:spPr bwMode="auto">
        <a:xfrm>
          <a:off x="2543175" y="33175575"/>
          <a:ext cx="742950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171450</xdr:colOff>
      <xdr:row>197</xdr:row>
      <xdr:rowOff>152400</xdr:rowOff>
    </xdr:from>
    <xdr:to>
      <xdr:col>5</xdr:col>
      <xdr:colOff>476250</xdr:colOff>
      <xdr:row>198</xdr:row>
      <xdr:rowOff>0</xdr:rowOff>
    </xdr:to>
    <xdr:sp macro="" textlink="">
      <xdr:nvSpPr>
        <xdr:cNvPr id="240" name="Line 500"/>
        <xdr:cNvSpPr>
          <a:spLocks noChangeShapeType="1"/>
        </xdr:cNvSpPr>
      </xdr:nvSpPr>
      <xdr:spPr bwMode="auto">
        <a:xfrm>
          <a:off x="3457575" y="33651825"/>
          <a:ext cx="30480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198</xdr:row>
      <xdr:rowOff>0</xdr:rowOff>
    </xdr:from>
    <xdr:to>
      <xdr:col>5</xdr:col>
      <xdr:colOff>342900</xdr:colOff>
      <xdr:row>199</xdr:row>
      <xdr:rowOff>9525</xdr:rowOff>
    </xdr:to>
    <xdr:sp macro="" textlink="">
      <xdr:nvSpPr>
        <xdr:cNvPr id="241" name="Line 501"/>
        <xdr:cNvSpPr>
          <a:spLocks noChangeShapeType="1"/>
        </xdr:cNvSpPr>
      </xdr:nvSpPr>
      <xdr:spPr bwMode="auto">
        <a:xfrm flipV="1">
          <a:off x="3629025" y="33661350"/>
          <a:ext cx="0" cy="17145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0</xdr:colOff>
      <xdr:row>198</xdr:row>
      <xdr:rowOff>57150</xdr:rowOff>
    </xdr:from>
    <xdr:to>
      <xdr:col>5</xdr:col>
      <xdr:colOff>285750</xdr:colOff>
      <xdr:row>199</xdr:row>
      <xdr:rowOff>66675</xdr:rowOff>
    </xdr:to>
    <xdr:sp macro="" textlink="">
      <xdr:nvSpPr>
        <xdr:cNvPr id="242" name="Line 502"/>
        <xdr:cNvSpPr>
          <a:spLocks noChangeShapeType="1"/>
        </xdr:cNvSpPr>
      </xdr:nvSpPr>
      <xdr:spPr bwMode="auto">
        <a:xfrm flipV="1">
          <a:off x="3286125" y="33718500"/>
          <a:ext cx="2857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419100</xdr:colOff>
      <xdr:row>198</xdr:row>
      <xdr:rowOff>104775</xdr:rowOff>
    </xdr:from>
    <xdr:to>
      <xdr:col>6</xdr:col>
      <xdr:colOff>0</xdr:colOff>
      <xdr:row>199</xdr:row>
      <xdr:rowOff>85725</xdr:rowOff>
    </xdr:to>
    <xdr:sp macro="" textlink="">
      <xdr:nvSpPr>
        <xdr:cNvPr id="243" name="Line 503"/>
        <xdr:cNvSpPr>
          <a:spLocks noChangeShapeType="1"/>
        </xdr:cNvSpPr>
      </xdr:nvSpPr>
      <xdr:spPr bwMode="auto">
        <a:xfrm flipH="1" flipV="1">
          <a:off x="3705225" y="33766125"/>
          <a:ext cx="28575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228600</xdr:colOff>
      <xdr:row>178</xdr:row>
      <xdr:rowOff>9525</xdr:rowOff>
    </xdr:from>
    <xdr:to>
      <xdr:col>2</xdr:col>
      <xdr:colOff>381000</xdr:colOff>
      <xdr:row>178</xdr:row>
      <xdr:rowOff>104775</xdr:rowOff>
    </xdr:to>
    <xdr:sp macro="" textlink="">
      <xdr:nvSpPr>
        <xdr:cNvPr id="244" name="Line 504"/>
        <xdr:cNvSpPr>
          <a:spLocks noChangeShapeType="1"/>
        </xdr:cNvSpPr>
      </xdr:nvSpPr>
      <xdr:spPr bwMode="auto">
        <a:xfrm flipH="1">
          <a:off x="1447800" y="3043237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178</xdr:row>
      <xdr:rowOff>0</xdr:rowOff>
    </xdr:from>
    <xdr:to>
      <xdr:col>2</xdr:col>
      <xdr:colOff>514350</xdr:colOff>
      <xdr:row>178</xdr:row>
      <xdr:rowOff>123825</xdr:rowOff>
    </xdr:to>
    <xdr:sp macro="" textlink="">
      <xdr:nvSpPr>
        <xdr:cNvPr id="245" name="Line 505"/>
        <xdr:cNvSpPr>
          <a:spLocks noChangeShapeType="1"/>
        </xdr:cNvSpPr>
      </xdr:nvSpPr>
      <xdr:spPr bwMode="auto">
        <a:xfrm>
          <a:off x="1609725" y="3042285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178</xdr:row>
      <xdr:rowOff>0</xdr:rowOff>
    </xdr:from>
    <xdr:to>
      <xdr:col>2</xdr:col>
      <xdr:colOff>514350</xdr:colOff>
      <xdr:row>178</xdr:row>
      <xdr:rowOff>114300</xdr:rowOff>
    </xdr:to>
    <xdr:sp macro="" textlink="">
      <xdr:nvSpPr>
        <xdr:cNvPr id="246" name="Line 506"/>
        <xdr:cNvSpPr>
          <a:spLocks noChangeShapeType="1"/>
        </xdr:cNvSpPr>
      </xdr:nvSpPr>
      <xdr:spPr bwMode="auto">
        <a:xfrm flipV="1">
          <a:off x="1590675" y="3042285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238125</xdr:colOff>
      <xdr:row>178</xdr:row>
      <xdr:rowOff>19050</xdr:rowOff>
    </xdr:from>
    <xdr:to>
      <xdr:col>3</xdr:col>
      <xdr:colOff>352425</xdr:colOff>
      <xdr:row>178</xdr:row>
      <xdr:rowOff>142875</xdr:rowOff>
    </xdr:to>
    <xdr:sp macro="" textlink="">
      <xdr:nvSpPr>
        <xdr:cNvPr id="247" name="Line 507"/>
        <xdr:cNvSpPr>
          <a:spLocks noChangeShapeType="1"/>
        </xdr:cNvSpPr>
      </xdr:nvSpPr>
      <xdr:spPr bwMode="auto">
        <a:xfrm>
          <a:off x="2200275" y="30441900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178</xdr:row>
      <xdr:rowOff>9525</xdr:rowOff>
    </xdr:from>
    <xdr:to>
      <xdr:col>3</xdr:col>
      <xdr:colOff>381000</xdr:colOff>
      <xdr:row>178</xdr:row>
      <xdr:rowOff>104775</xdr:rowOff>
    </xdr:to>
    <xdr:sp macro="" textlink="">
      <xdr:nvSpPr>
        <xdr:cNvPr id="248" name="Line 508"/>
        <xdr:cNvSpPr>
          <a:spLocks noChangeShapeType="1"/>
        </xdr:cNvSpPr>
      </xdr:nvSpPr>
      <xdr:spPr bwMode="auto">
        <a:xfrm flipH="1">
          <a:off x="2190750" y="3043237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178</xdr:row>
      <xdr:rowOff>0</xdr:rowOff>
    </xdr:from>
    <xdr:to>
      <xdr:col>3</xdr:col>
      <xdr:colOff>514350</xdr:colOff>
      <xdr:row>178</xdr:row>
      <xdr:rowOff>123825</xdr:rowOff>
    </xdr:to>
    <xdr:sp macro="" textlink="">
      <xdr:nvSpPr>
        <xdr:cNvPr id="249" name="Line 509"/>
        <xdr:cNvSpPr>
          <a:spLocks noChangeShapeType="1"/>
        </xdr:cNvSpPr>
      </xdr:nvSpPr>
      <xdr:spPr bwMode="auto">
        <a:xfrm>
          <a:off x="2352675" y="3042285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178</xdr:row>
      <xdr:rowOff>0</xdr:rowOff>
    </xdr:from>
    <xdr:to>
      <xdr:col>3</xdr:col>
      <xdr:colOff>514350</xdr:colOff>
      <xdr:row>178</xdr:row>
      <xdr:rowOff>114300</xdr:rowOff>
    </xdr:to>
    <xdr:sp macro="" textlink="">
      <xdr:nvSpPr>
        <xdr:cNvPr id="250" name="Line 510"/>
        <xdr:cNvSpPr>
          <a:spLocks noChangeShapeType="1"/>
        </xdr:cNvSpPr>
      </xdr:nvSpPr>
      <xdr:spPr bwMode="auto">
        <a:xfrm flipV="1">
          <a:off x="2333625" y="3042285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178</xdr:row>
      <xdr:rowOff>9525</xdr:rowOff>
    </xdr:from>
    <xdr:to>
      <xdr:col>3</xdr:col>
      <xdr:colOff>381000</xdr:colOff>
      <xdr:row>178</xdr:row>
      <xdr:rowOff>104775</xdr:rowOff>
    </xdr:to>
    <xdr:sp macro="" textlink="">
      <xdr:nvSpPr>
        <xdr:cNvPr id="251" name="Line 511"/>
        <xdr:cNvSpPr>
          <a:spLocks noChangeShapeType="1"/>
        </xdr:cNvSpPr>
      </xdr:nvSpPr>
      <xdr:spPr bwMode="auto">
        <a:xfrm flipH="1">
          <a:off x="2190750" y="3043237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178</xdr:row>
      <xdr:rowOff>0</xdr:rowOff>
    </xdr:from>
    <xdr:to>
      <xdr:col>3</xdr:col>
      <xdr:colOff>514350</xdr:colOff>
      <xdr:row>178</xdr:row>
      <xdr:rowOff>123825</xdr:rowOff>
    </xdr:to>
    <xdr:sp macro="" textlink="">
      <xdr:nvSpPr>
        <xdr:cNvPr id="252" name="Line 512"/>
        <xdr:cNvSpPr>
          <a:spLocks noChangeShapeType="1"/>
        </xdr:cNvSpPr>
      </xdr:nvSpPr>
      <xdr:spPr bwMode="auto">
        <a:xfrm>
          <a:off x="2352675" y="3042285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178</xdr:row>
      <xdr:rowOff>0</xdr:rowOff>
    </xdr:from>
    <xdr:to>
      <xdr:col>3</xdr:col>
      <xdr:colOff>514350</xdr:colOff>
      <xdr:row>178</xdr:row>
      <xdr:rowOff>114300</xdr:rowOff>
    </xdr:to>
    <xdr:sp macro="" textlink="">
      <xdr:nvSpPr>
        <xdr:cNvPr id="253" name="Line 513"/>
        <xdr:cNvSpPr>
          <a:spLocks noChangeShapeType="1"/>
        </xdr:cNvSpPr>
      </xdr:nvSpPr>
      <xdr:spPr bwMode="auto">
        <a:xfrm flipV="1">
          <a:off x="2333625" y="3042285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178</xdr:row>
      <xdr:rowOff>38100</xdr:rowOff>
    </xdr:from>
    <xdr:to>
      <xdr:col>3</xdr:col>
      <xdr:colOff>809625</xdr:colOff>
      <xdr:row>179</xdr:row>
      <xdr:rowOff>0</xdr:rowOff>
    </xdr:to>
    <xdr:sp macro="" textlink="">
      <xdr:nvSpPr>
        <xdr:cNvPr id="254" name="Line 514"/>
        <xdr:cNvSpPr>
          <a:spLocks noChangeShapeType="1"/>
        </xdr:cNvSpPr>
      </xdr:nvSpPr>
      <xdr:spPr bwMode="auto">
        <a:xfrm>
          <a:off x="2428875" y="30460950"/>
          <a:ext cx="857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178</xdr:row>
      <xdr:rowOff>0</xdr:rowOff>
    </xdr:from>
    <xdr:to>
      <xdr:col>5</xdr:col>
      <xdr:colOff>0</xdr:colOff>
      <xdr:row>178</xdr:row>
      <xdr:rowOff>0</xdr:rowOff>
    </xdr:to>
    <xdr:sp macro="" textlink="">
      <xdr:nvSpPr>
        <xdr:cNvPr id="255" name="Line 515"/>
        <xdr:cNvSpPr>
          <a:spLocks noChangeShapeType="1"/>
        </xdr:cNvSpPr>
      </xdr:nvSpPr>
      <xdr:spPr bwMode="auto">
        <a:xfrm>
          <a:off x="2886075" y="30422850"/>
          <a:ext cx="4000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177</xdr:row>
      <xdr:rowOff>0</xdr:rowOff>
    </xdr:from>
    <xdr:to>
      <xdr:col>4</xdr:col>
      <xdr:colOff>371475</xdr:colOff>
      <xdr:row>177</xdr:row>
      <xdr:rowOff>85725</xdr:rowOff>
    </xdr:to>
    <xdr:sp macro="" textlink="">
      <xdr:nvSpPr>
        <xdr:cNvPr id="256" name="Line 516"/>
        <xdr:cNvSpPr>
          <a:spLocks noChangeShapeType="1"/>
        </xdr:cNvSpPr>
      </xdr:nvSpPr>
      <xdr:spPr bwMode="auto">
        <a:xfrm>
          <a:off x="2886075" y="302609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176</xdr:row>
      <xdr:rowOff>152400</xdr:rowOff>
    </xdr:from>
    <xdr:to>
      <xdr:col>5</xdr:col>
      <xdr:colOff>0</xdr:colOff>
      <xdr:row>177</xdr:row>
      <xdr:rowOff>85725</xdr:rowOff>
    </xdr:to>
    <xdr:sp macro="" textlink="">
      <xdr:nvSpPr>
        <xdr:cNvPr id="257" name="Line 517"/>
        <xdr:cNvSpPr>
          <a:spLocks noChangeShapeType="1"/>
        </xdr:cNvSpPr>
      </xdr:nvSpPr>
      <xdr:spPr bwMode="auto">
        <a:xfrm>
          <a:off x="3286125" y="302514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177</xdr:row>
      <xdr:rowOff>47625</xdr:rowOff>
    </xdr:from>
    <xdr:to>
      <xdr:col>5</xdr:col>
      <xdr:colOff>0</xdr:colOff>
      <xdr:row>177</xdr:row>
      <xdr:rowOff>47625</xdr:rowOff>
    </xdr:to>
    <xdr:sp macro="" textlink="">
      <xdr:nvSpPr>
        <xdr:cNvPr id="258" name="Line 518"/>
        <xdr:cNvSpPr>
          <a:spLocks noChangeShapeType="1"/>
        </xdr:cNvSpPr>
      </xdr:nvSpPr>
      <xdr:spPr bwMode="auto">
        <a:xfrm>
          <a:off x="2876550" y="30308550"/>
          <a:ext cx="40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133350</xdr:colOff>
      <xdr:row>197</xdr:row>
      <xdr:rowOff>152400</xdr:rowOff>
    </xdr:from>
    <xdr:to>
      <xdr:col>1</xdr:col>
      <xdr:colOff>600075</xdr:colOff>
      <xdr:row>197</xdr:row>
      <xdr:rowOff>152400</xdr:rowOff>
    </xdr:to>
    <xdr:sp macro="" textlink="">
      <xdr:nvSpPr>
        <xdr:cNvPr id="259" name="Line 520"/>
        <xdr:cNvSpPr>
          <a:spLocks noChangeShapeType="1"/>
        </xdr:cNvSpPr>
      </xdr:nvSpPr>
      <xdr:spPr bwMode="auto">
        <a:xfrm>
          <a:off x="742950" y="3365182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205</xdr:row>
      <xdr:rowOff>0</xdr:rowOff>
    </xdr:from>
    <xdr:to>
      <xdr:col>5</xdr:col>
      <xdr:colOff>495300</xdr:colOff>
      <xdr:row>205</xdr:row>
      <xdr:rowOff>0</xdr:rowOff>
    </xdr:to>
    <xdr:sp macro="" textlink="">
      <xdr:nvSpPr>
        <xdr:cNvPr id="261" name="Line 523"/>
        <xdr:cNvSpPr>
          <a:spLocks noChangeShapeType="1"/>
        </xdr:cNvSpPr>
      </xdr:nvSpPr>
      <xdr:spPr bwMode="auto">
        <a:xfrm>
          <a:off x="1219200" y="34794825"/>
          <a:ext cx="2562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204</xdr:row>
      <xdr:rowOff>66675</xdr:rowOff>
    </xdr:from>
    <xdr:to>
      <xdr:col>2</xdr:col>
      <xdr:colOff>0</xdr:colOff>
      <xdr:row>205</xdr:row>
      <xdr:rowOff>85725</xdr:rowOff>
    </xdr:to>
    <xdr:sp macro="" textlink="">
      <xdr:nvSpPr>
        <xdr:cNvPr id="262" name="Line 524"/>
        <xdr:cNvSpPr>
          <a:spLocks noChangeShapeType="1"/>
        </xdr:cNvSpPr>
      </xdr:nvSpPr>
      <xdr:spPr bwMode="auto">
        <a:xfrm>
          <a:off x="1219200" y="346995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204</xdr:row>
      <xdr:rowOff>95250</xdr:rowOff>
    </xdr:from>
    <xdr:to>
      <xdr:col>5</xdr:col>
      <xdr:colOff>514350</xdr:colOff>
      <xdr:row>205</xdr:row>
      <xdr:rowOff>47625</xdr:rowOff>
    </xdr:to>
    <xdr:sp macro="" textlink="">
      <xdr:nvSpPr>
        <xdr:cNvPr id="263" name="Line 525"/>
        <xdr:cNvSpPr>
          <a:spLocks noChangeShapeType="1"/>
        </xdr:cNvSpPr>
      </xdr:nvSpPr>
      <xdr:spPr bwMode="auto">
        <a:xfrm>
          <a:off x="3800475" y="347281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438150</xdr:colOff>
      <xdr:row>178</xdr:row>
      <xdr:rowOff>0</xdr:rowOff>
    </xdr:from>
    <xdr:to>
      <xdr:col>4</xdr:col>
      <xdr:colOff>361950</xdr:colOff>
      <xdr:row>178</xdr:row>
      <xdr:rowOff>9525</xdr:rowOff>
    </xdr:to>
    <xdr:sp macro="" textlink="">
      <xdr:nvSpPr>
        <xdr:cNvPr id="264" name="Line 526"/>
        <xdr:cNvSpPr>
          <a:spLocks noChangeShapeType="1"/>
        </xdr:cNvSpPr>
      </xdr:nvSpPr>
      <xdr:spPr bwMode="auto">
        <a:xfrm>
          <a:off x="1047750" y="30422850"/>
          <a:ext cx="18288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178</xdr:row>
      <xdr:rowOff>0</xdr:rowOff>
    </xdr:from>
    <xdr:to>
      <xdr:col>5</xdr:col>
      <xdr:colOff>0</xdr:colOff>
      <xdr:row>195</xdr:row>
      <xdr:rowOff>9525</xdr:rowOff>
    </xdr:to>
    <xdr:sp macro="" textlink="">
      <xdr:nvSpPr>
        <xdr:cNvPr id="265" name="Line 527"/>
        <xdr:cNvSpPr>
          <a:spLocks noChangeShapeType="1"/>
        </xdr:cNvSpPr>
      </xdr:nvSpPr>
      <xdr:spPr bwMode="auto">
        <a:xfrm>
          <a:off x="3286125" y="30422850"/>
          <a:ext cx="0" cy="2762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195</xdr:row>
      <xdr:rowOff>0</xdr:rowOff>
    </xdr:from>
    <xdr:to>
      <xdr:col>5</xdr:col>
      <xdr:colOff>476250</xdr:colOff>
      <xdr:row>195</xdr:row>
      <xdr:rowOff>0</xdr:rowOff>
    </xdr:to>
    <xdr:sp macro="" textlink="">
      <xdr:nvSpPr>
        <xdr:cNvPr id="266" name="Line 528"/>
        <xdr:cNvSpPr>
          <a:spLocks noChangeShapeType="1"/>
        </xdr:cNvSpPr>
      </xdr:nvSpPr>
      <xdr:spPr bwMode="auto">
        <a:xfrm>
          <a:off x="3286125" y="33175575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195</xdr:row>
      <xdr:rowOff>9525</xdr:rowOff>
    </xdr:from>
    <xdr:to>
      <xdr:col>5</xdr:col>
      <xdr:colOff>476250</xdr:colOff>
      <xdr:row>198</xdr:row>
      <xdr:rowOff>0</xdr:rowOff>
    </xdr:to>
    <xdr:sp macro="" textlink="">
      <xdr:nvSpPr>
        <xdr:cNvPr id="267" name="Line 529"/>
        <xdr:cNvSpPr>
          <a:spLocks noChangeShapeType="1"/>
        </xdr:cNvSpPr>
      </xdr:nvSpPr>
      <xdr:spPr bwMode="auto">
        <a:xfrm>
          <a:off x="3762375" y="33185100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197</xdr:row>
      <xdr:rowOff>152400</xdr:rowOff>
    </xdr:from>
    <xdr:to>
      <xdr:col>5</xdr:col>
      <xdr:colOff>161925</xdr:colOff>
      <xdr:row>198</xdr:row>
      <xdr:rowOff>0</xdr:rowOff>
    </xdr:to>
    <xdr:sp macro="" textlink="">
      <xdr:nvSpPr>
        <xdr:cNvPr id="268" name="Line 530"/>
        <xdr:cNvSpPr>
          <a:spLocks noChangeShapeType="1"/>
        </xdr:cNvSpPr>
      </xdr:nvSpPr>
      <xdr:spPr bwMode="auto">
        <a:xfrm flipH="1" flipV="1">
          <a:off x="1209675" y="33651825"/>
          <a:ext cx="22383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194</xdr:row>
      <xdr:rowOff>152400</xdr:rowOff>
    </xdr:from>
    <xdr:to>
      <xdr:col>2</xdr:col>
      <xdr:colOff>0</xdr:colOff>
      <xdr:row>197</xdr:row>
      <xdr:rowOff>152400</xdr:rowOff>
    </xdr:to>
    <xdr:sp macro="" textlink="">
      <xdr:nvSpPr>
        <xdr:cNvPr id="269" name="Line 531"/>
        <xdr:cNvSpPr>
          <a:spLocks noChangeShapeType="1"/>
        </xdr:cNvSpPr>
      </xdr:nvSpPr>
      <xdr:spPr bwMode="auto">
        <a:xfrm flipV="1">
          <a:off x="1219200" y="33166050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195</xdr:row>
      <xdr:rowOff>0</xdr:rowOff>
    </xdr:from>
    <xdr:to>
      <xdr:col>4</xdr:col>
      <xdr:colOff>0</xdr:colOff>
      <xdr:row>195</xdr:row>
      <xdr:rowOff>0</xdr:rowOff>
    </xdr:to>
    <xdr:sp macro="" textlink="">
      <xdr:nvSpPr>
        <xdr:cNvPr id="270" name="Line 532"/>
        <xdr:cNvSpPr>
          <a:spLocks noChangeShapeType="1"/>
        </xdr:cNvSpPr>
      </xdr:nvSpPr>
      <xdr:spPr bwMode="auto">
        <a:xfrm>
          <a:off x="1209675" y="33175575"/>
          <a:ext cx="13049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178</xdr:row>
      <xdr:rowOff>0</xdr:rowOff>
    </xdr:from>
    <xdr:to>
      <xdr:col>4</xdr:col>
      <xdr:colOff>381000</xdr:colOff>
      <xdr:row>195</xdr:row>
      <xdr:rowOff>0</xdr:rowOff>
    </xdr:to>
    <xdr:sp macro="" textlink="">
      <xdr:nvSpPr>
        <xdr:cNvPr id="271" name="Line 533"/>
        <xdr:cNvSpPr>
          <a:spLocks noChangeShapeType="1"/>
        </xdr:cNvSpPr>
      </xdr:nvSpPr>
      <xdr:spPr bwMode="auto">
        <a:xfrm flipV="1">
          <a:off x="2524125" y="30422850"/>
          <a:ext cx="371475" cy="27527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198</xdr:row>
      <xdr:rowOff>0</xdr:rowOff>
    </xdr:from>
    <xdr:to>
      <xdr:col>5</xdr:col>
      <xdr:colOff>476250</xdr:colOff>
      <xdr:row>199</xdr:row>
      <xdr:rowOff>0</xdr:rowOff>
    </xdr:to>
    <xdr:sp macro="" textlink="">
      <xdr:nvSpPr>
        <xdr:cNvPr id="272" name="Line 534"/>
        <xdr:cNvSpPr>
          <a:spLocks noChangeShapeType="1"/>
        </xdr:cNvSpPr>
      </xdr:nvSpPr>
      <xdr:spPr bwMode="auto">
        <a:xfrm>
          <a:off x="3762375" y="33661350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199</xdr:row>
      <xdr:rowOff>9525</xdr:rowOff>
    </xdr:from>
    <xdr:to>
      <xdr:col>5</xdr:col>
      <xdr:colOff>476250</xdr:colOff>
      <xdr:row>199</xdr:row>
      <xdr:rowOff>9525</xdr:rowOff>
    </xdr:to>
    <xdr:sp macro="" textlink="">
      <xdr:nvSpPr>
        <xdr:cNvPr id="273" name="Line 535"/>
        <xdr:cNvSpPr>
          <a:spLocks noChangeShapeType="1"/>
        </xdr:cNvSpPr>
      </xdr:nvSpPr>
      <xdr:spPr bwMode="auto">
        <a:xfrm flipH="1">
          <a:off x="3629025" y="33832800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197</xdr:row>
      <xdr:rowOff>152400</xdr:rowOff>
    </xdr:from>
    <xdr:to>
      <xdr:col>5</xdr:col>
      <xdr:colOff>352425</xdr:colOff>
      <xdr:row>199</xdr:row>
      <xdr:rowOff>19050</xdr:rowOff>
    </xdr:to>
    <xdr:sp macro="" textlink="">
      <xdr:nvSpPr>
        <xdr:cNvPr id="274" name="Line 536"/>
        <xdr:cNvSpPr>
          <a:spLocks noChangeShapeType="1"/>
        </xdr:cNvSpPr>
      </xdr:nvSpPr>
      <xdr:spPr bwMode="auto">
        <a:xfrm flipH="1" flipV="1">
          <a:off x="3448050" y="33651825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199</xdr:row>
      <xdr:rowOff>76200</xdr:rowOff>
    </xdr:from>
    <xdr:to>
      <xdr:col>5</xdr:col>
      <xdr:colOff>485775</xdr:colOff>
      <xdr:row>200</xdr:row>
      <xdr:rowOff>28575</xdr:rowOff>
    </xdr:to>
    <xdr:sp macro="" textlink="">
      <xdr:nvSpPr>
        <xdr:cNvPr id="275" name="Line 537"/>
        <xdr:cNvSpPr>
          <a:spLocks noChangeShapeType="1"/>
        </xdr:cNvSpPr>
      </xdr:nvSpPr>
      <xdr:spPr bwMode="auto">
        <a:xfrm>
          <a:off x="3771900" y="338994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199</xdr:row>
      <xdr:rowOff>76200</xdr:rowOff>
    </xdr:from>
    <xdr:to>
      <xdr:col>5</xdr:col>
      <xdr:colOff>352425</xdr:colOff>
      <xdr:row>200</xdr:row>
      <xdr:rowOff>38100</xdr:rowOff>
    </xdr:to>
    <xdr:sp macro="" textlink="">
      <xdr:nvSpPr>
        <xdr:cNvPr id="276" name="Line 538"/>
        <xdr:cNvSpPr>
          <a:spLocks noChangeShapeType="1"/>
        </xdr:cNvSpPr>
      </xdr:nvSpPr>
      <xdr:spPr bwMode="auto">
        <a:xfrm>
          <a:off x="3638550" y="338994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200</xdr:row>
      <xdr:rowOff>0</xdr:rowOff>
    </xdr:from>
    <xdr:to>
      <xdr:col>5</xdr:col>
      <xdr:colOff>485775</xdr:colOff>
      <xdr:row>200</xdr:row>
      <xdr:rowOff>0</xdr:rowOff>
    </xdr:to>
    <xdr:sp macro="" textlink="">
      <xdr:nvSpPr>
        <xdr:cNvPr id="277" name="Line 539"/>
        <xdr:cNvSpPr>
          <a:spLocks noChangeShapeType="1"/>
        </xdr:cNvSpPr>
      </xdr:nvSpPr>
      <xdr:spPr bwMode="auto">
        <a:xfrm>
          <a:off x="3638550" y="339852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199</xdr:row>
      <xdr:rowOff>114300</xdr:rowOff>
    </xdr:from>
    <xdr:to>
      <xdr:col>5</xdr:col>
      <xdr:colOff>180975</xdr:colOff>
      <xdr:row>200</xdr:row>
      <xdr:rowOff>28575</xdr:rowOff>
    </xdr:to>
    <xdr:sp macro="" textlink="">
      <xdr:nvSpPr>
        <xdr:cNvPr id="278" name="Line 540"/>
        <xdr:cNvSpPr>
          <a:spLocks noChangeShapeType="1"/>
        </xdr:cNvSpPr>
      </xdr:nvSpPr>
      <xdr:spPr bwMode="auto">
        <a:xfrm>
          <a:off x="3467100" y="3393757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200</xdr:row>
      <xdr:rowOff>0</xdr:rowOff>
    </xdr:from>
    <xdr:to>
      <xdr:col>5</xdr:col>
      <xdr:colOff>352425</xdr:colOff>
      <xdr:row>200</xdr:row>
      <xdr:rowOff>0</xdr:rowOff>
    </xdr:to>
    <xdr:sp macro="" textlink="">
      <xdr:nvSpPr>
        <xdr:cNvPr id="279" name="Line 541"/>
        <xdr:cNvSpPr>
          <a:spLocks noChangeShapeType="1"/>
        </xdr:cNvSpPr>
      </xdr:nvSpPr>
      <xdr:spPr bwMode="auto">
        <a:xfrm>
          <a:off x="3467100" y="339852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200</xdr:row>
      <xdr:rowOff>19050</xdr:rowOff>
    </xdr:from>
    <xdr:to>
      <xdr:col>5</xdr:col>
      <xdr:colOff>428625</xdr:colOff>
      <xdr:row>200</xdr:row>
      <xdr:rowOff>104775</xdr:rowOff>
    </xdr:to>
    <xdr:sp macro="" textlink="">
      <xdr:nvSpPr>
        <xdr:cNvPr id="280" name="Line 542"/>
        <xdr:cNvSpPr>
          <a:spLocks noChangeShapeType="1"/>
        </xdr:cNvSpPr>
      </xdr:nvSpPr>
      <xdr:spPr bwMode="auto">
        <a:xfrm flipV="1">
          <a:off x="3714750" y="340042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200</xdr:row>
      <xdr:rowOff>104775</xdr:rowOff>
    </xdr:from>
    <xdr:to>
      <xdr:col>6</xdr:col>
      <xdr:colOff>76200</xdr:colOff>
      <xdr:row>200</xdr:row>
      <xdr:rowOff>104775</xdr:rowOff>
    </xdr:to>
    <xdr:sp macro="" textlink="">
      <xdr:nvSpPr>
        <xdr:cNvPr id="281" name="Line 543"/>
        <xdr:cNvSpPr>
          <a:spLocks noChangeShapeType="1"/>
        </xdr:cNvSpPr>
      </xdr:nvSpPr>
      <xdr:spPr bwMode="auto">
        <a:xfrm>
          <a:off x="3733800" y="3408997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200</xdr:row>
      <xdr:rowOff>0</xdr:rowOff>
    </xdr:from>
    <xdr:to>
      <xdr:col>5</xdr:col>
      <xdr:colOff>285750</xdr:colOff>
      <xdr:row>201</xdr:row>
      <xdr:rowOff>57150</xdr:rowOff>
    </xdr:to>
    <xdr:sp macro="" textlink="">
      <xdr:nvSpPr>
        <xdr:cNvPr id="282" name="Line 544"/>
        <xdr:cNvSpPr>
          <a:spLocks noChangeShapeType="1"/>
        </xdr:cNvSpPr>
      </xdr:nvSpPr>
      <xdr:spPr bwMode="auto">
        <a:xfrm flipV="1">
          <a:off x="3571875" y="33985200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201</xdr:row>
      <xdr:rowOff>47625</xdr:rowOff>
    </xdr:from>
    <xdr:to>
      <xdr:col>6</xdr:col>
      <xdr:colOff>76200</xdr:colOff>
      <xdr:row>201</xdr:row>
      <xdr:rowOff>47625</xdr:rowOff>
    </xdr:to>
    <xdr:sp macro="" textlink="">
      <xdr:nvSpPr>
        <xdr:cNvPr id="283" name="Line 545"/>
        <xdr:cNvSpPr>
          <a:spLocks noChangeShapeType="1"/>
        </xdr:cNvSpPr>
      </xdr:nvSpPr>
      <xdr:spPr bwMode="auto">
        <a:xfrm>
          <a:off x="3571875" y="3419475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202</xdr:row>
      <xdr:rowOff>152400</xdr:rowOff>
    </xdr:from>
    <xdr:to>
      <xdr:col>5</xdr:col>
      <xdr:colOff>504825</xdr:colOff>
      <xdr:row>203</xdr:row>
      <xdr:rowOff>0</xdr:rowOff>
    </xdr:to>
    <xdr:sp macro="" textlink="">
      <xdr:nvSpPr>
        <xdr:cNvPr id="284" name="Line 546"/>
        <xdr:cNvSpPr>
          <a:spLocks noChangeShapeType="1"/>
        </xdr:cNvSpPr>
      </xdr:nvSpPr>
      <xdr:spPr bwMode="auto">
        <a:xfrm flipH="1">
          <a:off x="3286125" y="34461450"/>
          <a:ext cx="5048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0</xdr:colOff>
      <xdr:row>203</xdr:row>
      <xdr:rowOff>9525</xdr:rowOff>
    </xdr:from>
    <xdr:to>
      <xdr:col>5</xdr:col>
      <xdr:colOff>0</xdr:colOff>
      <xdr:row>203</xdr:row>
      <xdr:rowOff>9525</xdr:rowOff>
    </xdr:to>
    <xdr:sp macro="" textlink="">
      <xdr:nvSpPr>
        <xdr:cNvPr id="285" name="Line 547"/>
        <xdr:cNvSpPr>
          <a:spLocks noChangeShapeType="1"/>
        </xdr:cNvSpPr>
      </xdr:nvSpPr>
      <xdr:spPr bwMode="auto">
        <a:xfrm flipH="1">
          <a:off x="2514600" y="34480500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600075</xdr:colOff>
      <xdr:row>203</xdr:row>
      <xdr:rowOff>9525</xdr:rowOff>
    </xdr:from>
    <xdr:to>
      <xdr:col>4</xdr:col>
      <xdr:colOff>19050</xdr:colOff>
      <xdr:row>203</xdr:row>
      <xdr:rowOff>9525</xdr:rowOff>
    </xdr:to>
    <xdr:sp macro="" textlink="">
      <xdr:nvSpPr>
        <xdr:cNvPr id="286" name="Line 548"/>
        <xdr:cNvSpPr>
          <a:spLocks noChangeShapeType="1"/>
        </xdr:cNvSpPr>
      </xdr:nvSpPr>
      <xdr:spPr bwMode="auto">
        <a:xfrm flipH="1">
          <a:off x="1209675" y="34480500"/>
          <a:ext cx="1323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202</xdr:row>
      <xdr:rowOff>104775</xdr:rowOff>
    </xdr:from>
    <xdr:to>
      <xdr:col>2</xdr:col>
      <xdr:colOff>0</xdr:colOff>
      <xdr:row>203</xdr:row>
      <xdr:rowOff>95250</xdr:rowOff>
    </xdr:to>
    <xdr:sp macro="" textlink="">
      <xdr:nvSpPr>
        <xdr:cNvPr id="287" name="Line 549"/>
        <xdr:cNvSpPr>
          <a:spLocks noChangeShapeType="1"/>
        </xdr:cNvSpPr>
      </xdr:nvSpPr>
      <xdr:spPr bwMode="auto">
        <a:xfrm>
          <a:off x="1219200" y="344138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202</xdr:row>
      <xdr:rowOff>104775</xdr:rowOff>
    </xdr:from>
    <xdr:to>
      <xdr:col>4</xdr:col>
      <xdr:colOff>0</xdr:colOff>
      <xdr:row>203</xdr:row>
      <xdr:rowOff>47625</xdr:rowOff>
    </xdr:to>
    <xdr:sp macro="" textlink="">
      <xdr:nvSpPr>
        <xdr:cNvPr id="288" name="Line 550"/>
        <xdr:cNvSpPr>
          <a:spLocks noChangeShapeType="1"/>
        </xdr:cNvSpPr>
      </xdr:nvSpPr>
      <xdr:spPr bwMode="auto">
        <a:xfrm>
          <a:off x="2514600" y="344138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202</xdr:row>
      <xdr:rowOff>104775</xdr:rowOff>
    </xdr:from>
    <xdr:to>
      <xdr:col>5</xdr:col>
      <xdr:colOff>0</xdr:colOff>
      <xdr:row>203</xdr:row>
      <xdr:rowOff>38100</xdr:rowOff>
    </xdr:to>
    <xdr:sp macro="" textlink="">
      <xdr:nvSpPr>
        <xdr:cNvPr id="289" name="Line 551"/>
        <xdr:cNvSpPr>
          <a:spLocks noChangeShapeType="1"/>
        </xdr:cNvSpPr>
      </xdr:nvSpPr>
      <xdr:spPr bwMode="auto">
        <a:xfrm>
          <a:off x="3286125" y="344138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202</xdr:row>
      <xdr:rowOff>123825</xdr:rowOff>
    </xdr:from>
    <xdr:to>
      <xdr:col>5</xdr:col>
      <xdr:colOff>514350</xdr:colOff>
      <xdr:row>203</xdr:row>
      <xdr:rowOff>57150</xdr:rowOff>
    </xdr:to>
    <xdr:sp macro="" textlink="">
      <xdr:nvSpPr>
        <xdr:cNvPr id="290" name="Line 552"/>
        <xdr:cNvSpPr>
          <a:spLocks noChangeShapeType="1"/>
        </xdr:cNvSpPr>
      </xdr:nvSpPr>
      <xdr:spPr bwMode="auto">
        <a:xfrm>
          <a:off x="3800475" y="344328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187</xdr:row>
      <xdr:rowOff>142875</xdr:rowOff>
    </xdr:from>
    <xdr:to>
      <xdr:col>4</xdr:col>
      <xdr:colOff>0</xdr:colOff>
      <xdr:row>195</xdr:row>
      <xdr:rowOff>0</xdr:rowOff>
    </xdr:to>
    <xdr:sp macro="" textlink="">
      <xdr:nvSpPr>
        <xdr:cNvPr id="291" name="Line 553"/>
        <xdr:cNvSpPr>
          <a:spLocks noChangeShapeType="1"/>
        </xdr:cNvSpPr>
      </xdr:nvSpPr>
      <xdr:spPr bwMode="auto">
        <a:xfrm>
          <a:off x="2514600" y="32023050"/>
          <a:ext cx="0" cy="115252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381000</xdr:colOff>
      <xdr:row>178</xdr:row>
      <xdr:rowOff>0</xdr:rowOff>
    </xdr:from>
    <xdr:to>
      <xdr:col>4</xdr:col>
      <xdr:colOff>381000</xdr:colOff>
      <xdr:row>195</xdr:row>
      <xdr:rowOff>0</xdr:rowOff>
    </xdr:to>
    <xdr:sp macro="" textlink="">
      <xdr:nvSpPr>
        <xdr:cNvPr id="292" name="Line 554"/>
        <xdr:cNvSpPr>
          <a:spLocks noChangeShapeType="1"/>
        </xdr:cNvSpPr>
      </xdr:nvSpPr>
      <xdr:spPr bwMode="auto">
        <a:xfrm>
          <a:off x="2895600" y="30422850"/>
          <a:ext cx="0" cy="275272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28575</xdr:colOff>
      <xdr:row>195</xdr:row>
      <xdr:rowOff>0</xdr:rowOff>
    </xdr:from>
    <xdr:to>
      <xdr:col>5</xdr:col>
      <xdr:colOff>0</xdr:colOff>
      <xdr:row>195</xdr:row>
      <xdr:rowOff>0</xdr:rowOff>
    </xdr:to>
    <xdr:sp macro="" textlink="">
      <xdr:nvSpPr>
        <xdr:cNvPr id="293" name="Line 555"/>
        <xdr:cNvSpPr>
          <a:spLocks noChangeShapeType="1"/>
        </xdr:cNvSpPr>
      </xdr:nvSpPr>
      <xdr:spPr bwMode="auto">
        <a:xfrm>
          <a:off x="2543175" y="33175575"/>
          <a:ext cx="74295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171450</xdr:colOff>
      <xdr:row>197</xdr:row>
      <xdr:rowOff>152400</xdr:rowOff>
    </xdr:from>
    <xdr:to>
      <xdr:col>5</xdr:col>
      <xdr:colOff>476250</xdr:colOff>
      <xdr:row>198</xdr:row>
      <xdr:rowOff>0</xdr:rowOff>
    </xdr:to>
    <xdr:sp macro="" textlink="">
      <xdr:nvSpPr>
        <xdr:cNvPr id="294" name="Line 557"/>
        <xdr:cNvSpPr>
          <a:spLocks noChangeShapeType="1"/>
        </xdr:cNvSpPr>
      </xdr:nvSpPr>
      <xdr:spPr bwMode="auto">
        <a:xfrm>
          <a:off x="3457575" y="33651825"/>
          <a:ext cx="30480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342900</xdr:colOff>
      <xdr:row>198</xdr:row>
      <xdr:rowOff>0</xdr:rowOff>
    </xdr:from>
    <xdr:to>
      <xdr:col>5</xdr:col>
      <xdr:colOff>342900</xdr:colOff>
      <xdr:row>199</xdr:row>
      <xdr:rowOff>9525</xdr:rowOff>
    </xdr:to>
    <xdr:sp macro="" textlink="">
      <xdr:nvSpPr>
        <xdr:cNvPr id="295" name="Line 558"/>
        <xdr:cNvSpPr>
          <a:spLocks noChangeShapeType="1"/>
        </xdr:cNvSpPr>
      </xdr:nvSpPr>
      <xdr:spPr bwMode="auto">
        <a:xfrm flipV="1">
          <a:off x="3629025" y="33661350"/>
          <a:ext cx="0" cy="17145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5</xdr:col>
      <xdr:colOff>0</xdr:colOff>
      <xdr:row>198</xdr:row>
      <xdr:rowOff>57150</xdr:rowOff>
    </xdr:from>
    <xdr:to>
      <xdr:col>5</xdr:col>
      <xdr:colOff>285750</xdr:colOff>
      <xdr:row>199</xdr:row>
      <xdr:rowOff>66675</xdr:rowOff>
    </xdr:to>
    <xdr:sp macro="" textlink="">
      <xdr:nvSpPr>
        <xdr:cNvPr id="296" name="Line 559"/>
        <xdr:cNvSpPr>
          <a:spLocks noChangeShapeType="1"/>
        </xdr:cNvSpPr>
      </xdr:nvSpPr>
      <xdr:spPr bwMode="auto">
        <a:xfrm flipV="1">
          <a:off x="3286125" y="33718500"/>
          <a:ext cx="2857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419100</xdr:colOff>
      <xdr:row>198</xdr:row>
      <xdr:rowOff>104775</xdr:rowOff>
    </xdr:from>
    <xdr:to>
      <xdr:col>6</xdr:col>
      <xdr:colOff>0</xdr:colOff>
      <xdr:row>199</xdr:row>
      <xdr:rowOff>85725</xdr:rowOff>
    </xdr:to>
    <xdr:sp macro="" textlink="">
      <xdr:nvSpPr>
        <xdr:cNvPr id="297" name="Line 560"/>
        <xdr:cNvSpPr>
          <a:spLocks noChangeShapeType="1"/>
        </xdr:cNvSpPr>
      </xdr:nvSpPr>
      <xdr:spPr bwMode="auto">
        <a:xfrm flipH="1" flipV="1">
          <a:off x="3705225" y="33766125"/>
          <a:ext cx="28575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228600</xdr:colOff>
      <xdr:row>178</xdr:row>
      <xdr:rowOff>9525</xdr:rowOff>
    </xdr:from>
    <xdr:to>
      <xdr:col>2</xdr:col>
      <xdr:colOff>381000</xdr:colOff>
      <xdr:row>178</xdr:row>
      <xdr:rowOff>104775</xdr:rowOff>
    </xdr:to>
    <xdr:sp macro="" textlink="">
      <xdr:nvSpPr>
        <xdr:cNvPr id="298" name="Line 561"/>
        <xdr:cNvSpPr>
          <a:spLocks noChangeShapeType="1"/>
        </xdr:cNvSpPr>
      </xdr:nvSpPr>
      <xdr:spPr bwMode="auto">
        <a:xfrm flipH="1">
          <a:off x="1447800" y="3043237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178</xdr:row>
      <xdr:rowOff>0</xdr:rowOff>
    </xdr:from>
    <xdr:to>
      <xdr:col>2</xdr:col>
      <xdr:colOff>514350</xdr:colOff>
      <xdr:row>178</xdr:row>
      <xdr:rowOff>123825</xdr:rowOff>
    </xdr:to>
    <xdr:sp macro="" textlink="">
      <xdr:nvSpPr>
        <xdr:cNvPr id="299" name="Line 562"/>
        <xdr:cNvSpPr>
          <a:spLocks noChangeShapeType="1"/>
        </xdr:cNvSpPr>
      </xdr:nvSpPr>
      <xdr:spPr bwMode="auto">
        <a:xfrm>
          <a:off x="1609725" y="3042285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178</xdr:row>
      <xdr:rowOff>0</xdr:rowOff>
    </xdr:from>
    <xdr:to>
      <xdr:col>2</xdr:col>
      <xdr:colOff>514350</xdr:colOff>
      <xdr:row>178</xdr:row>
      <xdr:rowOff>114300</xdr:rowOff>
    </xdr:to>
    <xdr:sp macro="" textlink="">
      <xdr:nvSpPr>
        <xdr:cNvPr id="300" name="Line 563"/>
        <xdr:cNvSpPr>
          <a:spLocks noChangeShapeType="1"/>
        </xdr:cNvSpPr>
      </xdr:nvSpPr>
      <xdr:spPr bwMode="auto">
        <a:xfrm flipV="1">
          <a:off x="1590675" y="3042285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323850</xdr:colOff>
      <xdr:row>178</xdr:row>
      <xdr:rowOff>0</xdr:rowOff>
    </xdr:from>
    <xdr:to>
      <xdr:col>3</xdr:col>
      <xdr:colOff>438150</xdr:colOff>
      <xdr:row>178</xdr:row>
      <xdr:rowOff>123825</xdr:rowOff>
    </xdr:to>
    <xdr:sp macro="" textlink="">
      <xdr:nvSpPr>
        <xdr:cNvPr id="301" name="Line 564"/>
        <xdr:cNvSpPr>
          <a:spLocks noChangeShapeType="1"/>
        </xdr:cNvSpPr>
      </xdr:nvSpPr>
      <xdr:spPr bwMode="auto">
        <a:xfrm>
          <a:off x="2286000" y="30422850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178</xdr:row>
      <xdr:rowOff>9525</xdr:rowOff>
    </xdr:from>
    <xdr:to>
      <xdr:col>3</xdr:col>
      <xdr:colOff>381000</xdr:colOff>
      <xdr:row>178</xdr:row>
      <xdr:rowOff>104775</xdr:rowOff>
    </xdr:to>
    <xdr:sp macro="" textlink="">
      <xdr:nvSpPr>
        <xdr:cNvPr id="302" name="Line 565"/>
        <xdr:cNvSpPr>
          <a:spLocks noChangeShapeType="1"/>
        </xdr:cNvSpPr>
      </xdr:nvSpPr>
      <xdr:spPr bwMode="auto">
        <a:xfrm flipH="1">
          <a:off x="2190750" y="3043237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178</xdr:row>
      <xdr:rowOff>0</xdr:rowOff>
    </xdr:from>
    <xdr:to>
      <xdr:col>3</xdr:col>
      <xdr:colOff>514350</xdr:colOff>
      <xdr:row>178</xdr:row>
      <xdr:rowOff>123825</xdr:rowOff>
    </xdr:to>
    <xdr:sp macro="" textlink="">
      <xdr:nvSpPr>
        <xdr:cNvPr id="303" name="Line 566"/>
        <xdr:cNvSpPr>
          <a:spLocks noChangeShapeType="1"/>
        </xdr:cNvSpPr>
      </xdr:nvSpPr>
      <xdr:spPr bwMode="auto">
        <a:xfrm>
          <a:off x="2352675" y="3042285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178</xdr:row>
      <xdr:rowOff>0</xdr:rowOff>
    </xdr:from>
    <xdr:to>
      <xdr:col>3</xdr:col>
      <xdr:colOff>514350</xdr:colOff>
      <xdr:row>178</xdr:row>
      <xdr:rowOff>114300</xdr:rowOff>
    </xdr:to>
    <xdr:sp macro="" textlink="">
      <xdr:nvSpPr>
        <xdr:cNvPr id="304" name="Line 567"/>
        <xdr:cNvSpPr>
          <a:spLocks noChangeShapeType="1"/>
        </xdr:cNvSpPr>
      </xdr:nvSpPr>
      <xdr:spPr bwMode="auto">
        <a:xfrm flipV="1">
          <a:off x="2333625" y="3042285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590550</xdr:colOff>
      <xdr:row>178</xdr:row>
      <xdr:rowOff>9525</xdr:rowOff>
    </xdr:from>
    <xdr:to>
      <xdr:col>4</xdr:col>
      <xdr:colOff>95250</xdr:colOff>
      <xdr:row>178</xdr:row>
      <xdr:rowOff>133350</xdr:rowOff>
    </xdr:to>
    <xdr:sp macro="" textlink="">
      <xdr:nvSpPr>
        <xdr:cNvPr id="305" name="Line 568"/>
        <xdr:cNvSpPr>
          <a:spLocks noChangeShapeType="1"/>
        </xdr:cNvSpPr>
      </xdr:nvSpPr>
      <xdr:spPr bwMode="auto">
        <a:xfrm>
          <a:off x="2514600" y="30432375"/>
          <a:ext cx="952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228600</xdr:colOff>
      <xdr:row>178</xdr:row>
      <xdr:rowOff>9525</xdr:rowOff>
    </xdr:from>
    <xdr:to>
      <xdr:col>3</xdr:col>
      <xdr:colOff>381000</xdr:colOff>
      <xdr:row>178</xdr:row>
      <xdr:rowOff>104775</xdr:rowOff>
    </xdr:to>
    <xdr:sp macro="" textlink="">
      <xdr:nvSpPr>
        <xdr:cNvPr id="306" name="Line 569"/>
        <xdr:cNvSpPr>
          <a:spLocks noChangeShapeType="1"/>
        </xdr:cNvSpPr>
      </xdr:nvSpPr>
      <xdr:spPr bwMode="auto">
        <a:xfrm flipH="1">
          <a:off x="2190750" y="3043237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178</xdr:row>
      <xdr:rowOff>0</xdr:rowOff>
    </xdr:from>
    <xdr:to>
      <xdr:col>3</xdr:col>
      <xdr:colOff>514350</xdr:colOff>
      <xdr:row>178</xdr:row>
      <xdr:rowOff>123825</xdr:rowOff>
    </xdr:to>
    <xdr:sp macro="" textlink="">
      <xdr:nvSpPr>
        <xdr:cNvPr id="307" name="Line 570"/>
        <xdr:cNvSpPr>
          <a:spLocks noChangeShapeType="1"/>
        </xdr:cNvSpPr>
      </xdr:nvSpPr>
      <xdr:spPr bwMode="auto">
        <a:xfrm>
          <a:off x="2352675" y="3042285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178</xdr:row>
      <xdr:rowOff>0</xdr:rowOff>
    </xdr:from>
    <xdr:to>
      <xdr:col>3</xdr:col>
      <xdr:colOff>514350</xdr:colOff>
      <xdr:row>178</xdr:row>
      <xdr:rowOff>114300</xdr:rowOff>
    </xdr:to>
    <xdr:sp macro="" textlink="">
      <xdr:nvSpPr>
        <xdr:cNvPr id="308" name="Line 571"/>
        <xdr:cNvSpPr>
          <a:spLocks noChangeShapeType="1"/>
        </xdr:cNvSpPr>
      </xdr:nvSpPr>
      <xdr:spPr bwMode="auto">
        <a:xfrm flipV="1">
          <a:off x="2333625" y="3042285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178</xdr:row>
      <xdr:rowOff>38100</xdr:rowOff>
    </xdr:from>
    <xdr:to>
      <xdr:col>3</xdr:col>
      <xdr:colOff>809625</xdr:colOff>
      <xdr:row>179</xdr:row>
      <xdr:rowOff>0</xdr:rowOff>
    </xdr:to>
    <xdr:sp macro="" textlink="">
      <xdr:nvSpPr>
        <xdr:cNvPr id="309" name="Line 572"/>
        <xdr:cNvSpPr>
          <a:spLocks noChangeShapeType="1"/>
        </xdr:cNvSpPr>
      </xdr:nvSpPr>
      <xdr:spPr bwMode="auto">
        <a:xfrm>
          <a:off x="2428875" y="30460950"/>
          <a:ext cx="857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178</xdr:row>
      <xdr:rowOff>0</xdr:rowOff>
    </xdr:from>
    <xdr:to>
      <xdr:col>5</xdr:col>
      <xdr:colOff>0</xdr:colOff>
      <xdr:row>178</xdr:row>
      <xdr:rowOff>0</xdr:rowOff>
    </xdr:to>
    <xdr:sp macro="" textlink="">
      <xdr:nvSpPr>
        <xdr:cNvPr id="310" name="Line 573"/>
        <xdr:cNvSpPr>
          <a:spLocks noChangeShapeType="1"/>
        </xdr:cNvSpPr>
      </xdr:nvSpPr>
      <xdr:spPr bwMode="auto">
        <a:xfrm>
          <a:off x="2886075" y="30422850"/>
          <a:ext cx="4000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177</xdr:row>
      <xdr:rowOff>0</xdr:rowOff>
    </xdr:from>
    <xdr:to>
      <xdr:col>4</xdr:col>
      <xdr:colOff>371475</xdr:colOff>
      <xdr:row>177</xdr:row>
      <xdr:rowOff>85725</xdr:rowOff>
    </xdr:to>
    <xdr:sp macro="" textlink="">
      <xdr:nvSpPr>
        <xdr:cNvPr id="311" name="Line 574"/>
        <xdr:cNvSpPr>
          <a:spLocks noChangeShapeType="1"/>
        </xdr:cNvSpPr>
      </xdr:nvSpPr>
      <xdr:spPr bwMode="auto">
        <a:xfrm>
          <a:off x="2886075" y="302609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176</xdr:row>
      <xdr:rowOff>152400</xdr:rowOff>
    </xdr:from>
    <xdr:to>
      <xdr:col>5</xdr:col>
      <xdr:colOff>0</xdr:colOff>
      <xdr:row>177</xdr:row>
      <xdr:rowOff>85725</xdr:rowOff>
    </xdr:to>
    <xdr:sp macro="" textlink="">
      <xdr:nvSpPr>
        <xdr:cNvPr id="312" name="Line 575"/>
        <xdr:cNvSpPr>
          <a:spLocks noChangeShapeType="1"/>
        </xdr:cNvSpPr>
      </xdr:nvSpPr>
      <xdr:spPr bwMode="auto">
        <a:xfrm>
          <a:off x="3286125" y="302514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177</xdr:row>
      <xdr:rowOff>47625</xdr:rowOff>
    </xdr:from>
    <xdr:to>
      <xdr:col>5</xdr:col>
      <xdr:colOff>0</xdr:colOff>
      <xdr:row>177</xdr:row>
      <xdr:rowOff>47625</xdr:rowOff>
    </xdr:to>
    <xdr:sp macro="" textlink="">
      <xdr:nvSpPr>
        <xdr:cNvPr id="313" name="Line 576"/>
        <xdr:cNvSpPr>
          <a:spLocks noChangeShapeType="1"/>
        </xdr:cNvSpPr>
      </xdr:nvSpPr>
      <xdr:spPr bwMode="auto">
        <a:xfrm>
          <a:off x="2876550" y="30308550"/>
          <a:ext cx="40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142875</xdr:colOff>
      <xdr:row>178</xdr:row>
      <xdr:rowOff>0</xdr:rowOff>
    </xdr:from>
    <xdr:to>
      <xdr:col>1</xdr:col>
      <xdr:colOff>600075</xdr:colOff>
      <xdr:row>198</xdr:row>
      <xdr:rowOff>9525</xdr:rowOff>
    </xdr:to>
    <xdr:sp macro="" textlink="">
      <xdr:nvSpPr>
        <xdr:cNvPr id="314" name="Line 577"/>
        <xdr:cNvSpPr>
          <a:spLocks noChangeShapeType="1"/>
        </xdr:cNvSpPr>
      </xdr:nvSpPr>
      <xdr:spPr bwMode="auto">
        <a:xfrm flipH="1">
          <a:off x="752475" y="30422850"/>
          <a:ext cx="457200" cy="3248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133350</xdr:colOff>
      <xdr:row>197</xdr:row>
      <xdr:rowOff>152400</xdr:rowOff>
    </xdr:from>
    <xdr:to>
      <xdr:col>1</xdr:col>
      <xdr:colOff>600075</xdr:colOff>
      <xdr:row>197</xdr:row>
      <xdr:rowOff>152400</xdr:rowOff>
    </xdr:to>
    <xdr:sp macro="" textlink="">
      <xdr:nvSpPr>
        <xdr:cNvPr id="315" name="Line 578"/>
        <xdr:cNvSpPr>
          <a:spLocks noChangeShapeType="1"/>
        </xdr:cNvSpPr>
      </xdr:nvSpPr>
      <xdr:spPr bwMode="auto">
        <a:xfrm>
          <a:off x="742950" y="3365182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205</xdr:row>
      <xdr:rowOff>0</xdr:rowOff>
    </xdr:from>
    <xdr:to>
      <xdr:col>5</xdr:col>
      <xdr:colOff>495300</xdr:colOff>
      <xdr:row>205</xdr:row>
      <xdr:rowOff>0</xdr:rowOff>
    </xdr:to>
    <xdr:sp macro="" textlink="">
      <xdr:nvSpPr>
        <xdr:cNvPr id="317" name="Line 581"/>
        <xdr:cNvSpPr>
          <a:spLocks noChangeShapeType="1"/>
        </xdr:cNvSpPr>
      </xdr:nvSpPr>
      <xdr:spPr bwMode="auto">
        <a:xfrm>
          <a:off x="1219200" y="34794825"/>
          <a:ext cx="2562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204</xdr:row>
      <xdr:rowOff>66675</xdr:rowOff>
    </xdr:from>
    <xdr:to>
      <xdr:col>2</xdr:col>
      <xdr:colOff>0</xdr:colOff>
      <xdr:row>205</xdr:row>
      <xdr:rowOff>85725</xdr:rowOff>
    </xdr:to>
    <xdr:sp macro="" textlink="">
      <xdr:nvSpPr>
        <xdr:cNvPr id="318" name="Line 582"/>
        <xdr:cNvSpPr>
          <a:spLocks noChangeShapeType="1"/>
        </xdr:cNvSpPr>
      </xdr:nvSpPr>
      <xdr:spPr bwMode="auto">
        <a:xfrm>
          <a:off x="1219200" y="346995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204</xdr:row>
      <xdr:rowOff>95250</xdr:rowOff>
    </xdr:from>
    <xdr:to>
      <xdr:col>5</xdr:col>
      <xdr:colOff>514350</xdr:colOff>
      <xdr:row>205</xdr:row>
      <xdr:rowOff>47625</xdr:rowOff>
    </xdr:to>
    <xdr:sp macro="" textlink="">
      <xdr:nvSpPr>
        <xdr:cNvPr id="319" name="Line 583"/>
        <xdr:cNvSpPr>
          <a:spLocks noChangeShapeType="1"/>
        </xdr:cNvSpPr>
      </xdr:nvSpPr>
      <xdr:spPr bwMode="auto">
        <a:xfrm>
          <a:off x="3800475" y="347281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104775</xdr:colOff>
      <xdr:row>188</xdr:row>
      <xdr:rowOff>0</xdr:rowOff>
    </xdr:from>
    <xdr:to>
      <xdr:col>4</xdr:col>
      <xdr:colOff>190500</xdr:colOff>
      <xdr:row>188</xdr:row>
      <xdr:rowOff>0</xdr:rowOff>
    </xdr:to>
    <xdr:sp macro="" textlink="">
      <xdr:nvSpPr>
        <xdr:cNvPr id="320" name="Line 585"/>
        <xdr:cNvSpPr>
          <a:spLocks noChangeShapeType="1"/>
        </xdr:cNvSpPr>
      </xdr:nvSpPr>
      <xdr:spPr bwMode="auto">
        <a:xfrm flipH="1">
          <a:off x="714375" y="32042100"/>
          <a:ext cx="1990725" cy="0"/>
        </a:xfrm>
        <a:prstGeom prst="line">
          <a:avLst/>
        </a:prstGeom>
        <a:noFill/>
        <a:ln w="12700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381000</xdr:colOff>
      <xdr:row>188</xdr:row>
      <xdr:rowOff>0</xdr:rowOff>
    </xdr:from>
    <xdr:to>
      <xdr:col>1</xdr:col>
      <xdr:colOff>381000</xdr:colOff>
      <xdr:row>197</xdr:row>
      <xdr:rowOff>142875</xdr:rowOff>
    </xdr:to>
    <xdr:sp macro="" textlink="">
      <xdr:nvSpPr>
        <xdr:cNvPr id="321" name="Line 586"/>
        <xdr:cNvSpPr>
          <a:spLocks noChangeShapeType="1"/>
        </xdr:cNvSpPr>
      </xdr:nvSpPr>
      <xdr:spPr bwMode="auto">
        <a:xfrm>
          <a:off x="990600" y="32042100"/>
          <a:ext cx="0" cy="1600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186</xdr:row>
      <xdr:rowOff>85725</xdr:rowOff>
    </xdr:from>
    <xdr:to>
      <xdr:col>1</xdr:col>
      <xdr:colOff>561975</xdr:colOff>
      <xdr:row>186</xdr:row>
      <xdr:rowOff>85725</xdr:rowOff>
    </xdr:to>
    <xdr:sp macro="" textlink="">
      <xdr:nvSpPr>
        <xdr:cNvPr id="322" name="Line 587"/>
        <xdr:cNvSpPr>
          <a:spLocks noChangeShapeType="1"/>
        </xdr:cNvSpPr>
      </xdr:nvSpPr>
      <xdr:spPr bwMode="auto">
        <a:xfrm>
          <a:off x="828675" y="31803975"/>
          <a:ext cx="3429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200025</xdr:colOff>
      <xdr:row>194</xdr:row>
      <xdr:rowOff>152400</xdr:rowOff>
    </xdr:from>
    <xdr:to>
      <xdr:col>2</xdr:col>
      <xdr:colOff>200025</xdr:colOff>
      <xdr:row>197</xdr:row>
      <xdr:rowOff>133350</xdr:rowOff>
    </xdr:to>
    <xdr:sp macro="" textlink="">
      <xdr:nvSpPr>
        <xdr:cNvPr id="324" name="Line 600"/>
        <xdr:cNvSpPr>
          <a:spLocks noChangeShapeType="1"/>
        </xdr:cNvSpPr>
      </xdr:nvSpPr>
      <xdr:spPr bwMode="auto">
        <a:xfrm>
          <a:off x="1419225" y="33166050"/>
          <a:ext cx="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161925</xdr:colOff>
      <xdr:row>188</xdr:row>
      <xdr:rowOff>9525</xdr:rowOff>
    </xdr:from>
    <xdr:to>
      <xdr:col>2</xdr:col>
      <xdr:colOff>161925</xdr:colOff>
      <xdr:row>195</xdr:row>
      <xdr:rowOff>0</xdr:rowOff>
    </xdr:to>
    <xdr:sp macro="" textlink="">
      <xdr:nvSpPr>
        <xdr:cNvPr id="325" name="Line 601"/>
        <xdr:cNvSpPr>
          <a:spLocks noChangeShapeType="1"/>
        </xdr:cNvSpPr>
      </xdr:nvSpPr>
      <xdr:spPr bwMode="auto">
        <a:xfrm>
          <a:off x="1381125" y="31242000"/>
          <a:ext cx="0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0</xdr:col>
      <xdr:colOff>180975</xdr:colOff>
      <xdr:row>188</xdr:row>
      <xdr:rowOff>0</xdr:rowOff>
    </xdr:from>
    <xdr:to>
      <xdr:col>0</xdr:col>
      <xdr:colOff>180975</xdr:colOff>
      <xdr:row>197</xdr:row>
      <xdr:rowOff>152400</xdr:rowOff>
    </xdr:to>
    <xdr:sp macro="" textlink="">
      <xdr:nvSpPr>
        <xdr:cNvPr id="326" name="Line 603"/>
        <xdr:cNvSpPr>
          <a:spLocks noChangeShapeType="1"/>
        </xdr:cNvSpPr>
      </xdr:nvSpPr>
      <xdr:spPr bwMode="auto">
        <a:xfrm>
          <a:off x="180975" y="31232475"/>
          <a:ext cx="0" cy="1609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5</xdr:col>
      <xdr:colOff>190500</xdr:colOff>
      <xdr:row>178</xdr:row>
      <xdr:rowOff>9525</xdr:rowOff>
    </xdr:from>
    <xdr:to>
      <xdr:col>5</xdr:col>
      <xdr:colOff>190500</xdr:colOff>
      <xdr:row>195</xdr:row>
      <xdr:rowOff>9525</xdr:rowOff>
    </xdr:to>
    <xdr:sp macro="" textlink="">
      <xdr:nvSpPr>
        <xdr:cNvPr id="327" name="Line 607"/>
        <xdr:cNvSpPr>
          <a:spLocks noChangeShapeType="1"/>
        </xdr:cNvSpPr>
      </xdr:nvSpPr>
      <xdr:spPr bwMode="auto">
        <a:xfrm>
          <a:off x="3476625" y="30432375"/>
          <a:ext cx="0" cy="2752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4</xdr:col>
      <xdr:colOff>142875</xdr:colOff>
      <xdr:row>178</xdr:row>
      <xdr:rowOff>38100</xdr:rowOff>
    </xdr:from>
    <xdr:to>
      <xdr:col>4</xdr:col>
      <xdr:colOff>142875</xdr:colOff>
      <xdr:row>188</xdr:row>
      <xdr:rowOff>9525</xdr:rowOff>
    </xdr:to>
    <xdr:sp macro="" textlink="">
      <xdr:nvSpPr>
        <xdr:cNvPr id="328" name="Line 608"/>
        <xdr:cNvSpPr>
          <a:spLocks noChangeShapeType="1"/>
        </xdr:cNvSpPr>
      </xdr:nvSpPr>
      <xdr:spPr bwMode="auto">
        <a:xfrm flipV="1">
          <a:off x="2657475" y="30460950"/>
          <a:ext cx="0" cy="159067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0</xdr:colOff>
      <xdr:row>188</xdr:row>
      <xdr:rowOff>0</xdr:rowOff>
    </xdr:from>
    <xdr:to>
      <xdr:col>4</xdr:col>
      <xdr:colOff>219075</xdr:colOff>
      <xdr:row>188</xdr:row>
      <xdr:rowOff>0</xdr:rowOff>
    </xdr:to>
    <xdr:sp macro="" textlink="">
      <xdr:nvSpPr>
        <xdr:cNvPr id="329" name="Line 609"/>
        <xdr:cNvSpPr>
          <a:spLocks noChangeShapeType="1"/>
        </xdr:cNvSpPr>
      </xdr:nvSpPr>
      <xdr:spPr bwMode="auto">
        <a:xfrm>
          <a:off x="2514600" y="3204210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200025</xdr:colOff>
      <xdr:row>177</xdr:row>
      <xdr:rowOff>0</xdr:rowOff>
    </xdr:from>
    <xdr:to>
      <xdr:col>4</xdr:col>
      <xdr:colOff>200025</xdr:colOff>
      <xdr:row>177</xdr:row>
      <xdr:rowOff>76200</xdr:rowOff>
    </xdr:to>
    <xdr:sp macro="" textlink="">
      <xdr:nvSpPr>
        <xdr:cNvPr id="330" name="Line 610"/>
        <xdr:cNvSpPr>
          <a:spLocks noChangeShapeType="1"/>
        </xdr:cNvSpPr>
      </xdr:nvSpPr>
      <xdr:spPr bwMode="auto">
        <a:xfrm>
          <a:off x="2714625" y="3026092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200025</xdr:colOff>
      <xdr:row>177</xdr:row>
      <xdr:rowOff>38100</xdr:rowOff>
    </xdr:from>
    <xdr:to>
      <xdr:col>4</xdr:col>
      <xdr:colOff>371475</xdr:colOff>
      <xdr:row>177</xdr:row>
      <xdr:rowOff>38100</xdr:rowOff>
    </xdr:to>
    <xdr:sp macro="" textlink="">
      <xdr:nvSpPr>
        <xdr:cNvPr id="331" name="Line 611"/>
        <xdr:cNvSpPr>
          <a:spLocks noChangeShapeType="1"/>
        </xdr:cNvSpPr>
      </xdr:nvSpPr>
      <xdr:spPr bwMode="auto">
        <a:xfrm>
          <a:off x="2714625" y="3029902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276225</xdr:colOff>
      <xdr:row>176</xdr:row>
      <xdr:rowOff>66675</xdr:rowOff>
    </xdr:from>
    <xdr:to>
      <xdr:col>4</xdr:col>
      <xdr:colOff>285750</xdr:colOff>
      <xdr:row>177</xdr:row>
      <xdr:rowOff>38100</xdr:rowOff>
    </xdr:to>
    <xdr:sp macro="" textlink="">
      <xdr:nvSpPr>
        <xdr:cNvPr id="332" name="Line 612"/>
        <xdr:cNvSpPr>
          <a:spLocks noChangeShapeType="1"/>
        </xdr:cNvSpPr>
      </xdr:nvSpPr>
      <xdr:spPr bwMode="auto">
        <a:xfrm>
          <a:off x="2790825" y="30165675"/>
          <a:ext cx="952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809625</xdr:colOff>
      <xdr:row>176</xdr:row>
      <xdr:rowOff>66675</xdr:rowOff>
    </xdr:from>
    <xdr:to>
      <xdr:col>4</xdr:col>
      <xdr:colOff>276225</xdr:colOff>
      <xdr:row>176</xdr:row>
      <xdr:rowOff>66675</xdr:rowOff>
    </xdr:to>
    <xdr:sp macro="" textlink="">
      <xdr:nvSpPr>
        <xdr:cNvPr id="333" name="Line 613"/>
        <xdr:cNvSpPr>
          <a:spLocks noChangeShapeType="1"/>
        </xdr:cNvSpPr>
      </xdr:nvSpPr>
      <xdr:spPr bwMode="auto">
        <a:xfrm>
          <a:off x="2514600" y="3016567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523875</xdr:colOff>
      <xdr:row>188</xdr:row>
      <xdr:rowOff>152400</xdr:rowOff>
    </xdr:from>
    <xdr:to>
      <xdr:col>8</xdr:col>
      <xdr:colOff>114300</xdr:colOff>
      <xdr:row>198</xdr:row>
      <xdr:rowOff>9525</xdr:rowOff>
    </xdr:to>
    <xdr:sp macro="" textlink="">
      <xdr:nvSpPr>
        <xdr:cNvPr id="334" name="Line 624"/>
        <xdr:cNvSpPr>
          <a:spLocks noChangeShapeType="1"/>
        </xdr:cNvSpPr>
      </xdr:nvSpPr>
      <xdr:spPr bwMode="auto">
        <a:xfrm>
          <a:off x="5124450" y="32194500"/>
          <a:ext cx="228600" cy="1476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466725</xdr:colOff>
      <xdr:row>198</xdr:row>
      <xdr:rowOff>47625</xdr:rowOff>
    </xdr:from>
    <xdr:to>
      <xdr:col>6</xdr:col>
      <xdr:colOff>38100</xdr:colOff>
      <xdr:row>198</xdr:row>
      <xdr:rowOff>47625</xdr:rowOff>
    </xdr:to>
    <xdr:sp macro="" textlink="">
      <xdr:nvSpPr>
        <xdr:cNvPr id="335" name="Line 874"/>
        <xdr:cNvSpPr>
          <a:spLocks noChangeShapeType="1"/>
        </xdr:cNvSpPr>
      </xdr:nvSpPr>
      <xdr:spPr bwMode="auto">
        <a:xfrm flipH="1">
          <a:off x="3752850" y="3370897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1</xdr:colOff>
      <xdr:row>87</xdr:row>
      <xdr:rowOff>28575</xdr:rowOff>
    </xdr:from>
    <xdr:to>
      <xdr:col>1</xdr:col>
      <xdr:colOff>9525</xdr:colOff>
      <xdr:row>89</xdr:row>
      <xdr:rowOff>152401</xdr:rowOff>
    </xdr:to>
    <xdr:cxnSp macro="">
      <xdr:nvCxnSpPr>
        <xdr:cNvPr id="336" name="Straight Connector 487"/>
        <xdr:cNvCxnSpPr>
          <a:cxnSpLocks noChangeShapeType="1"/>
        </xdr:cNvCxnSpPr>
      </xdr:nvCxnSpPr>
      <xdr:spPr bwMode="auto">
        <a:xfrm rot="5400000" flipH="1" flipV="1">
          <a:off x="476250" y="14773276"/>
          <a:ext cx="485776" cy="9524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7</xdr:col>
      <xdr:colOff>0</xdr:colOff>
      <xdr:row>87</xdr:row>
      <xdr:rowOff>66675</xdr:rowOff>
    </xdr:from>
    <xdr:to>
      <xdr:col>7</xdr:col>
      <xdr:colOff>0</xdr:colOff>
      <xdr:row>90</xdr:row>
      <xdr:rowOff>38100</xdr:rowOff>
    </xdr:to>
    <xdr:cxnSp macro="">
      <xdr:nvCxnSpPr>
        <xdr:cNvPr id="337" name="Straight Connector 490"/>
        <xdr:cNvCxnSpPr>
          <a:cxnSpLocks noChangeShapeType="1"/>
        </xdr:cNvCxnSpPr>
      </xdr:nvCxnSpPr>
      <xdr:spPr bwMode="auto">
        <a:xfrm rot="16200000" flipV="1">
          <a:off x="4352925" y="15630525"/>
          <a:ext cx="495300" cy="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2</xdr:col>
      <xdr:colOff>533400</xdr:colOff>
      <xdr:row>95</xdr:row>
      <xdr:rowOff>19050</xdr:rowOff>
    </xdr:from>
    <xdr:to>
      <xdr:col>2</xdr:col>
      <xdr:colOff>647700</xdr:colOff>
      <xdr:row>95</xdr:row>
      <xdr:rowOff>142875</xdr:rowOff>
    </xdr:to>
    <xdr:sp macro="" textlink="">
      <xdr:nvSpPr>
        <xdr:cNvPr id="338" name="Line 829"/>
        <xdr:cNvSpPr>
          <a:spLocks noChangeShapeType="1"/>
        </xdr:cNvSpPr>
      </xdr:nvSpPr>
      <xdr:spPr bwMode="auto">
        <a:xfrm>
          <a:off x="1752600" y="16744950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504825</xdr:colOff>
      <xdr:row>94</xdr:row>
      <xdr:rowOff>152400</xdr:rowOff>
    </xdr:from>
    <xdr:to>
      <xdr:col>3</xdr:col>
      <xdr:colOff>9525</xdr:colOff>
      <xdr:row>95</xdr:row>
      <xdr:rowOff>114300</xdr:rowOff>
    </xdr:to>
    <xdr:sp macro="" textlink="">
      <xdr:nvSpPr>
        <xdr:cNvPr id="339" name="Line 833"/>
        <xdr:cNvSpPr>
          <a:spLocks noChangeShapeType="1"/>
        </xdr:cNvSpPr>
      </xdr:nvSpPr>
      <xdr:spPr bwMode="auto">
        <a:xfrm>
          <a:off x="1724025" y="16716375"/>
          <a:ext cx="2476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285750</xdr:colOff>
      <xdr:row>93</xdr:row>
      <xdr:rowOff>142875</xdr:rowOff>
    </xdr:from>
    <xdr:ext cx="123825" cy="180975"/>
    <xdr:sp macro="" textlink="">
      <xdr:nvSpPr>
        <xdr:cNvPr id="340" name="Text Box 862"/>
        <xdr:cNvSpPr txBox="1">
          <a:spLocks noChangeArrowheads="1"/>
        </xdr:cNvSpPr>
      </xdr:nvSpPr>
      <xdr:spPr bwMode="auto">
        <a:xfrm>
          <a:off x="1504950" y="165449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</xdr:col>
      <xdr:colOff>523875</xdr:colOff>
      <xdr:row>95</xdr:row>
      <xdr:rowOff>19050</xdr:rowOff>
    </xdr:from>
    <xdr:to>
      <xdr:col>3</xdr:col>
      <xdr:colOff>638175</xdr:colOff>
      <xdr:row>95</xdr:row>
      <xdr:rowOff>142875</xdr:rowOff>
    </xdr:to>
    <xdr:sp macro="" textlink="">
      <xdr:nvSpPr>
        <xdr:cNvPr id="341" name="Line 49"/>
        <xdr:cNvSpPr>
          <a:spLocks noChangeShapeType="1"/>
        </xdr:cNvSpPr>
      </xdr:nvSpPr>
      <xdr:spPr bwMode="auto">
        <a:xfrm>
          <a:off x="2486025" y="16744950"/>
          <a:ext cx="2857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552450</xdr:colOff>
      <xdr:row>114</xdr:row>
      <xdr:rowOff>19050</xdr:rowOff>
    </xdr:from>
    <xdr:to>
      <xdr:col>6</xdr:col>
      <xdr:colOff>552450</xdr:colOff>
      <xdr:row>115</xdr:row>
      <xdr:rowOff>19050</xdr:rowOff>
    </xdr:to>
    <xdr:sp macro="" textlink="">
      <xdr:nvSpPr>
        <xdr:cNvPr id="342" name="Line 796"/>
        <xdr:cNvSpPr>
          <a:spLocks noChangeShapeType="1"/>
        </xdr:cNvSpPr>
      </xdr:nvSpPr>
      <xdr:spPr bwMode="auto">
        <a:xfrm>
          <a:off x="4543425" y="198215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466725</xdr:colOff>
      <xdr:row>40</xdr:row>
      <xdr:rowOff>161924</xdr:rowOff>
    </xdr:from>
    <xdr:to>
      <xdr:col>5</xdr:col>
      <xdr:colOff>476250</xdr:colOff>
      <xdr:row>43</xdr:row>
      <xdr:rowOff>104774</xdr:rowOff>
    </xdr:to>
    <xdr:cxnSp macro="">
      <xdr:nvCxnSpPr>
        <xdr:cNvPr id="343" name="Shape 491"/>
        <xdr:cNvCxnSpPr>
          <a:cxnSpLocks noChangeShapeType="1"/>
          <a:stCxn id="38" idx="1"/>
        </xdr:cNvCxnSpPr>
      </xdr:nvCxnSpPr>
      <xdr:spPr bwMode="auto">
        <a:xfrm rot="16200000" flipH="1" flipV="1">
          <a:off x="2881312" y="7224712"/>
          <a:ext cx="428625" cy="1333500"/>
        </a:xfrm>
        <a:prstGeom prst="curvedConnector4">
          <a:avLst>
            <a:gd name="adj1" fmla="val -53333"/>
            <a:gd name="adj2" fmla="val 61429"/>
          </a:avLst>
        </a:prstGeom>
        <a:noFill/>
        <a:ln w="9525" algn="ctr">
          <a:solidFill>
            <a:srgbClr val="000000"/>
          </a:solidFill>
          <a:round/>
          <a:headEnd type="triangle" w="med" len="med"/>
          <a:tailEnd type="none" w="med" len="med"/>
        </a:ln>
      </xdr:spPr>
    </xdr:cxnSp>
    <xdr:clientData/>
  </xdr:twoCellAnchor>
  <xdr:twoCellAnchor>
    <xdr:from>
      <xdr:col>2</xdr:col>
      <xdr:colOff>9525</xdr:colOff>
      <xdr:row>169</xdr:row>
      <xdr:rowOff>0</xdr:rowOff>
    </xdr:from>
    <xdr:to>
      <xdr:col>5</xdr:col>
      <xdr:colOff>581025</xdr:colOff>
      <xdr:row>169</xdr:row>
      <xdr:rowOff>0</xdr:rowOff>
    </xdr:to>
    <xdr:sp macro="" textlink="">
      <xdr:nvSpPr>
        <xdr:cNvPr id="344" name="Line 86"/>
        <xdr:cNvSpPr>
          <a:spLocks noChangeShapeType="1"/>
        </xdr:cNvSpPr>
      </xdr:nvSpPr>
      <xdr:spPr bwMode="auto">
        <a:xfrm>
          <a:off x="1228725" y="28927425"/>
          <a:ext cx="26384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600078</xdr:colOff>
      <xdr:row>169</xdr:row>
      <xdr:rowOff>28576</xdr:rowOff>
    </xdr:from>
    <xdr:to>
      <xdr:col>2</xdr:col>
      <xdr:colOff>0</xdr:colOff>
      <xdr:row>171</xdr:row>
      <xdr:rowOff>95250</xdr:rowOff>
    </xdr:to>
    <xdr:cxnSp macro="">
      <xdr:nvCxnSpPr>
        <xdr:cNvPr id="345" name="Straight Connector 487"/>
        <xdr:cNvCxnSpPr>
          <a:cxnSpLocks noChangeShapeType="1"/>
        </xdr:cNvCxnSpPr>
      </xdr:nvCxnSpPr>
      <xdr:spPr bwMode="auto">
        <a:xfrm rot="5400000" flipH="1" flipV="1">
          <a:off x="1123952" y="28336877"/>
          <a:ext cx="390524" cy="952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5</xdr:col>
      <xdr:colOff>600075</xdr:colOff>
      <xdr:row>168</xdr:row>
      <xdr:rowOff>133350</xdr:rowOff>
    </xdr:from>
    <xdr:to>
      <xdr:col>5</xdr:col>
      <xdr:colOff>600075</xdr:colOff>
      <xdr:row>171</xdr:row>
      <xdr:rowOff>104775</xdr:rowOff>
    </xdr:to>
    <xdr:cxnSp macro="">
      <xdr:nvCxnSpPr>
        <xdr:cNvPr id="346" name="Straight Connector 490"/>
        <xdr:cNvCxnSpPr>
          <a:cxnSpLocks noChangeShapeType="1"/>
        </xdr:cNvCxnSpPr>
      </xdr:nvCxnSpPr>
      <xdr:spPr bwMode="auto">
        <a:xfrm rot="16200000" flipV="1">
          <a:off x="3657600" y="29127450"/>
          <a:ext cx="4572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3</xdr:col>
      <xdr:colOff>495300</xdr:colOff>
      <xdr:row>178</xdr:row>
      <xdr:rowOff>28575</xdr:rowOff>
    </xdr:from>
    <xdr:to>
      <xdr:col>4</xdr:col>
      <xdr:colOff>57150</xdr:colOff>
      <xdr:row>178</xdr:row>
      <xdr:rowOff>152400</xdr:rowOff>
    </xdr:to>
    <xdr:sp macro="" textlink="">
      <xdr:nvSpPr>
        <xdr:cNvPr id="347" name="Line 134"/>
        <xdr:cNvSpPr>
          <a:spLocks noChangeShapeType="1"/>
        </xdr:cNvSpPr>
      </xdr:nvSpPr>
      <xdr:spPr bwMode="auto">
        <a:xfrm>
          <a:off x="2457450" y="30451425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178</xdr:row>
      <xdr:rowOff>28575</xdr:rowOff>
    </xdr:from>
    <xdr:to>
      <xdr:col>3</xdr:col>
      <xdr:colOff>95250</xdr:colOff>
      <xdr:row>178</xdr:row>
      <xdr:rowOff>152400</xdr:rowOff>
    </xdr:to>
    <xdr:sp macro="" textlink="">
      <xdr:nvSpPr>
        <xdr:cNvPr id="348" name="Line 208"/>
        <xdr:cNvSpPr>
          <a:spLocks noChangeShapeType="1"/>
        </xdr:cNvSpPr>
      </xdr:nvSpPr>
      <xdr:spPr bwMode="auto">
        <a:xfrm>
          <a:off x="1943100" y="30451425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619125</xdr:colOff>
      <xdr:row>178</xdr:row>
      <xdr:rowOff>19050</xdr:rowOff>
    </xdr:from>
    <xdr:to>
      <xdr:col>2</xdr:col>
      <xdr:colOff>733425</xdr:colOff>
      <xdr:row>178</xdr:row>
      <xdr:rowOff>142875</xdr:rowOff>
    </xdr:to>
    <xdr:sp macro="" textlink="">
      <xdr:nvSpPr>
        <xdr:cNvPr id="349" name="Line 829"/>
        <xdr:cNvSpPr>
          <a:spLocks noChangeShapeType="1"/>
        </xdr:cNvSpPr>
      </xdr:nvSpPr>
      <xdr:spPr bwMode="auto">
        <a:xfrm>
          <a:off x="1838325" y="30441900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504825</xdr:colOff>
      <xdr:row>177</xdr:row>
      <xdr:rowOff>152400</xdr:rowOff>
    </xdr:from>
    <xdr:to>
      <xdr:col>3</xdr:col>
      <xdr:colOff>9525</xdr:colOff>
      <xdr:row>178</xdr:row>
      <xdr:rowOff>114300</xdr:rowOff>
    </xdr:to>
    <xdr:sp macro="" textlink="">
      <xdr:nvSpPr>
        <xdr:cNvPr id="350" name="Line 833"/>
        <xdr:cNvSpPr>
          <a:spLocks noChangeShapeType="1"/>
        </xdr:cNvSpPr>
      </xdr:nvSpPr>
      <xdr:spPr bwMode="auto">
        <a:xfrm>
          <a:off x="1724025" y="30413325"/>
          <a:ext cx="2476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333375</xdr:colOff>
      <xdr:row>177</xdr:row>
      <xdr:rowOff>0</xdr:rowOff>
    </xdr:from>
    <xdr:ext cx="123825" cy="180975"/>
    <xdr:sp macro="" textlink="">
      <xdr:nvSpPr>
        <xdr:cNvPr id="351" name="Text Box 862"/>
        <xdr:cNvSpPr txBox="1">
          <a:spLocks noChangeArrowheads="1"/>
        </xdr:cNvSpPr>
      </xdr:nvSpPr>
      <xdr:spPr bwMode="auto">
        <a:xfrm>
          <a:off x="1552575" y="302609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457200</xdr:colOff>
      <xdr:row>177</xdr:row>
      <xdr:rowOff>152400</xdr:rowOff>
    </xdr:from>
    <xdr:to>
      <xdr:col>2</xdr:col>
      <xdr:colOff>571500</xdr:colOff>
      <xdr:row>178</xdr:row>
      <xdr:rowOff>114300</xdr:rowOff>
    </xdr:to>
    <xdr:sp macro="" textlink="">
      <xdr:nvSpPr>
        <xdr:cNvPr id="352" name="Line 49"/>
        <xdr:cNvSpPr>
          <a:spLocks noChangeShapeType="1"/>
        </xdr:cNvSpPr>
      </xdr:nvSpPr>
      <xdr:spPr bwMode="auto">
        <a:xfrm>
          <a:off x="1676400" y="30413325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253</xdr:row>
      <xdr:rowOff>0</xdr:rowOff>
    </xdr:from>
    <xdr:to>
      <xdr:col>5</xdr:col>
      <xdr:colOff>581025</xdr:colOff>
      <xdr:row>253</xdr:row>
      <xdr:rowOff>0</xdr:rowOff>
    </xdr:to>
    <xdr:sp macro="" textlink="">
      <xdr:nvSpPr>
        <xdr:cNvPr id="353" name="Line 86"/>
        <xdr:cNvSpPr>
          <a:spLocks noChangeShapeType="1"/>
        </xdr:cNvSpPr>
      </xdr:nvSpPr>
      <xdr:spPr bwMode="auto">
        <a:xfrm>
          <a:off x="1228725" y="42633900"/>
          <a:ext cx="26384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253</xdr:row>
      <xdr:rowOff>28576</xdr:rowOff>
    </xdr:from>
    <xdr:to>
      <xdr:col>2</xdr:col>
      <xdr:colOff>3</xdr:colOff>
      <xdr:row>255</xdr:row>
      <xdr:rowOff>85728</xdr:rowOff>
    </xdr:to>
    <xdr:cxnSp macro="">
      <xdr:nvCxnSpPr>
        <xdr:cNvPr id="354" name="Straight Connector 487"/>
        <xdr:cNvCxnSpPr>
          <a:cxnSpLocks noChangeShapeType="1"/>
        </xdr:cNvCxnSpPr>
      </xdr:nvCxnSpPr>
      <xdr:spPr bwMode="auto">
        <a:xfrm rot="16200000" flipV="1">
          <a:off x="1028701" y="42852975"/>
          <a:ext cx="381002" cy="3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5</xdr:col>
      <xdr:colOff>599282</xdr:colOff>
      <xdr:row>252</xdr:row>
      <xdr:rowOff>134145</xdr:rowOff>
    </xdr:from>
    <xdr:to>
      <xdr:col>5</xdr:col>
      <xdr:colOff>600870</xdr:colOff>
      <xdr:row>255</xdr:row>
      <xdr:rowOff>96047</xdr:rowOff>
    </xdr:to>
    <xdr:cxnSp macro="">
      <xdr:nvCxnSpPr>
        <xdr:cNvPr id="355" name="Straight Connector 490"/>
        <xdr:cNvCxnSpPr>
          <a:cxnSpLocks noChangeShapeType="1"/>
        </xdr:cNvCxnSpPr>
      </xdr:nvCxnSpPr>
      <xdr:spPr bwMode="auto">
        <a:xfrm rot="5400000" flipH="1" flipV="1">
          <a:off x="3662362" y="42829165"/>
          <a:ext cx="447677" cy="1588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7</xdr:col>
      <xdr:colOff>238125</xdr:colOff>
      <xdr:row>114</xdr:row>
      <xdr:rowOff>0</xdr:rowOff>
    </xdr:from>
    <xdr:to>
      <xdr:col>7</xdr:col>
      <xdr:colOff>466725</xdr:colOff>
      <xdr:row>114</xdr:row>
      <xdr:rowOff>0</xdr:rowOff>
    </xdr:to>
    <xdr:sp macro="" textlink="">
      <xdr:nvSpPr>
        <xdr:cNvPr id="356" name="Line 250"/>
        <xdr:cNvSpPr>
          <a:spLocks noChangeShapeType="1"/>
        </xdr:cNvSpPr>
      </xdr:nvSpPr>
      <xdr:spPr bwMode="auto">
        <a:xfrm flipV="1">
          <a:off x="4638675" y="189928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180975</xdr:colOff>
      <xdr:row>132</xdr:row>
      <xdr:rowOff>19050</xdr:rowOff>
    </xdr:from>
    <xdr:to>
      <xdr:col>7</xdr:col>
      <xdr:colOff>304800</xdr:colOff>
      <xdr:row>137</xdr:row>
      <xdr:rowOff>57150</xdr:rowOff>
    </xdr:to>
    <xdr:sp macro="" textlink="">
      <xdr:nvSpPr>
        <xdr:cNvPr id="357" name="Down Arrow 510"/>
        <xdr:cNvSpPr>
          <a:spLocks noChangeArrowheads="1"/>
        </xdr:cNvSpPr>
      </xdr:nvSpPr>
      <xdr:spPr bwMode="auto">
        <a:xfrm flipH="1">
          <a:off x="4581525" y="21926550"/>
          <a:ext cx="123825" cy="847725"/>
        </a:xfrm>
        <a:prstGeom prst="downArrow">
          <a:avLst>
            <a:gd name="adj1" fmla="val 50000"/>
            <a:gd name="adj2" fmla="val 49997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38100</xdr:colOff>
      <xdr:row>143</xdr:row>
      <xdr:rowOff>57150</xdr:rowOff>
    </xdr:from>
    <xdr:to>
      <xdr:col>7</xdr:col>
      <xdr:colOff>314325</xdr:colOff>
      <xdr:row>143</xdr:row>
      <xdr:rowOff>123825</xdr:rowOff>
    </xdr:to>
    <xdr:sp macro="" textlink="">
      <xdr:nvSpPr>
        <xdr:cNvPr id="358" name="Right Arrow 512"/>
        <xdr:cNvSpPr>
          <a:spLocks noChangeArrowheads="1"/>
        </xdr:cNvSpPr>
      </xdr:nvSpPr>
      <xdr:spPr bwMode="auto">
        <a:xfrm>
          <a:off x="4638675" y="24593550"/>
          <a:ext cx="276225" cy="66675"/>
        </a:xfrm>
        <a:prstGeom prst="rightArrow">
          <a:avLst>
            <a:gd name="adj1" fmla="val 50000"/>
            <a:gd name="adj2" fmla="val 50002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95250</xdr:colOff>
      <xdr:row>144</xdr:row>
      <xdr:rowOff>28575</xdr:rowOff>
    </xdr:from>
    <xdr:to>
      <xdr:col>7</xdr:col>
      <xdr:colOff>371475</xdr:colOff>
      <xdr:row>144</xdr:row>
      <xdr:rowOff>123825</xdr:rowOff>
    </xdr:to>
    <xdr:sp macro="" textlink="">
      <xdr:nvSpPr>
        <xdr:cNvPr id="359" name="Right Arrow 513"/>
        <xdr:cNvSpPr>
          <a:spLocks noChangeArrowheads="1"/>
        </xdr:cNvSpPr>
      </xdr:nvSpPr>
      <xdr:spPr bwMode="auto">
        <a:xfrm>
          <a:off x="4695825" y="24726900"/>
          <a:ext cx="276225" cy="95250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57150</xdr:colOff>
      <xdr:row>145</xdr:row>
      <xdr:rowOff>47625</xdr:rowOff>
    </xdr:from>
    <xdr:to>
      <xdr:col>7</xdr:col>
      <xdr:colOff>333375</xdr:colOff>
      <xdr:row>145</xdr:row>
      <xdr:rowOff>123825</xdr:rowOff>
    </xdr:to>
    <xdr:sp macro="" textlink="">
      <xdr:nvSpPr>
        <xdr:cNvPr id="360" name="Right Arrow 514"/>
        <xdr:cNvSpPr>
          <a:spLocks noChangeArrowheads="1"/>
        </xdr:cNvSpPr>
      </xdr:nvSpPr>
      <xdr:spPr bwMode="auto">
        <a:xfrm>
          <a:off x="4657725" y="24907875"/>
          <a:ext cx="276225" cy="76200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47625</xdr:colOff>
      <xdr:row>148</xdr:row>
      <xdr:rowOff>66675</xdr:rowOff>
    </xdr:from>
    <xdr:to>
      <xdr:col>7</xdr:col>
      <xdr:colOff>390525</xdr:colOff>
      <xdr:row>148</xdr:row>
      <xdr:rowOff>123825</xdr:rowOff>
    </xdr:to>
    <xdr:sp macro="" textlink="">
      <xdr:nvSpPr>
        <xdr:cNvPr id="361" name="Left Arrow 515"/>
        <xdr:cNvSpPr>
          <a:spLocks noChangeArrowheads="1"/>
        </xdr:cNvSpPr>
      </xdr:nvSpPr>
      <xdr:spPr bwMode="auto">
        <a:xfrm>
          <a:off x="4648200" y="25412700"/>
          <a:ext cx="342900" cy="57150"/>
        </a:xfrm>
        <a:prstGeom prst="leftArrow">
          <a:avLst>
            <a:gd name="adj1" fmla="val 50000"/>
            <a:gd name="adj2" fmla="val 50000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190500</xdr:colOff>
      <xdr:row>139</xdr:row>
      <xdr:rowOff>76200</xdr:rowOff>
    </xdr:from>
    <xdr:to>
      <xdr:col>7</xdr:col>
      <xdr:colOff>285750</xdr:colOff>
      <xdr:row>140</xdr:row>
      <xdr:rowOff>123825</xdr:rowOff>
    </xdr:to>
    <xdr:sp macro="" textlink="">
      <xdr:nvSpPr>
        <xdr:cNvPr id="362" name="Up Arrow 516"/>
        <xdr:cNvSpPr>
          <a:spLocks noChangeArrowheads="1"/>
        </xdr:cNvSpPr>
      </xdr:nvSpPr>
      <xdr:spPr bwMode="auto">
        <a:xfrm>
          <a:off x="4791075" y="23926800"/>
          <a:ext cx="95250" cy="209550"/>
        </a:xfrm>
        <a:prstGeom prst="upArrow">
          <a:avLst>
            <a:gd name="adj1" fmla="val 50000"/>
            <a:gd name="adj2" fmla="val 49001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125731</xdr:colOff>
      <xdr:row>24</xdr:row>
      <xdr:rowOff>9525</xdr:rowOff>
    </xdr:from>
    <xdr:to>
      <xdr:col>2</xdr:col>
      <xdr:colOff>171450</xdr:colOff>
      <xdr:row>38</xdr:row>
      <xdr:rowOff>0</xdr:rowOff>
    </xdr:to>
    <xdr:sp macro="" textlink="">
      <xdr:nvSpPr>
        <xdr:cNvPr id="363" name="Line 12"/>
        <xdr:cNvSpPr>
          <a:spLocks noChangeShapeType="1"/>
        </xdr:cNvSpPr>
      </xdr:nvSpPr>
      <xdr:spPr bwMode="auto">
        <a:xfrm>
          <a:off x="1344931" y="4124325"/>
          <a:ext cx="45719" cy="22574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3</xdr:col>
      <xdr:colOff>285750</xdr:colOff>
      <xdr:row>193</xdr:row>
      <xdr:rowOff>142875</xdr:rowOff>
    </xdr:from>
    <xdr:ext cx="123825" cy="177532"/>
    <xdr:sp macro="" textlink="">
      <xdr:nvSpPr>
        <xdr:cNvPr id="364" name="Text Box 870"/>
        <xdr:cNvSpPr txBox="1">
          <a:spLocks noChangeArrowheads="1"/>
        </xdr:cNvSpPr>
      </xdr:nvSpPr>
      <xdr:spPr bwMode="auto">
        <a:xfrm>
          <a:off x="2247900" y="32994600"/>
          <a:ext cx="123825" cy="177532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0</xdr:colOff>
      <xdr:row>206</xdr:row>
      <xdr:rowOff>152400</xdr:rowOff>
    </xdr:from>
    <xdr:to>
      <xdr:col>5</xdr:col>
      <xdr:colOff>466725</xdr:colOff>
      <xdr:row>207</xdr:row>
      <xdr:rowOff>0</xdr:rowOff>
    </xdr:to>
    <xdr:sp macro="" textlink="">
      <xdr:nvSpPr>
        <xdr:cNvPr id="365" name="Line 268"/>
        <xdr:cNvSpPr>
          <a:spLocks noChangeShapeType="1"/>
        </xdr:cNvSpPr>
      </xdr:nvSpPr>
      <xdr:spPr bwMode="auto">
        <a:xfrm flipV="1">
          <a:off x="1219200" y="35109150"/>
          <a:ext cx="253365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590551</xdr:colOff>
      <xdr:row>208</xdr:row>
      <xdr:rowOff>95249</xdr:rowOff>
    </xdr:from>
    <xdr:to>
      <xdr:col>5</xdr:col>
      <xdr:colOff>476251</xdr:colOff>
      <xdr:row>210</xdr:row>
      <xdr:rowOff>142874</xdr:rowOff>
    </xdr:to>
    <xdr:sp macro="" textlink="">
      <xdr:nvSpPr>
        <xdr:cNvPr id="366" name="Line 269"/>
        <xdr:cNvSpPr>
          <a:spLocks noChangeShapeType="1"/>
        </xdr:cNvSpPr>
      </xdr:nvSpPr>
      <xdr:spPr bwMode="auto">
        <a:xfrm flipV="1">
          <a:off x="1200151" y="35375849"/>
          <a:ext cx="2562225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206</xdr:row>
      <xdr:rowOff>114300</xdr:rowOff>
    </xdr:from>
    <xdr:to>
      <xdr:col>6</xdr:col>
      <xdr:colOff>9525</xdr:colOff>
      <xdr:row>208</xdr:row>
      <xdr:rowOff>17145</xdr:rowOff>
    </xdr:to>
    <xdr:sp macro="" textlink="">
      <xdr:nvSpPr>
        <xdr:cNvPr id="367" name="Line 272"/>
        <xdr:cNvSpPr>
          <a:spLocks noChangeShapeType="1"/>
        </xdr:cNvSpPr>
      </xdr:nvSpPr>
      <xdr:spPr bwMode="auto">
        <a:xfrm flipH="1">
          <a:off x="3771900" y="35071050"/>
          <a:ext cx="228600" cy="226695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485775</xdr:colOff>
      <xdr:row>206</xdr:row>
      <xdr:rowOff>47625</xdr:rowOff>
    </xdr:from>
    <xdr:to>
      <xdr:col>0</xdr:col>
      <xdr:colOff>247650</xdr:colOff>
      <xdr:row>206</xdr:row>
      <xdr:rowOff>47625</xdr:rowOff>
    </xdr:to>
    <xdr:sp macro="" textlink="">
      <xdr:nvSpPr>
        <xdr:cNvPr id="368" name="Line 276"/>
        <xdr:cNvSpPr>
          <a:spLocks noChangeShapeType="1"/>
        </xdr:cNvSpPr>
      </xdr:nvSpPr>
      <xdr:spPr bwMode="auto">
        <a:xfrm flipH="1" flipV="1">
          <a:off x="485775" y="350043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123825</xdr:colOff>
      <xdr:row>215</xdr:row>
      <xdr:rowOff>38100</xdr:rowOff>
    </xdr:from>
    <xdr:to>
      <xdr:col>7</xdr:col>
      <xdr:colOff>247650</xdr:colOff>
      <xdr:row>222</xdr:row>
      <xdr:rowOff>0</xdr:rowOff>
    </xdr:to>
    <xdr:sp macro="" textlink="">
      <xdr:nvSpPr>
        <xdr:cNvPr id="369" name="Down Arrow 510"/>
        <xdr:cNvSpPr>
          <a:spLocks noChangeArrowheads="1"/>
        </xdr:cNvSpPr>
      </xdr:nvSpPr>
      <xdr:spPr bwMode="auto">
        <a:xfrm flipH="1">
          <a:off x="4724400" y="36452175"/>
          <a:ext cx="123825" cy="1095375"/>
        </a:xfrm>
        <a:prstGeom prst="downArrow">
          <a:avLst>
            <a:gd name="adj1" fmla="val 50000"/>
            <a:gd name="adj2" fmla="val 63414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57150</xdr:colOff>
      <xdr:row>230</xdr:row>
      <xdr:rowOff>66675</xdr:rowOff>
    </xdr:from>
    <xdr:to>
      <xdr:col>7</xdr:col>
      <xdr:colOff>333375</xdr:colOff>
      <xdr:row>230</xdr:row>
      <xdr:rowOff>152400</xdr:rowOff>
    </xdr:to>
    <xdr:sp macro="" textlink="">
      <xdr:nvSpPr>
        <xdr:cNvPr id="370" name="Right Arrow 512"/>
        <xdr:cNvSpPr>
          <a:spLocks noChangeArrowheads="1"/>
        </xdr:cNvSpPr>
      </xdr:nvSpPr>
      <xdr:spPr bwMode="auto">
        <a:xfrm>
          <a:off x="4657725" y="38947725"/>
          <a:ext cx="276225" cy="85725"/>
        </a:xfrm>
        <a:prstGeom prst="rightArrow">
          <a:avLst>
            <a:gd name="adj1" fmla="val 50000"/>
            <a:gd name="adj2" fmla="val 50002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76200</xdr:colOff>
      <xdr:row>231</xdr:row>
      <xdr:rowOff>38100</xdr:rowOff>
    </xdr:from>
    <xdr:to>
      <xdr:col>7</xdr:col>
      <xdr:colOff>352425</xdr:colOff>
      <xdr:row>231</xdr:row>
      <xdr:rowOff>123825</xdr:rowOff>
    </xdr:to>
    <xdr:sp macro="" textlink="">
      <xdr:nvSpPr>
        <xdr:cNvPr id="371" name="Right Arrow 513"/>
        <xdr:cNvSpPr>
          <a:spLocks noChangeArrowheads="1"/>
        </xdr:cNvSpPr>
      </xdr:nvSpPr>
      <xdr:spPr bwMode="auto">
        <a:xfrm>
          <a:off x="4676775" y="39081075"/>
          <a:ext cx="276225" cy="85725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95250</xdr:colOff>
      <xdr:row>229</xdr:row>
      <xdr:rowOff>28575</xdr:rowOff>
    </xdr:from>
    <xdr:to>
      <xdr:col>7</xdr:col>
      <xdr:colOff>371475</xdr:colOff>
      <xdr:row>229</xdr:row>
      <xdr:rowOff>114300</xdr:rowOff>
    </xdr:to>
    <xdr:sp macro="" textlink="">
      <xdr:nvSpPr>
        <xdr:cNvPr id="372" name="Right Arrow 514"/>
        <xdr:cNvSpPr>
          <a:spLocks noChangeArrowheads="1"/>
        </xdr:cNvSpPr>
      </xdr:nvSpPr>
      <xdr:spPr bwMode="auto">
        <a:xfrm>
          <a:off x="4695825" y="38747700"/>
          <a:ext cx="276225" cy="85725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247650</xdr:colOff>
      <xdr:row>225</xdr:row>
      <xdr:rowOff>85725</xdr:rowOff>
    </xdr:from>
    <xdr:to>
      <xdr:col>7</xdr:col>
      <xdr:colOff>342900</xdr:colOff>
      <xdr:row>226</xdr:row>
      <xdr:rowOff>133350</xdr:rowOff>
    </xdr:to>
    <xdr:sp macro="" textlink="">
      <xdr:nvSpPr>
        <xdr:cNvPr id="373" name="Up Arrow 516"/>
        <xdr:cNvSpPr>
          <a:spLocks noChangeArrowheads="1"/>
        </xdr:cNvSpPr>
      </xdr:nvSpPr>
      <xdr:spPr bwMode="auto">
        <a:xfrm>
          <a:off x="4848225" y="38119050"/>
          <a:ext cx="95250" cy="209550"/>
        </a:xfrm>
        <a:prstGeom prst="upArrow">
          <a:avLst>
            <a:gd name="adj1" fmla="val 50000"/>
            <a:gd name="adj2" fmla="val 49001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66675</xdr:colOff>
      <xdr:row>104</xdr:row>
      <xdr:rowOff>0</xdr:rowOff>
    </xdr:from>
    <xdr:to>
      <xdr:col>0</xdr:col>
      <xdr:colOff>342900</xdr:colOff>
      <xdr:row>104</xdr:row>
      <xdr:rowOff>0</xdr:rowOff>
    </xdr:to>
    <xdr:sp macro="" textlink="">
      <xdr:nvSpPr>
        <xdr:cNvPr id="374" name="Line 783"/>
        <xdr:cNvSpPr>
          <a:spLocks noChangeShapeType="1"/>
        </xdr:cNvSpPr>
      </xdr:nvSpPr>
      <xdr:spPr bwMode="auto">
        <a:xfrm>
          <a:off x="66675" y="1737360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66675</xdr:colOff>
      <xdr:row>187</xdr:row>
      <xdr:rowOff>142875</xdr:rowOff>
    </xdr:from>
    <xdr:to>
      <xdr:col>0</xdr:col>
      <xdr:colOff>361950</xdr:colOff>
      <xdr:row>187</xdr:row>
      <xdr:rowOff>142875</xdr:rowOff>
    </xdr:to>
    <xdr:sp macro="" textlink="">
      <xdr:nvSpPr>
        <xdr:cNvPr id="375" name="Line 783"/>
        <xdr:cNvSpPr>
          <a:spLocks noChangeShapeType="1"/>
        </xdr:cNvSpPr>
      </xdr:nvSpPr>
      <xdr:spPr bwMode="auto">
        <a:xfrm flipV="1">
          <a:off x="66675" y="3121342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</xdr:colOff>
      <xdr:row>178</xdr:row>
      <xdr:rowOff>0</xdr:rowOff>
    </xdr:from>
    <xdr:to>
      <xdr:col>5</xdr:col>
      <xdr:colOff>438150</xdr:colOff>
      <xdr:row>178</xdr:row>
      <xdr:rowOff>0</xdr:rowOff>
    </xdr:to>
    <xdr:sp macro="" textlink="">
      <xdr:nvSpPr>
        <xdr:cNvPr id="376" name="Line 12778"/>
        <xdr:cNvSpPr>
          <a:spLocks noChangeShapeType="1"/>
        </xdr:cNvSpPr>
      </xdr:nvSpPr>
      <xdr:spPr bwMode="auto">
        <a:xfrm flipV="1">
          <a:off x="3333750" y="30422850"/>
          <a:ext cx="390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116206</xdr:colOff>
      <xdr:row>185</xdr:row>
      <xdr:rowOff>9525</xdr:rowOff>
    </xdr:from>
    <xdr:to>
      <xdr:col>6</xdr:col>
      <xdr:colOff>161925</xdr:colOff>
      <xdr:row>198</xdr:row>
      <xdr:rowOff>19050</xdr:rowOff>
    </xdr:to>
    <xdr:sp macro="" textlink="">
      <xdr:nvSpPr>
        <xdr:cNvPr id="377" name="Line 12782"/>
        <xdr:cNvSpPr>
          <a:spLocks noChangeShapeType="1"/>
        </xdr:cNvSpPr>
      </xdr:nvSpPr>
      <xdr:spPr bwMode="auto">
        <a:xfrm>
          <a:off x="4107181" y="31565850"/>
          <a:ext cx="45719" cy="211455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6</xdr:col>
      <xdr:colOff>123825</xdr:colOff>
      <xdr:row>185</xdr:row>
      <xdr:rowOff>9525</xdr:rowOff>
    </xdr:from>
    <xdr:to>
      <xdr:col>6</xdr:col>
      <xdr:colOff>581025</xdr:colOff>
      <xdr:row>198</xdr:row>
      <xdr:rowOff>0</xdr:rowOff>
    </xdr:to>
    <xdr:sp macro="" textlink="">
      <xdr:nvSpPr>
        <xdr:cNvPr id="378" name="Line 12783"/>
        <xdr:cNvSpPr>
          <a:spLocks noChangeShapeType="1"/>
        </xdr:cNvSpPr>
      </xdr:nvSpPr>
      <xdr:spPr bwMode="auto">
        <a:xfrm>
          <a:off x="4114800" y="31565850"/>
          <a:ext cx="457200" cy="2095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161925</xdr:colOff>
      <xdr:row>198</xdr:row>
      <xdr:rowOff>0</xdr:rowOff>
    </xdr:from>
    <xdr:to>
      <xdr:col>6</xdr:col>
      <xdr:colOff>561975</xdr:colOff>
      <xdr:row>198</xdr:row>
      <xdr:rowOff>0</xdr:rowOff>
    </xdr:to>
    <xdr:sp macro="" textlink="">
      <xdr:nvSpPr>
        <xdr:cNvPr id="379" name="Line 12784"/>
        <xdr:cNvSpPr>
          <a:spLocks noChangeShapeType="1"/>
        </xdr:cNvSpPr>
      </xdr:nvSpPr>
      <xdr:spPr bwMode="auto">
        <a:xfrm flipH="1" flipV="1">
          <a:off x="4152900" y="33661350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152400</xdr:colOff>
      <xdr:row>196</xdr:row>
      <xdr:rowOff>85725</xdr:rowOff>
    </xdr:from>
    <xdr:to>
      <xdr:col>6</xdr:col>
      <xdr:colOff>552450</xdr:colOff>
      <xdr:row>196</xdr:row>
      <xdr:rowOff>85725</xdr:rowOff>
    </xdr:to>
    <xdr:sp macro="" textlink="">
      <xdr:nvSpPr>
        <xdr:cNvPr id="380" name="Line 12785"/>
        <xdr:cNvSpPr>
          <a:spLocks noChangeShapeType="1"/>
        </xdr:cNvSpPr>
      </xdr:nvSpPr>
      <xdr:spPr bwMode="auto">
        <a:xfrm flipH="1" flipV="1">
          <a:off x="4143375" y="33423225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476250</xdr:colOff>
      <xdr:row>40</xdr:row>
      <xdr:rowOff>95250</xdr:rowOff>
    </xdr:from>
    <xdr:to>
      <xdr:col>5</xdr:col>
      <xdr:colOff>552450</xdr:colOff>
      <xdr:row>41</xdr:row>
      <xdr:rowOff>9525</xdr:rowOff>
    </xdr:to>
    <xdr:sp macro="" textlink="">
      <xdr:nvSpPr>
        <xdr:cNvPr id="381" name="Oval 12788"/>
        <xdr:cNvSpPr>
          <a:spLocks noChangeArrowheads="1"/>
        </xdr:cNvSpPr>
      </xdr:nvSpPr>
      <xdr:spPr bwMode="auto">
        <a:xfrm>
          <a:off x="3762375" y="7610475"/>
          <a:ext cx="76200" cy="762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57150</xdr:colOff>
      <xdr:row>234</xdr:row>
      <xdr:rowOff>38100</xdr:rowOff>
    </xdr:from>
    <xdr:to>
      <xdr:col>7</xdr:col>
      <xdr:colOff>400050</xdr:colOff>
      <xdr:row>234</xdr:row>
      <xdr:rowOff>133350</xdr:rowOff>
    </xdr:to>
    <xdr:sp macro="" textlink="">
      <xdr:nvSpPr>
        <xdr:cNvPr id="382" name="Left Arrow 515"/>
        <xdr:cNvSpPr>
          <a:spLocks noChangeArrowheads="1"/>
        </xdr:cNvSpPr>
      </xdr:nvSpPr>
      <xdr:spPr bwMode="auto">
        <a:xfrm>
          <a:off x="4657725" y="39566850"/>
          <a:ext cx="342900" cy="95250"/>
        </a:xfrm>
        <a:prstGeom prst="leftArrow">
          <a:avLst>
            <a:gd name="adj1" fmla="val 50000"/>
            <a:gd name="adj2" fmla="val 50000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38100</xdr:colOff>
      <xdr:row>233</xdr:row>
      <xdr:rowOff>57150</xdr:rowOff>
    </xdr:from>
    <xdr:to>
      <xdr:col>7</xdr:col>
      <xdr:colOff>381000</xdr:colOff>
      <xdr:row>233</xdr:row>
      <xdr:rowOff>114300</xdr:rowOff>
    </xdr:to>
    <xdr:sp macro="" textlink="">
      <xdr:nvSpPr>
        <xdr:cNvPr id="383" name="Left Arrow 515"/>
        <xdr:cNvSpPr>
          <a:spLocks noChangeArrowheads="1"/>
        </xdr:cNvSpPr>
      </xdr:nvSpPr>
      <xdr:spPr bwMode="auto">
        <a:xfrm>
          <a:off x="4638675" y="39423975"/>
          <a:ext cx="342900" cy="57150"/>
        </a:xfrm>
        <a:prstGeom prst="leftArrow">
          <a:avLst>
            <a:gd name="adj1" fmla="val 50000"/>
            <a:gd name="adj2" fmla="val 50000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513557</xdr:colOff>
      <xdr:row>189</xdr:row>
      <xdr:rowOff>796</xdr:rowOff>
    </xdr:from>
    <xdr:to>
      <xdr:col>7</xdr:col>
      <xdr:colOff>515145</xdr:colOff>
      <xdr:row>198</xdr:row>
      <xdr:rowOff>19846</xdr:rowOff>
    </xdr:to>
    <xdr:cxnSp macro="">
      <xdr:nvCxnSpPr>
        <xdr:cNvPr id="384" name="Straight Connector 598"/>
        <xdr:cNvCxnSpPr>
          <a:cxnSpLocks noChangeShapeType="1"/>
        </xdr:cNvCxnSpPr>
      </xdr:nvCxnSpPr>
      <xdr:spPr bwMode="auto">
        <a:xfrm rot="5400000">
          <a:off x="4376738" y="32942215"/>
          <a:ext cx="1476375" cy="1588"/>
        </a:xfrm>
        <a:prstGeom prst="line">
          <a:avLst/>
        </a:prstGeom>
        <a:noFill/>
        <a:ln w="9525" algn="ctr">
          <a:solidFill>
            <a:srgbClr val="000000"/>
          </a:solidFill>
          <a:prstDash val="dash"/>
          <a:round/>
          <a:headEnd/>
          <a:tailEnd/>
        </a:ln>
      </xdr:spPr>
    </xdr:cxnSp>
    <xdr:clientData/>
  </xdr:twoCellAnchor>
  <xdr:twoCellAnchor>
    <xdr:from>
      <xdr:col>7</xdr:col>
      <xdr:colOff>514350</xdr:colOff>
      <xdr:row>198</xdr:row>
      <xdr:rowOff>9525</xdr:rowOff>
    </xdr:from>
    <xdr:to>
      <xdr:col>8</xdr:col>
      <xdr:colOff>123825</xdr:colOff>
      <xdr:row>198</xdr:row>
      <xdr:rowOff>9525</xdr:rowOff>
    </xdr:to>
    <xdr:cxnSp macro="">
      <xdr:nvCxnSpPr>
        <xdr:cNvPr id="385" name="Straight Connector 600"/>
        <xdr:cNvCxnSpPr>
          <a:cxnSpLocks noChangeShapeType="1"/>
        </xdr:cNvCxnSpPr>
      </xdr:nvCxnSpPr>
      <xdr:spPr bwMode="auto">
        <a:xfrm>
          <a:off x="5114925" y="33670875"/>
          <a:ext cx="24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/>
        </a:ln>
      </xdr:spPr>
    </xdr:cxnSp>
    <xdr:clientData/>
  </xdr:twoCellAnchor>
  <xdr:twoCellAnchor>
    <xdr:from>
      <xdr:col>7</xdr:col>
      <xdr:colOff>523875</xdr:colOff>
      <xdr:row>196</xdr:row>
      <xdr:rowOff>104775</xdr:rowOff>
    </xdr:from>
    <xdr:to>
      <xdr:col>8</xdr:col>
      <xdr:colOff>123825</xdr:colOff>
      <xdr:row>196</xdr:row>
      <xdr:rowOff>104775</xdr:rowOff>
    </xdr:to>
    <xdr:cxnSp macro="">
      <xdr:nvCxnSpPr>
        <xdr:cNvPr id="386" name="Straight Connector 602"/>
        <xdr:cNvCxnSpPr>
          <a:cxnSpLocks noChangeShapeType="1"/>
        </xdr:cNvCxnSpPr>
      </xdr:nvCxnSpPr>
      <xdr:spPr bwMode="auto">
        <a:xfrm rot="10800000">
          <a:off x="5124450" y="33442275"/>
          <a:ext cx="238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8</xdr:col>
      <xdr:colOff>294481</xdr:colOff>
      <xdr:row>189</xdr:row>
      <xdr:rowOff>794</xdr:rowOff>
    </xdr:from>
    <xdr:to>
      <xdr:col>8</xdr:col>
      <xdr:colOff>296069</xdr:colOff>
      <xdr:row>198</xdr:row>
      <xdr:rowOff>10319</xdr:rowOff>
    </xdr:to>
    <xdr:cxnSp macro="">
      <xdr:nvCxnSpPr>
        <xdr:cNvPr id="387" name="Straight Arrow Connector 604"/>
        <xdr:cNvCxnSpPr>
          <a:cxnSpLocks noChangeShapeType="1"/>
        </xdr:cNvCxnSpPr>
      </xdr:nvCxnSpPr>
      <xdr:spPr bwMode="auto">
        <a:xfrm rot="5400000">
          <a:off x="4800600" y="32937450"/>
          <a:ext cx="1466850" cy="1588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</xdr:spPr>
    </xdr:cxnSp>
    <xdr:clientData/>
  </xdr:twoCellAnchor>
  <xdr:twoCellAnchor>
    <xdr:from>
      <xdr:col>7</xdr:col>
      <xdr:colOff>104775</xdr:colOff>
      <xdr:row>188</xdr:row>
      <xdr:rowOff>152400</xdr:rowOff>
    </xdr:from>
    <xdr:to>
      <xdr:col>8</xdr:col>
      <xdr:colOff>647700</xdr:colOff>
      <xdr:row>188</xdr:row>
      <xdr:rowOff>152400</xdr:rowOff>
    </xdr:to>
    <xdr:cxnSp macro="">
      <xdr:nvCxnSpPr>
        <xdr:cNvPr id="388" name="Straight Connector 607"/>
        <xdr:cNvCxnSpPr>
          <a:cxnSpLocks noChangeShapeType="1"/>
        </xdr:cNvCxnSpPr>
      </xdr:nvCxnSpPr>
      <xdr:spPr bwMode="auto">
        <a:xfrm>
          <a:off x="4705350" y="32194500"/>
          <a:ext cx="113347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7</xdr:col>
      <xdr:colOff>581025</xdr:colOff>
      <xdr:row>197</xdr:row>
      <xdr:rowOff>152400</xdr:rowOff>
    </xdr:from>
    <xdr:to>
      <xdr:col>8</xdr:col>
      <xdr:colOff>676275</xdr:colOff>
      <xdr:row>198</xdr:row>
      <xdr:rowOff>1</xdr:rowOff>
    </xdr:to>
    <xdr:cxnSp macro="">
      <xdr:nvCxnSpPr>
        <xdr:cNvPr id="389" name="Straight Connector 609"/>
        <xdr:cNvCxnSpPr>
          <a:cxnSpLocks noChangeShapeType="1"/>
        </xdr:cNvCxnSpPr>
      </xdr:nvCxnSpPr>
      <xdr:spPr bwMode="auto">
        <a:xfrm flipV="1">
          <a:off x="5181600" y="33651825"/>
          <a:ext cx="657225" cy="9526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oneCellAnchor>
    <xdr:from>
      <xdr:col>7</xdr:col>
      <xdr:colOff>361950</xdr:colOff>
      <xdr:row>183</xdr:row>
      <xdr:rowOff>152400</xdr:rowOff>
    </xdr:from>
    <xdr:ext cx="123825" cy="177532"/>
    <xdr:sp macro="" textlink="">
      <xdr:nvSpPr>
        <xdr:cNvPr id="390" name="Text Box 870"/>
        <xdr:cNvSpPr txBox="1">
          <a:spLocks noChangeArrowheads="1"/>
        </xdr:cNvSpPr>
      </xdr:nvSpPr>
      <xdr:spPr bwMode="auto">
        <a:xfrm>
          <a:off x="4962525" y="31384875"/>
          <a:ext cx="123825" cy="177532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304800</xdr:colOff>
      <xdr:row>102</xdr:row>
      <xdr:rowOff>152400</xdr:rowOff>
    </xdr:from>
    <xdr:ext cx="123825" cy="177532"/>
    <xdr:sp macro="" textlink="">
      <xdr:nvSpPr>
        <xdr:cNvPr id="391" name="Text Box 870"/>
        <xdr:cNvSpPr txBox="1">
          <a:spLocks noChangeArrowheads="1"/>
        </xdr:cNvSpPr>
      </xdr:nvSpPr>
      <xdr:spPr bwMode="auto">
        <a:xfrm>
          <a:off x="2266950" y="18011775"/>
          <a:ext cx="123825" cy="177532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295275</xdr:colOff>
      <xdr:row>98</xdr:row>
      <xdr:rowOff>152400</xdr:rowOff>
    </xdr:from>
    <xdr:ext cx="123825" cy="177532"/>
    <xdr:sp macro="" textlink="">
      <xdr:nvSpPr>
        <xdr:cNvPr id="392" name="Text Box 870"/>
        <xdr:cNvSpPr txBox="1">
          <a:spLocks noChangeArrowheads="1"/>
        </xdr:cNvSpPr>
      </xdr:nvSpPr>
      <xdr:spPr bwMode="auto">
        <a:xfrm>
          <a:off x="4895850" y="17364075"/>
          <a:ext cx="123825" cy="177532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276225</xdr:colOff>
      <xdr:row>110</xdr:row>
      <xdr:rowOff>0</xdr:rowOff>
    </xdr:from>
    <xdr:ext cx="171450" cy="170560"/>
    <xdr:sp macro="" textlink="">
      <xdr:nvSpPr>
        <xdr:cNvPr id="393" name="Text Box 870"/>
        <xdr:cNvSpPr txBox="1">
          <a:spLocks noChangeArrowheads="1"/>
        </xdr:cNvSpPr>
      </xdr:nvSpPr>
      <xdr:spPr bwMode="auto">
        <a:xfrm>
          <a:off x="2238375" y="19154775"/>
          <a:ext cx="171450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0</xdr:col>
      <xdr:colOff>152400</xdr:colOff>
      <xdr:row>65</xdr:row>
      <xdr:rowOff>28575</xdr:rowOff>
    </xdr:from>
    <xdr:to>
      <xdr:col>0</xdr:col>
      <xdr:colOff>581025</xdr:colOff>
      <xdr:row>65</xdr:row>
      <xdr:rowOff>123825</xdr:rowOff>
    </xdr:to>
    <xdr:sp macro="" textlink="">
      <xdr:nvSpPr>
        <xdr:cNvPr id="394" name="Right Arrow 507"/>
        <xdr:cNvSpPr>
          <a:spLocks noChangeArrowheads="1"/>
        </xdr:cNvSpPr>
      </xdr:nvSpPr>
      <xdr:spPr bwMode="auto">
        <a:xfrm flipV="1">
          <a:off x="152400" y="10782300"/>
          <a:ext cx="428625" cy="95250"/>
        </a:xfrm>
        <a:prstGeom prst="rightArrow">
          <a:avLst>
            <a:gd name="adj1" fmla="val 50000"/>
            <a:gd name="adj2" fmla="val 50000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76200</xdr:colOff>
      <xdr:row>146</xdr:row>
      <xdr:rowOff>76199</xdr:rowOff>
    </xdr:from>
    <xdr:to>
      <xdr:col>7</xdr:col>
      <xdr:colOff>352425</xdr:colOff>
      <xdr:row>146</xdr:row>
      <xdr:rowOff>161924</xdr:rowOff>
    </xdr:to>
    <xdr:sp macro="" textlink="">
      <xdr:nvSpPr>
        <xdr:cNvPr id="395" name="Right Arrow 514"/>
        <xdr:cNvSpPr>
          <a:spLocks noChangeArrowheads="1"/>
        </xdr:cNvSpPr>
      </xdr:nvSpPr>
      <xdr:spPr bwMode="auto">
        <a:xfrm>
          <a:off x="4676775" y="25098374"/>
          <a:ext cx="276225" cy="85725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47625</xdr:colOff>
      <xdr:row>232</xdr:row>
      <xdr:rowOff>57150</xdr:rowOff>
    </xdr:from>
    <xdr:to>
      <xdr:col>7</xdr:col>
      <xdr:colOff>323850</xdr:colOff>
      <xdr:row>232</xdr:row>
      <xdr:rowOff>142875</xdr:rowOff>
    </xdr:to>
    <xdr:sp macro="" textlink="">
      <xdr:nvSpPr>
        <xdr:cNvPr id="396" name="Right Arrow 513"/>
        <xdr:cNvSpPr>
          <a:spLocks noChangeArrowheads="1"/>
        </xdr:cNvSpPr>
      </xdr:nvSpPr>
      <xdr:spPr bwMode="auto">
        <a:xfrm>
          <a:off x="4648200" y="39262050"/>
          <a:ext cx="276225" cy="85725"/>
        </a:xfrm>
        <a:prstGeom prst="rightArrow">
          <a:avLst>
            <a:gd name="adj1" fmla="val 50000"/>
            <a:gd name="adj2" fmla="val 49998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9527</xdr:colOff>
      <xdr:row>84</xdr:row>
      <xdr:rowOff>180976</xdr:rowOff>
    </xdr:from>
    <xdr:to>
      <xdr:col>1</xdr:col>
      <xdr:colOff>19051</xdr:colOff>
      <xdr:row>87</xdr:row>
      <xdr:rowOff>2</xdr:rowOff>
    </xdr:to>
    <xdr:cxnSp macro="">
      <xdr:nvCxnSpPr>
        <xdr:cNvPr id="397" name="Straight Connector 396"/>
        <xdr:cNvCxnSpPr/>
      </xdr:nvCxnSpPr>
      <xdr:spPr bwMode="auto">
        <a:xfrm rot="16200000" flipH="1">
          <a:off x="433388" y="15120940"/>
          <a:ext cx="381001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</xdr:colOff>
      <xdr:row>87</xdr:row>
      <xdr:rowOff>9525</xdr:rowOff>
    </xdr:from>
    <xdr:to>
      <xdr:col>6</xdr:col>
      <xdr:colOff>600075</xdr:colOff>
      <xdr:row>87</xdr:row>
      <xdr:rowOff>11113</xdr:rowOff>
    </xdr:to>
    <xdr:cxnSp macro="">
      <xdr:nvCxnSpPr>
        <xdr:cNvPr id="398" name="Straight Connector 397"/>
        <xdr:cNvCxnSpPr/>
      </xdr:nvCxnSpPr>
      <xdr:spPr bwMode="auto">
        <a:xfrm>
          <a:off x="619125" y="15325725"/>
          <a:ext cx="39719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599282</xdr:colOff>
      <xdr:row>84</xdr:row>
      <xdr:rowOff>190500</xdr:rowOff>
    </xdr:from>
    <xdr:to>
      <xdr:col>6</xdr:col>
      <xdr:colOff>600078</xdr:colOff>
      <xdr:row>86</xdr:row>
      <xdr:rowOff>143670</xdr:rowOff>
    </xdr:to>
    <xdr:cxnSp macro="">
      <xdr:nvCxnSpPr>
        <xdr:cNvPr id="399" name="Straight Connector 398"/>
        <xdr:cNvCxnSpPr/>
      </xdr:nvCxnSpPr>
      <xdr:spPr bwMode="auto">
        <a:xfrm rot="5400000" flipH="1" flipV="1">
          <a:off x="4414045" y="15120937"/>
          <a:ext cx="353220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19050</xdr:colOff>
      <xdr:row>84</xdr:row>
      <xdr:rowOff>180975</xdr:rowOff>
    </xdr:from>
    <xdr:to>
      <xdr:col>7</xdr:col>
      <xdr:colOff>9525</xdr:colOff>
      <xdr:row>85</xdr:row>
      <xdr:rowOff>0</xdr:rowOff>
    </xdr:to>
    <xdr:cxnSp macro="">
      <xdr:nvCxnSpPr>
        <xdr:cNvPr id="400" name="Straight Connector 399"/>
        <xdr:cNvCxnSpPr/>
      </xdr:nvCxnSpPr>
      <xdr:spPr bwMode="auto">
        <a:xfrm flipV="1">
          <a:off x="628650" y="14935200"/>
          <a:ext cx="398145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</xdr:colOff>
      <xdr:row>88</xdr:row>
      <xdr:rowOff>0</xdr:rowOff>
    </xdr:from>
    <xdr:to>
      <xdr:col>6</xdr:col>
      <xdr:colOff>590553</xdr:colOff>
      <xdr:row>88</xdr:row>
      <xdr:rowOff>1588</xdr:rowOff>
    </xdr:to>
    <xdr:cxnSp macro="">
      <xdr:nvCxnSpPr>
        <xdr:cNvPr id="401" name="Straight Arrow Connector 400"/>
        <xdr:cNvCxnSpPr/>
      </xdr:nvCxnSpPr>
      <xdr:spPr bwMode="auto">
        <a:xfrm rot="10800000">
          <a:off x="2514601" y="15516225"/>
          <a:ext cx="2066927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381005</xdr:colOff>
      <xdr:row>83</xdr:row>
      <xdr:rowOff>85728</xdr:rowOff>
    </xdr:from>
    <xdr:to>
      <xdr:col>3</xdr:col>
      <xdr:colOff>390526</xdr:colOff>
      <xdr:row>88</xdr:row>
      <xdr:rowOff>19054</xdr:rowOff>
    </xdr:to>
    <xdr:cxnSp macro="">
      <xdr:nvCxnSpPr>
        <xdr:cNvPr id="402" name="Straight Connector 401"/>
        <xdr:cNvCxnSpPr/>
      </xdr:nvCxnSpPr>
      <xdr:spPr bwMode="auto">
        <a:xfrm rot="5400000">
          <a:off x="1919290" y="15101893"/>
          <a:ext cx="857251" cy="952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lg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400050</xdr:colOff>
      <xdr:row>87</xdr:row>
      <xdr:rowOff>190500</xdr:rowOff>
    </xdr:from>
    <xdr:to>
      <xdr:col>4</xdr:col>
      <xdr:colOff>9525</xdr:colOff>
      <xdr:row>87</xdr:row>
      <xdr:rowOff>192088</xdr:rowOff>
    </xdr:to>
    <xdr:cxnSp macro="">
      <xdr:nvCxnSpPr>
        <xdr:cNvPr id="403" name="Straight Arrow Connector 402"/>
        <xdr:cNvCxnSpPr/>
      </xdr:nvCxnSpPr>
      <xdr:spPr bwMode="auto">
        <a:xfrm>
          <a:off x="2362200" y="15506700"/>
          <a:ext cx="161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504826</xdr:colOff>
      <xdr:row>84</xdr:row>
      <xdr:rowOff>0</xdr:rowOff>
    </xdr:from>
    <xdr:to>
      <xdr:col>3</xdr:col>
      <xdr:colOff>390526</xdr:colOff>
      <xdr:row>84</xdr:row>
      <xdr:rowOff>2</xdr:rowOff>
    </xdr:to>
    <xdr:cxnSp macro="">
      <xdr:nvCxnSpPr>
        <xdr:cNvPr id="404" name="Straight Arrow Connector 403"/>
        <xdr:cNvCxnSpPr/>
      </xdr:nvCxnSpPr>
      <xdr:spPr bwMode="auto">
        <a:xfrm rot="10800000">
          <a:off x="1724026" y="14754225"/>
          <a:ext cx="6286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390525</xdr:colOff>
      <xdr:row>83</xdr:row>
      <xdr:rowOff>152399</xdr:rowOff>
    </xdr:from>
    <xdr:to>
      <xdr:col>6</xdr:col>
      <xdr:colOff>590550</xdr:colOff>
      <xdr:row>83</xdr:row>
      <xdr:rowOff>161924</xdr:rowOff>
    </xdr:to>
    <xdr:cxnSp macro="">
      <xdr:nvCxnSpPr>
        <xdr:cNvPr id="405" name="Straight Arrow Connector 404"/>
        <xdr:cNvCxnSpPr/>
      </xdr:nvCxnSpPr>
      <xdr:spPr bwMode="auto">
        <a:xfrm rot="10800000" flipV="1">
          <a:off x="2352675" y="14744699"/>
          <a:ext cx="22288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590550</xdr:colOff>
      <xdr:row>86</xdr:row>
      <xdr:rowOff>123825</xdr:rowOff>
    </xdr:from>
    <xdr:to>
      <xdr:col>7</xdr:col>
      <xdr:colOff>26669</xdr:colOff>
      <xdr:row>87</xdr:row>
      <xdr:rowOff>7619</xdr:rowOff>
    </xdr:to>
    <xdr:sp macro="" textlink="">
      <xdr:nvSpPr>
        <xdr:cNvPr id="406" name="Oval 405"/>
        <xdr:cNvSpPr/>
      </xdr:nvSpPr>
      <xdr:spPr bwMode="auto">
        <a:xfrm>
          <a:off x="4581525" y="15278100"/>
          <a:ext cx="45719" cy="45719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504032</xdr:colOff>
      <xdr:row>83</xdr:row>
      <xdr:rowOff>19050</xdr:rowOff>
    </xdr:from>
    <xdr:to>
      <xdr:col>2</xdr:col>
      <xdr:colOff>504826</xdr:colOff>
      <xdr:row>84</xdr:row>
      <xdr:rowOff>134144</xdr:rowOff>
    </xdr:to>
    <xdr:cxnSp macro="">
      <xdr:nvCxnSpPr>
        <xdr:cNvPr id="407" name="Straight Connector 406"/>
        <xdr:cNvCxnSpPr/>
      </xdr:nvCxnSpPr>
      <xdr:spPr bwMode="auto">
        <a:xfrm rot="5400000">
          <a:off x="1585119" y="14749463"/>
          <a:ext cx="277019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8731</xdr:colOff>
      <xdr:row>83</xdr:row>
      <xdr:rowOff>76994</xdr:rowOff>
    </xdr:from>
    <xdr:to>
      <xdr:col>7</xdr:col>
      <xdr:colOff>10319</xdr:colOff>
      <xdr:row>84</xdr:row>
      <xdr:rowOff>124619</xdr:rowOff>
    </xdr:to>
    <xdr:cxnSp macro="">
      <xdr:nvCxnSpPr>
        <xdr:cNvPr id="408" name="Straight Connector 407"/>
        <xdr:cNvCxnSpPr/>
      </xdr:nvCxnSpPr>
      <xdr:spPr bwMode="auto">
        <a:xfrm rot="5400000">
          <a:off x="4505325" y="14773275"/>
          <a:ext cx="209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8732</xdr:colOff>
      <xdr:row>87</xdr:row>
      <xdr:rowOff>105568</xdr:rowOff>
    </xdr:from>
    <xdr:to>
      <xdr:col>4</xdr:col>
      <xdr:colOff>10320</xdr:colOff>
      <xdr:row>89</xdr:row>
      <xdr:rowOff>57943</xdr:rowOff>
    </xdr:to>
    <xdr:cxnSp macro="">
      <xdr:nvCxnSpPr>
        <xdr:cNvPr id="409" name="Straight Connector 408"/>
        <xdr:cNvCxnSpPr/>
      </xdr:nvCxnSpPr>
      <xdr:spPr bwMode="auto">
        <a:xfrm rot="5400000">
          <a:off x="2366963" y="15578137"/>
          <a:ext cx="3143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600076</xdr:colOff>
      <xdr:row>117</xdr:row>
      <xdr:rowOff>152400</xdr:rowOff>
    </xdr:from>
    <xdr:to>
      <xdr:col>2</xdr:col>
      <xdr:colOff>0</xdr:colOff>
      <xdr:row>120</xdr:row>
      <xdr:rowOff>9524</xdr:rowOff>
    </xdr:to>
    <xdr:cxnSp macro="">
      <xdr:nvCxnSpPr>
        <xdr:cNvPr id="410" name="Straight Arrow Connector 409"/>
        <xdr:cNvCxnSpPr>
          <a:stCxn id="206" idx="0"/>
        </xdr:cNvCxnSpPr>
      </xdr:nvCxnSpPr>
      <xdr:spPr bwMode="auto">
        <a:xfrm rot="5400000" flipH="1" flipV="1">
          <a:off x="1042988" y="20607338"/>
          <a:ext cx="342899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885031</xdr:colOff>
      <xdr:row>118</xdr:row>
      <xdr:rowOff>10319</xdr:rowOff>
    </xdr:from>
    <xdr:to>
      <xdr:col>3</xdr:col>
      <xdr:colOff>794</xdr:colOff>
      <xdr:row>120</xdr:row>
      <xdr:rowOff>48419</xdr:rowOff>
    </xdr:to>
    <xdr:cxnSp macro="">
      <xdr:nvCxnSpPr>
        <xdr:cNvPr id="411" name="Straight Arrow Connector 410"/>
        <xdr:cNvCxnSpPr/>
      </xdr:nvCxnSpPr>
      <xdr:spPr bwMode="auto">
        <a:xfrm rot="5400000" flipH="1" flipV="1">
          <a:off x="1781175" y="20640675"/>
          <a:ext cx="3619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837406</xdr:colOff>
      <xdr:row>118</xdr:row>
      <xdr:rowOff>794</xdr:rowOff>
    </xdr:from>
    <xdr:to>
      <xdr:col>4</xdr:col>
      <xdr:colOff>794</xdr:colOff>
      <xdr:row>120</xdr:row>
      <xdr:rowOff>115094</xdr:rowOff>
    </xdr:to>
    <xdr:cxnSp macro="">
      <xdr:nvCxnSpPr>
        <xdr:cNvPr id="412" name="Straight Arrow Connector 411"/>
        <xdr:cNvCxnSpPr/>
      </xdr:nvCxnSpPr>
      <xdr:spPr bwMode="auto">
        <a:xfrm rot="5400000" flipH="1" flipV="1">
          <a:off x="2295525" y="20669250"/>
          <a:ext cx="438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466725</xdr:colOff>
      <xdr:row>118</xdr:row>
      <xdr:rowOff>1</xdr:rowOff>
    </xdr:from>
    <xdr:to>
      <xdr:col>5</xdr:col>
      <xdr:colOff>466726</xdr:colOff>
      <xdr:row>121</xdr:row>
      <xdr:rowOff>38100</xdr:rowOff>
    </xdr:to>
    <xdr:cxnSp macro="">
      <xdr:nvCxnSpPr>
        <xdr:cNvPr id="413" name="Straight Arrow Connector 412"/>
        <xdr:cNvCxnSpPr/>
      </xdr:nvCxnSpPr>
      <xdr:spPr bwMode="auto">
        <a:xfrm rot="16200000" flipV="1">
          <a:off x="3490914" y="20712112"/>
          <a:ext cx="523874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762001</xdr:colOff>
      <xdr:row>118</xdr:row>
      <xdr:rowOff>9525</xdr:rowOff>
    </xdr:from>
    <xdr:to>
      <xdr:col>5</xdr:col>
      <xdr:colOff>1</xdr:colOff>
      <xdr:row>121</xdr:row>
      <xdr:rowOff>9525</xdr:rowOff>
    </xdr:to>
    <xdr:cxnSp macro="">
      <xdr:nvCxnSpPr>
        <xdr:cNvPr id="414" name="Straight Arrow Connector 413"/>
        <xdr:cNvCxnSpPr/>
      </xdr:nvCxnSpPr>
      <xdr:spPr bwMode="auto">
        <a:xfrm rot="16200000" flipV="1">
          <a:off x="3038476" y="20697825"/>
          <a:ext cx="4857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495301</xdr:colOff>
      <xdr:row>118</xdr:row>
      <xdr:rowOff>0</xdr:rowOff>
    </xdr:from>
    <xdr:to>
      <xdr:col>4</xdr:col>
      <xdr:colOff>504826</xdr:colOff>
      <xdr:row>121</xdr:row>
      <xdr:rowOff>0</xdr:rowOff>
    </xdr:to>
    <xdr:cxnSp macro="">
      <xdr:nvCxnSpPr>
        <xdr:cNvPr id="415" name="Straight Arrow Connector 414"/>
        <xdr:cNvCxnSpPr/>
      </xdr:nvCxnSpPr>
      <xdr:spPr bwMode="auto">
        <a:xfrm rot="16200000" flipV="1">
          <a:off x="2771776" y="20688300"/>
          <a:ext cx="4857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237331</xdr:colOff>
      <xdr:row>118</xdr:row>
      <xdr:rowOff>10319</xdr:rowOff>
    </xdr:from>
    <xdr:to>
      <xdr:col>4</xdr:col>
      <xdr:colOff>238919</xdr:colOff>
      <xdr:row>120</xdr:row>
      <xdr:rowOff>124619</xdr:rowOff>
    </xdr:to>
    <xdr:cxnSp macro="">
      <xdr:nvCxnSpPr>
        <xdr:cNvPr id="416" name="Straight Arrow Connector 415"/>
        <xdr:cNvCxnSpPr/>
      </xdr:nvCxnSpPr>
      <xdr:spPr bwMode="auto">
        <a:xfrm rot="5400000" flipH="1" flipV="1">
          <a:off x="2533650" y="20678775"/>
          <a:ext cx="438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465934</xdr:colOff>
      <xdr:row>117</xdr:row>
      <xdr:rowOff>153194</xdr:rowOff>
    </xdr:from>
    <xdr:to>
      <xdr:col>3</xdr:col>
      <xdr:colOff>467522</xdr:colOff>
      <xdr:row>120</xdr:row>
      <xdr:rowOff>115094</xdr:rowOff>
    </xdr:to>
    <xdr:cxnSp macro="">
      <xdr:nvCxnSpPr>
        <xdr:cNvPr id="417" name="Straight Arrow Connector 416"/>
        <xdr:cNvCxnSpPr/>
      </xdr:nvCxnSpPr>
      <xdr:spPr bwMode="auto">
        <a:xfrm rot="5400000" flipH="1" flipV="1">
          <a:off x="2205040" y="20664488"/>
          <a:ext cx="4476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265909</xdr:colOff>
      <xdr:row>117</xdr:row>
      <xdr:rowOff>153194</xdr:rowOff>
    </xdr:from>
    <xdr:to>
      <xdr:col>3</xdr:col>
      <xdr:colOff>267497</xdr:colOff>
      <xdr:row>120</xdr:row>
      <xdr:rowOff>57944</xdr:rowOff>
    </xdr:to>
    <xdr:cxnSp macro="">
      <xdr:nvCxnSpPr>
        <xdr:cNvPr id="418" name="Straight Arrow Connector 417"/>
        <xdr:cNvCxnSpPr/>
      </xdr:nvCxnSpPr>
      <xdr:spPr bwMode="auto">
        <a:xfrm rot="5400000" flipH="1" flipV="1">
          <a:off x="2033590" y="20635913"/>
          <a:ext cx="3905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638176</xdr:colOff>
      <xdr:row>117</xdr:row>
      <xdr:rowOff>152401</xdr:rowOff>
    </xdr:from>
    <xdr:to>
      <xdr:col>2</xdr:col>
      <xdr:colOff>647700</xdr:colOff>
      <xdr:row>120</xdr:row>
      <xdr:rowOff>28577</xdr:rowOff>
    </xdr:to>
    <xdr:cxnSp macro="">
      <xdr:nvCxnSpPr>
        <xdr:cNvPr id="419" name="Straight Arrow Connector 418"/>
        <xdr:cNvCxnSpPr/>
      </xdr:nvCxnSpPr>
      <xdr:spPr bwMode="auto">
        <a:xfrm rot="16200000" flipV="1">
          <a:off x="1681162" y="20616865"/>
          <a:ext cx="361951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256382</xdr:colOff>
      <xdr:row>118</xdr:row>
      <xdr:rowOff>10319</xdr:rowOff>
    </xdr:from>
    <xdr:to>
      <xdr:col>2</xdr:col>
      <xdr:colOff>257970</xdr:colOff>
      <xdr:row>120</xdr:row>
      <xdr:rowOff>19844</xdr:rowOff>
    </xdr:to>
    <xdr:cxnSp macro="">
      <xdr:nvCxnSpPr>
        <xdr:cNvPr id="420" name="Straight Arrow Connector 419"/>
        <xdr:cNvCxnSpPr/>
      </xdr:nvCxnSpPr>
      <xdr:spPr bwMode="auto">
        <a:xfrm rot="5400000" flipH="1" flipV="1">
          <a:off x="1309688" y="20626388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227806</xdr:colOff>
      <xdr:row>117</xdr:row>
      <xdr:rowOff>143669</xdr:rowOff>
    </xdr:from>
    <xdr:to>
      <xdr:col>5</xdr:col>
      <xdr:colOff>229394</xdr:colOff>
      <xdr:row>121</xdr:row>
      <xdr:rowOff>10319</xdr:rowOff>
    </xdr:to>
    <xdr:cxnSp macro="">
      <xdr:nvCxnSpPr>
        <xdr:cNvPr id="421" name="Straight Arrow Connector 420"/>
        <xdr:cNvCxnSpPr/>
      </xdr:nvCxnSpPr>
      <xdr:spPr bwMode="auto">
        <a:xfrm rot="5400000" flipH="1" flipV="1">
          <a:off x="3257550" y="20688300"/>
          <a:ext cx="5143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457200</xdr:colOff>
      <xdr:row>118</xdr:row>
      <xdr:rowOff>2</xdr:rowOff>
    </xdr:from>
    <xdr:to>
      <xdr:col>2</xdr:col>
      <xdr:colOff>466725</xdr:colOff>
      <xdr:row>120</xdr:row>
      <xdr:rowOff>19052</xdr:rowOff>
    </xdr:to>
    <xdr:cxnSp macro="">
      <xdr:nvCxnSpPr>
        <xdr:cNvPr id="422" name="Straight Arrow Connector 421"/>
        <xdr:cNvCxnSpPr/>
      </xdr:nvCxnSpPr>
      <xdr:spPr bwMode="auto">
        <a:xfrm rot="16200000" flipV="1">
          <a:off x="1509713" y="20616864"/>
          <a:ext cx="3429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600076</xdr:colOff>
      <xdr:row>120</xdr:row>
      <xdr:rowOff>0</xdr:rowOff>
    </xdr:from>
    <xdr:to>
      <xdr:col>5</xdr:col>
      <xdr:colOff>476250</xdr:colOff>
      <xdr:row>120</xdr:row>
      <xdr:rowOff>9524</xdr:rowOff>
    </xdr:to>
    <xdr:cxnSp macro="">
      <xdr:nvCxnSpPr>
        <xdr:cNvPr id="423" name="Straight Connector 422"/>
        <xdr:cNvCxnSpPr>
          <a:stCxn id="206" idx="0"/>
        </xdr:cNvCxnSpPr>
      </xdr:nvCxnSpPr>
      <xdr:spPr bwMode="auto">
        <a:xfrm rot="5400000" flipH="1" flipV="1">
          <a:off x="2481264" y="19502437"/>
          <a:ext cx="9524" cy="2552699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475457</xdr:colOff>
      <xdr:row>207</xdr:row>
      <xdr:rowOff>797</xdr:rowOff>
    </xdr:from>
    <xdr:to>
      <xdr:col>5</xdr:col>
      <xdr:colOff>476251</xdr:colOff>
      <xdr:row>208</xdr:row>
      <xdr:rowOff>95249</xdr:rowOff>
    </xdr:to>
    <xdr:cxnSp macro="">
      <xdr:nvCxnSpPr>
        <xdr:cNvPr id="424" name="Straight Arrow Connector 423"/>
        <xdr:cNvCxnSpPr>
          <a:stCxn id="366" idx="1"/>
        </xdr:cNvCxnSpPr>
      </xdr:nvCxnSpPr>
      <xdr:spPr bwMode="auto">
        <a:xfrm rot="5400000" flipH="1">
          <a:off x="3633790" y="35247264"/>
          <a:ext cx="256377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724695</xdr:colOff>
      <xdr:row>207</xdr:row>
      <xdr:rowOff>794</xdr:rowOff>
    </xdr:from>
    <xdr:to>
      <xdr:col>4</xdr:col>
      <xdr:colOff>733426</xdr:colOff>
      <xdr:row>209</xdr:row>
      <xdr:rowOff>9525</xdr:rowOff>
    </xdr:to>
    <xdr:cxnSp macro="">
      <xdr:nvCxnSpPr>
        <xdr:cNvPr id="425" name="Straight Arrow Connector 424"/>
        <xdr:cNvCxnSpPr/>
      </xdr:nvCxnSpPr>
      <xdr:spPr bwMode="auto">
        <a:xfrm rot="16200000" flipV="1">
          <a:off x="3077370" y="35281394"/>
          <a:ext cx="332581" cy="87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828677</xdr:colOff>
      <xdr:row>206</xdr:row>
      <xdr:rowOff>152402</xdr:rowOff>
    </xdr:from>
    <xdr:to>
      <xdr:col>3</xdr:col>
      <xdr:colOff>838198</xdr:colOff>
      <xdr:row>209</xdr:row>
      <xdr:rowOff>76201</xdr:rowOff>
    </xdr:to>
    <xdr:cxnSp macro="">
      <xdr:nvCxnSpPr>
        <xdr:cNvPr id="426" name="Straight Arrow Connector 425"/>
        <xdr:cNvCxnSpPr/>
      </xdr:nvCxnSpPr>
      <xdr:spPr bwMode="auto">
        <a:xfrm rot="5400000" flipH="1" flipV="1">
          <a:off x="2309813" y="35313941"/>
          <a:ext cx="409574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171453</xdr:colOff>
      <xdr:row>207</xdr:row>
      <xdr:rowOff>796</xdr:rowOff>
    </xdr:from>
    <xdr:to>
      <xdr:col>3</xdr:col>
      <xdr:colOff>172247</xdr:colOff>
      <xdr:row>210</xdr:row>
      <xdr:rowOff>19052</xdr:rowOff>
    </xdr:to>
    <xdr:cxnSp macro="">
      <xdr:nvCxnSpPr>
        <xdr:cNvPr id="427" name="Straight Arrow Connector 426"/>
        <xdr:cNvCxnSpPr/>
      </xdr:nvCxnSpPr>
      <xdr:spPr bwMode="auto">
        <a:xfrm rot="5400000" flipH="1" flipV="1">
          <a:off x="1853409" y="34561465"/>
          <a:ext cx="504031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589758</xdr:colOff>
      <xdr:row>207</xdr:row>
      <xdr:rowOff>796</xdr:rowOff>
    </xdr:from>
    <xdr:to>
      <xdr:col>1</xdr:col>
      <xdr:colOff>591346</xdr:colOff>
      <xdr:row>210</xdr:row>
      <xdr:rowOff>143668</xdr:rowOff>
    </xdr:to>
    <xdr:cxnSp macro="">
      <xdr:nvCxnSpPr>
        <xdr:cNvPr id="428" name="Straight Arrow Connector 427"/>
        <xdr:cNvCxnSpPr>
          <a:stCxn id="366" idx="0"/>
        </xdr:cNvCxnSpPr>
      </xdr:nvCxnSpPr>
      <xdr:spPr bwMode="auto">
        <a:xfrm rot="5400000" flipH="1" flipV="1">
          <a:off x="885828" y="35433001"/>
          <a:ext cx="628647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200025</xdr:colOff>
      <xdr:row>206</xdr:row>
      <xdr:rowOff>153194</xdr:rowOff>
    </xdr:from>
    <xdr:to>
      <xdr:col>2</xdr:col>
      <xdr:colOff>200819</xdr:colOff>
      <xdr:row>210</xdr:row>
      <xdr:rowOff>114300</xdr:rowOff>
    </xdr:to>
    <xdr:cxnSp macro="">
      <xdr:nvCxnSpPr>
        <xdr:cNvPr id="429" name="Straight Arrow Connector 428"/>
        <xdr:cNvCxnSpPr/>
      </xdr:nvCxnSpPr>
      <xdr:spPr bwMode="auto">
        <a:xfrm rot="5400000" flipH="1" flipV="1">
          <a:off x="1115219" y="35413950"/>
          <a:ext cx="608806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11</xdr:col>
      <xdr:colOff>200034</xdr:colOff>
      <xdr:row>206</xdr:row>
      <xdr:rowOff>143675</xdr:rowOff>
    </xdr:from>
    <xdr:to>
      <xdr:col>11</xdr:col>
      <xdr:colOff>200826</xdr:colOff>
      <xdr:row>210</xdr:row>
      <xdr:rowOff>8</xdr:rowOff>
    </xdr:to>
    <xdr:cxnSp macro="">
      <xdr:nvCxnSpPr>
        <xdr:cNvPr id="430" name="Straight Arrow Connector 429"/>
        <xdr:cNvCxnSpPr/>
      </xdr:nvCxnSpPr>
      <xdr:spPr bwMode="auto">
        <a:xfrm rot="5400000" flipH="1" flipV="1">
          <a:off x="6130138" y="34542421"/>
          <a:ext cx="504033" cy="79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457204</xdr:colOff>
      <xdr:row>207</xdr:row>
      <xdr:rowOff>10323</xdr:rowOff>
    </xdr:from>
    <xdr:to>
      <xdr:col>3</xdr:col>
      <xdr:colOff>467526</xdr:colOff>
      <xdr:row>209</xdr:row>
      <xdr:rowOff>133350</xdr:rowOff>
    </xdr:to>
    <xdr:cxnSp macro="">
      <xdr:nvCxnSpPr>
        <xdr:cNvPr id="431" name="Straight Arrow Connector 430"/>
        <xdr:cNvCxnSpPr/>
      </xdr:nvCxnSpPr>
      <xdr:spPr bwMode="auto">
        <a:xfrm rot="5400000" flipH="1" flipV="1">
          <a:off x="2172501" y="34537651"/>
          <a:ext cx="446877" cy="103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685803</xdr:colOff>
      <xdr:row>207</xdr:row>
      <xdr:rowOff>796</xdr:rowOff>
    </xdr:from>
    <xdr:to>
      <xdr:col>3</xdr:col>
      <xdr:colOff>696120</xdr:colOff>
      <xdr:row>209</xdr:row>
      <xdr:rowOff>114301</xdr:rowOff>
    </xdr:to>
    <xdr:cxnSp macro="">
      <xdr:nvCxnSpPr>
        <xdr:cNvPr id="432" name="Straight Arrow Connector 431"/>
        <xdr:cNvCxnSpPr/>
      </xdr:nvCxnSpPr>
      <xdr:spPr bwMode="auto">
        <a:xfrm rot="5400000" flipH="1" flipV="1">
          <a:off x="2296321" y="35337753"/>
          <a:ext cx="437355" cy="79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142081</xdr:colOff>
      <xdr:row>206</xdr:row>
      <xdr:rowOff>153196</xdr:rowOff>
    </xdr:from>
    <xdr:to>
      <xdr:col>4</xdr:col>
      <xdr:colOff>143669</xdr:colOff>
      <xdr:row>209</xdr:row>
      <xdr:rowOff>67469</xdr:rowOff>
    </xdr:to>
    <xdr:cxnSp macro="">
      <xdr:nvCxnSpPr>
        <xdr:cNvPr id="433" name="Straight Arrow Connector 432"/>
        <xdr:cNvCxnSpPr/>
      </xdr:nvCxnSpPr>
      <xdr:spPr bwMode="auto">
        <a:xfrm rot="5400000" flipH="1" flipV="1">
          <a:off x="2457451" y="35309176"/>
          <a:ext cx="400048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315119</xdr:colOff>
      <xdr:row>207</xdr:row>
      <xdr:rowOff>10319</xdr:rowOff>
    </xdr:from>
    <xdr:to>
      <xdr:col>4</xdr:col>
      <xdr:colOff>323850</xdr:colOff>
      <xdr:row>209</xdr:row>
      <xdr:rowOff>47625</xdr:rowOff>
    </xdr:to>
    <xdr:cxnSp macro="">
      <xdr:nvCxnSpPr>
        <xdr:cNvPr id="434" name="Straight Arrow Connector 433"/>
        <xdr:cNvCxnSpPr/>
      </xdr:nvCxnSpPr>
      <xdr:spPr bwMode="auto">
        <a:xfrm rot="16200000" flipV="1">
          <a:off x="2653507" y="35305206"/>
          <a:ext cx="361156" cy="87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523876</xdr:colOff>
      <xdr:row>206</xdr:row>
      <xdr:rowOff>143669</xdr:rowOff>
    </xdr:from>
    <xdr:to>
      <xdr:col>4</xdr:col>
      <xdr:colOff>524670</xdr:colOff>
      <xdr:row>209</xdr:row>
      <xdr:rowOff>28575</xdr:rowOff>
    </xdr:to>
    <xdr:cxnSp macro="">
      <xdr:nvCxnSpPr>
        <xdr:cNvPr id="435" name="Straight Arrow Connector 434"/>
        <xdr:cNvCxnSpPr/>
      </xdr:nvCxnSpPr>
      <xdr:spPr bwMode="auto">
        <a:xfrm rot="5400000" flipH="1" flipV="1">
          <a:off x="2853532" y="35285363"/>
          <a:ext cx="370681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294481</xdr:colOff>
      <xdr:row>206</xdr:row>
      <xdr:rowOff>153194</xdr:rowOff>
    </xdr:from>
    <xdr:to>
      <xdr:col>5</xdr:col>
      <xdr:colOff>296069</xdr:colOff>
      <xdr:row>208</xdr:row>
      <xdr:rowOff>115094</xdr:rowOff>
    </xdr:to>
    <xdr:cxnSp macro="">
      <xdr:nvCxnSpPr>
        <xdr:cNvPr id="436" name="Straight Arrow Connector 435"/>
        <xdr:cNvCxnSpPr/>
      </xdr:nvCxnSpPr>
      <xdr:spPr bwMode="auto">
        <a:xfrm rot="5400000" flipH="1" flipV="1">
          <a:off x="3438525" y="35252025"/>
          <a:ext cx="285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115095</xdr:colOff>
      <xdr:row>207</xdr:row>
      <xdr:rowOff>795</xdr:rowOff>
    </xdr:from>
    <xdr:to>
      <xdr:col>5</xdr:col>
      <xdr:colOff>123828</xdr:colOff>
      <xdr:row>208</xdr:row>
      <xdr:rowOff>142878</xdr:rowOff>
    </xdr:to>
    <xdr:cxnSp macro="">
      <xdr:nvCxnSpPr>
        <xdr:cNvPr id="437" name="Straight Arrow Connector 436"/>
        <xdr:cNvCxnSpPr/>
      </xdr:nvCxnSpPr>
      <xdr:spPr bwMode="auto">
        <a:xfrm rot="16200000" flipV="1">
          <a:off x="3253583" y="35267107"/>
          <a:ext cx="304008" cy="873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381003</xdr:colOff>
      <xdr:row>206</xdr:row>
      <xdr:rowOff>153195</xdr:rowOff>
    </xdr:from>
    <xdr:to>
      <xdr:col>2</xdr:col>
      <xdr:colOff>381795</xdr:colOff>
      <xdr:row>210</xdr:row>
      <xdr:rowOff>104775</xdr:rowOff>
    </xdr:to>
    <xdr:cxnSp macro="">
      <xdr:nvCxnSpPr>
        <xdr:cNvPr id="438" name="Straight Arrow Connector 437"/>
        <xdr:cNvCxnSpPr/>
      </xdr:nvCxnSpPr>
      <xdr:spPr bwMode="auto">
        <a:xfrm rot="5400000" flipH="1" flipV="1">
          <a:off x="1300959" y="35409189"/>
          <a:ext cx="599280" cy="79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12</xdr:col>
      <xdr:colOff>342902</xdr:colOff>
      <xdr:row>206</xdr:row>
      <xdr:rowOff>152406</xdr:rowOff>
    </xdr:from>
    <xdr:to>
      <xdr:col>12</xdr:col>
      <xdr:colOff>342902</xdr:colOff>
      <xdr:row>210</xdr:row>
      <xdr:rowOff>38105</xdr:rowOff>
    </xdr:to>
    <xdr:cxnSp macro="">
      <xdr:nvCxnSpPr>
        <xdr:cNvPr id="439" name="Straight Arrow Connector 438"/>
        <xdr:cNvCxnSpPr/>
      </xdr:nvCxnSpPr>
      <xdr:spPr bwMode="auto">
        <a:xfrm rot="5400000" flipH="1" flipV="1">
          <a:off x="6638927" y="34566231"/>
          <a:ext cx="533399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552451</xdr:colOff>
      <xdr:row>206</xdr:row>
      <xdr:rowOff>153194</xdr:rowOff>
    </xdr:from>
    <xdr:to>
      <xdr:col>2</xdr:col>
      <xdr:colOff>553245</xdr:colOff>
      <xdr:row>210</xdr:row>
      <xdr:rowOff>66675</xdr:rowOff>
    </xdr:to>
    <xdr:cxnSp macro="">
      <xdr:nvCxnSpPr>
        <xdr:cNvPr id="440" name="Straight Arrow Connector 439"/>
        <xdr:cNvCxnSpPr/>
      </xdr:nvCxnSpPr>
      <xdr:spPr bwMode="auto">
        <a:xfrm rot="5400000" flipH="1" flipV="1">
          <a:off x="1491457" y="35390138"/>
          <a:ext cx="561181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9525</xdr:colOff>
      <xdr:row>208</xdr:row>
      <xdr:rowOff>85725</xdr:rowOff>
    </xdr:from>
    <xdr:to>
      <xdr:col>5</xdr:col>
      <xdr:colOff>504825</xdr:colOff>
      <xdr:row>208</xdr:row>
      <xdr:rowOff>123825</xdr:rowOff>
    </xdr:to>
    <xdr:cxnSp macro="">
      <xdr:nvCxnSpPr>
        <xdr:cNvPr id="441" name="Straight Connector 440"/>
        <xdr:cNvCxnSpPr/>
      </xdr:nvCxnSpPr>
      <xdr:spPr bwMode="auto">
        <a:xfrm rot="10800000" flipV="1">
          <a:off x="1228725" y="35366325"/>
          <a:ext cx="2562225" cy="38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2</xdr:col>
      <xdr:colOff>142875</xdr:colOff>
      <xdr:row>39</xdr:row>
      <xdr:rowOff>142875</xdr:rowOff>
    </xdr:from>
    <xdr:ext cx="200025" cy="180975"/>
    <xdr:sp macro="" textlink="">
      <xdr:nvSpPr>
        <xdr:cNvPr id="442" name="Text Box 305"/>
        <xdr:cNvSpPr txBox="1">
          <a:spLocks noChangeArrowheads="1"/>
        </xdr:cNvSpPr>
      </xdr:nvSpPr>
      <xdr:spPr bwMode="auto">
        <a:xfrm>
          <a:off x="1362075" y="6686550"/>
          <a:ext cx="2000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GB" sz="9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oneCellAnchor>
  <xdr:twoCellAnchor>
    <xdr:from>
      <xdr:col>0</xdr:col>
      <xdr:colOff>590551</xdr:colOff>
      <xdr:row>95</xdr:row>
      <xdr:rowOff>0</xdr:rowOff>
    </xdr:from>
    <xdr:to>
      <xdr:col>4</xdr:col>
      <xdr:colOff>381001</xdr:colOff>
      <xdr:row>95</xdr:row>
      <xdr:rowOff>9525</xdr:rowOff>
    </xdr:to>
    <xdr:cxnSp macro="">
      <xdr:nvCxnSpPr>
        <xdr:cNvPr id="443" name="Straight Connector 442"/>
        <xdr:cNvCxnSpPr>
          <a:stCxn id="151" idx="0"/>
        </xdr:cNvCxnSpPr>
      </xdr:nvCxnSpPr>
      <xdr:spPr bwMode="auto">
        <a:xfrm rot="5400000">
          <a:off x="1738313" y="15578138"/>
          <a:ext cx="9525" cy="2305050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200025</xdr:colOff>
      <xdr:row>56</xdr:row>
      <xdr:rowOff>123825</xdr:rowOff>
    </xdr:from>
    <xdr:to>
      <xdr:col>0</xdr:col>
      <xdr:colOff>314325</xdr:colOff>
      <xdr:row>59</xdr:row>
      <xdr:rowOff>142875</xdr:rowOff>
    </xdr:to>
    <xdr:sp macro="" textlink="">
      <xdr:nvSpPr>
        <xdr:cNvPr id="444" name="Down Arrow 506"/>
        <xdr:cNvSpPr>
          <a:spLocks noChangeArrowheads="1"/>
        </xdr:cNvSpPr>
      </xdr:nvSpPr>
      <xdr:spPr bwMode="auto">
        <a:xfrm flipH="1">
          <a:off x="200025" y="10229850"/>
          <a:ext cx="114300" cy="504825"/>
        </a:xfrm>
        <a:prstGeom prst="downArrow">
          <a:avLst>
            <a:gd name="adj1" fmla="val 50000"/>
            <a:gd name="adj2" fmla="val 49997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180975</xdr:colOff>
      <xdr:row>36</xdr:row>
      <xdr:rowOff>85725</xdr:rowOff>
    </xdr:from>
    <xdr:to>
      <xdr:col>1</xdr:col>
      <xdr:colOff>600075</xdr:colOff>
      <xdr:row>36</xdr:row>
      <xdr:rowOff>87313</xdr:rowOff>
    </xdr:to>
    <xdr:cxnSp macro="">
      <xdr:nvCxnSpPr>
        <xdr:cNvPr id="445" name="Straight Arrow Connector 444"/>
        <xdr:cNvCxnSpPr/>
      </xdr:nvCxnSpPr>
      <xdr:spPr bwMode="auto">
        <a:xfrm>
          <a:off x="790575" y="6953250"/>
          <a:ext cx="41910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390525</xdr:colOff>
      <xdr:row>41</xdr:row>
      <xdr:rowOff>1588</xdr:rowOff>
    </xdr:from>
    <xdr:to>
      <xdr:col>1</xdr:col>
      <xdr:colOff>9525</xdr:colOff>
      <xdr:row>41</xdr:row>
      <xdr:rowOff>9525</xdr:rowOff>
    </xdr:to>
    <xdr:cxnSp macro="">
      <xdr:nvCxnSpPr>
        <xdr:cNvPr id="446" name="Straight Connector 445"/>
        <xdr:cNvCxnSpPr/>
      </xdr:nvCxnSpPr>
      <xdr:spPr bwMode="auto">
        <a:xfrm flipV="1">
          <a:off x="390525" y="6869113"/>
          <a:ext cx="333375" cy="793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161929</xdr:colOff>
      <xdr:row>31</xdr:row>
      <xdr:rowOff>19847</xdr:rowOff>
    </xdr:from>
    <xdr:to>
      <xdr:col>5</xdr:col>
      <xdr:colOff>172244</xdr:colOff>
      <xdr:row>38</xdr:row>
      <xdr:rowOff>19053</xdr:rowOff>
    </xdr:to>
    <xdr:cxnSp macro="">
      <xdr:nvCxnSpPr>
        <xdr:cNvPr id="447" name="Straight Connector 446"/>
        <xdr:cNvCxnSpPr/>
      </xdr:nvCxnSpPr>
      <xdr:spPr bwMode="auto">
        <a:xfrm rot="5400000">
          <a:off x="2648746" y="5829305"/>
          <a:ext cx="1132681" cy="1031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600076</xdr:colOff>
      <xdr:row>23</xdr:row>
      <xdr:rowOff>152403</xdr:rowOff>
    </xdr:from>
    <xdr:to>
      <xdr:col>2</xdr:col>
      <xdr:colOff>19051</xdr:colOff>
      <xdr:row>38</xdr:row>
      <xdr:rowOff>0</xdr:rowOff>
    </xdr:to>
    <xdr:cxnSp macro="">
      <xdr:nvCxnSpPr>
        <xdr:cNvPr id="448" name="Straight Connector 447"/>
        <xdr:cNvCxnSpPr>
          <a:endCxn id="8" idx="0"/>
        </xdr:cNvCxnSpPr>
      </xdr:nvCxnSpPr>
      <xdr:spPr bwMode="auto">
        <a:xfrm rot="5400000">
          <a:off x="85728" y="6038851"/>
          <a:ext cx="2276472" cy="2857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38100</xdr:colOff>
      <xdr:row>113</xdr:row>
      <xdr:rowOff>152400</xdr:rowOff>
    </xdr:from>
    <xdr:to>
      <xdr:col>0</xdr:col>
      <xdr:colOff>466725</xdr:colOff>
      <xdr:row>113</xdr:row>
      <xdr:rowOff>153988</xdr:rowOff>
    </xdr:to>
    <xdr:cxnSp macro="">
      <xdr:nvCxnSpPr>
        <xdr:cNvPr id="449" name="Straight Connector 448"/>
        <xdr:cNvCxnSpPr/>
      </xdr:nvCxnSpPr>
      <xdr:spPr bwMode="auto">
        <a:xfrm>
          <a:off x="38100" y="19792950"/>
          <a:ext cx="428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466726</xdr:colOff>
      <xdr:row>101</xdr:row>
      <xdr:rowOff>47626</xdr:rowOff>
    </xdr:from>
    <xdr:to>
      <xdr:col>4</xdr:col>
      <xdr:colOff>122238</xdr:colOff>
      <xdr:row>104</xdr:row>
      <xdr:rowOff>1</xdr:rowOff>
    </xdr:to>
    <xdr:sp macro="" textlink="">
      <xdr:nvSpPr>
        <xdr:cNvPr id="450" name="Freeform 449"/>
        <xdr:cNvSpPr/>
      </xdr:nvSpPr>
      <xdr:spPr bwMode="auto">
        <a:xfrm>
          <a:off x="2295526" y="16935451"/>
          <a:ext cx="265112" cy="438150"/>
        </a:xfrm>
        <a:custGeom>
          <a:avLst/>
          <a:gdLst>
            <a:gd name="connsiteX0" fmla="*/ 0 w 341312"/>
            <a:gd name="connsiteY0" fmla="*/ 9525 h 409575"/>
            <a:gd name="connsiteX1" fmla="*/ 285750 w 341312"/>
            <a:gd name="connsiteY1" fmla="*/ 66675 h 409575"/>
            <a:gd name="connsiteX2" fmla="*/ 333375 w 341312"/>
            <a:gd name="connsiteY2" fmla="*/ 409575 h 409575"/>
            <a:gd name="connsiteX3" fmla="*/ 333375 w 341312"/>
            <a:gd name="connsiteY3" fmla="*/ 409575 h 4095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41312" h="409575">
              <a:moveTo>
                <a:pt x="0" y="9525"/>
              </a:moveTo>
              <a:cubicBezTo>
                <a:pt x="115094" y="4762"/>
                <a:pt x="230188" y="0"/>
                <a:pt x="285750" y="66675"/>
              </a:cubicBezTo>
              <a:cubicBezTo>
                <a:pt x="341312" y="133350"/>
                <a:pt x="333375" y="409575"/>
                <a:pt x="333375" y="409575"/>
              </a:cubicBezTo>
              <a:lnTo>
                <a:pt x="333375" y="409575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28575</xdr:colOff>
      <xdr:row>105</xdr:row>
      <xdr:rowOff>9525</xdr:rowOff>
    </xdr:from>
    <xdr:to>
      <xdr:col>4</xdr:col>
      <xdr:colOff>314325</xdr:colOff>
      <xdr:row>106</xdr:row>
      <xdr:rowOff>9525</xdr:rowOff>
    </xdr:to>
    <xdr:sp macro="" textlink="">
      <xdr:nvSpPr>
        <xdr:cNvPr id="451" name="Rectangle 450"/>
        <xdr:cNvSpPr/>
      </xdr:nvSpPr>
      <xdr:spPr bwMode="auto">
        <a:xfrm>
          <a:off x="2543175" y="18354675"/>
          <a:ext cx="285750" cy="1619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GB" sz="1100"/>
            <a:t>S4</a:t>
          </a:r>
        </a:p>
      </xdr:txBody>
    </xdr:sp>
    <xdr:clientData/>
  </xdr:twoCellAnchor>
  <xdr:twoCellAnchor>
    <xdr:from>
      <xdr:col>4</xdr:col>
      <xdr:colOff>66675</xdr:colOff>
      <xdr:row>96</xdr:row>
      <xdr:rowOff>38100</xdr:rowOff>
    </xdr:from>
    <xdr:to>
      <xdr:col>4</xdr:col>
      <xdr:colOff>304800</xdr:colOff>
      <xdr:row>97</xdr:row>
      <xdr:rowOff>19050</xdr:rowOff>
    </xdr:to>
    <xdr:sp macro="" textlink="">
      <xdr:nvSpPr>
        <xdr:cNvPr id="452" name="Rectangle 451"/>
        <xdr:cNvSpPr/>
      </xdr:nvSpPr>
      <xdr:spPr bwMode="auto">
        <a:xfrm>
          <a:off x="2581275" y="16925925"/>
          <a:ext cx="238125" cy="1428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GB" sz="1100"/>
            <a:t>S2</a:t>
          </a:r>
        </a:p>
      </xdr:txBody>
    </xdr:sp>
    <xdr:clientData/>
  </xdr:twoCellAnchor>
  <xdr:twoCellAnchor>
    <xdr:from>
      <xdr:col>5</xdr:col>
      <xdr:colOff>352425</xdr:colOff>
      <xdr:row>100</xdr:row>
      <xdr:rowOff>0</xdr:rowOff>
    </xdr:from>
    <xdr:to>
      <xdr:col>7</xdr:col>
      <xdr:colOff>619125</xdr:colOff>
      <xdr:row>100</xdr:row>
      <xdr:rowOff>1588</xdr:rowOff>
    </xdr:to>
    <xdr:cxnSp macro="">
      <xdr:nvCxnSpPr>
        <xdr:cNvPr id="453" name="Straight Connector 452"/>
        <xdr:cNvCxnSpPr/>
      </xdr:nvCxnSpPr>
      <xdr:spPr bwMode="auto">
        <a:xfrm>
          <a:off x="3638550" y="17535525"/>
          <a:ext cx="15811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495300</xdr:colOff>
      <xdr:row>117</xdr:row>
      <xdr:rowOff>28575</xdr:rowOff>
    </xdr:from>
    <xdr:to>
      <xdr:col>1</xdr:col>
      <xdr:colOff>571500</xdr:colOff>
      <xdr:row>119</xdr:row>
      <xdr:rowOff>28575</xdr:rowOff>
    </xdr:to>
    <xdr:sp macro="" textlink="">
      <xdr:nvSpPr>
        <xdr:cNvPr id="454" name="Freeform 453"/>
        <xdr:cNvSpPr/>
      </xdr:nvSpPr>
      <xdr:spPr bwMode="auto">
        <a:xfrm>
          <a:off x="495300" y="19507200"/>
          <a:ext cx="790575" cy="323850"/>
        </a:xfrm>
        <a:custGeom>
          <a:avLst/>
          <a:gdLst>
            <a:gd name="connsiteX0" fmla="*/ 0 w 1085850"/>
            <a:gd name="connsiteY0" fmla="*/ 0 h 314325"/>
            <a:gd name="connsiteX1" fmla="*/ 419100 w 1085850"/>
            <a:gd name="connsiteY1" fmla="*/ 190500 h 314325"/>
            <a:gd name="connsiteX2" fmla="*/ 1085850 w 1085850"/>
            <a:gd name="connsiteY2" fmla="*/ 314325 h 3143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85850" h="314325">
              <a:moveTo>
                <a:pt x="0" y="0"/>
              </a:moveTo>
              <a:cubicBezTo>
                <a:pt x="119062" y="69056"/>
                <a:pt x="238125" y="138113"/>
                <a:pt x="419100" y="190500"/>
              </a:cubicBezTo>
              <a:cubicBezTo>
                <a:pt x="600075" y="242887"/>
                <a:pt x="842962" y="278606"/>
                <a:pt x="1085850" y="31432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533400</xdr:colOff>
      <xdr:row>184</xdr:row>
      <xdr:rowOff>152399</xdr:rowOff>
    </xdr:from>
    <xdr:to>
      <xdr:col>8</xdr:col>
      <xdr:colOff>47627</xdr:colOff>
      <xdr:row>185</xdr:row>
      <xdr:rowOff>0</xdr:rowOff>
    </xdr:to>
    <xdr:cxnSp macro="">
      <xdr:nvCxnSpPr>
        <xdr:cNvPr id="455" name="Straight Connector 454"/>
        <xdr:cNvCxnSpPr/>
      </xdr:nvCxnSpPr>
      <xdr:spPr bwMode="auto">
        <a:xfrm rot="10800000" flipV="1">
          <a:off x="3819525" y="31546799"/>
          <a:ext cx="1466852" cy="9526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38100</xdr:colOff>
      <xdr:row>198</xdr:row>
      <xdr:rowOff>0</xdr:rowOff>
    </xdr:from>
    <xdr:to>
      <xdr:col>0</xdr:col>
      <xdr:colOff>552450</xdr:colOff>
      <xdr:row>198</xdr:row>
      <xdr:rowOff>1588</xdr:rowOff>
    </xdr:to>
    <xdr:cxnSp macro="">
      <xdr:nvCxnSpPr>
        <xdr:cNvPr id="456" name="Straight Connector 455"/>
        <xdr:cNvCxnSpPr/>
      </xdr:nvCxnSpPr>
      <xdr:spPr bwMode="auto">
        <a:xfrm>
          <a:off x="38100" y="33661350"/>
          <a:ext cx="5143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28575</xdr:colOff>
      <xdr:row>185</xdr:row>
      <xdr:rowOff>66675</xdr:rowOff>
    </xdr:from>
    <xdr:to>
      <xdr:col>4</xdr:col>
      <xdr:colOff>114300</xdr:colOff>
      <xdr:row>187</xdr:row>
      <xdr:rowOff>133350</xdr:rowOff>
    </xdr:to>
    <xdr:sp macro="" textlink="">
      <xdr:nvSpPr>
        <xdr:cNvPr id="457" name="Freeform 456"/>
        <xdr:cNvSpPr/>
      </xdr:nvSpPr>
      <xdr:spPr bwMode="auto">
        <a:xfrm>
          <a:off x="2466975" y="30813375"/>
          <a:ext cx="85725" cy="390525"/>
        </a:xfrm>
        <a:custGeom>
          <a:avLst/>
          <a:gdLst>
            <a:gd name="connsiteX0" fmla="*/ 0 w 409575"/>
            <a:gd name="connsiteY0" fmla="*/ 22225 h 384175"/>
            <a:gd name="connsiteX1" fmla="*/ 314325 w 409575"/>
            <a:gd name="connsiteY1" fmla="*/ 60325 h 384175"/>
            <a:gd name="connsiteX2" fmla="*/ 409575 w 409575"/>
            <a:gd name="connsiteY2" fmla="*/ 384175 h 384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09575" h="384175">
              <a:moveTo>
                <a:pt x="0" y="22225"/>
              </a:moveTo>
              <a:cubicBezTo>
                <a:pt x="123031" y="11112"/>
                <a:pt x="246063" y="0"/>
                <a:pt x="314325" y="60325"/>
              </a:cubicBezTo>
              <a:cubicBezTo>
                <a:pt x="382587" y="120650"/>
                <a:pt x="396081" y="252412"/>
                <a:pt x="409575" y="38417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152400</xdr:colOff>
      <xdr:row>179</xdr:row>
      <xdr:rowOff>0</xdr:rowOff>
    </xdr:from>
    <xdr:to>
      <xdr:col>4</xdr:col>
      <xdr:colOff>333375</xdr:colOff>
      <xdr:row>180</xdr:row>
      <xdr:rowOff>0</xdr:rowOff>
    </xdr:to>
    <xdr:sp macro="" textlink="">
      <xdr:nvSpPr>
        <xdr:cNvPr id="458" name="Rectangle 457"/>
        <xdr:cNvSpPr/>
      </xdr:nvSpPr>
      <xdr:spPr bwMode="auto">
        <a:xfrm>
          <a:off x="2667000" y="30584775"/>
          <a:ext cx="180975" cy="1619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100"/>
            <a:t>S2</a:t>
          </a:r>
        </a:p>
      </xdr:txBody>
    </xdr:sp>
    <xdr:clientData/>
  </xdr:twoCellAnchor>
  <xdr:twoCellAnchor>
    <xdr:from>
      <xdr:col>3</xdr:col>
      <xdr:colOff>752475</xdr:colOff>
      <xdr:row>188</xdr:row>
      <xdr:rowOff>123825</xdr:rowOff>
    </xdr:from>
    <xdr:to>
      <xdr:col>4</xdr:col>
      <xdr:colOff>161925</xdr:colOff>
      <xdr:row>190</xdr:row>
      <xdr:rowOff>28575</xdr:rowOff>
    </xdr:to>
    <xdr:sp macro="" textlink="">
      <xdr:nvSpPr>
        <xdr:cNvPr id="459" name="Rectangle 458"/>
        <xdr:cNvSpPr/>
      </xdr:nvSpPr>
      <xdr:spPr bwMode="auto">
        <a:xfrm>
          <a:off x="2514600" y="32165925"/>
          <a:ext cx="161925" cy="2286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100"/>
            <a:t>S4</a:t>
          </a:r>
        </a:p>
      </xdr:txBody>
    </xdr:sp>
    <xdr:clientData/>
  </xdr:twoCellAnchor>
  <xdr:twoCellAnchor>
    <xdr:from>
      <xdr:col>0</xdr:col>
      <xdr:colOff>409576</xdr:colOff>
      <xdr:row>24</xdr:row>
      <xdr:rowOff>9526</xdr:rowOff>
    </xdr:from>
    <xdr:to>
      <xdr:col>1</xdr:col>
      <xdr:colOff>57152</xdr:colOff>
      <xdr:row>24</xdr:row>
      <xdr:rowOff>11113</xdr:rowOff>
    </xdr:to>
    <xdr:cxnSp macro="">
      <xdr:nvCxnSpPr>
        <xdr:cNvPr id="460" name="Straight Connector 459"/>
        <xdr:cNvCxnSpPr/>
      </xdr:nvCxnSpPr>
      <xdr:spPr bwMode="auto">
        <a:xfrm rot="10800000">
          <a:off x="409576" y="4124326"/>
          <a:ext cx="361951" cy="158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76200</xdr:colOff>
      <xdr:row>95</xdr:row>
      <xdr:rowOff>9525</xdr:rowOff>
    </xdr:from>
    <xdr:to>
      <xdr:col>0</xdr:col>
      <xdr:colOff>533400</xdr:colOff>
      <xdr:row>95</xdr:row>
      <xdr:rowOff>11113</xdr:rowOff>
    </xdr:to>
    <xdr:cxnSp macro="">
      <xdr:nvCxnSpPr>
        <xdr:cNvPr id="461" name="Straight Connector 460"/>
        <xdr:cNvCxnSpPr/>
      </xdr:nvCxnSpPr>
      <xdr:spPr bwMode="auto">
        <a:xfrm>
          <a:off x="76200" y="16735425"/>
          <a:ext cx="4572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19050</xdr:colOff>
      <xdr:row>177</xdr:row>
      <xdr:rowOff>152400</xdr:rowOff>
    </xdr:from>
    <xdr:to>
      <xdr:col>0</xdr:col>
      <xdr:colOff>590550</xdr:colOff>
      <xdr:row>177</xdr:row>
      <xdr:rowOff>153988</xdr:rowOff>
    </xdr:to>
    <xdr:cxnSp macro="">
      <xdr:nvCxnSpPr>
        <xdr:cNvPr id="462" name="Straight Connector 461"/>
        <xdr:cNvCxnSpPr/>
      </xdr:nvCxnSpPr>
      <xdr:spPr bwMode="auto">
        <a:xfrm>
          <a:off x="19050" y="30413325"/>
          <a:ext cx="5715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9524</xdr:colOff>
      <xdr:row>31</xdr:row>
      <xdr:rowOff>28575</xdr:rowOff>
    </xdr:from>
    <xdr:to>
      <xdr:col>7</xdr:col>
      <xdr:colOff>304799</xdr:colOff>
      <xdr:row>41</xdr:row>
      <xdr:rowOff>19050</xdr:rowOff>
    </xdr:to>
    <xdr:sp macro="" textlink="">
      <xdr:nvSpPr>
        <xdr:cNvPr id="463" name="Line 624"/>
        <xdr:cNvSpPr>
          <a:spLocks noChangeShapeType="1"/>
        </xdr:cNvSpPr>
      </xdr:nvSpPr>
      <xdr:spPr bwMode="auto">
        <a:xfrm>
          <a:off x="4610099" y="6086475"/>
          <a:ext cx="295275" cy="1609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9525</xdr:colOff>
      <xdr:row>41</xdr:row>
      <xdr:rowOff>0</xdr:rowOff>
    </xdr:from>
    <xdr:to>
      <xdr:col>7</xdr:col>
      <xdr:colOff>257175</xdr:colOff>
      <xdr:row>41</xdr:row>
      <xdr:rowOff>0</xdr:rowOff>
    </xdr:to>
    <xdr:cxnSp macro="">
      <xdr:nvCxnSpPr>
        <xdr:cNvPr id="464" name="Straight Connector 600"/>
        <xdr:cNvCxnSpPr>
          <a:cxnSpLocks noChangeShapeType="1"/>
        </xdr:cNvCxnSpPr>
      </xdr:nvCxnSpPr>
      <xdr:spPr bwMode="auto">
        <a:xfrm>
          <a:off x="4610100" y="7677150"/>
          <a:ext cx="24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/>
        </a:ln>
      </xdr:spPr>
    </xdr:cxnSp>
    <xdr:clientData/>
  </xdr:twoCellAnchor>
  <xdr:twoCellAnchor>
    <xdr:from>
      <xdr:col>7</xdr:col>
      <xdr:colOff>9525</xdr:colOff>
      <xdr:row>39</xdr:row>
      <xdr:rowOff>142875</xdr:rowOff>
    </xdr:from>
    <xdr:to>
      <xdr:col>7</xdr:col>
      <xdr:colOff>247650</xdr:colOff>
      <xdr:row>39</xdr:row>
      <xdr:rowOff>142875</xdr:rowOff>
    </xdr:to>
    <xdr:cxnSp macro="">
      <xdr:nvCxnSpPr>
        <xdr:cNvPr id="465" name="Straight Connector 602"/>
        <xdr:cNvCxnSpPr>
          <a:cxnSpLocks noChangeShapeType="1"/>
        </xdr:cNvCxnSpPr>
      </xdr:nvCxnSpPr>
      <xdr:spPr bwMode="auto">
        <a:xfrm rot="10800000">
          <a:off x="4610100" y="7496175"/>
          <a:ext cx="238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7</xdr:col>
      <xdr:colOff>609601</xdr:colOff>
      <xdr:row>31</xdr:row>
      <xdr:rowOff>28577</xdr:rowOff>
    </xdr:from>
    <xdr:to>
      <xdr:col>7</xdr:col>
      <xdr:colOff>619126</xdr:colOff>
      <xdr:row>40</xdr:row>
      <xdr:rowOff>152402</xdr:rowOff>
    </xdr:to>
    <xdr:cxnSp macro="">
      <xdr:nvCxnSpPr>
        <xdr:cNvPr id="466" name="Straight Arrow Connector 604"/>
        <xdr:cNvCxnSpPr>
          <a:cxnSpLocks noChangeShapeType="1"/>
        </xdr:cNvCxnSpPr>
      </xdr:nvCxnSpPr>
      <xdr:spPr bwMode="auto">
        <a:xfrm rot="16200000" flipH="1">
          <a:off x="4424364" y="6872289"/>
          <a:ext cx="1581150" cy="952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arrow" w="med" len="med"/>
          <a:tailEnd type="arrow" w="med" len="med"/>
        </a:ln>
      </xdr:spPr>
    </xdr:cxnSp>
    <xdr:clientData/>
  </xdr:twoCellAnchor>
  <xdr:twoCellAnchor>
    <xdr:from>
      <xdr:col>5</xdr:col>
      <xdr:colOff>66675</xdr:colOff>
      <xdr:row>31</xdr:row>
      <xdr:rowOff>9525</xdr:rowOff>
    </xdr:from>
    <xdr:to>
      <xdr:col>8</xdr:col>
      <xdr:colOff>409575</xdr:colOff>
      <xdr:row>31</xdr:row>
      <xdr:rowOff>11113</xdr:rowOff>
    </xdr:to>
    <xdr:cxnSp macro="">
      <xdr:nvCxnSpPr>
        <xdr:cNvPr id="467" name="Straight Connector 607"/>
        <xdr:cNvCxnSpPr>
          <a:cxnSpLocks noChangeShapeType="1"/>
        </xdr:cNvCxnSpPr>
      </xdr:nvCxnSpPr>
      <xdr:spPr bwMode="auto">
        <a:xfrm>
          <a:off x="3114675" y="5257800"/>
          <a:ext cx="2171700" cy="1588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7</xdr:col>
      <xdr:colOff>238125</xdr:colOff>
      <xdr:row>41</xdr:row>
      <xdr:rowOff>0</xdr:rowOff>
    </xdr:from>
    <xdr:to>
      <xdr:col>8</xdr:col>
      <xdr:colOff>9525</xdr:colOff>
      <xdr:row>41</xdr:row>
      <xdr:rowOff>0</xdr:rowOff>
    </xdr:to>
    <xdr:cxnSp macro="">
      <xdr:nvCxnSpPr>
        <xdr:cNvPr id="468" name="Straight Connector 609"/>
        <xdr:cNvCxnSpPr>
          <a:cxnSpLocks noChangeShapeType="1"/>
        </xdr:cNvCxnSpPr>
      </xdr:nvCxnSpPr>
      <xdr:spPr bwMode="auto">
        <a:xfrm>
          <a:off x="4838700" y="7677150"/>
          <a:ext cx="40957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7</xdr:col>
      <xdr:colOff>0</xdr:colOff>
      <xdr:row>31</xdr:row>
      <xdr:rowOff>38099</xdr:rowOff>
    </xdr:from>
    <xdr:to>
      <xdr:col>7</xdr:col>
      <xdr:colOff>9525</xdr:colOff>
      <xdr:row>41</xdr:row>
      <xdr:rowOff>9524</xdr:rowOff>
    </xdr:to>
    <xdr:cxnSp macro="">
      <xdr:nvCxnSpPr>
        <xdr:cNvPr id="469" name="Straight Connector 468"/>
        <xdr:cNvCxnSpPr/>
      </xdr:nvCxnSpPr>
      <xdr:spPr bwMode="auto">
        <a:xfrm rot="16200000" flipH="1">
          <a:off x="3810000" y="6886574"/>
          <a:ext cx="15906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238125</xdr:colOff>
      <xdr:row>114</xdr:row>
      <xdr:rowOff>0</xdr:rowOff>
    </xdr:from>
    <xdr:to>
      <xdr:col>8</xdr:col>
      <xdr:colOff>609600</xdr:colOff>
      <xdr:row>114</xdr:row>
      <xdr:rowOff>0</xdr:rowOff>
    </xdr:to>
    <xdr:sp macro="" textlink="">
      <xdr:nvSpPr>
        <xdr:cNvPr id="470" name="Line 15"/>
        <xdr:cNvSpPr>
          <a:spLocks noChangeShapeType="1"/>
        </xdr:cNvSpPr>
      </xdr:nvSpPr>
      <xdr:spPr bwMode="auto">
        <a:xfrm>
          <a:off x="5476875" y="19802475"/>
          <a:ext cx="361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19049</xdr:colOff>
      <xdr:row>104</xdr:row>
      <xdr:rowOff>28575</xdr:rowOff>
    </xdr:from>
    <xdr:to>
      <xdr:col>8</xdr:col>
      <xdr:colOff>314324</xdr:colOff>
      <xdr:row>114</xdr:row>
      <xdr:rowOff>19050</xdr:rowOff>
    </xdr:to>
    <xdr:sp macro="" textlink="">
      <xdr:nvSpPr>
        <xdr:cNvPr id="471" name="Line 624"/>
        <xdr:cNvSpPr>
          <a:spLocks noChangeShapeType="1"/>
        </xdr:cNvSpPr>
      </xdr:nvSpPr>
      <xdr:spPr bwMode="auto">
        <a:xfrm>
          <a:off x="5257799" y="18211800"/>
          <a:ext cx="295275" cy="1609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628650</xdr:colOff>
      <xdr:row>114</xdr:row>
      <xdr:rowOff>0</xdr:rowOff>
    </xdr:from>
    <xdr:to>
      <xdr:col>8</xdr:col>
      <xdr:colOff>238125</xdr:colOff>
      <xdr:row>114</xdr:row>
      <xdr:rowOff>0</xdr:rowOff>
    </xdr:to>
    <xdr:cxnSp macro="">
      <xdr:nvCxnSpPr>
        <xdr:cNvPr id="472" name="Straight Connector 600"/>
        <xdr:cNvCxnSpPr>
          <a:cxnSpLocks noChangeShapeType="1"/>
        </xdr:cNvCxnSpPr>
      </xdr:nvCxnSpPr>
      <xdr:spPr bwMode="auto">
        <a:xfrm>
          <a:off x="5229225" y="19802475"/>
          <a:ext cx="24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/>
        </a:ln>
      </xdr:spPr>
    </xdr:cxnSp>
    <xdr:clientData/>
  </xdr:twoCellAnchor>
  <xdr:twoCellAnchor>
    <xdr:from>
      <xdr:col>8</xdr:col>
      <xdr:colOff>19050</xdr:colOff>
      <xdr:row>112</xdr:row>
      <xdr:rowOff>142875</xdr:rowOff>
    </xdr:from>
    <xdr:to>
      <xdr:col>8</xdr:col>
      <xdr:colOff>257175</xdr:colOff>
      <xdr:row>112</xdr:row>
      <xdr:rowOff>142875</xdr:rowOff>
    </xdr:to>
    <xdr:cxnSp macro="">
      <xdr:nvCxnSpPr>
        <xdr:cNvPr id="473" name="Straight Connector 602"/>
        <xdr:cNvCxnSpPr>
          <a:cxnSpLocks noChangeShapeType="1"/>
        </xdr:cNvCxnSpPr>
      </xdr:nvCxnSpPr>
      <xdr:spPr bwMode="auto">
        <a:xfrm rot="10800000">
          <a:off x="5257800" y="19621500"/>
          <a:ext cx="2381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8</xdr:col>
      <xdr:colOff>561982</xdr:colOff>
      <xdr:row>104</xdr:row>
      <xdr:rowOff>38108</xdr:rowOff>
    </xdr:from>
    <xdr:to>
      <xdr:col>8</xdr:col>
      <xdr:colOff>571507</xdr:colOff>
      <xdr:row>114</xdr:row>
      <xdr:rowOff>8</xdr:rowOff>
    </xdr:to>
    <xdr:cxnSp macro="">
      <xdr:nvCxnSpPr>
        <xdr:cNvPr id="474" name="Straight Arrow Connector 604"/>
        <xdr:cNvCxnSpPr>
          <a:cxnSpLocks noChangeShapeType="1"/>
        </xdr:cNvCxnSpPr>
      </xdr:nvCxnSpPr>
      <xdr:spPr bwMode="auto">
        <a:xfrm rot="16200000" flipH="1">
          <a:off x="4786320" y="18197520"/>
          <a:ext cx="1581150" cy="9525"/>
        </a:xfrm>
        <a:prstGeom prst="straightConnector1">
          <a:avLst/>
        </a:prstGeom>
        <a:noFill/>
        <a:ln w="9525" algn="ctr">
          <a:solidFill>
            <a:sysClr val="windowText" lastClr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466725</xdr:colOff>
      <xdr:row>104</xdr:row>
      <xdr:rowOff>0</xdr:rowOff>
    </xdr:from>
    <xdr:to>
      <xdr:col>9</xdr:col>
      <xdr:colOff>304800</xdr:colOff>
      <xdr:row>104</xdr:row>
      <xdr:rowOff>9526</xdr:rowOff>
    </xdr:to>
    <xdr:cxnSp macro="">
      <xdr:nvCxnSpPr>
        <xdr:cNvPr id="475" name="Straight Connector 607"/>
        <xdr:cNvCxnSpPr>
          <a:cxnSpLocks noChangeShapeType="1"/>
        </xdr:cNvCxnSpPr>
      </xdr:nvCxnSpPr>
      <xdr:spPr bwMode="auto">
        <a:xfrm flipV="1">
          <a:off x="4867275" y="17373600"/>
          <a:ext cx="1057275" cy="9526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8</xdr:col>
      <xdr:colOff>0</xdr:colOff>
      <xdr:row>104</xdr:row>
      <xdr:rowOff>38100</xdr:rowOff>
    </xdr:from>
    <xdr:to>
      <xdr:col>8</xdr:col>
      <xdr:colOff>9525</xdr:colOff>
      <xdr:row>114</xdr:row>
      <xdr:rowOff>9526</xdr:rowOff>
    </xdr:to>
    <xdr:cxnSp macro="">
      <xdr:nvCxnSpPr>
        <xdr:cNvPr id="476" name="Straight Connector 475"/>
        <xdr:cNvCxnSpPr/>
      </xdr:nvCxnSpPr>
      <xdr:spPr bwMode="auto">
        <a:xfrm rot="5400000">
          <a:off x="4448175" y="19011900"/>
          <a:ext cx="1590676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19050</xdr:colOff>
      <xdr:row>37</xdr:row>
      <xdr:rowOff>9525</xdr:rowOff>
    </xdr:from>
    <xdr:to>
      <xdr:col>7</xdr:col>
      <xdr:colOff>438150</xdr:colOff>
      <xdr:row>37</xdr:row>
      <xdr:rowOff>11113</xdr:rowOff>
    </xdr:to>
    <xdr:cxnSp macro="">
      <xdr:nvCxnSpPr>
        <xdr:cNvPr id="477" name="Straight Arrow Connector 476"/>
        <xdr:cNvCxnSpPr/>
      </xdr:nvCxnSpPr>
      <xdr:spPr bwMode="auto">
        <a:xfrm>
          <a:off x="4619625" y="7038975"/>
          <a:ext cx="41910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8</xdr:col>
      <xdr:colOff>28575</xdr:colOff>
      <xdr:row>110</xdr:row>
      <xdr:rowOff>19050</xdr:rowOff>
    </xdr:from>
    <xdr:to>
      <xdr:col>8</xdr:col>
      <xdr:colOff>400050</xdr:colOff>
      <xdr:row>110</xdr:row>
      <xdr:rowOff>19050</xdr:rowOff>
    </xdr:to>
    <xdr:sp macro="" textlink="">
      <xdr:nvSpPr>
        <xdr:cNvPr id="478" name="Line 246"/>
        <xdr:cNvSpPr>
          <a:spLocks noChangeShapeType="1"/>
        </xdr:cNvSpPr>
      </xdr:nvSpPr>
      <xdr:spPr bwMode="auto">
        <a:xfrm flipH="1">
          <a:off x="5267325" y="19173825"/>
          <a:ext cx="3714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123825</xdr:colOff>
      <xdr:row>104</xdr:row>
      <xdr:rowOff>57150</xdr:rowOff>
    </xdr:from>
    <xdr:to>
      <xdr:col>8</xdr:col>
      <xdr:colOff>361950</xdr:colOff>
      <xdr:row>105</xdr:row>
      <xdr:rowOff>38100</xdr:rowOff>
    </xdr:to>
    <xdr:sp macro="" textlink="">
      <xdr:nvSpPr>
        <xdr:cNvPr id="479" name="Rectangle 478"/>
        <xdr:cNvSpPr/>
      </xdr:nvSpPr>
      <xdr:spPr bwMode="auto">
        <a:xfrm>
          <a:off x="5362575" y="18240375"/>
          <a:ext cx="238125" cy="1428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GB" sz="1100"/>
            <a:t>S6</a:t>
          </a:r>
        </a:p>
      </xdr:txBody>
    </xdr:sp>
    <xdr:clientData/>
  </xdr:twoCellAnchor>
  <xdr:twoCellAnchor>
    <xdr:from>
      <xdr:col>6</xdr:col>
      <xdr:colOff>114300</xdr:colOff>
      <xdr:row>191</xdr:row>
      <xdr:rowOff>19050</xdr:rowOff>
    </xdr:from>
    <xdr:to>
      <xdr:col>6</xdr:col>
      <xdr:colOff>504825</xdr:colOff>
      <xdr:row>191</xdr:row>
      <xdr:rowOff>19050</xdr:rowOff>
    </xdr:to>
    <xdr:sp macro="" textlink="">
      <xdr:nvSpPr>
        <xdr:cNvPr id="480" name="Line 588"/>
        <xdr:cNvSpPr>
          <a:spLocks noChangeShapeType="1"/>
        </xdr:cNvSpPr>
      </xdr:nvSpPr>
      <xdr:spPr bwMode="auto">
        <a:xfrm>
          <a:off x="4105275" y="32546925"/>
          <a:ext cx="3905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7</xdr:col>
      <xdr:colOff>504825</xdr:colOff>
      <xdr:row>194</xdr:row>
      <xdr:rowOff>38100</xdr:rowOff>
    </xdr:from>
    <xdr:to>
      <xdr:col>8</xdr:col>
      <xdr:colOff>257175</xdr:colOff>
      <xdr:row>194</xdr:row>
      <xdr:rowOff>38100</xdr:rowOff>
    </xdr:to>
    <xdr:sp macro="" textlink="">
      <xdr:nvSpPr>
        <xdr:cNvPr id="481" name="Line 588"/>
        <xdr:cNvSpPr>
          <a:spLocks noChangeShapeType="1"/>
        </xdr:cNvSpPr>
      </xdr:nvSpPr>
      <xdr:spPr bwMode="auto">
        <a:xfrm>
          <a:off x="5105400" y="33051750"/>
          <a:ext cx="3905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 type="triangle" w="med" len="med"/>
          <a:tailEnd type="none" w="med" len="med"/>
        </a:ln>
      </xdr:spPr>
    </xdr:sp>
    <xdr:clientData/>
  </xdr:twoCellAnchor>
  <xdr:twoCellAnchor>
    <xdr:from>
      <xdr:col>7</xdr:col>
      <xdr:colOff>95250</xdr:colOff>
      <xdr:row>84</xdr:row>
      <xdr:rowOff>104775</xdr:rowOff>
    </xdr:from>
    <xdr:to>
      <xdr:col>7</xdr:col>
      <xdr:colOff>619125</xdr:colOff>
      <xdr:row>87</xdr:row>
      <xdr:rowOff>9525</xdr:rowOff>
    </xdr:to>
    <xdr:sp macro="" textlink="">
      <xdr:nvSpPr>
        <xdr:cNvPr id="482" name="Freeform 481"/>
        <xdr:cNvSpPr/>
      </xdr:nvSpPr>
      <xdr:spPr bwMode="auto">
        <a:xfrm>
          <a:off x="4695825" y="14859000"/>
          <a:ext cx="523875" cy="466725"/>
        </a:xfrm>
        <a:custGeom>
          <a:avLst/>
          <a:gdLst>
            <a:gd name="connsiteX0" fmla="*/ 523875 w 523875"/>
            <a:gd name="connsiteY0" fmla="*/ 0 h 466725"/>
            <a:gd name="connsiteX1" fmla="*/ 266700 w 523875"/>
            <a:gd name="connsiteY1" fmla="*/ 190500 h 466725"/>
            <a:gd name="connsiteX2" fmla="*/ 266700 w 523875"/>
            <a:gd name="connsiteY2" fmla="*/ 390525 h 466725"/>
            <a:gd name="connsiteX3" fmla="*/ 0 w 523875"/>
            <a:gd name="connsiteY3" fmla="*/ 466725 h 466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23875" h="466725">
              <a:moveTo>
                <a:pt x="523875" y="0"/>
              </a:moveTo>
              <a:cubicBezTo>
                <a:pt x="416718" y="62706"/>
                <a:pt x="309562" y="125413"/>
                <a:pt x="266700" y="190500"/>
              </a:cubicBezTo>
              <a:cubicBezTo>
                <a:pt x="223838" y="255587"/>
                <a:pt x="311150" y="344488"/>
                <a:pt x="266700" y="390525"/>
              </a:cubicBezTo>
              <a:cubicBezTo>
                <a:pt x="222250" y="436562"/>
                <a:pt x="111125" y="451643"/>
                <a:pt x="0" y="466725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19050</xdr:colOff>
      <xdr:row>189</xdr:row>
      <xdr:rowOff>152400</xdr:rowOff>
    </xdr:from>
    <xdr:to>
      <xdr:col>8</xdr:col>
      <xdr:colOff>257175</xdr:colOff>
      <xdr:row>190</xdr:row>
      <xdr:rowOff>133350</xdr:rowOff>
    </xdr:to>
    <xdr:sp macro="" textlink="">
      <xdr:nvSpPr>
        <xdr:cNvPr id="483" name="Rectangle 482"/>
        <xdr:cNvSpPr/>
      </xdr:nvSpPr>
      <xdr:spPr bwMode="auto">
        <a:xfrm>
          <a:off x="5257800" y="32356425"/>
          <a:ext cx="238125" cy="1428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GB" sz="1100"/>
            <a:t>S6</a:t>
          </a:r>
        </a:p>
      </xdr:txBody>
    </xdr:sp>
    <xdr:clientData/>
  </xdr:twoCellAnchor>
  <xdr:twoCellAnchor>
    <xdr:from>
      <xdr:col>5</xdr:col>
      <xdr:colOff>0</xdr:colOff>
      <xdr:row>312</xdr:row>
      <xdr:rowOff>0</xdr:rowOff>
    </xdr:from>
    <xdr:to>
      <xdr:col>5</xdr:col>
      <xdr:colOff>0</xdr:colOff>
      <xdr:row>325</xdr:row>
      <xdr:rowOff>9525</xdr:rowOff>
    </xdr:to>
    <xdr:sp macro="" textlink="">
      <xdr:nvSpPr>
        <xdr:cNvPr id="484" name="Line 8"/>
        <xdr:cNvSpPr>
          <a:spLocks noChangeShapeType="1"/>
        </xdr:cNvSpPr>
      </xdr:nvSpPr>
      <xdr:spPr bwMode="auto">
        <a:xfrm>
          <a:off x="3286125" y="52939950"/>
          <a:ext cx="0" cy="21145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325</xdr:row>
      <xdr:rowOff>0</xdr:rowOff>
    </xdr:from>
    <xdr:to>
      <xdr:col>5</xdr:col>
      <xdr:colOff>476250</xdr:colOff>
      <xdr:row>325</xdr:row>
      <xdr:rowOff>0</xdr:rowOff>
    </xdr:to>
    <xdr:sp macro="" textlink="">
      <xdr:nvSpPr>
        <xdr:cNvPr id="485" name="Line 9"/>
        <xdr:cNvSpPr>
          <a:spLocks noChangeShapeType="1"/>
        </xdr:cNvSpPr>
      </xdr:nvSpPr>
      <xdr:spPr bwMode="auto">
        <a:xfrm>
          <a:off x="3286125" y="55044975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325</xdr:row>
      <xdr:rowOff>9525</xdr:rowOff>
    </xdr:from>
    <xdr:to>
      <xdr:col>5</xdr:col>
      <xdr:colOff>476250</xdr:colOff>
      <xdr:row>328</xdr:row>
      <xdr:rowOff>0</xdr:rowOff>
    </xdr:to>
    <xdr:sp macro="" textlink="">
      <xdr:nvSpPr>
        <xdr:cNvPr id="486" name="Line 10"/>
        <xdr:cNvSpPr>
          <a:spLocks noChangeShapeType="1"/>
        </xdr:cNvSpPr>
      </xdr:nvSpPr>
      <xdr:spPr bwMode="auto">
        <a:xfrm>
          <a:off x="3762375" y="55054500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327</xdr:row>
      <xdr:rowOff>152400</xdr:rowOff>
    </xdr:from>
    <xdr:to>
      <xdr:col>5</xdr:col>
      <xdr:colOff>161925</xdr:colOff>
      <xdr:row>328</xdr:row>
      <xdr:rowOff>0</xdr:rowOff>
    </xdr:to>
    <xdr:sp macro="" textlink="">
      <xdr:nvSpPr>
        <xdr:cNvPr id="487" name="Line 11"/>
        <xdr:cNvSpPr>
          <a:spLocks noChangeShapeType="1"/>
        </xdr:cNvSpPr>
      </xdr:nvSpPr>
      <xdr:spPr bwMode="auto">
        <a:xfrm flipH="1" flipV="1">
          <a:off x="1209675" y="55521225"/>
          <a:ext cx="22383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324</xdr:row>
      <xdr:rowOff>152400</xdr:rowOff>
    </xdr:from>
    <xdr:to>
      <xdr:col>2</xdr:col>
      <xdr:colOff>0</xdr:colOff>
      <xdr:row>327</xdr:row>
      <xdr:rowOff>152400</xdr:rowOff>
    </xdr:to>
    <xdr:sp macro="" textlink="">
      <xdr:nvSpPr>
        <xdr:cNvPr id="488" name="Line 12"/>
        <xdr:cNvSpPr>
          <a:spLocks noChangeShapeType="1"/>
        </xdr:cNvSpPr>
      </xdr:nvSpPr>
      <xdr:spPr bwMode="auto">
        <a:xfrm flipV="1">
          <a:off x="1219200" y="55035450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325</xdr:row>
      <xdr:rowOff>0</xdr:rowOff>
    </xdr:from>
    <xdr:to>
      <xdr:col>4</xdr:col>
      <xdr:colOff>0</xdr:colOff>
      <xdr:row>325</xdr:row>
      <xdr:rowOff>0</xdr:rowOff>
    </xdr:to>
    <xdr:sp macro="" textlink="">
      <xdr:nvSpPr>
        <xdr:cNvPr id="489" name="Line 13"/>
        <xdr:cNvSpPr>
          <a:spLocks noChangeShapeType="1"/>
        </xdr:cNvSpPr>
      </xdr:nvSpPr>
      <xdr:spPr bwMode="auto">
        <a:xfrm>
          <a:off x="1209675" y="55044975"/>
          <a:ext cx="13049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312</xdr:row>
      <xdr:rowOff>0</xdr:rowOff>
    </xdr:from>
    <xdr:to>
      <xdr:col>4</xdr:col>
      <xdr:colOff>381000</xdr:colOff>
      <xdr:row>325</xdr:row>
      <xdr:rowOff>0</xdr:rowOff>
    </xdr:to>
    <xdr:sp macro="" textlink="">
      <xdr:nvSpPr>
        <xdr:cNvPr id="490" name="Line 14"/>
        <xdr:cNvSpPr>
          <a:spLocks noChangeShapeType="1"/>
        </xdr:cNvSpPr>
      </xdr:nvSpPr>
      <xdr:spPr bwMode="auto">
        <a:xfrm flipV="1">
          <a:off x="2524125" y="52939950"/>
          <a:ext cx="371475" cy="2105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328</xdr:row>
      <xdr:rowOff>0</xdr:rowOff>
    </xdr:from>
    <xdr:to>
      <xdr:col>5</xdr:col>
      <xdr:colOff>476250</xdr:colOff>
      <xdr:row>329</xdr:row>
      <xdr:rowOff>0</xdr:rowOff>
    </xdr:to>
    <xdr:sp macro="" textlink="">
      <xdr:nvSpPr>
        <xdr:cNvPr id="491" name="Line 15"/>
        <xdr:cNvSpPr>
          <a:spLocks noChangeShapeType="1"/>
        </xdr:cNvSpPr>
      </xdr:nvSpPr>
      <xdr:spPr bwMode="auto">
        <a:xfrm>
          <a:off x="3762375" y="55530750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329</xdr:row>
      <xdr:rowOff>9525</xdr:rowOff>
    </xdr:from>
    <xdr:to>
      <xdr:col>5</xdr:col>
      <xdr:colOff>476250</xdr:colOff>
      <xdr:row>329</xdr:row>
      <xdr:rowOff>9525</xdr:rowOff>
    </xdr:to>
    <xdr:sp macro="" textlink="">
      <xdr:nvSpPr>
        <xdr:cNvPr id="492" name="Line 16"/>
        <xdr:cNvSpPr>
          <a:spLocks noChangeShapeType="1"/>
        </xdr:cNvSpPr>
      </xdr:nvSpPr>
      <xdr:spPr bwMode="auto">
        <a:xfrm flipH="1">
          <a:off x="3629025" y="55702200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327</xdr:row>
      <xdr:rowOff>152400</xdr:rowOff>
    </xdr:from>
    <xdr:to>
      <xdr:col>5</xdr:col>
      <xdr:colOff>352425</xdr:colOff>
      <xdr:row>329</xdr:row>
      <xdr:rowOff>19050</xdr:rowOff>
    </xdr:to>
    <xdr:sp macro="" textlink="">
      <xdr:nvSpPr>
        <xdr:cNvPr id="493" name="Line 17"/>
        <xdr:cNvSpPr>
          <a:spLocks noChangeShapeType="1"/>
        </xdr:cNvSpPr>
      </xdr:nvSpPr>
      <xdr:spPr bwMode="auto">
        <a:xfrm flipH="1" flipV="1">
          <a:off x="3448050" y="55521225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329</xdr:row>
      <xdr:rowOff>76200</xdr:rowOff>
    </xdr:from>
    <xdr:to>
      <xdr:col>5</xdr:col>
      <xdr:colOff>485775</xdr:colOff>
      <xdr:row>330</xdr:row>
      <xdr:rowOff>28575</xdr:rowOff>
    </xdr:to>
    <xdr:sp macro="" textlink="">
      <xdr:nvSpPr>
        <xdr:cNvPr id="494" name="Line 18"/>
        <xdr:cNvSpPr>
          <a:spLocks noChangeShapeType="1"/>
        </xdr:cNvSpPr>
      </xdr:nvSpPr>
      <xdr:spPr bwMode="auto">
        <a:xfrm>
          <a:off x="3771900" y="557688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329</xdr:row>
      <xdr:rowOff>76200</xdr:rowOff>
    </xdr:from>
    <xdr:to>
      <xdr:col>5</xdr:col>
      <xdr:colOff>352425</xdr:colOff>
      <xdr:row>330</xdr:row>
      <xdr:rowOff>38100</xdr:rowOff>
    </xdr:to>
    <xdr:sp macro="" textlink="">
      <xdr:nvSpPr>
        <xdr:cNvPr id="495" name="Line 19"/>
        <xdr:cNvSpPr>
          <a:spLocks noChangeShapeType="1"/>
        </xdr:cNvSpPr>
      </xdr:nvSpPr>
      <xdr:spPr bwMode="auto">
        <a:xfrm>
          <a:off x="3638550" y="557688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330</xdr:row>
      <xdr:rowOff>0</xdr:rowOff>
    </xdr:from>
    <xdr:to>
      <xdr:col>5</xdr:col>
      <xdr:colOff>485775</xdr:colOff>
      <xdr:row>330</xdr:row>
      <xdr:rowOff>0</xdr:rowOff>
    </xdr:to>
    <xdr:sp macro="" textlink="">
      <xdr:nvSpPr>
        <xdr:cNvPr id="496" name="Line 20"/>
        <xdr:cNvSpPr>
          <a:spLocks noChangeShapeType="1"/>
        </xdr:cNvSpPr>
      </xdr:nvSpPr>
      <xdr:spPr bwMode="auto">
        <a:xfrm>
          <a:off x="3638550" y="558546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329</xdr:row>
      <xdr:rowOff>114300</xdr:rowOff>
    </xdr:from>
    <xdr:to>
      <xdr:col>5</xdr:col>
      <xdr:colOff>180975</xdr:colOff>
      <xdr:row>330</xdr:row>
      <xdr:rowOff>28575</xdr:rowOff>
    </xdr:to>
    <xdr:sp macro="" textlink="">
      <xdr:nvSpPr>
        <xdr:cNvPr id="497" name="Line 21"/>
        <xdr:cNvSpPr>
          <a:spLocks noChangeShapeType="1"/>
        </xdr:cNvSpPr>
      </xdr:nvSpPr>
      <xdr:spPr bwMode="auto">
        <a:xfrm>
          <a:off x="3467100" y="5580697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330</xdr:row>
      <xdr:rowOff>0</xdr:rowOff>
    </xdr:from>
    <xdr:to>
      <xdr:col>5</xdr:col>
      <xdr:colOff>352425</xdr:colOff>
      <xdr:row>330</xdr:row>
      <xdr:rowOff>0</xdr:rowOff>
    </xdr:to>
    <xdr:sp macro="" textlink="">
      <xdr:nvSpPr>
        <xdr:cNvPr id="498" name="Line 22"/>
        <xdr:cNvSpPr>
          <a:spLocks noChangeShapeType="1"/>
        </xdr:cNvSpPr>
      </xdr:nvSpPr>
      <xdr:spPr bwMode="auto">
        <a:xfrm>
          <a:off x="3467100" y="558546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330</xdr:row>
      <xdr:rowOff>19050</xdr:rowOff>
    </xdr:from>
    <xdr:to>
      <xdr:col>5</xdr:col>
      <xdr:colOff>428625</xdr:colOff>
      <xdr:row>330</xdr:row>
      <xdr:rowOff>104775</xdr:rowOff>
    </xdr:to>
    <xdr:sp macro="" textlink="">
      <xdr:nvSpPr>
        <xdr:cNvPr id="499" name="Line 23"/>
        <xdr:cNvSpPr>
          <a:spLocks noChangeShapeType="1"/>
        </xdr:cNvSpPr>
      </xdr:nvSpPr>
      <xdr:spPr bwMode="auto">
        <a:xfrm flipV="1">
          <a:off x="3714750" y="558736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330</xdr:row>
      <xdr:rowOff>0</xdr:rowOff>
    </xdr:from>
    <xdr:to>
      <xdr:col>5</xdr:col>
      <xdr:colOff>285750</xdr:colOff>
      <xdr:row>331</xdr:row>
      <xdr:rowOff>57150</xdr:rowOff>
    </xdr:to>
    <xdr:sp macro="" textlink="">
      <xdr:nvSpPr>
        <xdr:cNvPr id="500" name="Line 25"/>
        <xdr:cNvSpPr>
          <a:spLocks noChangeShapeType="1"/>
        </xdr:cNvSpPr>
      </xdr:nvSpPr>
      <xdr:spPr bwMode="auto">
        <a:xfrm flipV="1">
          <a:off x="3571875" y="55854600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331</xdr:row>
      <xdr:rowOff>47625</xdr:rowOff>
    </xdr:from>
    <xdr:to>
      <xdr:col>6</xdr:col>
      <xdr:colOff>76200</xdr:colOff>
      <xdr:row>331</xdr:row>
      <xdr:rowOff>47625</xdr:rowOff>
    </xdr:to>
    <xdr:sp macro="" textlink="">
      <xdr:nvSpPr>
        <xdr:cNvPr id="501" name="Line 26"/>
        <xdr:cNvSpPr>
          <a:spLocks noChangeShapeType="1"/>
        </xdr:cNvSpPr>
      </xdr:nvSpPr>
      <xdr:spPr bwMode="auto">
        <a:xfrm>
          <a:off x="3571875" y="5606415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332</xdr:row>
      <xdr:rowOff>142875</xdr:rowOff>
    </xdr:from>
    <xdr:to>
      <xdr:col>5</xdr:col>
      <xdr:colOff>514350</xdr:colOff>
      <xdr:row>333</xdr:row>
      <xdr:rowOff>76200</xdr:rowOff>
    </xdr:to>
    <xdr:sp macro="" textlink="">
      <xdr:nvSpPr>
        <xdr:cNvPr id="502" name="Line 32"/>
        <xdr:cNvSpPr>
          <a:spLocks noChangeShapeType="1"/>
        </xdr:cNvSpPr>
      </xdr:nvSpPr>
      <xdr:spPr bwMode="auto">
        <a:xfrm>
          <a:off x="3800475" y="563213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228600</xdr:colOff>
      <xdr:row>312</xdr:row>
      <xdr:rowOff>9525</xdr:rowOff>
    </xdr:from>
    <xdr:to>
      <xdr:col>2</xdr:col>
      <xdr:colOff>381000</xdr:colOff>
      <xdr:row>312</xdr:row>
      <xdr:rowOff>104775</xdr:rowOff>
    </xdr:to>
    <xdr:sp macro="" textlink="">
      <xdr:nvSpPr>
        <xdr:cNvPr id="503" name="Line 34"/>
        <xdr:cNvSpPr>
          <a:spLocks noChangeShapeType="1"/>
        </xdr:cNvSpPr>
      </xdr:nvSpPr>
      <xdr:spPr bwMode="auto">
        <a:xfrm flipH="1">
          <a:off x="1447800" y="5294947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312</xdr:row>
      <xdr:rowOff>0</xdr:rowOff>
    </xdr:from>
    <xdr:to>
      <xdr:col>2</xdr:col>
      <xdr:colOff>514350</xdr:colOff>
      <xdr:row>312</xdr:row>
      <xdr:rowOff>123825</xdr:rowOff>
    </xdr:to>
    <xdr:sp macro="" textlink="">
      <xdr:nvSpPr>
        <xdr:cNvPr id="504" name="Line 35"/>
        <xdr:cNvSpPr>
          <a:spLocks noChangeShapeType="1"/>
        </xdr:cNvSpPr>
      </xdr:nvSpPr>
      <xdr:spPr bwMode="auto">
        <a:xfrm>
          <a:off x="1609725" y="5293995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312</xdr:row>
      <xdr:rowOff>0</xdr:rowOff>
    </xdr:from>
    <xdr:to>
      <xdr:col>2</xdr:col>
      <xdr:colOff>514350</xdr:colOff>
      <xdr:row>312</xdr:row>
      <xdr:rowOff>114300</xdr:rowOff>
    </xdr:to>
    <xdr:sp macro="" textlink="">
      <xdr:nvSpPr>
        <xdr:cNvPr id="505" name="Line 36"/>
        <xdr:cNvSpPr>
          <a:spLocks noChangeShapeType="1"/>
        </xdr:cNvSpPr>
      </xdr:nvSpPr>
      <xdr:spPr bwMode="auto">
        <a:xfrm flipV="1">
          <a:off x="1590675" y="5293995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312</xdr:row>
      <xdr:rowOff>0</xdr:rowOff>
    </xdr:from>
    <xdr:to>
      <xdr:col>5</xdr:col>
      <xdr:colOff>0</xdr:colOff>
      <xdr:row>312</xdr:row>
      <xdr:rowOff>0</xdr:rowOff>
    </xdr:to>
    <xdr:sp macro="" textlink="">
      <xdr:nvSpPr>
        <xdr:cNvPr id="506" name="Line 45"/>
        <xdr:cNvSpPr>
          <a:spLocks noChangeShapeType="1"/>
        </xdr:cNvSpPr>
      </xdr:nvSpPr>
      <xdr:spPr bwMode="auto">
        <a:xfrm>
          <a:off x="2886075" y="52939950"/>
          <a:ext cx="4000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311</xdr:row>
      <xdr:rowOff>0</xdr:rowOff>
    </xdr:from>
    <xdr:to>
      <xdr:col>4</xdr:col>
      <xdr:colOff>371475</xdr:colOff>
      <xdr:row>311</xdr:row>
      <xdr:rowOff>85725</xdr:rowOff>
    </xdr:to>
    <xdr:sp macro="" textlink="">
      <xdr:nvSpPr>
        <xdr:cNvPr id="507" name="Line 46"/>
        <xdr:cNvSpPr>
          <a:spLocks noChangeShapeType="1"/>
        </xdr:cNvSpPr>
      </xdr:nvSpPr>
      <xdr:spPr bwMode="auto">
        <a:xfrm>
          <a:off x="2886075" y="527780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310</xdr:row>
      <xdr:rowOff>152400</xdr:rowOff>
    </xdr:from>
    <xdr:to>
      <xdr:col>5</xdr:col>
      <xdr:colOff>0</xdr:colOff>
      <xdr:row>311</xdr:row>
      <xdr:rowOff>85725</xdr:rowOff>
    </xdr:to>
    <xdr:sp macro="" textlink="">
      <xdr:nvSpPr>
        <xdr:cNvPr id="508" name="Line 47"/>
        <xdr:cNvSpPr>
          <a:spLocks noChangeShapeType="1"/>
        </xdr:cNvSpPr>
      </xdr:nvSpPr>
      <xdr:spPr bwMode="auto">
        <a:xfrm>
          <a:off x="3286125" y="527685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311</xdr:row>
      <xdr:rowOff>47625</xdr:rowOff>
    </xdr:from>
    <xdr:to>
      <xdr:col>5</xdr:col>
      <xdr:colOff>0</xdr:colOff>
      <xdr:row>311</xdr:row>
      <xdr:rowOff>47625</xdr:rowOff>
    </xdr:to>
    <xdr:sp macro="" textlink="">
      <xdr:nvSpPr>
        <xdr:cNvPr id="509" name="Line 48"/>
        <xdr:cNvSpPr>
          <a:spLocks noChangeShapeType="1"/>
        </xdr:cNvSpPr>
      </xdr:nvSpPr>
      <xdr:spPr bwMode="auto">
        <a:xfrm>
          <a:off x="2876550" y="52825650"/>
          <a:ext cx="40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133350</xdr:colOff>
      <xdr:row>327</xdr:row>
      <xdr:rowOff>152400</xdr:rowOff>
    </xdr:from>
    <xdr:to>
      <xdr:col>1</xdr:col>
      <xdr:colOff>600075</xdr:colOff>
      <xdr:row>327</xdr:row>
      <xdr:rowOff>152400</xdr:rowOff>
    </xdr:to>
    <xdr:sp macro="" textlink="">
      <xdr:nvSpPr>
        <xdr:cNvPr id="510" name="Line 50"/>
        <xdr:cNvSpPr>
          <a:spLocks noChangeShapeType="1"/>
        </xdr:cNvSpPr>
      </xdr:nvSpPr>
      <xdr:spPr bwMode="auto">
        <a:xfrm>
          <a:off x="742950" y="5552122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600075</xdr:colOff>
      <xdr:row>322</xdr:row>
      <xdr:rowOff>76200</xdr:rowOff>
    </xdr:from>
    <xdr:to>
      <xdr:col>1</xdr:col>
      <xdr:colOff>600075</xdr:colOff>
      <xdr:row>322</xdr:row>
      <xdr:rowOff>85725</xdr:rowOff>
    </xdr:to>
    <xdr:sp macro="" textlink="">
      <xdr:nvSpPr>
        <xdr:cNvPr id="511" name="Line 51"/>
        <xdr:cNvSpPr>
          <a:spLocks noChangeShapeType="1"/>
        </xdr:cNvSpPr>
      </xdr:nvSpPr>
      <xdr:spPr bwMode="auto">
        <a:xfrm>
          <a:off x="600075" y="54635400"/>
          <a:ext cx="60960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514350</xdr:colOff>
      <xdr:row>315</xdr:row>
      <xdr:rowOff>152400</xdr:rowOff>
    </xdr:from>
    <xdr:to>
      <xdr:col>1</xdr:col>
      <xdr:colOff>600075</xdr:colOff>
      <xdr:row>315</xdr:row>
      <xdr:rowOff>152400</xdr:rowOff>
    </xdr:to>
    <xdr:sp macro="" textlink="">
      <xdr:nvSpPr>
        <xdr:cNvPr id="512" name="Line 52"/>
        <xdr:cNvSpPr>
          <a:spLocks noChangeShapeType="1"/>
        </xdr:cNvSpPr>
      </xdr:nvSpPr>
      <xdr:spPr bwMode="auto">
        <a:xfrm>
          <a:off x="1123950" y="53578125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0</xdr:colOff>
      <xdr:row>312</xdr:row>
      <xdr:rowOff>0</xdr:rowOff>
    </xdr:from>
    <xdr:to>
      <xdr:col>5</xdr:col>
      <xdr:colOff>0</xdr:colOff>
      <xdr:row>325</xdr:row>
      <xdr:rowOff>9525</xdr:rowOff>
    </xdr:to>
    <xdr:sp macro="" textlink="">
      <xdr:nvSpPr>
        <xdr:cNvPr id="513" name="Line 57"/>
        <xdr:cNvSpPr>
          <a:spLocks noChangeShapeType="1"/>
        </xdr:cNvSpPr>
      </xdr:nvSpPr>
      <xdr:spPr bwMode="auto">
        <a:xfrm>
          <a:off x="3286125" y="52939950"/>
          <a:ext cx="0" cy="21145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325</xdr:row>
      <xdr:rowOff>0</xdr:rowOff>
    </xdr:from>
    <xdr:to>
      <xdr:col>5</xdr:col>
      <xdr:colOff>476250</xdr:colOff>
      <xdr:row>325</xdr:row>
      <xdr:rowOff>0</xdr:rowOff>
    </xdr:to>
    <xdr:sp macro="" textlink="">
      <xdr:nvSpPr>
        <xdr:cNvPr id="514" name="Line 58"/>
        <xdr:cNvSpPr>
          <a:spLocks noChangeShapeType="1"/>
        </xdr:cNvSpPr>
      </xdr:nvSpPr>
      <xdr:spPr bwMode="auto">
        <a:xfrm>
          <a:off x="3286125" y="55044975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325</xdr:row>
      <xdr:rowOff>9525</xdr:rowOff>
    </xdr:from>
    <xdr:to>
      <xdr:col>5</xdr:col>
      <xdr:colOff>476250</xdr:colOff>
      <xdr:row>328</xdr:row>
      <xdr:rowOff>0</xdr:rowOff>
    </xdr:to>
    <xdr:sp macro="" textlink="">
      <xdr:nvSpPr>
        <xdr:cNvPr id="515" name="Line 59"/>
        <xdr:cNvSpPr>
          <a:spLocks noChangeShapeType="1"/>
        </xdr:cNvSpPr>
      </xdr:nvSpPr>
      <xdr:spPr bwMode="auto">
        <a:xfrm>
          <a:off x="3762375" y="55054500"/>
          <a:ext cx="0" cy="476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327</xdr:row>
      <xdr:rowOff>152400</xdr:rowOff>
    </xdr:from>
    <xdr:to>
      <xdr:col>5</xdr:col>
      <xdr:colOff>161925</xdr:colOff>
      <xdr:row>328</xdr:row>
      <xdr:rowOff>0</xdr:rowOff>
    </xdr:to>
    <xdr:sp macro="" textlink="">
      <xdr:nvSpPr>
        <xdr:cNvPr id="516" name="Line 60"/>
        <xdr:cNvSpPr>
          <a:spLocks noChangeShapeType="1"/>
        </xdr:cNvSpPr>
      </xdr:nvSpPr>
      <xdr:spPr bwMode="auto">
        <a:xfrm flipH="1" flipV="1">
          <a:off x="1209675" y="55521225"/>
          <a:ext cx="22383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324</xdr:row>
      <xdr:rowOff>152400</xdr:rowOff>
    </xdr:from>
    <xdr:to>
      <xdr:col>2</xdr:col>
      <xdr:colOff>0</xdr:colOff>
      <xdr:row>327</xdr:row>
      <xdr:rowOff>152400</xdr:rowOff>
    </xdr:to>
    <xdr:sp macro="" textlink="">
      <xdr:nvSpPr>
        <xdr:cNvPr id="517" name="Line 61"/>
        <xdr:cNvSpPr>
          <a:spLocks noChangeShapeType="1"/>
        </xdr:cNvSpPr>
      </xdr:nvSpPr>
      <xdr:spPr bwMode="auto">
        <a:xfrm flipV="1">
          <a:off x="1219200" y="55035450"/>
          <a:ext cx="0" cy="4857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600075</xdr:colOff>
      <xdr:row>325</xdr:row>
      <xdr:rowOff>0</xdr:rowOff>
    </xdr:from>
    <xdr:to>
      <xdr:col>4</xdr:col>
      <xdr:colOff>0</xdr:colOff>
      <xdr:row>325</xdr:row>
      <xdr:rowOff>0</xdr:rowOff>
    </xdr:to>
    <xdr:sp macro="" textlink="">
      <xdr:nvSpPr>
        <xdr:cNvPr id="518" name="Line 62"/>
        <xdr:cNvSpPr>
          <a:spLocks noChangeShapeType="1"/>
        </xdr:cNvSpPr>
      </xdr:nvSpPr>
      <xdr:spPr bwMode="auto">
        <a:xfrm>
          <a:off x="1209675" y="55044975"/>
          <a:ext cx="13049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312</xdr:row>
      <xdr:rowOff>0</xdr:rowOff>
    </xdr:from>
    <xdr:to>
      <xdr:col>4</xdr:col>
      <xdr:colOff>381000</xdr:colOff>
      <xdr:row>325</xdr:row>
      <xdr:rowOff>0</xdr:rowOff>
    </xdr:to>
    <xdr:sp macro="" textlink="">
      <xdr:nvSpPr>
        <xdr:cNvPr id="519" name="Line 63"/>
        <xdr:cNvSpPr>
          <a:spLocks noChangeShapeType="1"/>
        </xdr:cNvSpPr>
      </xdr:nvSpPr>
      <xdr:spPr bwMode="auto">
        <a:xfrm flipV="1">
          <a:off x="2524125" y="52939950"/>
          <a:ext cx="371475" cy="2105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476250</xdr:colOff>
      <xdr:row>328</xdr:row>
      <xdr:rowOff>0</xdr:rowOff>
    </xdr:from>
    <xdr:to>
      <xdr:col>5</xdr:col>
      <xdr:colOff>476250</xdr:colOff>
      <xdr:row>329</xdr:row>
      <xdr:rowOff>0</xdr:rowOff>
    </xdr:to>
    <xdr:sp macro="" textlink="">
      <xdr:nvSpPr>
        <xdr:cNvPr id="520" name="Line 64"/>
        <xdr:cNvSpPr>
          <a:spLocks noChangeShapeType="1"/>
        </xdr:cNvSpPr>
      </xdr:nvSpPr>
      <xdr:spPr bwMode="auto">
        <a:xfrm>
          <a:off x="3762375" y="55530750"/>
          <a:ext cx="0" cy="161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342900</xdr:colOff>
      <xdr:row>329</xdr:row>
      <xdr:rowOff>9525</xdr:rowOff>
    </xdr:from>
    <xdr:to>
      <xdr:col>5</xdr:col>
      <xdr:colOff>476250</xdr:colOff>
      <xdr:row>329</xdr:row>
      <xdr:rowOff>9525</xdr:rowOff>
    </xdr:to>
    <xdr:sp macro="" textlink="">
      <xdr:nvSpPr>
        <xdr:cNvPr id="521" name="Line 65"/>
        <xdr:cNvSpPr>
          <a:spLocks noChangeShapeType="1"/>
        </xdr:cNvSpPr>
      </xdr:nvSpPr>
      <xdr:spPr bwMode="auto">
        <a:xfrm flipH="1">
          <a:off x="3629025" y="55702200"/>
          <a:ext cx="1333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161925</xdr:colOff>
      <xdr:row>327</xdr:row>
      <xdr:rowOff>152400</xdr:rowOff>
    </xdr:from>
    <xdr:to>
      <xdr:col>5</xdr:col>
      <xdr:colOff>352425</xdr:colOff>
      <xdr:row>329</xdr:row>
      <xdr:rowOff>19050</xdr:rowOff>
    </xdr:to>
    <xdr:sp macro="" textlink="">
      <xdr:nvSpPr>
        <xdr:cNvPr id="522" name="Line 66"/>
        <xdr:cNvSpPr>
          <a:spLocks noChangeShapeType="1"/>
        </xdr:cNvSpPr>
      </xdr:nvSpPr>
      <xdr:spPr bwMode="auto">
        <a:xfrm flipH="1" flipV="1">
          <a:off x="3448050" y="55521225"/>
          <a:ext cx="190500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485775</xdr:colOff>
      <xdr:row>329</xdr:row>
      <xdr:rowOff>76200</xdr:rowOff>
    </xdr:from>
    <xdr:to>
      <xdr:col>5</xdr:col>
      <xdr:colOff>485775</xdr:colOff>
      <xdr:row>330</xdr:row>
      <xdr:rowOff>28575</xdr:rowOff>
    </xdr:to>
    <xdr:sp macro="" textlink="">
      <xdr:nvSpPr>
        <xdr:cNvPr id="523" name="Line 67"/>
        <xdr:cNvSpPr>
          <a:spLocks noChangeShapeType="1"/>
        </xdr:cNvSpPr>
      </xdr:nvSpPr>
      <xdr:spPr bwMode="auto">
        <a:xfrm>
          <a:off x="3771900" y="5576887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329</xdr:row>
      <xdr:rowOff>76200</xdr:rowOff>
    </xdr:from>
    <xdr:to>
      <xdr:col>5</xdr:col>
      <xdr:colOff>352425</xdr:colOff>
      <xdr:row>330</xdr:row>
      <xdr:rowOff>38100</xdr:rowOff>
    </xdr:to>
    <xdr:sp macro="" textlink="">
      <xdr:nvSpPr>
        <xdr:cNvPr id="524" name="Line 68"/>
        <xdr:cNvSpPr>
          <a:spLocks noChangeShapeType="1"/>
        </xdr:cNvSpPr>
      </xdr:nvSpPr>
      <xdr:spPr bwMode="auto">
        <a:xfrm>
          <a:off x="3638550" y="557688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330</xdr:row>
      <xdr:rowOff>0</xdr:rowOff>
    </xdr:from>
    <xdr:to>
      <xdr:col>5</xdr:col>
      <xdr:colOff>485775</xdr:colOff>
      <xdr:row>330</xdr:row>
      <xdr:rowOff>0</xdr:rowOff>
    </xdr:to>
    <xdr:sp macro="" textlink="">
      <xdr:nvSpPr>
        <xdr:cNvPr id="525" name="Line 69"/>
        <xdr:cNvSpPr>
          <a:spLocks noChangeShapeType="1"/>
        </xdr:cNvSpPr>
      </xdr:nvSpPr>
      <xdr:spPr bwMode="auto">
        <a:xfrm>
          <a:off x="3638550" y="5585460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180975</xdr:colOff>
      <xdr:row>329</xdr:row>
      <xdr:rowOff>114300</xdr:rowOff>
    </xdr:from>
    <xdr:to>
      <xdr:col>5</xdr:col>
      <xdr:colOff>180975</xdr:colOff>
      <xdr:row>330</xdr:row>
      <xdr:rowOff>28575</xdr:rowOff>
    </xdr:to>
    <xdr:sp macro="" textlink="">
      <xdr:nvSpPr>
        <xdr:cNvPr id="526" name="Line 70"/>
        <xdr:cNvSpPr>
          <a:spLocks noChangeShapeType="1"/>
        </xdr:cNvSpPr>
      </xdr:nvSpPr>
      <xdr:spPr bwMode="auto">
        <a:xfrm>
          <a:off x="3467100" y="55806975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180975</xdr:colOff>
      <xdr:row>330</xdr:row>
      <xdr:rowOff>0</xdr:rowOff>
    </xdr:from>
    <xdr:to>
      <xdr:col>5</xdr:col>
      <xdr:colOff>352425</xdr:colOff>
      <xdr:row>330</xdr:row>
      <xdr:rowOff>0</xdr:rowOff>
    </xdr:to>
    <xdr:sp macro="" textlink="">
      <xdr:nvSpPr>
        <xdr:cNvPr id="527" name="Line 71"/>
        <xdr:cNvSpPr>
          <a:spLocks noChangeShapeType="1"/>
        </xdr:cNvSpPr>
      </xdr:nvSpPr>
      <xdr:spPr bwMode="auto">
        <a:xfrm>
          <a:off x="3467100" y="5585460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428625</xdr:colOff>
      <xdr:row>330</xdr:row>
      <xdr:rowOff>19050</xdr:rowOff>
    </xdr:from>
    <xdr:to>
      <xdr:col>5</xdr:col>
      <xdr:colOff>428625</xdr:colOff>
      <xdr:row>330</xdr:row>
      <xdr:rowOff>104775</xdr:rowOff>
    </xdr:to>
    <xdr:sp macro="" textlink="">
      <xdr:nvSpPr>
        <xdr:cNvPr id="528" name="Line 72"/>
        <xdr:cNvSpPr>
          <a:spLocks noChangeShapeType="1"/>
        </xdr:cNvSpPr>
      </xdr:nvSpPr>
      <xdr:spPr bwMode="auto">
        <a:xfrm flipV="1">
          <a:off x="3714750" y="5587365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447675</xdr:colOff>
      <xdr:row>330</xdr:row>
      <xdr:rowOff>104775</xdr:rowOff>
    </xdr:from>
    <xdr:to>
      <xdr:col>6</xdr:col>
      <xdr:colOff>76200</xdr:colOff>
      <xdr:row>330</xdr:row>
      <xdr:rowOff>104775</xdr:rowOff>
    </xdr:to>
    <xdr:sp macro="" textlink="">
      <xdr:nvSpPr>
        <xdr:cNvPr id="529" name="Line 73"/>
        <xdr:cNvSpPr>
          <a:spLocks noChangeShapeType="1"/>
        </xdr:cNvSpPr>
      </xdr:nvSpPr>
      <xdr:spPr bwMode="auto">
        <a:xfrm>
          <a:off x="3733800" y="5595937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285750</xdr:colOff>
      <xdr:row>330</xdr:row>
      <xdr:rowOff>0</xdr:rowOff>
    </xdr:from>
    <xdr:to>
      <xdr:col>5</xdr:col>
      <xdr:colOff>285750</xdr:colOff>
      <xdr:row>331</xdr:row>
      <xdr:rowOff>57150</xdr:rowOff>
    </xdr:to>
    <xdr:sp macro="" textlink="">
      <xdr:nvSpPr>
        <xdr:cNvPr id="530" name="Line 74"/>
        <xdr:cNvSpPr>
          <a:spLocks noChangeShapeType="1"/>
        </xdr:cNvSpPr>
      </xdr:nvSpPr>
      <xdr:spPr bwMode="auto">
        <a:xfrm flipV="1">
          <a:off x="3571875" y="55854600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5</xdr:col>
      <xdr:colOff>285750</xdr:colOff>
      <xdr:row>331</xdr:row>
      <xdr:rowOff>47625</xdr:rowOff>
    </xdr:from>
    <xdr:to>
      <xdr:col>6</xdr:col>
      <xdr:colOff>76200</xdr:colOff>
      <xdr:row>331</xdr:row>
      <xdr:rowOff>47625</xdr:rowOff>
    </xdr:to>
    <xdr:sp macro="" textlink="">
      <xdr:nvSpPr>
        <xdr:cNvPr id="531" name="Line 75"/>
        <xdr:cNvSpPr>
          <a:spLocks noChangeShapeType="1"/>
        </xdr:cNvSpPr>
      </xdr:nvSpPr>
      <xdr:spPr bwMode="auto">
        <a:xfrm>
          <a:off x="3571875" y="5606415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333</xdr:row>
      <xdr:rowOff>28575</xdr:rowOff>
    </xdr:from>
    <xdr:to>
      <xdr:col>5</xdr:col>
      <xdr:colOff>0</xdr:colOff>
      <xdr:row>333</xdr:row>
      <xdr:rowOff>28575</xdr:rowOff>
    </xdr:to>
    <xdr:sp macro="" textlink="">
      <xdr:nvSpPr>
        <xdr:cNvPr id="532" name="Line 76"/>
        <xdr:cNvSpPr>
          <a:spLocks noChangeShapeType="1"/>
        </xdr:cNvSpPr>
      </xdr:nvSpPr>
      <xdr:spPr bwMode="auto">
        <a:xfrm flipH="1">
          <a:off x="2514600" y="56368950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1</xdr:col>
      <xdr:colOff>609600</xdr:colOff>
      <xdr:row>333</xdr:row>
      <xdr:rowOff>28575</xdr:rowOff>
    </xdr:from>
    <xdr:to>
      <xdr:col>4</xdr:col>
      <xdr:colOff>28575</xdr:colOff>
      <xdr:row>333</xdr:row>
      <xdr:rowOff>28575</xdr:rowOff>
    </xdr:to>
    <xdr:sp macro="" textlink="">
      <xdr:nvSpPr>
        <xdr:cNvPr id="533" name="Line 77"/>
        <xdr:cNvSpPr>
          <a:spLocks noChangeShapeType="1"/>
        </xdr:cNvSpPr>
      </xdr:nvSpPr>
      <xdr:spPr bwMode="auto">
        <a:xfrm flipH="1">
          <a:off x="1219200" y="56368950"/>
          <a:ext cx="1323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9525</xdr:colOff>
      <xdr:row>332</xdr:row>
      <xdr:rowOff>95250</xdr:rowOff>
    </xdr:from>
    <xdr:to>
      <xdr:col>2</xdr:col>
      <xdr:colOff>9525</xdr:colOff>
      <xdr:row>333</xdr:row>
      <xdr:rowOff>85725</xdr:rowOff>
    </xdr:to>
    <xdr:sp macro="" textlink="">
      <xdr:nvSpPr>
        <xdr:cNvPr id="534" name="Line 78"/>
        <xdr:cNvSpPr>
          <a:spLocks noChangeShapeType="1"/>
        </xdr:cNvSpPr>
      </xdr:nvSpPr>
      <xdr:spPr bwMode="auto">
        <a:xfrm>
          <a:off x="1228725" y="562737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332</xdr:row>
      <xdr:rowOff>133350</xdr:rowOff>
    </xdr:from>
    <xdr:to>
      <xdr:col>4</xdr:col>
      <xdr:colOff>9525</xdr:colOff>
      <xdr:row>333</xdr:row>
      <xdr:rowOff>76200</xdr:rowOff>
    </xdr:to>
    <xdr:sp macro="" textlink="">
      <xdr:nvSpPr>
        <xdr:cNvPr id="535" name="Line 79"/>
        <xdr:cNvSpPr>
          <a:spLocks noChangeShapeType="1"/>
        </xdr:cNvSpPr>
      </xdr:nvSpPr>
      <xdr:spPr bwMode="auto">
        <a:xfrm>
          <a:off x="2524125" y="563118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332</xdr:row>
      <xdr:rowOff>123825</xdr:rowOff>
    </xdr:from>
    <xdr:to>
      <xdr:col>5</xdr:col>
      <xdr:colOff>0</xdr:colOff>
      <xdr:row>333</xdr:row>
      <xdr:rowOff>57150</xdr:rowOff>
    </xdr:to>
    <xdr:sp macro="" textlink="">
      <xdr:nvSpPr>
        <xdr:cNvPr id="536" name="Line 80"/>
        <xdr:cNvSpPr>
          <a:spLocks noChangeShapeType="1"/>
        </xdr:cNvSpPr>
      </xdr:nvSpPr>
      <xdr:spPr bwMode="auto">
        <a:xfrm>
          <a:off x="3286125" y="563022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228600</xdr:colOff>
      <xdr:row>312</xdr:row>
      <xdr:rowOff>9525</xdr:rowOff>
    </xdr:from>
    <xdr:to>
      <xdr:col>2</xdr:col>
      <xdr:colOff>381000</xdr:colOff>
      <xdr:row>312</xdr:row>
      <xdr:rowOff>104775</xdr:rowOff>
    </xdr:to>
    <xdr:sp macro="" textlink="">
      <xdr:nvSpPr>
        <xdr:cNvPr id="537" name="Line 83"/>
        <xdr:cNvSpPr>
          <a:spLocks noChangeShapeType="1"/>
        </xdr:cNvSpPr>
      </xdr:nvSpPr>
      <xdr:spPr bwMode="auto">
        <a:xfrm flipH="1">
          <a:off x="1447800" y="5294947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390525</xdr:colOff>
      <xdr:row>312</xdr:row>
      <xdr:rowOff>0</xdr:rowOff>
    </xdr:from>
    <xdr:to>
      <xdr:col>2</xdr:col>
      <xdr:colOff>514350</xdr:colOff>
      <xdr:row>312</xdr:row>
      <xdr:rowOff>123825</xdr:rowOff>
    </xdr:to>
    <xdr:sp macro="" textlink="">
      <xdr:nvSpPr>
        <xdr:cNvPr id="538" name="Line 84"/>
        <xdr:cNvSpPr>
          <a:spLocks noChangeShapeType="1"/>
        </xdr:cNvSpPr>
      </xdr:nvSpPr>
      <xdr:spPr bwMode="auto">
        <a:xfrm>
          <a:off x="1609725" y="5293995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371475</xdr:colOff>
      <xdr:row>312</xdr:row>
      <xdr:rowOff>0</xdr:rowOff>
    </xdr:from>
    <xdr:to>
      <xdr:col>2</xdr:col>
      <xdr:colOff>514350</xdr:colOff>
      <xdr:row>312</xdr:row>
      <xdr:rowOff>114300</xdr:rowOff>
    </xdr:to>
    <xdr:sp macro="" textlink="">
      <xdr:nvSpPr>
        <xdr:cNvPr id="539" name="Line 85"/>
        <xdr:cNvSpPr>
          <a:spLocks noChangeShapeType="1"/>
        </xdr:cNvSpPr>
      </xdr:nvSpPr>
      <xdr:spPr bwMode="auto">
        <a:xfrm flipV="1">
          <a:off x="1590675" y="5293995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504825</xdr:colOff>
      <xdr:row>312</xdr:row>
      <xdr:rowOff>9525</xdr:rowOff>
    </xdr:from>
    <xdr:to>
      <xdr:col>3</xdr:col>
      <xdr:colOff>9525</xdr:colOff>
      <xdr:row>312</xdr:row>
      <xdr:rowOff>133350</xdr:rowOff>
    </xdr:to>
    <xdr:sp macro="" textlink="">
      <xdr:nvSpPr>
        <xdr:cNvPr id="540" name="Line 86"/>
        <xdr:cNvSpPr>
          <a:spLocks noChangeShapeType="1"/>
        </xdr:cNvSpPr>
      </xdr:nvSpPr>
      <xdr:spPr bwMode="auto">
        <a:xfrm>
          <a:off x="1724025" y="52949475"/>
          <a:ext cx="2476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312</xdr:row>
      <xdr:rowOff>0</xdr:rowOff>
    </xdr:from>
    <xdr:to>
      <xdr:col>5</xdr:col>
      <xdr:colOff>0</xdr:colOff>
      <xdr:row>312</xdr:row>
      <xdr:rowOff>0</xdr:rowOff>
    </xdr:to>
    <xdr:sp macro="" textlink="">
      <xdr:nvSpPr>
        <xdr:cNvPr id="541" name="Line 95"/>
        <xdr:cNvSpPr>
          <a:spLocks noChangeShapeType="1"/>
        </xdr:cNvSpPr>
      </xdr:nvSpPr>
      <xdr:spPr bwMode="auto">
        <a:xfrm>
          <a:off x="2886075" y="52939950"/>
          <a:ext cx="4000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371475</xdr:colOff>
      <xdr:row>311</xdr:row>
      <xdr:rowOff>0</xdr:rowOff>
    </xdr:from>
    <xdr:to>
      <xdr:col>4</xdr:col>
      <xdr:colOff>371475</xdr:colOff>
      <xdr:row>311</xdr:row>
      <xdr:rowOff>85725</xdr:rowOff>
    </xdr:to>
    <xdr:sp macro="" textlink="">
      <xdr:nvSpPr>
        <xdr:cNvPr id="542" name="Line 96"/>
        <xdr:cNvSpPr>
          <a:spLocks noChangeShapeType="1"/>
        </xdr:cNvSpPr>
      </xdr:nvSpPr>
      <xdr:spPr bwMode="auto">
        <a:xfrm>
          <a:off x="2886075" y="5277802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310</xdr:row>
      <xdr:rowOff>152400</xdr:rowOff>
    </xdr:from>
    <xdr:to>
      <xdr:col>5</xdr:col>
      <xdr:colOff>0</xdr:colOff>
      <xdr:row>311</xdr:row>
      <xdr:rowOff>85725</xdr:rowOff>
    </xdr:to>
    <xdr:sp macro="" textlink="">
      <xdr:nvSpPr>
        <xdr:cNvPr id="543" name="Line 97"/>
        <xdr:cNvSpPr>
          <a:spLocks noChangeShapeType="1"/>
        </xdr:cNvSpPr>
      </xdr:nvSpPr>
      <xdr:spPr bwMode="auto">
        <a:xfrm>
          <a:off x="3286125" y="527685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361950</xdr:colOff>
      <xdr:row>311</xdr:row>
      <xdr:rowOff>47625</xdr:rowOff>
    </xdr:from>
    <xdr:to>
      <xdr:col>5</xdr:col>
      <xdr:colOff>0</xdr:colOff>
      <xdr:row>311</xdr:row>
      <xdr:rowOff>47625</xdr:rowOff>
    </xdr:to>
    <xdr:sp macro="" textlink="">
      <xdr:nvSpPr>
        <xdr:cNvPr id="544" name="Line 98"/>
        <xdr:cNvSpPr>
          <a:spLocks noChangeShapeType="1"/>
        </xdr:cNvSpPr>
      </xdr:nvSpPr>
      <xdr:spPr bwMode="auto">
        <a:xfrm>
          <a:off x="2876550" y="52825650"/>
          <a:ext cx="40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142873</xdr:colOff>
      <xdr:row>311</xdr:row>
      <xdr:rowOff>142875</xdr:rowOff>
    </xdr:from>
    <xdr:to>
      <xdr:col>2</xdr:col>
      <xdr:colOff>19049</xdr:colOff>
      <xdr:row>328</xdr:row>
      <xdr:rowOff>9525</xdr:rowOff>
    </xdr:to>
    <xdr:sp macro="" textlink="">
      <xdr:nvSpPr>
        <xdr:cNvPr id="545" name="Line 99"/>
        <xdr:cNvSpPr>
          <a:spLocks noChangeShapeType="1"/>
        </xdr:cNvSpPr>
      </xdr:nvSpPr>
      <xdr:spPr bwMode="auto">
        <a:xfrm flipH="1">
          <a:off x="752473" y="52920900"/>
          <a:ext cx="485776" cy="2619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133350</xdr:colOff>
      <xdr:row>327</xdr:row>
      <xdr:rowOff>152400</xdr:rowOff>
    </xdr:from>
    <xdr:to>
      <xdr:col>1</xdr:col>
      <xdr:colOff>600075</xdr:colOff>
      <xdr:row>327</xdr:row>
      <xdr:rowOff>152400</xdr:rowOff>
    </xdr:to>
    <xdr:sp macro="" textlink="">
      <xdr:nvSpPr>
        <xdr:cNvPr id="546" name="Line 100"/>
        <xdr:cNvSpPr>
          <a:spLocks noChangeShapeType="1"/>
        </xdr:cNvSpPr>
      </xdr:nvSpPr>
      <xdr:spPr bwMode="auto">
        <a:xfrm>
          <a:off x="742950" y="5552122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600075</xdr:colOff>
      <xdr:row>322</xdr:row>
      <xdr:rowOff>76200</xdr:rowOff>
    </xdr:from>
    <xdr:to>
      <xdr:col>1</xdr:col>
      <xdr:colOff>600075</xdr:colOff>
      <xdr:row>322</xdr:row>
      <xdr:rowOff>85725</xdr:rowOff>
    </xdr:to>
    <xdr:sp macro="" textlink="">
      <xdr:nvSpPr>
        <xdr:cNvPr id="547" name="Line 101"/>
        <xdr:cNvSpPr>
          <a:spLocks noChangeShapeType="1"/>
        </xdr:cNvSpPr>
      </xdr:nvSpPr>
      <xdr:spPr bwMode="auto">
        <a:xfrm>
          <a:off x="600075" y="54635400"/>
          <a:ext cx="609600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0</xdr:colOff>
      <xdr:row>335</xdr:row>
      <xdr:rowOff>9525</xdr:rowOff>
    </xdr:from>
    <xdr:to>
      <xdr:col>5</xdr:col>
      <xdr:colOff>495300</xdr:colOff>
      <xdr:row>335</xdr:row>
      <xdr:rowOff>9525</xdr:rowOff>
    </xdr:to>
    <xdr:sp macro="" textlink="">
      <xdr:nvSpPr>
        <xdr:cNvPr id="548" name="Line 103"/>
        <xdr:cNvSpPr>
          <a:spLocks noChangeShapeType="1"/>
        </xdr:cNvSpPr>
      </xdr:nvSpPr>
      <xdr:spPr bwMode="auto">
        <a:xfrm>
          <a:off x="1219200" y="56673750"/>
          <a:ext cx="2562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0</xdr:colOff>
      <xdr:row>334</xdr:row>
      <xdr:rowOff>104775</xdr:rowOff>
    </xdr:from>
    <xdr:to>
      <xdr:col>2</xdr:col>
      <xdr:colOff>0</xdr:colOff>
      <xdr:row>335</xdr:row>
      <xdr:rowOff>123825</xdr:rowOff>
    </xdr:to>
    <xdr:sp macro="" textlink="">
      <xdr:nvSpPr>
        <xdr:cNvPr id="549" name="Line 104"/>
        <xdr:cNvSpPr>
          <a:spLocks noChangeShapeType="1"/>
        </xdr:cNvSpPr>
      </xdr:nvSpPr>
      <xdr:spPr bwMode="auto">
        <a:xfrm>
          <a:off x="1219200" y="566070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334</xdr:row>
      <xdr:rowOff>95250</xdr:rowOff>
    </xdr:from>
    <xdr:to>
      <xdr:col>5</xdr:col>
      <xdr:colOff>514350</xdr:colOff>
      <xdr:row>335</xdr:row>
      <xdr:rowOff>47625</xdr:rowOff>
    </xdr:to>
    <xdr:sp macro="" textlink="">
      <xdr:nvSpPr>
        <xdr:cNvPr id="550" name="Line 105"/>
        <xdr:cNvSpPr>
          <a:spLocks noChangeShapeType="1"/>
        </xdr:cNvSpPr>
      </xdr:nvSpPr>
      <xdr:spPr bwMode="auto">
        <a:xfrm>
          <a:off x="3800475" y="565975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314325</xdr:colOff>
      <xdr:row>316</xdr:row>
      <xdr:rowOff>0</xdr:rowOff>
    </xdr:from>
    <xdr:to>
      <xdr:col>7</xdr:col>
      <xdr:colOff>561975</xdr:colOff>
      <xdr:row>316</xdr:row>
      <xdr:rowOff>0</xdr:rowOff>
    </xdr:to>
    <xdr:sp macro="" textlink="">
      <xdr:nvSpPr>
        <xdr:cNvPr id="551" name="Line 106"/>
        <xdr:cNvSpPr>
          <a:spLocks noChangeShapeType="1"/>
        </xdr:cNvSpPr>
      </xdr:nvSpPr>
      <xdr:spPr bwMode="auto">
        <a:xfrm flipV="1">
          <a:off x="3600450" y="53587650"/>
          <a:ext cx="156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104775</xdr:colOff>
      <xdr:row>318</xdr:row>
      <xdr:rowOff>0</xdr:rowOff>
    </xdr:from>
    <xdr:to>
      <xdr:col>4</xdr:col>
      <xdr:colOff>190500</xdr:colOff>
      <xdr:row>318</xdr:row>
      <xdr:rowOff>0</xdr:rowOff>
    </xdr:to>
    <xdr:sp macro="" textlink="">
      <xdr:nvSpPr>
        <xdr:cNvPr id="552" name="Line 107"/>
        <xdr:cNvSpPr>
          <a:spLocks noChangeShapeType="1"/>
        </xdr:cNvSpPr>
      </xdr:nvSpPr>
      <xdr:spPr bwMode="auto">
        <a:xfrm flipH="1">
          <a:off x="714375" y="53911500"/>
          <a:ext cx="1990725" cy="0"/>
        </a:xfrm>
        <a:prstGeom prst="line">
          <a:avLst/>
        </a:prstGeom>
        <a:noFill/>
        <a:ln w="952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409574</xdr:colOff>
      <xdr:row>318</xdr:row>
      <xdr:rowOff>0</xdr:rowOff>
    </xdr:from>
    <xdr:to>
      <xdr:col>1</xdr:col>
      <xdr:colOff>455293</xdr:colOff>
      <xdr:row>327</xdr:row>
      <xdr:rowOff>142875</xdr:rowOff>
    </xdr:to>
    <xdr:sp macro="" textlink="">
      <xdr:nvSpPr>
        <xdr:cNvPr id="553" name="Line 108"/>
        <xdr:cNvSpPr>
          <a:spLocks noChangeShapeType="1"/>
        </xdr:cNvSpPr>
      </xdr:nvSpPr>
      <xdr:spPr bwMode="auto">
        <a:xfrm flipH="1">
          <a:off x="1019174" y="53911500"/>
          <a:ext cx="45719" cy="1600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219075</xdr:colOff>
      <xdr:row>316</xdr:row>
      <xdr:rowOff>85725</xdr:rowOff>
    </xdr:from>
    <xdr:to>
      <xdr:col>1</xdr:col>
      <xdr:colOff>561975</xdr:colOff>
      <xdr:row>316</xdr:row>
      <xdr:rowOff>85725</xdr:rowOff>
    </xdr:to>
    <xdr:sp macro="" textlink="">
      <xdr:nvSpPr>
        <xdr:cNvPr id="554" name="Line 109"/>
        <xdr:cNvSpPr>
          <a:spLocks noChangeShapeType="1"/>
        </xdr:cNvSpPr>
      </xdr:nvSpPr>
      <xdr:spPr bwMode="auto">
        <a:xfrm>
          <a:off x="828675" y="53673375"/>
          <a:ext cx="3429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600075</xdr:colOff>
      <xdr:row>324</xdr:row>
      <xdr:rowOff>114300</xdr:rowOff>
    </xdr:from>
    <xdr:to>
      <xdr:col>1</xdr:col>
      <xdr:colOff>381000</xdr:colOff>
      <xdr:row>324</xdr:row>
      <xdr:rowOff>114300</xdr:rowOff>
    </xdr:to>
    <xdr:sp macro="" textlink="">
      <xdr:nvSpPr>
        <xdr:cNvPr id="555" name="Line 110"/>
        <xdr:cNvSpPr>
          <a:spLocks noChangeShapeType="1"/>
        </xdr:cNvSpPr>
      </xdr:nvSpPr>
      <xdr:spPr bwMode="auto">
        <a:xfrm>
          <a:off x="600075" y="54997350"/>
          <a:ext cx="3905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552450</xdr:colOff>
      <xdr:row>320</xdr:row>
      <xdr:rowOff>47625</xdr:rowOff>
    </xdr:from>
    <xdr:to>
      <xdr:col>6</xdr:col>
      <xdr:colOff>219075</xdr:colOff>
      <xdr:row>320</xdr:row>
      <xdr:rowOff>47625</xdr:rowOff>
    </xdr:to>
    <xdr:sp macro="" textlink="">
      <xdr:nvSpPr>
        <xdr:cNvPr id="556" name="Line 113"/>
        <xdr:cNvSpPr>
          <a:spLocks noChangeShapeType="1"/>
        </xdr:cNvSpPr>
      </xdr:nvSpPr>
      <xdr:spPr bwMode="auto">
        <a:xfrm flipH="1">
          <a:off x="3600450" y="53597175"/>
          <a:ext cx="2762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266700</xdr:colOff>
      <xdr:row>325</xdr:row>
      <xdr:rowOff>0</xdr:rowOff>
    </xdr:from>
    <xdr:to>
      <xdr:col>6</xdr:col>
      <xdr:colOff>419100</xdr:colOff>
      <xdr:row>325</xdr:row>
      <xdr:rowOff>0</xdr:rowOff>
    </xdr:to>
    <xdr:sp macro="" textlink="">
      <xdr:nvSpPr>
        <xdr:cNvPr id="557" name="Line 116"/>
        <xdr:cNvSpPr>
          <a:spLocks noChangeShapeType="1"/>
        </xdr:cNvSpPr>
      </xdr:nvSpPr>
      <xdr:spPr bwMode="auto">
        <a:xfrm>
          <a:off x="4257675" y="55044975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190500</xdr:colOff>
      <xdr:row>526</xdr:row>
      <xdr:rowOff>114300</xdr:rowOff>
    </xdr:from>
    <xdr:to>
      <xdr:col>1</xdr:col>
      <xdr:colOff>190500</xdr:colOff>
      <xdr:row>534</xdr:row>
      <xdr:rowOff>123825</xdr:rowOff>
    </xdr:to>
    <xdr:sp macro="" textlink="">
      <xdr:nvSpPr>
        <xdr:cNvPr id="558" name="Line 118"/>
        <xdr:cNvSpPr>
          <a:spLocks noChangeShapeType="1"/>
        </xdr:cNvSpPr>
      </xdr:nvSpPr>
      <xdr:spPr bwMode="auto">
        <a:xfrm>
          <a:off x="800100" y="88925400"/>
          <a:ext cx="0" cy="1304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3</xdr:col>
      <xdr:colOff>0</xdr:colOff>
      <xdr:row>325</xdr:row>
      <xdr:rowOff>0</xdr:rowOff>
    </xdr:from>
    <xdr:to>
      <xdr:col>3</xdr:col>
      <xdr:colOff>0</xdr:colOff>
      <xdr:row>327</xdr:row>
      <xdr:rowOff>142875</xdr:rowOff>
    </xdr:to>
    <xdr:sp macro="" textlink="">
      <xdr:nvSpPr>
        <xdr:cNvPr id="559" name="Line 119"/>
        <xdr:cNvSpPr>
          <a:spLocks noChangeShapeType="1"/>
        </xdr:cNvSpPr>
      </xdr:nvSpPr>
      <xdr:spPr bwMode="auto">
        <a:xfrm>
          <a:off x="1962150" y="55044975"/>
          <a:ext cx="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2</xdr:col>
      <xdr:colOff>276225</xdr:colOff>
      <xdr:row>318</xdr:row>
      <xdr:rowOff>9525</xdr:rowOff>
    </xdr:from>
    <xdr:to>
      <xdr:col>2</xdr:col>
      <xdr:colOff>276225</xdr:colOff>
      <xdr:row>325</xdr:row>
      <xdr:rowOff>0</xdr:rowOff>
    </xdr:to>
    <xdr:sp macro="" textlink="">
      <xdr:nvSpPr>
        <xdr:cNvPr id="560" name="Line 120"/>
        <xdr:cNvSpPr>
          <a:spLocks noChangeShapeType="1"/>
        </xdr:cNvSpPr>
      </xdr:nvSpPr>
      <xdr:spPr bwMode="auto">
        <a:xfrm>
          <a:off x="1495425" y="53235225"/>
          <a:ext cx="0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0</xdr:col>
      <xdr:colOff>104775</xdr:colOff>
      <xdr:row>318</xdr:row>
      <xdr:rowOff>0</xdr:rowOff>
    </xdr:from>
    <xdr:to>
      <xdr:col>0</xdr:col>
      <xdr:colOff>104775</xdr:colOff>
      <xdr:row>327</xdr:row>
      <xdr:rowOff>152400</xdr:rowOff>
    </xdr:to>
    <xdr:sp macro="" textlink="">
      <xdr:nvSpPr>
        <xdr:cNvPr id="561" name="Line 122"/>
        <xdr:cNvSpPr>
          <a:spLocks noChangeShapeType="1"/>
        </xdr:cNvSpPr>
      </xdr:nvSpPr>
      <xdr:spPr bwMode="auto">
        <a:xfrm>
          <a:off x="104775" y="53911500"/>
          <a:ext cx="0" cy="16097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lg"/>
          <a:tailEnd type="triangle" w="sm" len="lg"/>
        </a:ln>
      </xdr:spPr>
    </xdr:sp>
    <xdr:clientData/>
  </xdr:twoCellAnchor>
  <xdr:twoCellAnchor>
    <xdr:from>
      <xdr:col>0</xdr:col>
      <xdr:colOff>28575</xdr:colOff>
      <xdr:row>328</xdr:row>
      <xdr:rowOff>0</xdr:rowOff>
    </xdr:from>
    <xdr:to>
      <xdr:col>0</xdr:col>
      <xdr:colOff>171450</xdr:colOff>
      <xdr:row>328</xdr:row>
      <xdr:rowOff>0</xdr:rowOff>
    </xdr:to>
    <xdr:sp macro="" textlink="">
      <xdr:nvSpPr>
        <xdr:cNvPr id="562" name="Line 123"/>
        <xdr:cNvSpPr>
          <a:spLocks noChangeShapeType="1"/>
        </xdr:cNvSpPr>
      </xdr:nvSpPr>
      <xdr:spPr bwMode="auto">
        <a:xfrm>
          <a:off x="28575" y="555307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4</xdr:col>
      <xdr:colOff>190500</xdr:colOff>
      <xdr:row>312</xdr:row>
      <xdr:rowOff>9525</xdr:rowOff>
    </xdr:from>
    <xdr:to>
      <xdr:col>4</xdr:col>
      <xdr:colOff>285750</xdr:colOff>
      <xdr:row>313</xdr:row>
      <xdr:rowOff>38100</xdr:rowOff>
    </xdr:to>
    <xdr:sp macro="" textlink="">
      <xdr:nvSpPr>
        <xdr:cNvPr id="563" name="Text Box 127"/>
        <xdr:cNvSpPr txBox="1">
          <a:spLocks noChangeArrowheads="1"/>
        </xdr:cNvSpPr>
      </xdr:nvSpPr>
      <xdr:spPr bwMode="auto">
        <a:xfrm>
          <a:off x="2705100" y="52949475"/>
          <a:ext cx="9525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9525</xdr:colOff>
      <xdr:row>333</xdr:row>
      <xdr:rowOff>28575</xdr:rowOff>
    </xdr:from>
    <xdr:to>
      <xdr:col>5</xdr:col>
      <xdr:colOff>504825</xdr:colOff>
      <xdr:row>333</xdr:row>
      <xdr:rowOff>28575</xdr:rowOff>
    </xdr:to>
    <xdr:sp macro="" textlink="">
      <xdr:nvSpPr>
        <xdr:cNvPr id="564" name="Line 131"/>
        <xdr:cNvSpPr>
          <a:spLocks noChangeShapeType="1"/>
        </xdr:cNvSpPr>
      </xdr:nvSpPr>
      <xdr:spPr bwMode="auto">
        <a:xfrm>
          <a:off x="3295650" y="5636895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3</xdr:col>
      <xdr:colOff>295275</xdr:colOff>
      <xdr:row>311</xdr:row>
      <xdr:rowOff>0</xdr:rowOff>
    </xdr:from>
    <xdr:ext cx="123825" cy="178594"/>
    <xdr:sp macro="" textlink="">
      <xdr:nvSpPr>
        <xdr:cNvPr id="565" name="Text Box 134"/>
        <xdr:cNvSpPr txBox="1">
          <a:spLocks noChangeArrowheads="1"/>
        </xdr:cNvSpPr>
      </xdr:nvSpPr>
      <xdr:spPr bwMode="auto">
        <a:xfrm>
          <a:off x="2257425" y="52778025"/>
          <a:ext cx="123825" cy="178594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123825</xdr:colOff>
      <xdr:row>315</xdr:row>
      <xdr:rowOff>0</xdr:rowOff>
    </xdr:from>
    <xdr:ext cx="235962" cy="170560"/>
    <xdr:sp macro="" textlink="">
      <xdr:nvSpPr>
        <xdr:cNvPr id="566" name="Text Box 137"/>
        <xdr:cNvSpPr txBox="1">
          <a:spLocks noChangeArrowheads="1"/>
        </xdr:cNvSpPr>
      </xdr:nvSpPr>
      <xdr:spPr bwMode="auto">
        <a:xfrm>
          <a:off x="123825" y="53425725"/>
          <a:ext cx="235962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h1=</a:t>
          </a:r>
        </a:p>
      </xdr:txBody>
    </xdr:sp>
    <xdr:clientData/>
  </xdr:oneCellAnchor>
  <xdr:oneCellAnchor>
    <xdr:from>
      <xdr:col>3</xdr:col>
      <xdr:colOff>314325</xdr:colOff>
      <xdr:row>321</xdr:row>
      <xdr:rowOff>0</xdr:rowOff>
    </xdr:from>
    <xdr:ext cx="123825" cy="182563"/>
    <xdr:sp macro="" textlink="">
      <xdr:nvSpPr>
        <xdr:cNvPr id="567" name="Text Box 138"/>
        <xdr:cNvSpPr txBox="1">
          <a:spLocks noChangeArrowheads="1"/>
        </xdr:cNvSpPr>
      </xdr:nvSpPr>
      <xdr:spPr bwMode="auto">
        <a:xfrm>
          <a:off x="2276475" y="54397275"/>
          <a:ext cx="123825" cy="182563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</xdr:col>
      <xdr:colOff>304800</xdr:colOff>
      <xdr:row>326</xdr:row>
      <xdr:rowOff>0</xdr:rowOff>
    </xdr:from>
    <xdr:ext cx="123825" cy="182563"/>
    <xdr:sp macro="" textlink="">
      <xdr:nvSpPr>
        <xdr:cNvPr id="568" name="Text Box 139"/>
        <xdr:cNvSpPr txBox="1">
          <a:spLocks noChangeArrowheads="1"/>
        </xdr:cNvSpPr>
      </xdr:nvSpPr>
      <xdr:spPr bwMode="auto">
        <a:xfrm>
          <a:off x="2266950" y="55206900"/>
          <a:ext cx="123825" cy="182563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476250</xdr:colOff>
      <xdr:row>319</xdr:row>
      <xdr:rowOff>133350</xdr:rowOff>
    </xdr:from>
    <xdr:ext cx="122277" cy="182563"/>
    <xdr:sp macro="" textlink="">
      <xdr:nvSpPr>
        <xdr:cNvPr id="569" name="Text Box 140"/>
        <xdr:cNvSpPr txBox="1">
          <a:spLocks noChangeArrowheads="1"/>
        </xdr:cNvSpPr>
      </xdr:nvSpPr>
      <xdr:spPr bwMode="auto">
        <a:xfrm>
          <a:off x="476250" y="54206775"/>
          <a:ext cx="122277" cy="182563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314325</xdr:colOff>
      <xdr:row>317</xdr:row>
      <xdr:rowOff>152400</xdr:rowOff>
    </xdr:from>
    <xdr:ext cx="123825" cy="182563"/>
    <xdr:sp macro="" textlink="">
      <xdr:nvSpPr>
        <xdr:cNvPr id="570" name="Text Box 142"/>
        <xdr:cNvSpPr txBox="1">
          <a:spLocks noChangeArrowheads="1"/>
        </xdr:cNvSpPr>
      </xdr:nvSpPr>
      <xdr:spPr bwMode="auto">
        <a:xfrm>
          <a:off x="4914900" y="53901975"/>
          <a:ext cx="123825" cy="182563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</xdr:col>
      <xdr:colOff>0</xdr:colOff>
      <xdr:row>310</xdr:row>
      <xdr:rowOff>0</xdr:rowOff>
    </xdr:from>
    <xdr:ext cx="123825" cy="185088"/>
    <xdr:sp macro="" textlink="">
      <xdr:nvSpPr>
        <xdr:cNvPr id="571" name="Text Box 148"/>
        <xdr:cNvSpPr txBox="1">
          <a:spLocks noChangeArrowheads="1"/>
        </xdr:cNvSpPr>
      </xdr:nvSpPr>
      <xdr:spPr bwMode="auto">
        <a:xfrm>
          <a:off x="3286125" y="52616100"/>
          <a:ext cx="123825" cy="185088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</xdr:col>
      <xdr:colOff>457200</xdr:colOff>
      <xdr:row>331</xdr:row>
      <xdr:rowOff>0</xdr:rowOff>
    </xdr:from>
    <xdr:ext cx="123825" cy="178148"/>
    <xdr:sp macro="" textlink="">
      <xdr:nvSpPr>
        <xdr:cNvPr id="572" name="Text Box 150"/>
        <xdr:cNvSpPr txBox="1">
          <a:spLocks noChangeArrowheads="1"/>
        </xdr:cNvSpPr>
      </xdr:nvSpPr>
      <xdr:spPr bwMode="auto">
        <a:xfrm>
          <a:off x="4448175" y="56016525"/>
          <a:ext cx="123825" cy="178148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</xdr:col>
      <xdr:colOff>495300</xdr:colOff>
      <xdr:row>329</xdr:row>
      <xdr:rowOff>123825</xdr:rowOff>
    </xdr:from>
    <xdr:ext cx="114299" cy="170560"/>
    <xdr:sp macro="" textlink="">
      <xdr:nvSpPr>
        <xdr:cNvPr id="573" name="Text Box 151"/>
        <xdr:cNvSpPr txBox="1">
          <a:spLocks noChangeArrowheads="1"/>
        </xdr:cNvSpPr>
      </xdr:nvSpPr>
      <xdr:spPr bwMode="auto">
        <a:xfrm>
          <a:off x="4486275" y="55816500"/>
          <a:ext cx="114299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 editAs="oneCell">
    <xdr:from>
      <xdr:col>2</xdr:col>
      <xdr:colOff>581025</xdr:colOff>
      <xdr:row>354</xdr:row>
      <xdr:rowOff>123825</xdr:rowOff>
    </xdr:from>
    <xdr:to>
      <xdr:col>3</xdr:col>
      <xdr:colOff>66675</xdr:colOff>
      <xdr:row>354</xdr:row>
      <xdr:rowOff>161925</xdr:rowOff>
    </xdr:to>
    <xdr:sp macro="" textlink="">
      <xdr:nvSpPr>
        <xdr:cNvPr id="574" name="Text Box 153"/>
        <xdr:cNvSpPr txBox="1">
          <a:spLocks noChangeArrowheads="1"/>
        </xdr:cNvSpPr>
      </xdr:nvSpPr>
      <xdr:spPr bwMode="auto">
        <a:xfrm>
          <a:off x="1800225" y="59997975"/>
          <a:ext cx="228600" cy="123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542925</xdr:colOff>
      <xdr:row>304</xdr:row>
      <xdr:rowOff>0</xdr:rowOff>
    </xdr:from>
    <xdr:to>
      <xdr:col>7</xdr:col>
      <xdr:colOff>361950</xdr:colOff>
      <xdr:row>305</xdr:row>
      <xdr:rowOff>19050</xdr:rowOff>
    </xdr:to>
    <xdr:sp macro="" textlink="">
      <xdr:nvSpPr>
        <xdr:cNvPr id="575" name="Text Box 161"/>
        <xdr:cNvSpPr txBox="1">
          <a:spLocks noChangeArrowheads="1"/>
        </xdr:cNvSpPr>
      </xdr:nvSpPr>
      <xdr:spPr bwMode="auto">
        <a:xfrm>
          <a:off x="4533900" y="51577875"/>
          <a:ext cx="42862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8</xdr:col>
      <xdr:colOff>142875</xdr:colOff>
      <xdr:row>304</xdr:row>
      <xdr:rowOff>0</xdr:rowOff>
    </xdr:from>
    <xdr:to>
      <xdr:col>8</xdr:col>
      <xdr:colOff>466725</xdr:colOff>
      <xdr:row>305</xdr:row>
      <xdr:rowOff>19050</xdr:rowOff>
    </xdr:to>
    <xdr:sp macro="" textlink="">
      <xdr:nvSpPr>
        <xdr:cNvPr id="576" name="Text Box 163"/>
        <xdr:cNvSpPr txBox="1">
          <a:spLocks noChangeArrowheads="1"/>
        </xdr:cNvSpPr>
      </xdr:nvSpPr>
      <xdr:spPr bwMode="auto">
        <a:xfrm>
          <a:off x="5381625" y="51577875"/>
          <a:ext cx="32385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514350</xdr:colOff>
      <xdr:row>462</xdr:row>
      <xdr:rowOff>9525</xdr:rowOff>
    </xdr:from>
    <xdr:to>
      <xdr:col>3</xdr:col>
      <xdr:colOff>0</xdr:colOff>
      <xdr:row>471</xdr:row>
      <xdr:rowOff>104775</xdr:rowOff>
    </xdr:to>
    <xdr:sp macro="" textlink="">
      <xdr:nvSpPr>
        <xdr:cNvPr id="577" name="Line 250"/>
        <xdr:cNvSpPr>
          <a:spLocks noChangeShapeType="1"/>
        </xdr:cNvSpPr>
      </xdr:nvSpPr>
      <xdr:spPr bwMode="auto">
        <a:xfrm flipH="1">
          <a:off x="1733550" y="78266925"/>
          <a:ext cx="228600" cy="1552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466</xdr:row>
      <xdr:rowOff>0</xdr:rowOff>
    </xdr:from>
    <xdr:to>
      <xdr:col>3</xdr:col>
      <xdr:colOff>276225</xdr:colOff>
      <xdr:row>471</xdr:row>
      <xdr:rowOff>95250</xdr:rowOff>
    </xdr:to>
    <xdr:sp macro="" textlink="">
      <xdr:nvSpPr>
        <xdr:cNvPr id="578" name="Line 251"/>
        <xdr:cNvSpPr>
          <a:spLocks noChangeShapeType="1"/>
        </xdr:cNvSpPr>
      </xdr:nvSpPr>
      <xdr:spPr bwMode="auto">
        <a:xfrm>
          <a:off x="2238375" y="78905100"/>
          <a:ext cx="0" cy="904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472</xdr:row>
      <xdr:rowOff>152400</xdr:rowOff>
    </xdr:from>
    <xdr:to>
      <xdr:col>3</xdr:col>
      <xdr:colOff>390525</xdr:colOff>
      <xdr:row>473</xdr:row>
      <xdr:rowOff>0</xdr:rowOff>
    </xdr:to>
    <xdr:sp macro="" textlink="">
      <xdr:nvSpPr>
        <xdr:cNvPr id="579" name="Line 252"/>
        <xdr:cNvSpPr>
          <a:spLocks noChangeShapeType="1"/>
        </xdr:cNvSpPr>
      </xdr:nvSpPr>
      <xdr:spPr bwMode="auto">
        <a:xfrm flipH="1">
          <a:off x="695325" y="80029050"/>
          <a:ext cx="1657350" cy="9525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475</xdr:row>
      <xdr:rowOff>142875</xdr:rowOff>
    </xdr:from>
    <xdr:to>
      <xdr:col>4</xdr:col>
      <xdr:colOff>0</xdr:colOff>
      <xdr:row>477</xdr:row>
      <xdr:rowOff>152400</xdr:rowOff>
    </xdr:to>
    <xdr:sp macro="" textlink="">
      <xdr:nvSpPr>
        <xdr:cNvPr id="580" name="Line 253"/>
        <xdr:cNvSpPr>
          <a:spLocks noChangeShapeType="1"/>
        </xdr:cNvSpPr>
      </xdr:nvSpPr>
      <xdr:spPr bwMode="auto">
        <a:xfrm>
          <a:off x="685800" y="80505300"/>
          <a:ext cx="182880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470</xdr:row>
      <xdr:rowOff>142875</xdr:rowOff>
    </xdr:from>
    <xdr:to>
      <xdr:col>4</xdr:col>
      <xdr:colOff>0</xdr:colOff>
      <xdr:row>471</xdr:row>
      <xdr:rowOff>28575</xdr:rowOff>
    </xdr:to>
    <xdr:sp macro="" textlink="">
      <xdr:nvSpPr>
        <xdr:cNvPr id="581" name="Line 254"/>
        <xdr:cNvSpPr>
          <a:spLocks noChangeShapeType="1"/>
        </xdr:cNvSpPr>
      </xdr:nvSpPr>
      <xdr:spPr bwMode="auto">
        <a:xfrm>
          <a:off x="2514600" y="79695675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471</xdr:row>
      <xdr:rowOff>0</xdr:rowOff>
    </xdr:from>
    <xdr:to>
      <xdr:col>4</xdr:col>
      <xdr:colOff>0</xdr:colOff>
      <xdr:row>471</xdr:row>
      <xdr:rowOff>0</xdr:rowOff>
    </xdr:to>
    <xdr:sp macro="" textlink="">
      <xdr:nvSpPr>
        <xdr:cNvPr id="582" name="Line 255"/>
        <xdr:cNvSpPr>
          <a:spLocks noChangeShapeType="1"/>
        </xdr:cNvSpPr>
      </xdr:nvSpPr>
      <xdr:spPr bwMode="auto">
        <a:xfrm>
          <a:off x="2247900" y="7971472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514350</xdr:colOff>
      <xdr:row>472</xdr:row>
      <xdr:rowOff>9525</xdr:rowOff>
    </xdr:from>
    <xdr:to>
      <xdr:col>3</xdr:col>
      <xdr:colOff>285750</xdr:colOff>
      <xdr:row>472</xdr:row>
      <xdr:rowOff>9525</xdr:rowOff>
    </xdr:to>
    <xdr:sp macro="" textlink="">
      <xdr:nvSpPr>
        <xdr:cNvPr id="583" name="Line 256"/>
        <xdr:cNvSpPr>
          <a:spLocks noChangeShapeType="1"/>
        </xdr:cNvSpPr>
      </xdr:nvSpPr>
      <xdr:spPr bwMode="auto">
        <a:xfrm>
          <a:off x="1733550" y="79886175"/>
          <a:ext cx="514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523875</xdr:colOff>
      <xdr:row>472</xdr:row>
      <xdr:rowOff>142875</xdr:rowOff>
    </xdr:from>
    <xdr:to>
      <xdr:col>2</xdr:col>
      <xdr:colOff>523875</xdr:colOff>
      <xdr:row>476</xdr:row>
      <xdr:rowOff>142875</xdr:rowOff>
    </xdr:to>
    <xdr:sp macro="" textlink="">
      <xdr:nvSpPr>
        <xdr:cNvPr id="584" name="Line 257"/>
        <xdr:cNvSpPr>
          <a:spLocks noChangeShapeType="1"/>
        </xdr:cNvSpPr>
      </xdr:nvSpPr>
      <xdr:spPr bwMode="auto">
        <a:xfrm flipV="1">
          <a:off x="1743075" y="80019525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3</xdr:col>
      <xdr:colOff>285750</xdr:colOff>
      <xdr:row>472</xdr:row>
      <xdr:rowOff>152400</xdr:rowOff>
    </xdr:from>
    <xdr:to>
      <xdr:col>3</xdr:col>
      <xdr:colOff>285750</xdr:colOff>
      <xdr:row>477</xdr:row>
      <xdr:rowOff>66675</xdr:rowOff>
    </xdr:to>
    <xdr:sp macro="" textlink="">
      <xdr:nvSpPr>
        <xdr:cNvPr id="585" name="Line 258"/>
        <xdr:cNvSpPr>
          <a:spLocks noChangeShapeType="1"/>
        </xdr:cNvSpPr>
      </xdr:nvSpPr>
      <xdr:spPr bwMode="auto">
        <a:xfrm flipV="1">
          <a:off x="2247900" y="80029050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4</xdr:col>
      <xdr:colOff>9525</xdr:colOff>
      <xdr:row>473</xdr:row>
      <xdr:rowOff>133350</xdr:rowOff>
    </xdr:from>
    <xdr:to>
      <xdr:col>4</xdr:col>
      <xdr:colOff>9525</xdr:colOff>
      <xdr:row>477</xdr:row>
      <xdr:rowOff>152400</xdr:rowOff>
    </xdr:to>
    <xdr:sp macro="" textlink="">
      <xdr:nvSpPr>
        <xdr:cNvPr id="586" name="Line 259"/>
        <xdr:cNvSpPr>
          <a:spLocks noChangeShapeType="1"/>
        </xdr:cNvSpPr>
      </xdr:nvSpPr>
      <xdr:spPr bwMode="auto">
        <a:xfrm flipV="1">
          <a:off x="2524125" y="80171925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95250</xdr:colOff>
      <xdr:row>472</xdr:row>
      <xdr:rowOff>152400</xdr:rowOff>
    </xdr:from>
    <xdr:to>
      <xdr:col>1</xdr:col>
      <xdr:colOff>95250</xdr:colOff>
      <xdr:row>475</xdr:row>
      <xdr:rowOff>152400</xdr:rowOff>
    </xdr:to>
    <xdr:sp macro="" textlink="">
      <xdr:nvSpPr>
        <xdr:cNvPr id="587" name="Line 260"/>
        <xdr:cNvSpPr>
          <a:spLocks noChangeShapeType="1"/>
        </xdr:cNvSpPr>
      </xdr:nvSpPr>
      <xdr:spPr bwMode="auto">
        <a:xfrm flipV="1">
          <a:off x="704850" y="80029050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104775</xdr:colOff>
      <xdr:row>476</xdr:row>
      <xdr:rowOff>0</xdr:rowOff>
    </xdr:from>
    <xdr:to>
      <xdr:col>4</xdr:col>
      <xdr:colOff>9525</xdr:colOff>
      <xdr:row>476</xdr:row>
      <xdr:rowOff>0</xdr:rowOff>
    </xdr:to>
    <xdr:sp macro="" textlink="">
      <xdr:nvSpPr>
        <xdr:cNvPr id="588" name="Line 261"/>
        <xdr:cNvSpPr>
          <a:spLocks noChangeShapeType="1"/>
        </xdr:cNvSpPr>
      </xdr:nvSpPr>
      <xdr:spPr bwMode="auto">
        <a:xfrm>
          <a:off x="714375" y="80524350"/>
          <a:ext cx="1809750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477</xdr:row>
      <xdr:rowOff>66675</xdr:rowOff>
    </xdr:from>
    <xdr:to>
      <xdr:col>4</xdr:col>
      <xdr:colOff>0</xdr:colOff>
      <xdr:row>477</xdr:row>
      <xdr:rowOff>66675</xdr:rowOff>
    </xdr:to>
    <xdr:sp macro="" textlink="">
      <xdr:nvSpPr>
        <xdr:cNvPr id="589" name="Line 262"/>
        <xdr:cNvSpPr>
          <a:spLocks noChangeShapeType="1"/>
        </xdr:cNvSpPr>
      </xdr:nvSpPr>
      <xdr:spPr bwMode="auto">
        <a:xfrm>
          <a:off x="2200275" y="80752950"/>
          <a:ext cx="314325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 editAs="oneCell">
    <xdr:from>
      <xdr:col>2</xdr:col>
      <xdr:colOff>28575</xdr:colOff>
      <xdr:row>607</xdr:row>
      <xdr:rowOff>0</xdr:rowOff>
    </xdr:from>
    <xdr:to>
      <xdr:col>2</xdr:col>
      <xdr:colOff>123825</xdr:colOff>
      <xdr:row>608</xdr:row>
      <xdr:rowOff>66675</xdr:rowOff>
    </xdr:to>
    <xdr:sp macro="" textlink="">
      <xdr:nvSpPr>
        <xdr:cNvPr id="590" name="Text Box 264"/>
        <xdr:cNvSpPr txBox="1">
          <a:spLocks noChangeArrowheads="1"/>
        </xdr:cNvSpPr>
      </xdr:nvSpPr>
      <xdr:spPr bwMode="auto">
        <a:xfrm>
          <a:off x="1247775" y="102489000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333375</xdr:colOff>
      <xdr:row>607</xdr:row>
      <xdr:rowOff>0</xdr:rowOff>
    </xdr:from>
    <xdr:to>
      <xdr:col>2</xdr:col>
      <xdr:colOff>428625</xdr:colOff>
      <xdr:row>608</xdr:row>
      <xdr:rowOff>66675</xdr:rowOff>
    </xdr:to>
    <xdr:sp macro="" textlink="">
      <xdr:nvSpPr>
        <xdr:cNvPr id="591" name="Text Box 266"/>
        <xdr:cNvSpPr txBox="1">
          <a:spLocks noChangeArrowheads="1"/>
        </xdr:cNvSpPr>
      </xdr:nvSpPr>
      <xdr:spPr bwMode="auto">
        <a:xfrm>
          <a:off x="1552575" y="102489000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473</xdr:row>
      <xdr:rowOff>0</xdr:rowOff>
    </xdr:from>
    <xdr:to>
      <xdr:col>4</xdr:col>
      <xdr:colOff>180975</xdr:colOff>
      <xdr:row>473</xdr:row>
      <xdr:rowOff>0</xdr:rowOff>
    </xdr:to>
    <xdr:sp macro="" textlink="">
      <xdr:nvSpPr>
        <xdr:cNvPr id="592" name="Line 267"/>
        <xdr:cNvSpPr>
          <a:spLocks noChangeShapeType="1"/>
        </xdr:cNvSpPr>
      </xdr:nvSpPr>
      <xdr:spPr bwMode="auto">
        <a:xfrm>
          <a:off x="2590800" y="8003857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478</xdr:row>
      <xdr:rowOff>0</xdr:rowOff>
    </xdr:from>
    <xdr:to>
      <xdr:col>4</xdr:col>
      <xdr:colOff>142875</xdr:colOff>
      <xdr:row>478</xdr:row>
      <xdr:rowOff>0</xdr:rowOff>
    </xdr:to>
    <xdr:sp macro="" textlink="">
      <xdr:nvSpPr>
        <xdr:cNvPr id="593" name="Line 268"/>
        <xdr:cNvSpPr>
          <a:spLocks noChangeShapeType="1"/>
        </xdr:cNvSpPr>
      </xdr:nvSpPr>
      <xdr:spPr bwMode="auto">
        <a:xfrm>
          <a:off x="2562225" y="8084820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472</xdr:row>
      <xdr:rowOff>142875</xdr:rowOff>
    </xdr:from>
    <xdr:to>
      <xdr:col>4</xdr:col>
      <xdr:colOff>104775</xdr:colOff>
      <xdr:row>477</xdr:row>
      <xdr:rowOff>152400</xdr:rowOff>
    </xdr:to>
    <xdr:sp macro="" textlink="">
      <xdr:nvSpPr>
        <xdr:cNvPr id="594" name="Line 269"/>
        <xdr:cNvSpPr>
          <a:spLocks noChangeShapeType="1"/>
        </xdr:cNvSpPr>
      </xdr:nvSpPr>
      <xdr:spPr bwMode="auto">
        <a:xfrm>
          <a:off x="2619375" y="80019525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228600</xdr:colOff>
      <xdr:row>476</xdr:row>
      <xdr:rowOff>0</xdr:rowOff>
    </xdr:from>
    <xdr:to>
      <xdr:col>4</xdr:col>
      <xdr:colOff>361950</xdr:colOff>
      <xdr:row>476</xdr:row>
      <xdr:rowOff>0</xdr:rowOff>
    </xdr:to>
    <xdr:sp macro="" textlink="">
      <xdr:nvSpPr>
        <xdr:cNvPr id="595" name="Line 271"/>
        <xdr:cNvSpPr>
          <a:spLocks noChangeShapeType="1"/>
        </xdr:cNvSpPr>
      </xdr:nvSpPr>
      <xdr:spPr bwMode="auto">
        <a:xfrm>
          <a:off x="2743200" y="8052435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478</xdr:row>
      <xdr:rowOff>0</xdr:rowOff>
    </xdr:from>
    <xdr:to>
      <xdr:col>4</xdr:col>
      <xdr:colOff>371475</xdr:colOff>
      <xdr:row>478</xdr:row>
      <xdr:rowOff>0</xdr:rowOff>
    </xdr:to>
    <xdr:sp macro="" textlink="">
      <xdr:nvSpPr>
        <xdr:cNvPr id="596" name="Line 272"/>
        <xdr:cNvSpPr>
          <a:spLocks noChangeShapeType="1"/>
        </xdr:cNvSpPr>
      </xdr:nvSpPr>
      <xdr:spPr bwMode="auto">
        <a:xfrm>
          <a:off x="2743200" y="808482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476</xdr:row>
      <xdr:rowOff>0</xdr:rowOff>
    </xdr:from>
    <xdr:to>
      <xdr:col>4</xdr:col>
      <xdr:colOff>285750</xdr:colOff>
      <xdr:row>478</xdr:row>
      <xdr:rowOff>0</xdr:rowOff>
    </xdr:to>
    <xdr:sp macro="" textlink="">
      <xdr:nvSpPr>
        <xdr:cNvPr id="597" name="Line 273"/>
        <xdr:cNvSpPr>
          <a:spLocks noChangeShapeType="1"/>
        </xdr:cNvSpPr>
      </xdr:nvSpPr>
      <xdr:spPr bwMode="auto">
        <a:xfrm>
          <a:off x="2800350" y="80524350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0</xdr:colOff>
      <xdr:row>474</xdr:row>
      <xdr:rowOff>142875</xdr:rowOff>
    </xdr:from>
    <xdr:to>
      <xdr:col>2</xdr:col>
      <xdr:colOff>552450</xdr:colOff>
      <xdr:row>477</xdr:row>
      <xdr:rowOff>28575</xdr:rowOff>
    </xdr:to>
    <xdr:sp macro="" textlink="">
      <xdr:nvSpPr>
        <xdr:cNvPr id="598" name="Line 276"/>
        <xdr:cNvSpPr>
          <a:spLocks noChangeShapeType="1"/>
        </xdr:cNvSpPr>
      </xdr:nvSpPr>
      <xdr:spPr bwMode="auto">
        <a:xfrm flipV="1">
          <a:off x="1219200" y="80343375"/>
          <a:ext cx="55245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533400</xdr:colOff>
      <xdr:row>477</xdr:row>
      <xdr:rowOff>66675</xdr:rowOff>
    </xdr:from>
    <xdr:to>
      <xdr:col>4</xdr:col>
      <xdr:colOff>628650</xdr:colOff>
      <xdr:row>477</xdr:row>
      <xdr:rowOff>66675</xdr:rowOff>
    </xdr:to>
    <xdr:sp macro="" textlink="">
      <xdr:nvSpPr>
        <xdr:cNvPr id="599" name="Line 277"/>
        <xdr:cNvSpPr>
          <a:spLocks noChangeShapeType="1"/>
        </xdr:cNvSpPr>
      </xdr:nvSpPr>
      <xdr:spPr bwMode="auto">
        <a:xfrm>
          <a:off x="3048000" y="807529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478</xdr:row>
      <xdr:rowOff>0</xdr:rowOff>
    </xdr:from>
    <xdr:to>
      <xdr:col>4</xdr:col>
      <xdr:colOff>628650</xdr:colOff>
      <xdr:row>478</xdr:row>
      <xdr:rowOff>0</xdr:rowOff>
    </xdr:to>
    <xdr:sp macro="" textlink="">
      <xdr:nvSpPr>
        <xdr:cNvPr id="600" name="Line 278"/>
        <xdr:cNvSpPr>
          <a:spLocks noChangeShapeType="1"/>
        </xdr:cNvSpPr>
      </xdr:nvSpPr>
      <xdr:spPr bwMode="auto">
        <a:xfrm>
          <a:off x="3076575" y="8084820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478</xdr:row>
      <xdr:rowOff>0</xdr:rowOff>
    </xdr:from>
    <xdr:to>
      <xdr:col>4</xdr:col>
      <xdr:colOff>600075</xdr:colOff>
      <xdr:row>478</xdr:row>
      <xdr:rowOff>142875</xdr:rowOff>
    </xdr:to>
    <xdr:sp macro="" textlink="">
      <xdr:nvSpPr>
        <xdr:cNvPr id="601" name="Line 279"/>
        <xdr:cNvSpPr>
          <a:spLocks noChangeShapeType="1"/>
        </xdr:cNvSpPr>
      </xdr:nvSpPr>
      <xdr:spPr bwMode="auto">
        <a:xfrm flipV="1">
          <a:off x="3114675" y="8084820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476</xdr:row>
      <xdr:rowOff>114300</xdr:rowOff>
    </xdr:from>
    <xdr:to>
      <xdr:col>4</xdr:col>
      <xdr:colOff>600075</xdr:colOff>
      <xdr:row>477</xdr:row>
      <xdr:rowOff>66675</xdr:rowOff>
    </xdr:to>
    <xdr:sp macro="" textlink="">
      <xdr:nvSpPr>
        <xdr:cNvPr id="602" name="Line 280"/>
        <xdr:cNvSpPr>
          <a:spLocks noChangeShapeType="1"/>
        </xdr:cNvSpPr>
      </xdr:nvSpPr>
      <xdr:spPr bwMode="auto">
        <a:xfrm>
          <a:off x="3114675" y="806386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76200</xdr:colOff>
      <xdr:row>471</xdr:row>
      <xdr:rowOff>95250</xdr:rowOff>
    </xdr:from>
    <xdr:to>
      <xdr:col>2</xdr:col>
      <xdr:colOff>504825</xdr:colOff>
      <xdr:row>471</xdr:row>
      <xdr:rowOff>95250</xdr:rowOff>
    </xdr:to>
    <xdr:sp macro="" textlink="">
      <xdr:nvSpPr>
        <xdr:cNvPr id="603" name="Line 284"/>
        <xdr:cNvSpPr>
          <a:spLocks noChangeShapeType="1"/>
        </xdr:cNvSpPr>
      </xdr:nvSpPr>
      <xdr:spPr bwMode="auto">
        <a:xfrm flipH="1">
          <a:off x="685800" y="79809975"/>
          <a:ext cx="1038225" cy="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471</xdr:row>
      <xdr:rowOff>76200</xdr:rowOff>
    </xdr:from>
    <xdr:to>
      <xdr:col>4</xdr:col>
      <xdr:colOff>0</xdr:colOff>
      <xdr:row>471</xdr:row>
      <xdr:rowOff>76200</xdr:rowOff>
    </xdr:to>
    <xdr:sp macro="" textlink="">
      <xdr:nvSpPr>
        <xdr:cNvPr id="604" name="Line 285"/>
        <xdr:cNvSpPr>
          <a:spLocks noChangeShapeType="1"/>
        </xdr:cNvSpPr>
      </xdr:nvSpPr>
      <xdr:spPr bwMode="auto">
        <a:xfrm>
          <a:off x="2238375" y="79790925"/>
          <a:ext cx="276225" cy="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471</xdr:row>
      <xdr:rowOff>85725</xdr:rowOff>
    </xdr:from>
    <xdr:to>
      <xdr:col>1</xdr:col>
      <xdr:colOff>76200</xdr:colOff>
      <xdr:row>473</xdr:row>
      <xdr:rowOff>0</xdr:rowOff>
    </xdr:to>
    <xdr:sp macro="" textlink="">
      <xdr:nvSpPr>
        <xdr:cNvPr id="605" name="Line 286"/>
        <xdr:cNvSpPr>
          <a:spLocks noChangeShapeType="1"/>
        </xdr:cNvSpPr>
      </xdr:nvSpPr>
      <xdr:spPr bwMode="auto">
        <a:xfrm>
          <a:off x="685800" y="79800450"/>
          <a:ext cx="0" cy="238125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471</xdr:row>
      <xdr:rowOff>66675</xdr:rowOff>
    </xdr:from>
    <xdr:to>
      <xdr:col>4</xdr:col>
      <xdr:colOff>19050</xdr:colOff>
      <xdr:row>473</xdr:row>
      <xdr:rowOff>133350</xdr:rowOff>
    </xdr:to>
    <xdr:sp macro="" textlink="">
      <xdr:nvSpPr>
        <xdr:cNvPr id="606" name="Line 287"/>
        <xdr:cNvSpPr>
          <a:spLocks noChangeShapeType="1"/>
        </xdr:cNvSpPr>
      </xdr:nvSpPr>
      <xdr:spPr bwMode="auto">
        <a:xfrm flipH="1">
          <a:off x="2524125" y="79781400"/>
          <a:ext cx="9525" cy="39052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473</xdr:row>
      <xdr:rowOff>0</xdr:rowOff>
    </xdr:from>
    <xdr:to>
      <xdr:col>3</xdr:col>
      <xdr:colOff>504825</xdr:colOff>
      <xdr:row>473</xdr:row>
      <xdr:rowOff>152400</xdr:rowOff>
    </xdr:to>
    <xdr:sp macro="" textlink="">
      <xdr:nvSpPr>
        <xdr:cNvPr id="607" name="Line 288"/>
        <xdr:cNvSpPr>
          <a:spLocks noChangeShapeType="1"/>
        </xdr:cNvSpPr>
      </xdr:nvSpPr>
      <xdr:spPr bwMode="auto">
        <a:xfrm>
          <a:off x="2333625" y="80038575"/>
          <a:ext cx="133350" cy="15240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</xdr:col>
      <xdr:colOff>514350</xdr:colOff>
      <xdr:row>473</xdr:row>
      <xdr:rowOff>142875</xdr:rowOff>
    </xdr:from>
    <xdr:to>
      <xdr:col>4</xdr:col>
      <xdr:colOff>9525</xdr:colOff>
      <xdr:row>473</xdr:row>
      <xdr:rowOff>142875</xdr:rowOff>
    </xdr:to>
    <xdr:sp macro="" textlink="">
      <xdr:nvSpPr>
        <xdr:cNvPr id="608" name="Line 289"/>
        <xdr:cNvSpPr>
          <a:spLocks noChangeShapeType="1"/>
        </xdr:cNvSpPr>
      </xdr:nvSpPr>
      <xdr:spPr bwMode="auto">
        <a:xfrm>
          <a:off x="2476500" y="80181450"/>
          <a:ext cx="476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473</xdr:row>
      <xdr:rowOff>0</xdr:rowOff>
    </xdr:from>
    <xdr:to>
      <xdr:col>4</xdr:col>
      <xdr:colOff>361950</xdr:colOff>
      <xdr:row>473</xdr:row>
      <xdr:rowOff>0</xdr:rowOff>
    </xdr:to>
    <xdr:sp macro="" textlink="">
      <xdr:nvSpPr>
        <xdr:cNvPr id="609" name="Line 290"/>
        <xdr:cNvSpPr>
          <a:spLocks noChangeShapeType="1"/>
        </xdr:cNvSpPr>
      </xdr:nvSpPr>
      <xdr:spPr bwMode="auto">
        <a:xfrm>
          <a:off x="2762250" y="800385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479</xdr:row>
      <xdr:rowOff>123825</xdr:rowOff>
    </xdr:from>
    <xdr:to>
      <xdr:col>3</xdr:col>
      <xdr:colOff>476250</xdr:colOff>
      <xdr:row>480</xdr:row>
      <xdr:rowOff>28575</xdr:rowOff>
    </xdr:to>
    <xdr:sp macro="" textlink="">
      <xdr:nvSpPr>
        <xdr:cNvPr id="611" name="Line 295"/>
        <xdr:cNvSpPr>
          <a:spLocks noChangeShapeType="1"/>
        </xdr:cNvSpPr>
      </xdr:nvSpPr>
      <xdr:spPr bwMode="auto">
        <a:xfrm>
          <a:off x="2438400" y="81133950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479</xdr:row>
      <xdr:rowOff>114300</xdr:rowOff>
    </xdr:from>
    <xdr:to>
      <xdr:col>4</xdr:col>
      <xdr:colOff>9525</xdr:colOff>
      <xdr:row>480</xdr:row>
      <xdr:rowOff>47625</xdr:rowOff>
    </xdr:to>
    <xdr:sp macro="" textlink="">
      <xdr:nvSpPr>
        <xdr:cNvPr id="612" name="Line 296"/>
        <xdr:cNvSpPr>
          <a:spLocks noChangeShapeType="1"/>
        </xdr:cNvSpPr>
      </xdr:nvSpPr>
      <xdr:spPr bwMode="auto">
        <a:xfrm>
          <a:off x="2524125" y="811244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480</xdr:row>
      <xdr:rowOff>0</xdr:rowOff>
    </xdr:from>
    <xdr:to>
      <xdr:col>4</xdr:col>
      <xdr:colOff>9525</xdr:colOff>
      <xdr:row>480</xdr:row>
      <xdr:rowOff>0</xdr:rowOff>
    </xdr:to>
    <xdr:sp macro="" textlink="">
      <xdr:nvSpPr>
        <xdr:cNvPr id="613" name="Line 297"/>
        <xdr:cNvSpPr>
          <a:spLocks noChangeShapeType="1"/>
        </xdr:cNvSpPr>
      </xdr:nvSpPr>
      <xdr:spPr bwMode="auto">
        <a:xfrm>
          <a:off x="2438400" y="8117205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295275</xdr:colOff>
      <xdr:row>480</xdr:row>
      <xdr:rowOff>114300</xdr:rowOff>
    </xdr:from>
    <xdr:to>
      <xdr:col>3</xdr:col>
      <xdr:colOff>295275</xdr:colOff>
      <xdr:row>481</xdr:row>
      <xdr:rowOff>19050</xdr:rowOff>
    </xdr:to>
    <xdr:sp macro="" textlink="">
      <xdr:nvSpPr>
        <xdr:cNvPr id="614" name="Line 301"/>
        <xdr:cNvSpPr>
          <a:spLocks noChangeShapeType="1"/>
        </xdr:cNvSpPr>
      </xdr:nvSpPr>
      <xdr:spPr bwMode="auto">
        <a:xfrm>
          <a:off x="2257425" y="81286350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381000</xdr:colOff>
      <xdr:row>472</xdr:row>
      <xdr:rowOff>152400</xdr:rowOff>
    </xdr:from>
    <xdr:to>
      <xdr:col>4</xdr:col>
      <xdr:colOff>0</xdr:colOff>
      <xdr:row>472</xdr:row>
      <xdr:rowOff>152400</xdr:rowOff>
    </xdr:to>
    <xdr:sp macro="" textlink="">
      <xdr:nvSpPr>
        <xdr:cNvPr id="615" name="Line 306"/>
        <xdr:cNvSpPr>
          <a:spLocks noChangeShapeType="1"/>
        </xdr:cNvSpPr>
      </xdr:nvSpPr>
      <xdr:spPr bwMode="auto">
        <a:xfrm>
          <a:off x="2343150" y="800290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495300</xdr:colOff>
      <xdr:row>472</xdr:row>
      <xdr:rowOff>152400</xdr:rowOff>
    </xdr:from>
    <xdr:to>
      <xdr:col>3</xdr:col>
      <xdr:colOff>495300</xdr:colOff>
      <xdr:row>473</xdr:row>
      <xdr:rowOff>152400</xdr:rowOff>
    </xdr:to>
    <xdr:sp macro="" textlink="">
      <xdr:nvSpPr>
        <xdr:cNvPr id="616" name="Line 307"/>
        <xdr:cNvSpPr>
          <a:spLocks noChangeShapeType="1"/>
        </xdr:cNvSpPr>
      </xdr:nvSpPr>
      <xdr:spPr bwMode="auto">
        <a:xfrm flipV="1">
          <a:off x="2457450" y="800290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471</xdr:row>
      <xdr:rowOff>85725</xdr:rowOff>
    </xdr:from>
    <xdr:to>
      <xdr:col>3</xdr:col>
      <xdr:colOff>276225</xdr:colOff>
      <xdr:row>472</xdr:row>
      <xdr:rowOff>152400</xdr:rowOff>
    </xdr:to>
    <xdr:sp macro="" textlink="">
      <xdr:nvSpPr>
        <xdr:cNvPr id="617" name="Line 308"/>
        <xdr:cNvSpPr>
          <a:spLocks noChangeShapeType="1"/>
        </xdr:cNvSpPr>
      </xdr:nvSpPr>
      <xdr:spPr bwMode="auto">
        <a:xfrm>
          <a:off x="2238375" y="79800450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461</xdr:row>
      <xdr:rowOff>152400</xdr:rowOff>
    </xdr:from>
    <xdr:to>
      <xdr:col>3</xdr:col>
      <xdr:colOff>276225</xdr:colOff>
      <xdr:row>471</xdr:row>
      <xdr:rowOff>95250</xdr:rowOff>
    </xdr:to>
    <xdr:sp macro="" textlink="">
      <xdr:nvSpPr>
        <xdr:cNvPr id="618" name="Line 319"/>
        <xdr:cNvSpPr>
          <a:spLocks noChangeShapeType="1"/>
        </xdr:cNvSpPr>
      </xdr:nvSpPr>
      <xdr:spPr bwMode="auto">
        <a:xfrm>
          <a:off x="2238375" y="78247875"/>
          <a:ext cx="0" cy="1562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438150</xdr:colOff>
      <xdr:row>462</xdr:row>
      <xdr:rowOff>0</xdr:rowOff>
    </xdr:from>
    <xdr:to>
      <xdr:col>2</xdr:col>
      <xdr:colOff>600075</xdr:colOff>
      <xdr:row>462</xdr:row>
      <xdr:rowOff>0</xdr:rowOff>
    </xdr:to>
    <xdr:sp macro="" textlink="">
      <xdr:nvSpPr>
        <xdr:cNvPr id="619" name="Line 320"/>
        <xdr:cNvSpPr>
          <a:spLocks noChangeShapeType="1"/>
        </xdr:cNvSpPr>
      </xdr:nvSpPr>
      <xdr:spPr bwMode="auto">
        <a:xfrm flipH="1">
          <a:off x="1047750" y="78257400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472</xdr:row>
      <xdr:rowOff>152400</xdr:rowOff>
    </xdr:from>
    <xdr:to>
      <xdr:col>3</xdr:col>
      <xdr:colOff>390525</xdr:colOff>
      <xdr:row>473</xdr:row>
      <xdr:rowOff>0</xdr:rowOff>
    </xdr:to>
    <xdr:sp macro="" textlink="">
      <xdr:nvSpPr>
        <xdr:cNvPr id="620" name="Line 321"/>
        <xdr:cNvSpPr>
          <a:spLocks noChangeShapeType="1"/>
        </xdr:cNvSpPr>
      </xdr:nvSpPr>
      <xdr:spPr bwMode="auto">
        <a:xfrm flipH="1">
          <a:off x="695325" y="80029050"/>
          <a:ext cx="1657350" cy="952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475</xdr:row>
      <xdr:rowOff>142875</xdr:rowOff>
    </xdr:from>
    <xdr:to>
      <xdr:col>4</xdr:col>
      <xdr:colOff>0</xdr:colOff>
      <xdr:row>477</xdr:row>
      <xdr:rowOff>152400</xdr:rowOff>
    </xdr:to>
    <xdr:sp macro="" textlink="">
      <xdr:nvSpPr>
        <xdr:cNvPr id="621" name="Line 322"/>
        <xdr:cNvSpPr>
          <a:spLocks noChangeShapeType="1"/>
        </xdr:cNvSpPr>
      </xdr:nvSpPr>
      <xdr:spPr bwMode="auto">
        <a:xfrm>
          <a:off x="685800" y="80505300"/>
          <a:ext cx="182880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470</xdr:row>
      <xdr:rowOff>142875</xdr:rowOff>
    </xdr:from>
    <xdr:to>
      <xdr:col>4</xdr:col>
      <xdr:colOff>0</xdr:colOff>
      <xdr:row>471</xdr:row>
      <xdr:rowOff>28575</xdr:rowOff>
    </xdr:to>
    <xdr:sp macro="" textlink="">
      <xdr:nvSpPr>
        <xdr:cNvPr id="622" name="Line 323"/>
        <xdr:cNvSpPr>
          <a:spLocks noChangeShapeType="1"/>
        </xdr:cNvSpPr>
      </xdr:nvSpPr>
      <xdr:spPr bwMode="auto">
        <a:xfrm>
          <a:off x="2514600" y="79695675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471</xdr:row>
      <xdr:rowOff>0</xdr:rowOff>
    </xdr:from>
    <xdr:to>
      <xdr:col>4</xdr:col>
      <xdr:colOff>0</xdr:colOff>
      <xdr:row>471</xdr:row>
      <xdr:rowOff>0</xdr:rowOff>
    </xdr:to>
    <xdr:sp macro="" textlink="">
      <xdr:nvSpPr>
        <xdr:cNvPr id="623" name="Line 324"/>
        <xdr:cNvSpPr>
          <a:spLocks noChangeShapeType="1"/>
        </xdr:cNvSpPr>
      </xdr:nvSpPr>
      <xdr:spPr bwMode="auto">
        <a:xfrm>
          <a:off x="2247900" y="7971472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523875</xdr:colOff>
      <xdr:row>472</xdr:row>
      <xdr:rowOff>142875</xdr:rowOff>
    </xdr:from>
    <xdr:to>
      <xdr:col>2</xdr:col>
      <xdr:colOff>523875</xdr:colOff>
      <xdr:row>476</xdr:row>
      <xdr:rowOff>142875</xdr:rowOff>
    </xdr:to>
    <xdr:sp macro="" textlink="">
      <xdr:nvSpPr>
        <xdr:cNvPr id="624" name="Line 326"/>
        <xdr:cNvSpPr>
          <a:spLocks noChangeShapeType="1"/>
        </xdr:cNvSpPr>
      </xdr:nvSpPr>
      <xdr:spPr bwMode="auto">
        <a:xfrm flipV="1">
          <a:off x="1743075" y="80019525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3</xdr:col>
      <xdr:colOff>285750</xdr:colOff>
      <xdr:row>472</xdr:row>
      <xdr:rowOff>152400</xdr:rowOff>
    </xdr:from>
    <xdr:to>
      <xdr:col>3</xdr:col>
      <xdr:colOff>285750</xdr:colOff>
      <xdr:row>477</xdr:row>
      <xdr:rowOff>66675</xdr:rowOff>
    </xdr:to>
    <xdr:sp macro="" textlink="">
      <xdr:nvSpPr>
        <xdr:cNvPr id="625" name="Line 327"/>
        <xdr:cNvSpPr>
          <a:spLocks noChangeShapeType="1"/>
        </xdr:cNvSpPr>
      </xdr:nvSpPr>
      <xdr:spPr bwMode="auto">
        <a:xfrm flipV="1">
          <a:off x="2247900" y="80029050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4</xdr:col>
      <xdr:colOff>9525</xdr:colOff>
      <xdr:row>473</xdr:row>
      <xdr:rowOff>133350</xdr:rowOff>
    </xdr:from>
    <xdr:to>
      <xdr:col>4</xdr:col>
      <xdr:colOff>9525</xdr:colOff>
      <xdr:row>477</xdr:row>
      <xdr:rowOff>152400</xdr:rowOff>
    </xdr:to>
    <xdr:sp macro="" textlink="">
      <xdr:nvSpPr>
        <xdr:cNvPr id="626" name="Line 328"/>
        <xdr:cNvSpPr>
          <a:spLocks noChangeShapeType="1"/>
        </xdr:cNvSpPr>
      </xdr:nvSpPr>
      <xdr:spPr bwMode="auto">
        <a:xfrm flipV="1">
          <a:off x="2524125" y="80171925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95250</xdr:colOff>
      <xdr:row>472</xdr:row>
      <xdr:rowOff>152400</xdr:rowOff>
    </xdr:from>
    <xdr:to>
      <xdr:col>1</xdr:col>
      <xdr:colOff>95250</xdr:colOff>
      <xdr:row>475</xdr:row>
      <xdr:rowOff>152400</xdr:rowOff>
    </xdr:to>
    <xdr:sp macro="" textlink="">
      <xdr:nvSpPr>
        <xdr:cNvPr id="627" name="Line 329"/>
        <xdr:cNvSpPr>
          <a:spLocks noChangeShapeType="1"/>
        </xdr:cNvSpPr>
      </xdr:nvSpPr>
      <xdr:spPr bwMode="auto">
        <a:xfrm flipV="1">
          <a:off x="704850" y="80029050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104775</xdr:colOff>
      <xdr:row>476</xdr:row>
      <xdr:rowOff>0</xdr:rowOff>
    </xdr:from>
    <xdr:to>
      <xdr:col>4</xdr:col>
      <xdr:colOff>9525</xdr:colOff>
      <xdr:row>476</xdr:row>
      <xdr:rowOff>0</xdr:rowOff>
    </xdr:to>
    <xdr:sp macro="" textlink="">
      <xdr:nvSpPr>
        <xdr:cNvPr id="628" name="Line 330"/>
        <xdr:cNvSpPr>
          <a:spLocks noChangeShapeType="1"/>
        </xdr:cNvSpPr>
      </xdr:nvSpPr>
      <xdr:spPr bwMode="auto">
        <a:xfrm>
          <a:off x="714375" y="80524350"/>
          <a:ext cx="180975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477</xdr:row>
      <xdr:rowOff>66675</xdr:rowOff>
    </xdr:from>
    <xdr:to>
      <xdr:col>4</xdr:col>
      <xdr:colOff>0</xdr:colOff>
      <xdr:row>477</xdr:row>
      <xdr:rowOff>66675</xdr:rowOff>
    </xdr:to>
    <xdr:sp macro="" textlink="">
      <xdr:nvSpPr>
        <xdr:cNvPr id="629" name="Line 331"/>
        <xdr:cNvSpPr>
          <a:spLocks noChangeShapeType="1"/>
        </xdr:cNvSpPr>
      </xdr:nvSpPr>
      <xdr:spPr bwMode="auto">
        <a:xfrm>
          <a:off x="2200275" y="80752950"/>
          <a:ext cx="314325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 editAs="oneCell">
    <xdr:from>
      <xdr:col>5</xdr:col>
      <xdr:colOff>466725</xdr:colOff>
      <xdr:row>607</xdr:row>
      <xdr:rowOff>0</xdr:rowOff>
    </xdr:from>
    <xdr:to>
      <xdr:col>5</xdr:col>
      <xdr:colOff>561975</xdr:colOff>
      <xdr:row>608</xdr:row>
      <xdr:rowOff>66675</xdr:rowOff>
    </xdr:to>
    <xdr:sp macro="" textlink="">
      <xdr:nvSpPr>
        <xdr:cNvPr id="630" name="Text Box 333"/>
        <xdr:cNvSpPr txBox="1">
          <a:spLocks noChangeArrowheads="1"/>
        </xdr:cNvSpPr>
      </xdr:nvSpPr>
      <xdr:spPr bwMode="auto">
        <a:xfrm>
          <a:off x="3752850" y="102489000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2</xdr:col>
      <xdr:colOff>600075</xdr:colOff>
      <xdr:row>607</xdr:row>
      <xdr:rowOff>0</xdr:rowOff>
    </xdr:from>
    <xdr:to>
      <xdr:col>3</xdr:col>
      <xdr:colOff>85725</xdr:colOff>
      <xdr:row>608</xdr:row>
      <xdr:rowOff>66675</xdr:rowOff>
    </xdr:to>
    <xdr:sp macro="" textlink="">
      <xdr:nvSpPr>
        <xdr:cNvPr id="631" name="Text Box 335"/>
        <xdr:cNvSpPr txBox="1">
          <a:spLocks noChangeArrowheads="1"/>
        </xdr:cNvSpPr>
      </xdr:nvSpPr>
      <xdr:spPr bwMode="auto">
        <a:xfrm>
          <a:off x="1819275" y="102489000"/>
          <a:ext cx="22860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473</xdr:row>
      <xdr:rowOff>0</xdr:rowOff>
    </xdr:from>
    <xdr:to>
      <xdr:col>4</xdr:col>
      <xdr:colOff>180975</xdr:colOff>
      <xdr:row>473</xdr:row>
      <xdr:rowOff>0</xdr:rowOff>
    </xdr:to>
    <xdr:sp macro="" textlink="">
      <xdr:nvSpPr>
        <xdr:cNvPr id="632" name="Line 336"/>
        <xdr:cNvSpPr>
          <a:spLocks noChangeShapeType="1"/>
        </xdr:cNvSpPr>
      </xdr:nvSpPr>
      <xdr:spPr bwMode="auto">
        <a:xfrm>
          <a:off x="2590800" y="8003857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478</xdr:row>
      <xdr:rowOff>0</xdr:rowOff>
    </xdr:from>
    <xdr:to>
      <xdr:col>4</xdr:col>
      <xdr:colOff>142875</xdr:colOff>
      <xdr:row>478</xdr:row>
      <xdr:rowOff>0</xdr:rowOff>
    </xdr:to>
    <xdr:sp macro="" textlink="">
      <xdr:nvSpPr>
        <xdr:cNvPr id="633" name="Line 337"/>
        <xdr:cNvSpPr>
          <a:spLocks noChangeShapeType="1"/>
        </xdr:cNvSpPr>
      </xdr:nvSpPr>
      <xdr:spPr bwMode="auto">
        <a:xfrm>
          <a:off x="2562225" y="8084820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472</xdr:row>
      <xdr:rowOff>142875</xdr:rowOff>
    </xdr:from>
    <xdr:to>
      <xdr:col>4</xdr:col>
      <xdr:colOff>104775</xdr:colOff>
      <xdr:row>477</xdr:row>
      <xdr:rowOff>152400</xdr:rowOff>
    </xdr:to>
    <xdr:sp macro="" textlink="">
      <xdr:nvSpPr>
        <xdr:cNvPr id="634" name="Line 338"/>
        <xdr:cNvSpPr>
          <a:spLocks noChangeShapeType="1"/>
        </xdr:cNvSpPr>
      </xdr:nvSpPr>
      <xdr:spPr bwMode="auto">
        <a:xfrm>
          <a:off x="2619375" y="80019525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123825</xdr:colOff>
      <xdr:row>474</xdr:row>
      <xdr:rowOff>123825</xdr:rowOff>
    </xdr:from>
    <xdr:to>
      <xdr:col>4</xdr:col>
      <xdr:colOff>333375</xdr:colOff>
      <xdr:row>475</xdr:row>
      <xdr:rowOff>76200</xdr:rowOff>
    </xdr:to>
    <xdr:sp macro="" textlink="">
      <xdr:nvSpPr>
        <xdr:cNvPr id="635" name="Line 339"/>
        <xdr:cNvSpPr>
          <a:spLocks noChangeShapeType="1"/>
        </xdr:cNvSpPr>
      </xdr:nvSpPr>
      <xdr:spPr bwMode="auto">
        <a:xfrm flipH="1">
          <a:off x="2638425" y="80324325"/>
          <a:ext cx="20955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228600</xdr:colOff>
      <xdr:row>476</xdr:row>
      <xdr:rowOff>0</xdr:rowOff>
    </xdr:from>
    <xdr:to>
      <xdr:col>4</xdr:col>
      <xdr:colOff>361950</xdr:colOff>
      <xdr:row>476</xdr:row>
      <xdr:rowOff>0</xdr:rowOff>
    </xdr:to>
    <xdr:sp macro="" textlink="">
      <xdr:nvSpPr>
        <xdr:cNvPr id="636" name="Line 340"/>
        <xdr:cNvSpPr>
          <a:spLocks noChangeShapeType="1"/>
        </xdr:cNvSpPr>
      </xdr:nvSpPr>
      <xdr:spPr bwMode="auto">
        <a:xfrm>
          <a:off x="2743200" y="8052435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478</xdr:row>
      <xdr:rowOff>0</xdr:rowOff>
    </xdr:from>
    <xdr:to>
      <xdr:col>4</xdr:col>
      <xdr:colOff>371475</xdr:colOff>
      <xdr:row>478</xdr:row>
      <xdr:rowOff>0</xdr:rowOff>
    </xdr:to>
    <xdr:sp macro="" textlink="">
      <xdr:nvSpPr>
        <xdr:cNvPr id="637" name="Line 341"/>
        <xdr:cNvSpPr>
          <a:spLocks noChangeShapeType="1"/>
        </xdr:cNvSpPr>
      </xdr:nvSpPr>
      <xdr:spPr bwMode="auto">
        <a:xfrm>
          <a:off x="2743200" y="808482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476</xdr:row>
      <xdr:rowOff>0</xdr:rowOff>
    </xdr:from>
    <xdr:to>
      <xdr:col>4</xdr:col>
      <xdr:colOff>285750</xdr:colOff>
      <xdr:row>478</xdr:row>
      <xdr:rowOff>0</xdr:rowOff>
    </xdr:to>
    <xdr:sp macro="" textlink="">
      <xdr:nvSpPr>
        <xdr:cNvPr id="638" name="Line 342"/>
        <xdr:cNvSpPr>
          <a:spLocks noChangeShapeType="1"/>
        </xdr:cNvSpPr>
      </xdr:nvSpPr>
      <xdr:spPr bwMode="auto">
        <a:xfrm>
          <a:off x="2800350" y="80524350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285749</xdr:colOff>
      <xdr:row>475</xdr:row>
      <xdr:rowOff>104775</xdr:rowOff>
    </xdr:from>
    <xdr:to>
      <xdr:col>5</xdr:col>
      <xdr:colOff>9524</xdr:colOff>
      <xdr:row>476</xdr:row>
      <xdr:rowOff>104775</xdr:rowOff>
    </xdr:to>
    <xdr:sp macro="" textlink="">
      <xdr:nvSpPr>
        <xdr:cNvPr id="639" name="Line 343"/>
        <xdr:cNvSpPr>
          <a:spLocks noChangeShapeType="1"/>
        </xdr:cNvSpPr>
      </xdr:nvSpPr>
      <xdr:spPr bwMode="auto">
        <a:xfrm flipH="1">
          <a:off x="2800349" y="80467200"/>
          <a:ext cx="49530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542924</xdr:colOff>
      <xdr:row>475</xdr:row>
      <xdr:rowOff>28575</xdr:rowOff>
    </xdr:from>
    <xdr:to>
      <xdr:col>3</xdr:col>
      <xdr:colOff>285749</xdr:colOff>
      <xdr:row>478</xdr:row>
      <xdr:rowOff>0</xdr:rowOff>
    </xdr:to>
    <xdr:sp macro="" textlink="">
      <xdr:nvSpPr>
        <xdr:cNvPr id="640" name="Line 344"/>
        <xdr:cNvSpPr>
          <a:spLocks noChangeShapeType="1"/>
        </xdr:cNvSpPr>
      </xdr:nvSpPr>
      <xdr:spPr bwMode="auto">
        <a:xfrm flipV="1">
          <a:off x="1762124" y="80391000"/>
          <a:ext cx="4857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533400</xdr:colOff>
      <xdr:row>477</xdr:row>
      <xdr:rowOff>66675</xdr:rowOff>
    </xdr:from>
    <xdr:to>
      <xdr:col>4</xdr:col>
      <xdr:colOff>628650</xdr:colOff>
      <xdr:row>477</xdr:row>
      <xdr:rowOff>66675</xdr:rowOff>
    </xdr:to>
    <xdr:sp macro="" textlink="">
      <xdr:nvSpPr>
        <xdr:cNvPr id="641" name="Line 346"/>
        <xdr:cNvSpPr>
          <a:spLocks noChangeShapeType="1"/>
        </xdr:cNvSpPr>
      </xdr:nvSpPr>
      <xdr:spPr bwMode="auto">
        <a:xfrm>
          <a:off x="3048000" y="807529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478</xdr:row>
      <xdr:rowOff>0</xdr:rowOff>
    </xdr:from>
    <xdr:to>
      <xdr:col>4</xdr:col>
      <xdr:colOff>628650</xdr:colOff>
      <xdr:row>478</xdr:row>
      <xdr:rowOff>0</xdr:rowOff>
    </xdr:to>
    <xdr:sp macro="" textlink="">
      <xdr:nvSpPr>
        <xdr:cNvPr id="642" name="Line 347"/>
        <xdr:cNvSpPr>
          <a:spLocks noChangeShapeType="1"/>
        </xdr:cNvSpPr>
      </xdr:nvSpPr>
      <xdr:spPr bwMode="auto">
        <a:xfrm>
          <a:off x="3076575" y="8084820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478</xdr:row>
      <xdr:rowOff>0</xdr:rowOff>
    </xdr:from>
    <xdr:to>
      <xdr:col>4</xdr:col>
      <xdr:colOff>600075</xdr:colOff>
      <xdr:row>478</xdr:row>
      <xdr:rowOff>142875</xdr:rowOff>
    </xdr:to>
    <xdr:sp macro="" textlink="">
      <xdr:nvSpPr>
        <xdr:cNvPr id="643" name="Line 348"/>
        <xdr:cNvSpPr>
          <a:spLocks noChangeShapeType="1"/>
        </xdr:cNvSpPr>
      </xdr:nvSpPr>
      <xdr:spPr bwMode="auto">
        <a:xfrm flipV="1">
          <a:off x="3114675" y="8084820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476</xdr:row>
      <xdr:rowOff>114300</xdr:rowOff>
    </xdr:from>
    <xdr:to>
      <xdr:col>4</xdr:col>
      <xdr:colOff>600075</xdr:colOff>
      <xdr:row>477</xdr:row>
      <xdr:rowOff>66675</xdr:rowOff>
    </xdr:to>
    <xdr:sp macro="" textlink="">
      <xdr:nvSpPr>
        <xdr:cNvPr id="644" name="Line 349"/>
        <xdr:cNvSpPr>
          <a:spLocks noChangeShapeType="1"/>
        </xdr:cNvSpPr>
      </xdr:nvSpPr>
      <xdr:spPr bwMode="auto">
        <a:xfrm>
          <a:off x="3114675" y="806386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0</xdr:col>
      <xdr:colOff>523875</xdr:colOff>
      <xdr:row>474</xdr:row>
      <xdr:rowOff>19050</xdr:rowOff>
    </xdr:from>
    <xdr:to>
      <xdr:col>1</xdr:col>
      <xdr:colOff>85725</xdr:colOff>
      <xdr:row>475</xdr:row>
      <xdr:rowOff>76200</xdr:rowOff>
    </xdr:to>
    <xdr:sp macro="" textlink="">
      <xdr:nvSpPr>
        <xdr:cNvPr id="645" name="Line 352"/>
        <xdr:cNvSpPr>
          <a:spLocks noChangeShapeType="1"/>
        </xdr:cNvSpPr>
      </xdr:nvSpPr>
      <xdr:spPr bwMode="auto">
        <a:xfrm flipV="1">
          <a:off x="523875" y="80219550"/>
          <a:ext cx="171450" cy="2190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76200</xdr:colOff>
      <xdr:row>471</xdr:row>
      <xdr:rowOff>95250</xdr:rowOff>
    </xdr:from>
    <xdr:to>
      <xdr:col>2</xdr:col>
      <xdr:colOff>504825</xdr:colOff>
      <xdr:row>471</xdr:row>
      <xdr:rowOff>95250</xdr:rowOff>
    </xdr:to>
    <xdr:sp macro="" textlink="">
      <xdr:nvSpPr>
        <xdr:cNvPr id="646" name="Line 354"/>
        <xdr:cNvSpPr>
          <a:spLocks noChangeShapeType="1"/>
        </xdr:cNvSpPr>
      </xdr:nvSpPr>
      <xdr:spPr bwMode="auto">
        <a:xfrm flipH="1">
          <a:off x="685800" y="79809975"/>
          <a:ext cx="10382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471</xdr:row>
      <xdr:rowOff>76200</xdr:rowOff>
    </xdr:from>
    <xdr:to>
      <xdr:col>4</xdr:col>
      <xdr:colOff>0</xdr:colOff>
      <xdr:row>471</xdr:row>
      <xdr:rowOff>76200</xdr:rowOff>
    </xdr:to>
    <xdr:sp macro="" textlink="">
      <xdr:nvSpPr>
        <xdr:cNvPr id="647" name="Line 355"/>
        <xdr:cNvSpPr>
          <a:spLocks noChangeShapeType="1"/>
        </xdr:cNvSpPr>
      </xdr:nvSpPr>
      <xdr:spPr bwMode="auto">
        <a:xfrm>
          <a:off x="2238375" y="79790925"/>
          <a:ext cx="2762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471</xdr:row>
      <xdr:rowOff>85725</xdr:rowOff>
    </xdr:from>
    <xdr:to>
      <xdr:col>1</xdr:col>
      <xdr:colOff>76200</xdr:colOff>
      <xdr:row>473</xdr:row>
      <xdr:rowOff>0</xdr:rowOff>
    </xdr:to>
    <xdr:sp macro="" textlink="">
      <xdr:nvSpPr>
        <xdr:cNvPr id="648" name="Line 356"/>
        <xdr:cNvSpPr>
          <a:spLocks noChangeShapeType="1"/>
        </xdr:cNvSpPr>
      </xdr:nvSpPr>
      <xdr:spPr bwMode="auto">
        <a:xfrm>
          <a:off x="685800" y="79800450"/>
          <a:ext cx="0" cy="23812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473</xdr:row>
      <xdr:rowOff>0</xdr:rowOff>
    </xdr:from>
    <xdr:to>
      <xdr:col>3</xdr:col>
      <xdr:colOff>504825</xdr:colOff>
      <xdr:row>473</xdr:row>
      <xdr:rowOff>152400</xdr:rowOff>
    </xdr:to>
    <xdr:sp macro="" textlink="">
      <xdr:nvSpPr>
        <xdr:cNvPr id="649" name="Line 358"/>
        <xdr:cNvSpPr>
          <a:spLocks noChangeShapeType="1"/>
        </xdr:cNvSpPr>
      </xdr:nvSpPr>
      <xdr:spPr bwMode="auto">
        <a:xfrm>
          <a:off x="2333625" y="80038575"/>
          <a:ext cx="133350" cy="15240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472</xdr:row>
      <xdr:rowOff>152400</xdr:rowOff>
    </xdr:from>
    <xdr:to>
      <xdr:col>4</xdr:col>
      <xdr:colOff>514350</xdr:colOff>
      <xdr:row>472</xdr:row>
      <xdr:rowOff>152400</xdr:rowOff>
    </xdr:to>
    <xdr:sp macro="" textlink="">
      <xdr:nvSpPr>
        <xdr:cNvPr id="650" name="Line 360"/>
        <xdr:cNvSpPr>
          <a:spLocks noChangeShapeType="1"/>
        </xdr:cNvSpPr>
      </xdr:nvSpPr>
      <xdr:spPr bwMode="auto">
        <a:xfrm>
          <a:off x="2762250" y="8002905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471</xdr:row>
      <xdr:rowOff>85725</xdr:rowOff>
    </xdr:from>
    <xdr:to>
      <xdr:col>4</xdr:col>
      <xdr:colOff>533400</xdr:colOff>
      <xdr:row>471</xdr:row>
      <xdr:rowOff>85725</xdr:rowOff>
    </xdr:to>
    <xdr:sp macro="" textlink="">
      <xdr:nvSpPr>
        <xdr:cNvPr id="651" name="Line 361"/>
        <xdr:cNvSpPr>
          <a:spLocks noChangeShapeType="1"/>
        </xdr:cNvSpPr>
      </xdr:nvSpPr>
      <xdr:spPr bwMode="auto">
        <a:xfrm flipV="1">
          <a:off x="2733675" y="79800450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479</xdr:row>
      <xdr:rowOff>123825</xdr:rowOff>
    </xdr:from>
    <xdr:to>
      <xdr:col>3</xdr:col>
      <xdr:colOff>476250</xdr:colOff>
      <xdr:row>480</xdr:row>
      <xdr:rowOff>28575</xdr:rowOff>
    </xdr:to>
    <xdr:sp macro="" textlink="">
      <xdr:nvSpPr>
        <xdr:cNvPr id="652" name="Line 365"/>
        <xdr:cNvSpPr>
          <a:spLocks noChangeShapeType="1"/>
        </xdr:cNvSpPr>
      </xdr:nvSpPr>
      <xdr:spPr bwMode="auto">
        <a:xfrm>
          <a:off x="2438400" y="81133950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479</xdr:row>
      <xdr:rowOff>114300</xdr:rowOff>
    </xdr:from>
    <xdr:to>
      <xdr:col>4</xdr:col>
      <xdr:colOff>9525</xdr:colOff>
      <xdr:row>480</xdr:row>
      <xdr:rowOff>47625</xdr:rowOff>
    </xdr:to>
    <xdr:sp macro="" textlink="">
      <xdr:nvSpPr>
        <xdr:cNvPr id="653" name="Line 366"/>
        <xdr:cNvSpPr>
          <a:spLocks noChangeShapeType="1"/>
        </xdr:cNvSpPr>
      </xdr:nvSpPr>
      <xdr:spPr bwMode="auto">
        <a:xfrm>
          <a:off x="2524125" y="811244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480</xdr:row>
      <xdr:rowOff>0</xdr:rowOff>
    </xdr:from>
    <xdr:to>
      <xdr:col>4</xdr:col>
      <xdr:colOff>9525</xdr:colOff>
      <xdr:row>480</xdr:row>
      <xdr:rowOff>0</xdr:rowOff>
    </xdr:to>
    <xdr:sp macro="" textlink="">
      <xdr:nvSpPr>
        <xdr:cNvPr id="654" name="Line 367"/>
        <xdr:cNvSpPr>
          <a:spLocks noChangeShapeType="1"/>
        </xdr:cNvSpPr>
      </xdr:nvSpPr>
      <xdr:spPr bwMode="auto">
        <a:xfrm>
          <a:off x="2438400" y="8117205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476250</xdr:colOff>
      <xdr:row>480</xdr:row>
      <xdr:rowOff>95250</xdr:rowOff>
    </xdr:from>
    <xdr:to>
      <xdr:col>3</xdr:col>
      <xdr:colOff>476250</xdr:colOff>
      <xdr:row>481</xdr:row>
      <xdr:rowOff>38100</xdr:rowOff>
    </xdr:to>
    <xdr:sp macro="" textlink="">
      <xdr:nvSpPr>
        <xdr:cNvPr id="655" name="Line 368"/>
        <xdr:cNvSpPr>
          <a:spLocks noChangeShapeType="1"/>
        </xdr:cNvSpPr>
      </xdr:nvSpPr>
      <xdr:spPr bwMode="auto">
        <a:xfrm>
          <a:off x="2438400" y="812673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295275</xdr:colOff>
      <xdr:row>480</xdr:row>
      <xdr:rowOff>114300</xdr:rowOff>
    </xdr:from>
    <xdr:to>
      <xdr:col>3</xdr:col>
      <xdr:colOff>295275</xdr:colOff>
      <xdr:row>481</xdr:row>
      <xdr:rowOff>19050</xdr:rowOff>
    </xdr:to>
    <xdr:sp macro="" textlink="">
      <xdr:nvSpPr>
        <xdr:cNvPr id="656" name="Line 371"/>
        <xdr:cNvSpPr>
          <a:spLocks noChangeShapeType="1"/>
        </xdr:cNvSpPr>
      </xdr:nvSpPr>
      <xdr:spPr bwMode="auto">
        <a:xfrm>
          <a:off x="2257425" y="81286350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472</xdr:row>
      <xdr:rowOff>152400</xdr:rowOff>
    </xdr:from>
    <xdr:to>
      <xdr:col>4</xdr:col>
      <xdr:colOff>9525</xdr:colOff>
      <xdr:row>472</xdr:row>
      <xdr:rowOff>152400</xdr:rowOff>
    </xdr:to>
    <xdr:sp macro="" textlink="">
      <xdr:nvSpPr>
        <xdr:cNvPr id="657" name="Line 376"/>
        <xdr:cNvSpPr>
          <a:spLocks noChangeShapeType="1"/>
        </xdr:cNvSpPr>
      </xdr:nvSpPr>
      <xdr:spPr bwMode="auto">
        <a:xfrm>
          <a:off x="2352675" y="800290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495300</xdr:colOff>
      <xdr:row>472</xdr:row>
      <xdr:rowOff>152400</xdr:rowOff>
    </xdr:from>
    <xdr:to>
      <xdr:col>3</xdr:col>
      <xdr:colOff>495300</xdr:colOff>
      <xdr:row>473</xdr:row>
      <xdr:rowOff>152400</xdr:rowOff>
    </xdr:to>
    <xdr:sp macro="" textlink="">
      <xdr:nvSpPr>
        <xdr:cNvPr id="658" name="Line 377"/>
        <xdr:cNvSpPr>
          <a:spLocks noChangeShapeType="1"/>
        </xdr:cNvSpPr>
      </xdr:nvSpPr>
      <xdr:spPr bwMode="auto">
        <a:xfrm flipV="1">
          <a:off x="2457450" y="800290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276225</xdr:colOff>
      <xdr:row>471</xdr:row>
      <xdr:rowOff>85725</xdr:rowOff>
    </xdr:from>
    <xdr:to>
      <xdr:col>3</xdr:col>
      <xdr:colOff>276225</xdr:colOff>
      <xdr:row>472</xdr:row>
      <xdr:rowOff>152400</xdr:rowOff>
    </xdr:to>
    <xdr:sp macro="" textlink="">
      <xdr:nvSpPr>
        <xdr:cNvPr id="659" name="Line 378"/>
        <xdr:cNvSpPr>
          <a:spLocks noChangeShapeType="1"/>
        </xdr:cNvSpPr>
      </xdr:nvSpPr>
      <xdr:spPr bwMode="auto">
        <a:xfrm>
          <a:off x="2238375" y="79800450"/>
          <a:ext cx="0" cy="22860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1</xdr:col>
      <xdr:colOff>104775</xdr:colOff>
      <xdr:row>483</xdr:row>
      <xdr:rowOff>0</xdr:rowOff>
    </xdr:from>
    <xdr:to>
      <xdr:col>4</xdr:col>
      <xdr:colOff>0</xdr:colOff>
      <xdr:row>483</xdr:row>
      <xdr:rowOff>0</xdr:rowOff>
    </xdr:to>
    <xdr:sp macro="" textlink="">
      <xdr:nvSpPr>
        <xdr:cNvPr id="660" name="Line 393"/>
        <xdr:cNvSpPr>
          <a:spLocks noChangeShapeType="1"/>
        </xdr:cNvSpPr>
      </xdr:nvSpPr>
      <xdr:spPr bwMode="auto">
        <a:xfrm>
          <a:off x="714375" y="81657825"/>
          <a:ext cx="1800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483</xdr:row>
      <xdr:rowOff>66675</xdr:rowOff>
    </xdr:from>
    <xdr:to>
      <xdr:col>4</xdr:col>
      <xdr:colOff>581025</xdr:colOff>
      <xdr:row>484</xdr:row>
      <xdr:rowOff>38100</xdr:rowOff>
    </xdr:to>
    <xdr:sp macro="" textlink="">
      <xdr:nvSpPr>
        <xdr:cNvPr id="661" name="Line 396"/>
        <xdr:cNvSpPr>
          <a:spLocks noChangeShapeType="1"/>
        </xdr:cNvSpPr>
      </xdr:nvSpPr>
      <xdr:spPr bwMode="auto">
        <a:xfrm flipH="1">
          <a:off x="2524125" y="81724500"/>
          <a:ext cx="57150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9525</xdr:colOff>
      <xdr:row>462</xdr:row>
      <xdr:rowOff>0</xdr:rowOff>
    </xdr:from>
    <xdr:to>
      <xdr:col>3</xdr:col>
      <xdr:colOff>276225</xdr:colOff>
      <xdr:row>462</xdr:row>
      <xdr:rowOff>0</xdr:rowOff>
    </xdr:to>
    <xdr:sp macro="" textlink="">
      <xdr:nvSpPr>
        <xdr:cNvPr id="662" name="Line 399"/>
        <xdr:cNvSpPr>
          <a:spLocks noChangeShapeType="1"/>
        </xdr:cNvSpPr>
      </xdr:nvSpPr>
      <xdr:spPr bwMode="auto">
        <a:xfrm>
          <a:off x="1971675" y="7825740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66675</xdr:colOff>
      <xdr:row>481</xdr:row>
      <xdr:rowOff>95250</xdr:rowOff>
    </xdr:from>
    <xdr:to>
      <xdr:col>3</xdr:col>
      <xdr:colOff>666750</xdr:colOff>
      <xdr:row>481</xdr:row>
      <xdr:rowOff>95250</xdr:rowOff>
    </xdr:to>
    <xdr:sp macro="" textlink="">
      <xdr:nvSpPr>
        <xdr:cNvPr id="663" name="Line 420"/>
        <xdr:cNvSpPr>
          <a:spLocks noChangeShapeType="1"/>
        </xdr:cNvSpPr>
      </xdr:nvSpPr>
      <xdr:spPr bwMode="auto">
        <a:xfrm>
          <a:off x="676275" y="81429225"/>
          <a:ext cx="1838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676275</xdr:colOff>
      <xdr:row>481</xdr:row>
      <xdr:rowOff>47625</xdr:rowOff>
    </xdr:from>
    <xdr:to>
      <xdr:col>3</xdr:col>
      <xdr:colOff>676275</xdr:colOff>
      <xdr:row>482</xdr:row>
      <xdr:rowOff>9525</xdr:rowOff>
    </xdr:to>
    <xdr:sp macro="" textlink="">
      <xdr:nvSpPr>
        <xdr:cNvPr id="664" name="Line 421"/>
        <xdr:cNvSpPr>
          <a:spLocks noChangeShapeType="1"/>
        </xdr:cNvSpPr>
      </xdr:nvSpPr>
      <xdr:spPr bwMode="auto">
        <a:xfrm>
          <a:off x="2514600" y="813816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66675</xdr:colOff>
      <xdr:row>481</xdr:row>
      <xdr:rowOff>28575</xdr:rowOff>
    </xdr:from>
    <xdr:to>
      <xdr:col>1</xdr:col>
      <xdr:colOff>66675</xdr:colOff>
      <xdr:row>481</xdr:row>
      <xdr:rowOff>123825</xdr:rowOff>
    </xdr:to>
    <xdr:sp macro="" textlink="">
      <xdr:nvSpPr>
        <xdr:cNvPr id="665" name="Line 422"/>
        <xdr:cNvSpPr>
          <a:spLocks noChangeShapeType="1"/>
        </xdr:cNvSpPr>
      </xdr:nvSpPr>
      <xdr:spPr bwMode="auto">
        <a:xfrm>
          <a:off x="676275" y="813625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466</xdr:row>
      <xdr:rowOff>152400</xdr:rowOff>
    </xdr:from>
    <xdr:to>
      <xdr:col>2</xdr:col>
      <xdr:colOff>523875</xdr:colOff>
      <xdr:row>466</xdr:row>
      <xdr:rowOff>152400</xdr:rowOff>
    </xdr:to>
    <xdr:sp macro="" textlink="">
      <xdr:nvSpPr>
        <xdr:cNvPr id="666" name="Line 423"/>
        <xdr:cNvSpPr>
          <a:spLocks noChangeShapeType="1"/>
        </xdr:cNvSpPr>
      </xdr:nvSpPr>
      <xdr:spPr bwMode="auto">
        <a:xfrm>
          <a:off x="695325" y="79057500"/>
          <a:ext cx="1047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95250</xdr:colOff>
      <xdr:row>470</xdr:row>
      <xdr:rowOff>9525</xdr:rowOff>
    </xdr:from>
    <xdr:to>
      <xdr:col>2</xdr:col>
      <xdr:colOff>542925</xdr:colOff>
      <xdr:row>470</xdr:row>
      <xdr:rowOff>9525</xdr:rowOff>
    </xdr:to>
    <xdr:sp macro="" textlink="">
      <xdr:nvSpPr>
        <xdr:cNvPr id="667" name="Line 430"/>
        <xdr:cNvSpPr>
          <a:spLocks noChangeShapeType="1"/>
        </xdr:cNvSpPr>
      </xdr:nvSpPr>
      <xdr:spPr bwMode="auto">
        <a:xfrm>
          <a:off x="704850" y="79562325"/>
          <a:ext cx="1057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123825</xdr:colOff>
      <xdr:row>470</xdr:row>
      <xdr:rowOff>114300</xdr:rowOff>
    </xdr:from>
    <xdr:to>
      <xdr:col>2</xdr:col>
      <xdr:colOff>180975</xdr:colOff>
      <xdr:row>471</xdr:row>
      <xdr:rowOff>76200</xdr:rowOff>
    </xdr:to>
    <xdr:sp macro="" textlink="">
      <xdr:nvSpPr>
        <xdr:cNvPr id="668" name="AutoShape 432"/>
        <xdr:cNvSpPr>
          <a:spLocks noChangeArrowheads="1"/>
        </xdr:cNvSpPr>
      </xdr:nvSpPr>
      <xdr:spPr bwMode="auto">
        <a:xfrm>
          <a:off x="1343025" y="79667100"/>
          <a:ext cx="57150" cy="123825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304800</xdr:colOff>
      <xdr:row>463</xdr:row>
      <xdr:rowOff>152400</xdr:rowOff>
    </xdr:from>
    <xdr:to>
      <xdr:col>4</xdr:col>
      <xdr:colOff>676275</xdr:colOff>
      <xdr:row>463</xdr:row>
      <xdr:rowOff>152400</xdr:rowOff>
    </xdr:to>
    <xdr:sp macro="" textlink="">
      <xdr:nvSpPr>
        <xdr:cNvPr id="669" name="Line 433"/>
        <xdr:cNvSpPr>
          <a:spLocks noChangeShapeType="1"/>
        </xdr:cNvSpPr>
      </xdr:nvSpPr>
      <xdr:spPr bwMode="auto">
        <a:xfrm>
          <a:off x="2266950" y="78571725"/>
          <a:ext cx="923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123825</xdr:colOff>
      <xdr:row>467</xdr:row>
      <xdr:rowOff>0</xdr:rowOff>
    </xdr:from>
    <xdr:to>
      <xdr:col>0</xdr:col>
      <xdr:colOff>123825</xdr:colOff>
      <xdr:row>473</xdr:row>
      <xdr:rowOff>0</xdr:rowOff>
    </xdr:to>
    <xdr:sp macro="" textlink="">
      <xdr:nvSpPr>
        <xdr:cNvPr id="670" name="Line 435"/>
        <xdr:cNvSpPr>
          <a:spLocks noChangeShapeType="1"/>
        </xdr:cNvSpPr>
      </xdr:nvSpPr>
      <xdr:spPr bwMode="auto">
        <a:xfrm>
          <a:off x="123825" y="79067025"/>
          <a:ext cx="0" cy="9715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0</xdr:col>
      <xdr:colOff>47625</xdr:colOff>
      <xdr:row>467</xdr:row>
      <xdr:rowOff>0</xdr:rowOff>
    </xdr:from>
    <xdr:to>
      <xdr:col>0</xdr:col>
      <xdr:colOff>180975</xdr:colOff>
      <xdr:row>467</xdr:row>
      <xdr:rowOff>0</xdr:rowOff>
    </xdr:to>
    <xdr:sp macro="" textlink="">
      <xdr:nvSpPr>
        <xdr:cNvPr id="671" name="Line 436"/>
        <xdr:cNvSpPr>
          <a:spLocks noChangeShapeType="1"/>
        </xdr:cNvSpPr>
      </xdr:nvSpPr>
      <xdr:spPr bwMode="auto">
        <a:xfrm>
          <a:off x="47625" y="7906702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</xdr:colOff>
      <xdr:row>473</xdr:row>
      <xdr:rowOff>0</xdr:rowOff>
    </xdr:from>
    <xdr:to>
      <xdr:col>0</xdr:col>
      <xdr:colOff>200025</xdr:colOff>
      <xdr:row>473</xdr:row>
      <xdr:rowOff>0</xdr:rowOff>
    </xdr:to>
    <xdr:sp macro="" textlink="">
      <xdr:nvSpPr>
        <xdr:cNvPr id="672" name="Line 437"/>
        <xdr:cNvSpPr>
          <a:spLocks noChangeShapeType="1"/>
        </xdr:cNvSpPr>
      </xdr:nvSpPr>
      <xdr:spPr bwMode="auto">
        <a:xfrm>
          <a:off x="57150" y="800385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123825</xdr:colOff>
      <xdr:row>607</xdr:row>
      <xdr:rowOff>0</xdr:rowOff>
    </xdr:from>
    <xdr:to>
      <xdr:col>0</xdr:col>
      <xdr:colOff>219075</xdr:colOff>
      <xdr:row>608</xdr:row>
      <xdr:rowOff>66675</xdr:rowOff>
    </xdr:to>
    <xdr:sp macro="" textlink="">
      <xdr:nvSpPr>
        <xdr:cNvPr id="673" name="Text Box 443"/>
        <xdr:cNvSpPr txBox="1">
          <a:spLocks noChangeArrowheads="1"/>
        </xdr:cNvSpPr>
      </xdr:nvSpPr>
      <xdr:spPr bwMode="auto">
        <a:xfrm>
          <a:off x="123825" y="102489000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0</xdr:col>
      <xdr:colOff>123825</xdr:colOff>
      <xdr:row>607</xdr:row>
      <xdr:rowOff>0</xdr:rowOff>
    </xdr:from>
    <xdr:to>
      <xdr:col>0</xdr:col>
      <xdr:colOff>219075</xdr:colOff>
      <xdr:row>608</xdr:row>
      <xdr:rowOff>66675</xdr:rowOff>
    </xdr:to>
    <xdr:sp macro="" textlink="">
      <xdr:nvSpPr>
        <xdr:cNvPr id="674" name="Text Box 444"/>
        <xdr:cNvSpPr txBox="1">
          <a:spLocks noChangeArrowheads="1"/>
        </xdr:cNvSpPr>
      </xdr:nvSpPr>
      <xdr:spPr bwMode="auto">
        <a:xfrm>
          <a:off x="123825" y="102489000"/>
          <a:ext cx="9525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104775</xdr:colOff>
      <xdr:row>466</xdr:row>
      <xdr:rowOff>152400</xdr:rowOff>
    </xdr:from>
    <xdr:to>
      <xdr:col>1</xdr:col>
      <xdr:colOff>104775</xdr:colOff>
      <xdr:row>471</xdr:row>
      <xdr:rowOff>85725</xdr:rowOff>
    </xdr:to>
    <xdr:sp macro="" textlink="">
      <xdr:nvSpPr>
        <xdr:cNvPr id="675" name="Line 454"/>
        <xdr:cNvSpPr>
          <a:spLocks noChangeShapeType="1"/>
        </xdr:cNvSpPr>
      </xdr:nvSpPr>
      <xdr:spPr bwMode="auto">
        <a:xfrm>
          <a:off x="714375" y="79057500"/>
          <a:ext cx="0" cy="7429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 editAs="oneCell">
    <xdr:from>
      <xdr:col>6</xdr:col>
      <xdr:colOff>542925</xdr:colOff>
      <xdr:row>607</xdr:row>
      <xdr:rowOff>0</xdr:rowOff>
    </xdr:from>
    <xdr:to>
      <xdr:col>7</xdr:col>
      <xdr:colOff>266700</xdr:colOff>
      <xdr:row>608</xdr:row>
      <xdr:rowOff>38100</xdr:rowOff>
    </xdr:to>
    <xdr:sp macro="" textlink="">
      <xdr:nvSpPr>
        <xdr:cNvPr id="676" name="Text Box 462"/>
        <xdr:cNvSpPr txBox="1">
          <a:spLocks noChangeArrowheads="1"/>
        </xdr:cNvSpPr>
      </xdr:nvSpPr>
      <xdr:spPr bwMode="auto">
        <a:xfrm>
          <a:off x="4533900" y="102489000"/>
          <a:ext cx="3333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142875</xdr:colOff>
      <xdr:row>607</xdr:row>
      <xdr:rowOff>0</xdr:rowOff>
    </xdr:from>
    <xdr:to>
      <xdr:col>7</xdr:col>
      <xdr:colOff>466725</xdr:colOff>
      <xdr:row>608</xdr:row>
      <xdr:rowOff>38100</xdr:rowOff>
    </xdr:to>
    <xdr:sp macro="" textlink="">
      <xdr:nvSpPr>
        <xdr:cNvPr id="677" name="Text Box 463"/>
        <xdr:cNvSpPr txBox="1">
          <a:spLocks noChangeArrowheads="1"/>
        </xdr:cNvSpPr>
      </xdr:nvSpPr>
      <xdr:spPr bwMode="auto">
        <a:xfrm>
          <a:off x="4743450" y="102489000"/>
          <a:ext cx="3238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542925</xdr:colOff>
      <xdr:row>607</xdr:row>
      <xdr:rowOff>0</xdr:rowOff>
    </xdr:from>
    <xdr:to>
      <xdr:col>7</xdr:col>
      <xdr:colOff>266700</xdr:colOff>
      <xdr:row>608</xdr:row>
      <xdr:rowOff>38100</xdr:rowOff>
    </xdr:to>
    <xdr:sp macro="" textlink="">
      <xdr:nvSpPr>
        <xdr:cNvPr id="678" name="Text Box 464"/>
        <xdr:cNvSpPr txBox="1">
          <a:spLocks noChangeArrowheads="1"/>
        </xdr:cNvSpPr>
      </xdr:nvSpPr>
      <xdr:spPr bwMode="auto">
        <a:xfrm>
          <a:off x="4533900" y="102489000"/>
          <a:ext cx="3333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104775</xdr:colOff>
      <xdr:row>312</xdr:row>
      <xdr:rowOff>0</xdr:rowOff>
    </xdr:from>
    <xdr:to>
      <xdr:col>5</xdr:col>
      <xdr:colOff>476250</xdr:colOff>
      <xdr:row>312</xdr:row>
      <xdr:rowOff>0</xdr:rowOff>
    </xdr:to>
    <xdr:sp macro="" textlink="">
      <xdr:nvSpPr>
        <xdr:cNvPr id="679" name="Line 468"/>
        <xdr:cNvSpPr>
          <a:spLocks noChangeShapeType="1"/>
        </xdr:cNvSpPr>
      </xdr:nvSpPr>
      <xdr:spPr bwMode="auto">
        <a:xfrm flipV="1">
          <a:off x="3390900" y="52939950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609600</xdr:colOff>
      <xdr:row>477</xdr:row>
      <xdr:rowOff>66675</xdr:rowOff>
    </xdr:from>
    <xdr:to>
      <xdr:col>6</xdr:col>
      <xdr:colOff>19050</xdr:colOff>
      <xdr:row>477</xdr:row>
      <xdr:rowOff>133350</xdr:rowOff>
    </xdr:to>
    <xdr:sp macro="" textlink="">
      <xdr:nvSpPr>
        <xdr:cNvPr id="680" name="Line 469"/>
        <xdr:cNvSpPr>
          <a:spLocks noChangeShapeType="1"/>
        </xdr:cNvSpPr>
      </xdr:nvSpPr>
      <xdr:spPr bwMode="auto">
        <a:xfrm flipH="1">
          <a:off x="3124200" y="80752950"/>
          <a:ext cx="885825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oneCellAnchor>
    <xdr:from>
      <xdr:col>16</xdr:col>
      <xdr:colOff>76200</xdr:colOff>
      <xdr:row>339</xdr:row>
      <xdr:rowOff>28575</xdr:rowOff>
    </xdr:from>
    <xdr:ext cx="19050" cy="345042"/>
    <xdr:sp macro="" textlink="">
      <xdr:nvSpPr>
        <xdr:cNvPr id="681" name="Text Box 476"/>
        <xdr:cNvSpPr txBox="1">
          <a:spLocks noChangeArrowheads="1"/>
        </xdr:cNvSpPr>
      </xdr:nvSpPr>
      <xdr:spPr bwMode="auto">
        <a:xfrm>
          <a:off x="8639175" y="57435750"/>
          <a:ext cx="19050" cy="3450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1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2</xdr:col>
      <xdr:colOff>514350</xdr:colOff>
      <xdr:row>523</xdr:row>
      <xdr:rowOff>9525</xdr:rowOff>
    </xdr:from>
    <xdr:to>
      <xdr:col>3</xdr:col>
      <xdr:colOff>0</xdr:colOff>
      <xdr:row>534</xdr:row>
      <xdr:rowOff>104775</xdr:rowOff>
    </xdr:to>
    <xdr:sp macro="" textlink="">
      <xdr:nvSpPr>
        <xdr:cNvPr id="682" name="Line 652"/>
        <xdr:cNvSpPr>
          <a:spLocks noChangeShapeType="1"/>
        </xdr:cNvSpPr>
      </xdr:nvSpPr>
      <xdr:spPr bwMode="auto">
        <a:xfrm flipH="1">
          <a:off x="1733550" y="88334850"/>
          <a:ext cx="228600" cy="1876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528</xdr:row>
      <xdr:rowOff>0</xdr:rowOff>
    </xdr:from>
    <xdr:to>
      <xdr:col>3</xdr:col>
      <xdr:colOff>276225</xdr:colOff>
      <xdr:row>534</xdr:row>
      <xdr:rowOff>95250</xdr:rowOff>
    </xdr:to>
    <xdr:sp macro="" textlink="">
      <xdr:nvSpPr>
        <xdr:cNvPr id="683" name="Line 653"/>
        <xdr:cNvSpPr>
          <a:spLocks noChangeShapeType="1"/>
        </xdr:cNvSpPr>
      </xdr:nvSpPr>
      <xdr:spPr bwMode="auto">
        <a:xfrm>
          <a:off x="2238375" y="89134950"/>
          <a:ext cx="0" cy="1066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536</xdr:row>
      <xdr:rowOff>152400</xdr:rowOff>
    </xdr:from>
    <xdr:to>
      <xdr:col>3</xdr:col>
      <xdr:colOff>390525</xdr:colOff>
      <xdr:row>537</xdr:row>
      <xdr:rowOff>0</xdr:rowOff>
    </xdr:to>
    <xdr:sp macro="" textlink="">
      <xdr:nvSpPr>
        <xdr:cNvPr id="684" name="Line 654"/>
        <xdr:cNvSpPr>
          <a:spLocks noChangeShapeType="1"/>
        </xdr:cNvSpPr>
      </xdr:nvSpPr>
      <xdr:spPr bwMode="auto">
        <a:xfrm flipH="1">
          <a:off x="695325" y="90582750"/>
          <a:ext cx="1657350" cy="9525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539</xdr:row>
      <xdr:rowOff>142875</xdr:rowOff>
    </xdr:from>
    <xdr:to>
      <xdr:col>4</xdr:col>
      <xdr:colOff>0</xdr:colOff>
      <xdr:row>541</xdr:row>
      <xdr:rowOff>152400</xdr:rowOff>
    </xdr:to>
    <xdr:sp macro="" textlink="">
      <xdr:nvSpPr>
        <xdr:cNvPr id="685" name="Line 655"/>
        <xdr:cNvSpPr>
          <a:spLocks noChangeShapeType="1"/>
        </xdr:cNvSpPr>
      </xdr:nvSpPr>
      <xdr:spPr bwMode="auto">
        <a:xfrm>
          <a:off x="685800" y="91059000"/>
          <a:ext cx="182880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676275</xdr:colOff>
      <xdr:row>533</xdr:row>
      <xdr:rowOff>9525</xdr:rowOff>
    </xdr:from>
    <xdr:to>
      <xdr:col>3</xdr:col>
      <xdr:colOff>676275</xdr:colOff>
      <xdr:row>533</xdr:row>
      <xdr:rowOff>57150</xdr:rowOff>
    </xdr:to>
    <xdr:sp macro="" textlink="">
      <xdr:nvSpPr>
        <xdr:cNvPr id="686" name="Line 656"/>
        <xdr:cNvSpPr>
          <a:spLocks noChangeShapeType="1"/>
        </xdr:cNvSpPr>
      </xdr:nvSpPr>
      <xdr:spPr bwMode="auto">
        <a:xfrm>
          <a:off x="2514600" y="89954100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534</xdr:row>
      <xdr:rowOff>66675</xdr:rowOff>
    </xdr:from>
    <xdr:to>
      <xdr:col>4</xdr:col>
      <xdr:colOff>485775</xdr:colOff>
      <xdr:row>534</xdr:row>
      <xdr:rowOff>66675</xdr:rowOff>
    </xdr:to>
    <xdr:sp macro="" textlink="">
      <xdr:nvSpPr>
        <xdr:cNvPr id="687" name="Line 657"/>
        <xdr:cNvSpPr>
          <a:spLocks noChangeShapeType="1"/>
        </xdr:cNvSpPr>
      </xdr:nvSpPr>
      <xdr:spPr bwMode="auto">
        <a:xfrm>
          <a:off x="2600325" y="90173175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523875</xdr:colOff>
      <xdr:row>536</xdr:row>
      <xdr:rowOff>142875</xdr:rowOff>
    </xdr:from>
    <xdr:to>
      <xdr:col>2</xdr:col>
      <xdr:colOff>523875</xdr:colOff>
      <xdr:row>540</xdr:row>
      <xdr:rowOff>142875</xdr:rowOff>
    </xdr:to>
    <xdr:sp macro="" textlink="">
      <xdr:nvSpPr>
        <xdr:cNvPr id="688" name="Line 659"/>
        <xdr:cNvSpPr>
          <a:spLocks noChangeShapeType="1"/>
        </xdr:cNvSpPr>
      </xdr:nvSpPr>
      <xdr:spPr bwMode="auto">
        <a:xfrm flipV="1">
          <a:off x="1743075" y="90573225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3</xdr:col>
      <xdr:colOff>285750</xdr:colOff>
      <xdr:row>536</xdr:row>
      <xdr:rowOff>152400</xdr:rowOff>
    </xdr:from>
    <xdr:to>
      <xdr:col>3</xdr:col>
      <xdr:colOff>285750</xdr:colOff>
      <xdr:row>541</xdr:row>
      <xdr:rowOff>66675</xdr:rowOff>
    </xdr:to>
    <xdr:sp macro="" textlink="">
      <xdr:nvSpPr>
        <xdr:cNvPr id="689" name="Line 660"/>
        <xdr:cNvSpPr>
          <a:spLocks noChangeShapeType="1"/>
        </xdr:cNvSpPr>
      </xdr:nvSpPr>
      <xdr:spPr bwMode="auto">
        <a:xfrm flipV="1">
          <a:off x="2247900" y="90582750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4</xdr:col>
      <xdr:colOff>9525</xdr:colOff>
      <xdr:row>537</xdr:row>
      <xdr:rowOff>133350</xdr:rowOff>
    </xdr:from>
    <xdr:to>
      <xdr:col>4</xdr:col>
      <xdr:colOff>9525</xdr:colOff>
      <xdr:row>541</xdr:row>
      <xdr:rowOff>152400</xdr:rowOff>
    </xdr:to>
    <xdr:sp macro="" textlink="">
      <xdr:nvSpPr>
        <xdr:cNvPr id="690" name="Line 661"/>
        <xdr:cNvSpPr>
          <a:spLocks noChangeShapeType="1"/>
        </xdr:cNvSpPr>
      </xdr:nvSpPr>
      <xdr:spPr bwMode="auto">
        <a:xfrm flipV="1">
          <a:off x="2524125" y="90725625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95250</xdr:colOff>
      <xdr:row>536</xdr:row>
      <xdr:rowOff>152400</xdr:rowOff>
    </xdr:from>
    <xdr:to>
      <xdr:col>1</xdr:col>
      <xdr:colOff>95250</xdr:colOff>
      <xdr:row>539</xdr:row>
      <xdr:rowOff>152400</xdr:rowOff>
    </xdr:to>
    <xdr:sp macro="" textlink="">
      <xdr:nvSpPr>
        <xdr:cNvPr id="691" name="Line 662"/>
        <xdr:cNvSpPr>
          <a:spLocks noChangeShapeType="1"/>
        </xdr:cNvSpPr>
      </xdr:nvSpPr>
      <xdr:spPr bwMode="auto">
        <a:xfrm flipV="1">
          <a:off x="704850" y="90582750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104775</xdr:colOff>
      <xdr:row>540</xdr:row>
      <xdr:rowOff>0</xdr:rowOff>
    </xdr:from>
    <xdr:to>
      <xdr:col>4</xdr:col>
      <xdr:colOff>9525</xdr:colOff>
      <xdr:row>540</xdr:row>
      <xdr:rowOff>0</xdr:rowOff>
    </xdr:to>
    <xdr:sp macro="" textlink="">
      <xdr:nvSpPr>
        <xdr:cNvPr id="692" name="Line 663"/>
        <xdr:cNvSpPr>
          <a:spLocks noChangeShapeType="1"/>
        </xdr:cNvSpPr>
      </xdr:nvSpPr>
      <xdr:spPr bwMode="auto">
        <a:xfrm>
          <a:off x="714375" y="91078050"/>
          <a:ext cx="1809750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541</xdr:row>
      <xdr:rowOff>66675</xdr:rowOff>
    </xdr:from>
    <xdr:to>
      <xdr:col>4</xdr:col>
      <xdr:colOff>0</xdr:colOff>
      <xdr:row>541</xdr:row>
      <xdr:rowOff>66675</xdr:rowOff>
    </xdr:to>
    <xdr:sp macro="" textlink="">
      <xdr:nvSpPr>
        <xdr:cNvPr id="693" name="Line 664"/>
        <xdr:cNvSpPr>
          <a:spLocks noChangeShapeType="1"/>
        </xdr:cNvSpPr>
      </xdr:nvSpPr>
      <xdr:spPr bwMode="auto">
        <a:xfrm>
          <a:off x="2200275" y="91306650"/>
          <a:ext cx="314325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76200</xdr:colOff>
      <xdr:row>537</xdr:row>
      <xdr:rowOff>0</xdr:rowOff>
    </xdr:from>
    <xdr:to>
      <xdr:col>4</xdr:col>
      <xdr:colOff>180975</xdr:colOff>
      <xdr:row>537</xdr:row>
      <xdr:rowOff>0</xdr:rowOff>
    </xdr:to>
    <xdr:sp macro="" textlink="">
      <xdr:nvSpPr>
        <xdr:cNvPr id="694" name="Line 665"/>
        <xdr:cNvSpPr>
          <a:spLocks noChangeShapeType="1"/>
        </xdr:cNvSpPr>
      </xdr:nvSpPr>
      <xdr:spPr bwMode="auto">
        <a:xfrm>
          <a:off x="2590800" y="9059227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542</xdr:row>
      <xdr:rowOff>0</xdr:rowOff>
    </xdr:from>
    <xdr:to>
      <xdr:col>4</xdr:col>
      <xdr:colOff>142875</xdr:colOff>
      <xdr:row>542</xdr:row>
      <xdr:rowOff>0</xdr:rowOff>
    </xdr:to>
    <xdr:sp macro="" textlink="">
      <xdr:nvSpPr>
        <xdr:cNvPr id="695" name="Line 666"/>
        <xdr:cNvSpPr>
          <a:spLocks noChangeShapeType="1"/>
        </xdr:cNvSpPr>
      </xdr:nvSpPr>
      <xdr:spPr bwMode="auto">
        <a:xfrm>
          <a:off x="2562225" y="914304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536</xdr:row>
      <xdr:rowOff>142875</xdr:rowOff>
    </xdr:from>
    <xdr:to>
      <xdr:col>4</xdr:col>
      <xdr:colOff>104775</xdr:colOff>
      <xdr:row>541</xdr:row>
      <xdr:rowOff>152400</xdr:rowOff>
    </xdr:to>
    <xdr:sp macro="" textlink="">
      <xdr:nvSpPr>
        <xdr:cNvPr id="696" name="Line 667"/>
        <xdr:cNvSpPr>
          <a:spLocks noChangeShapeType="1"/>
        </xdr:cNvSpPr>
      </xdr:nvSpPr>
      <xdr:spPr bwMode="auto">
        <a:xfrm>
          <a:off x="2619375" y="90573225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228600</xdr:colOff>
      <xdr:row>540</xdr:row>
      <xdr:rowOff>0</xdr:rowOff>
    </xdr:from>
    <xdr:to>
      <xdr:col>4</xdr:col>
      <xdr:colOff>361950</xdr:colOff>
      <xdr:row>540</xdr:row>
      <xdr:rowOff>0</xdr:rowOff>
    </xdr:to>
    <xdr:sp macro="" textlink="">
      <xdr:nvSpPr>
        <xdr:cNvPr id="697" name="Line 669"/>
        <xdr:cNvSpPr>
          <a:spLocks noChangeShapeType="1"/>
        </xdr:cNvSpPr>
      </xdr:nvSpPr>
      <xdr:spPr bwMode="auto">
        <a:xfrm>
          <a:off x="2743200" y="9107805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542</xdr:row>
      <xdr:rowOff>0</xdr:rowOff>
    </xdr:from>
    <xdr:to>
      <xdr:col>4</xdr:col>
      <xdr:colOff>371475</xdr:colOff>
      <xdr:row>542</xdr:row>
      <xdr:rowOff>0</xdr:rowOff>
    </xdr:to>
    <xdr:sp macro="" textlink="">
      <xdr:nvSpPr>
        <xdr:cNvPr id="698" name="Line 670"/>
        <xdr:cNvSpPr>
          <a:spLocks noChangeShapeType="1"/>
        </xdr:cNvSpPr>
      </xdr:nvSpPr>
      <xdr:spPr bwMode="auto">
        <a:xfrm>
          <a:off x="2743200" y="914304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540</xdr:row>
      <xdr:rowOff>0</xdr:rowOff>
    </xdr:from>
    <xdr:to>
      <xdr:col>4</xdr:col>
      <xdr:colOff>285750</xdr:colOff>
      <xdr:row>542</xdr:row>
      <xdr:rowOff>0</xdr:rowOff>
    </xdr:to>
    <xdr:sp macro="" textlink="">
      <xdr:nvSpPr>
        <xdr:cNvPr id="699" name="Line 671"/>
        <xdr:cNvSpPr>
          <a:spLocks noChangeShapeType="1"/>
        </xdr:cNvSpPr>
      </xdr:nvSpPr>
      <xdr:spPr bwMode="auto">
        <a:xfrm>
          <a:off x="2800350" y="9107805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561975</xdr:colOff>
      <xdr:row>540</xdr:row>
      <xdr:rowOff>85725</xdr:rowOff>
    </xdr:from>
    <xdr:to>
      <xdr:col>3</xdr:col>
      <xdr:colOff>285750</xdr:colOff>
      <xdr:row>543</xdr:row>
      <xdr:rowOff>95250</xdr:rowOff>
    </xdr:to>
    <xdr:sp macro="" textlink="">
      <xdr:nvSpPr>
        <xdr:cNvPr id="700" name="Line 673"/>
        <xdr:cNvSpPr>
          <a:spLocks noChangeShapeType="1"/>
        </xdr:cNvSpPr>
      </xdr:nvSpPr>
      <xdr:spPr bwMode="auto">
        <a:xfrm flipV="1">
          <a:off x="1781175" y="91163775"/>
          <a:ext cx="466725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533400</xdr:colOff>
      <xdr:row>541</xdr:row>
      <xdr:rowOff>66675</xdr:rowOff>
    </xdr:from>
    <xdr:to>
      <xdr:col>4</xdr:col>
      <xdr:colOff>628650</xdr:colOff>
      <xdr:row>541</xdr:row>
      <xdr:rowOff>66675</xdr:rowOff>
    </xdr:to>
    <xdr:sp macro="" textlink="">
      <xdr:nvSpPr>
        <xdr:cNvPr id="701" name="Line 675"/>
        <xdr:cNvSpPr>
          <a:spLocks noChangeShapeType="1"/>
        </xdr:cNvSpPr>
      </xdr:nvSpPr>
      <xdr:spPr bwMode="auto">
        <a:xfrm>
          <a:off x="3048000" y="913066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542</xdr:row>
      <xdr:rowOff>0</xdr:rowOff>
    </xdr:from>
    <xdr:to>
      <xdr:col>4</xdr:col>
      <xdr:colOff>628650</xdr:colOff>
      <xdr:row>542</xdr:row>
      <xdr:rowOff>0</xdr:rowOff>
    </xdr:to>
    <xdr:sp macro="" textlink="">
      <xdr:nvSpPr>
        <xdr:cNvPr id="702" name="Line 676"/>
        <xdr:cNvSpPr>
          <a:spLocks noChangeShapeType="1"/>
        </xdr:cNvSpPr>
      </xdr:nvSpPr>
      <xdr:spPr bwMode="auto">
        <a:xfrm>
          <a:off x="3076575" y="9143047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542</xdr:row>
      <xdr:rowOff>0</xdr:rowOff>
    </xdr:from>
    <xdr:to>
      <xdr:col>4</xdr:col>
      <xdr:colOff>600075</xdr:colOff>
      <xdr:row>542</xdr:row>
      <xdr:rowOff>142875</xdr:rowOff>
    </xdr:to>
    <xdr:sp macro="" textlink="">
      <xdr:nvSpPr>
        <xdr:cNvPr id="703" name="Line 677"/>
        <xdr:cNvSpPr>
          <a:spLocks noChangeShapeType="1"/>
        </xdr:cNvSpPr>
      </xdr:nvSpPr>
      <xdr:spPr bwMode="auto">
        <a:xfrm flipV="1">
          <a:off x="3114675" y="914304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540</xdr:row>
      <xdr:rowOff>114300</xdr:rowOff>
    </xdr:from>
    <xdr:to>
      <xdr:col>4</xdr:col>
      <xdr:colOff>600075</xdr:colOff>
      <xdr:row>541</xdr:row>
      <xdr:rowOff>66675</xdr:rowOff>
    </xdr:to>
    <xdr:sp macro="" textlink="">
      <xdr:nvSpPr>
        <xdr:cNvPr id="704" name="Line 678"/>
        <xdr:cNvSpPr>
          <a:spLocks noChangeShapeType="1"/>
        </xdr:cNvSpPr>
      </xdr:nvSpPr>
      <xdr:spPr bwMode="auto">
        <a:xfrm>
          <a:off x="3114675" y="911923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609600</xdr:colOff>
      <xdr:row>541</xdr:row>
      <xdr:rowOff>104775</xdr:rowOff>
    </xdr:from>
    <xdr:to>
      <xdr:col>5</xdr:col>
      <xdr:colOff>171450</xdr:colOff>
      <xdr:row>541</xdr:row>
      <xdr:rowOff>114300</xdr:rowOff>
    </xdr:to>
    <xdr:sp macro="" textlink="">
      <xdr:nvSpPr>
        <xdr:cNvPr id="705" name="Line 680"/>
        <xdr:cNvSpPr>
          <a:spLocks noChangeShapeType="1"/>
        </xdr:cNvSpPr>
      </xdr:nvSpPr>
      <xdr:spPr bwMode="auto">
        <a:xfrm flipH="1">
          <a:off x="3124200" y="91344750"/>
          <a:ext cx="3333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38100</xdr:colOff>
      <xdr:row>527</xdr:row>
      <xdr:rowOff>9525</xdr:rowOff>
    </xdr:from>
    <xdr:to>
      <xdr:col>2</xdr:col>
      <xdr:colOff>466725</xdr:colOff>
      <xdr:row>527</xdr:row>
      <xdr:rowOff>9525</xdr:rowOff>
    </xdr:to>
    <xdr:sp macro="" textlink="">
      <xdr:nvSpPr>
        <xdr:cNvPr id="706" name="Line 682"/>
        <xdr:cNvSpPr>
          <a:spLocks noChangeShapeType="1"/>
        </xdr:cNvSpPr>
      </xdr:nvSpPr>
      <xdr:spPr bwMode="auto">
        <a:xfrm flipH="1">
          <a:off x="647700" y="88982550"/>
          <a:ext cx="103822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534</xdr:row>
      <xdr:rowOff>85725</xdr:rowOff>
    </xdr:from>
    <xdr:to>
      <xdr:col>1</xdr:col>
      <xdr:colOff>76200</xdr:colOff>
      <xdr:row>537</xdr:row>
      <xdr:rowOff>0</xdr:rowOff>
    </xdr:to>
    <xdr:sp macro="" textlink="">
      <xdr:nvSpPr>
        <xdr:cNvPr id="707" name="Line 684"/>
        <xdr:cNvSpPr>
          <a:spLocks noChangeShapeType="1"/>
        </xdr:cNvSpPr>
      </xdr:nvSpPr>
      <xdr:spPr bwMode="auto">
        <a:xfrm>
          <a:off x="685800" y="90192225"/>
          <a:ext cx="0" cy="40005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537</xdr:row>
      <xdr:rowOff>0</xdr:rowOff>
    </xdr:from>
    <xdr:to>
      <xdr:col>3</xdr:col>
      <xdr:colOff>504825</xdr:colOff>
      <xdr:row>537</xdr:row>
      <xdr:rowOff>152400</xdr:rowOff>
    </xdr:to>
    <xdr:sp macro="" textlink="">
      <xdr:nvSpPr>
        <xdr:cNvPr id="708" name="Line 686"/>
        <xdr:cNvSpPr>
          <a:spLocks noChangeShapeType="1"/>
        </xdr:cNvSpPr>
      </xdr:nvSpPr>
      <xdr:spPr bwMode="auto">
        <a:xfrm>
          <a:off x="2333625" y="90592275"/>
          <a:ext cx="133350" cy="15240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</xdr:col>
      <xdr:colOff>514350</xdr:colOff>
      <xdr:row>537</xdr:row>
      <xdr:rowOff>142875</xdr:rowOff>
    </xdr:from>
    <xdr:to>
      <xdr:col>4</xdr:col>
      <xdr:colOff>9525</xdr:colOff>
      <xdr:row>537</xdr:row>
      <xdr:rowOff>142875</xdr:rowOff>
    </xdr:to>
    <xdr:sp macro="" textlink="">
      <xdr:nvSpPr>
        <xdr:cNvPr id="709" name="Line 687"/>
        <xdr:cNvSpPr>
          <a:spLocks noChangeShapeType="1"/>
        </xdr:cNvSpPr>
      </xdr:nvSpPr>
      <xdr:spPr bwMode="auto">
        <a:xfrm>
          <a:off x="2476500" y="90735150"/>
          <a:ext cx="47625" cy="0"/>
        </a:xfrm>
        <a:prstGeom prst="line">
          <a:avLst/>
        </a:prstGeom>
        <a:noFill/>
        <a:ln w="158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537</xdr:row>
      <xdr:rowOff>0</xdr:rowOff>
    </xdr:from>
    <xdr:to>
      <xdr:col>4</xdr:col>
      <xdr:colOff>361950</xdr:colOff>
      <xdr:row>537</xdr:row>
      <xdr:rowOff>0</xdr:rowOff>
    </xdr:to>
    <xdr:sp macro="" textlink="">
      <xdr:nvSpPr>
        <xdr:cNvPr id="710" name="Line 688"/>
        <xdr:cNvSpPr>
          <a:spLocks noChangeShapeType="1"/>
        </xdr:cNvSpPr>
      </xdr:nvSpPr>
      <xdr:spPr bwMode="auto">
        <a:xfrm>
          <a:off x="2762250" y="905922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543</xdr:row>
      <xdr:rowOff>114300</xdr:rowOff>
    </xdr:from>
    <xdr:to>
      <xdr:col>4</xdr:col>
      <xdr:colOff>9525</xdr:colOff>
      <xdr:row>544</xdr:row>
      <xdr:rowOff>47625</xdr:rowOff>
    </xdr:to>
    <xdr:sp macro="" textlink="">
      <xdr:nvSpPr>
        <xdr:cNvPr id="711" name="Line 694"/>
        <xdr:cNvSpPr>
          <a:spLocks noChangeShapeType="1"/>
        </xdr:cNvSpPr>
      </xdr:nvSpPr>
      <xdr:spPr bwMode="auto">
        <a:xfrm>
          <a:off x="2524125" y="917067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544</xdr:row>
      <xdr:rowOff>0</xdr:rowOff>
    </xdr:from>
    <xdr:to>
      <xdr:col>4</xdr:col>
      <xdr:colOff>9525</xdr:colOff>
      <xdr:row>544</xdr:row>
      <xdr:rowOff>0</xdr:rowOff>
    </xdr:to>
    <xdr:sp macro="" textlink="">
      <xdr:nvSpPr>
        <xdr:cNvPr id="712" name="Line 695"/>
        <xdr:cNvSpPr>
          <a:spLocks noChangeShapeType="1"/>
        </xdr:cNvSpPr>
      </xdr:nvSpPr>
      <xdr:spPr bwMode="auto">
        <a:xfrm>
          <a:off x="2438400" y="91754325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542925</xdr:colOff>
      <xdr:row>544</xdr:row>
      <xdr:rowOff>95250</xdr:rowOff>
    </xdr:from>
    <xdr:to>
      <xdr:col>3</xdr:col>
      <xdr:colOff>542925</xdr:colOff>
      <xdr:row>545</xdr:row>
      <xdr:rowOff>38100</xdr:rowOff>
    </xdr:to>
    <xdr:sp macro="" textlink="">
      <xdr:nvSpPr>
        <xdr:cNvPr id="713" name="Line 696"/>
        <xdr:cNvSpPr>
          <a:spLocks noChangeShapeType="1"/>
        </xdr:cNvSpPr>
      </xdr:nvSpPr>
      <xdr:spPr bwMode="auto">
        <a:xfrm>
          <a:off x="2505075" y="9184957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381000</xdr:colOff>
      <xdr:row>536</xdr:row>
      <xdr:rowOff>152400</xdr:rowOff>
    </xdr:from>
    <xdr:to>
      <xdr:col>4</xdr:col>
      <xdr:colOff>0</xdr:colOff>
      <xdr:row>536</xdr:row>
      <xdr:rowOff>152400</xdr:rowOff>
    </xdr:to>
    <xdr:sp macro="" textlink="">
      <xdr:nvSpPr>
        <xdr:cNvPr id="714" name="Line 703"/>
        <xdr:cNvSpPr>
          <a:spLocks noChangeShapeType="1"/>
        </xdr:cNvSpPr>
      </xdr:nvSpPr>
      <xdr:spPr bwMode="auto">
        <a:xfrm>
          <a:off x="2343150" y="905827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495300</xdr:colOff>
      <xdr:row>536</xdr:row>
      <xdr:rowOff>152400</xdr:rowOff>
    </xdr:from>
    <xdr:to>
      <xdr:col>3</xdr:col>
      <xdr:colOff>495300</xdr:colOff>
      <xdr:row>537</xdr:row>
      <xdr:rowOff>152400</xdr:rowOff>
    </xdr:to>
    <xdr:sp macro="" textlink="">
      <xdr:nvSpPr>
        <xdr:cNvPr id="715" name="Line 704"/>
        <xdr:cNvSpPr>
          <a:spLocks noChangeShapeType="1"/>
        </xdr:cNvSpPr>
      </xdr:nvSpPr>
      <xdr:spPr bwMode="auto">
        <a:xfrm flipV="1">
          <a:off x="2457450" y="905827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276225</xdr:colOff>
      <xdr:row>522</xdr:row>
      <xdr:rowOff>152400</xdr:rowOff>
    </xdr:from>
    <xdr:to>
      <xdr:col>3</xdr:col>
      <xdr:colOff>276225</xdr:colOff>
      <xdr:row>534</xdr:row>
      <xdr:rowOff>95250</xdr:rowOff>
    </xdr:to>
    <xdr:sp macro="" textlink="">
      <xdr:nvSpPr>
        <xdr:cNvPr id="716" name="Line 712"/>
        <xdr:cNvSpPr>
          <a:spLocks noChangeShapeType="1"/>
        </xdr:cNvSpPr>
      </xdr:nvSpPr>
      <xdr:spPr bwMode="auto">
        <a:xfrm>
          <a:off x="2238375" y="88315800"/>
          <a:ext cx="0" cy="1885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438150</xdr:colOff>
      <xdr:row>523</xdr:row>
      <xdr:rowOff>0</xdr:rowOff>
    </xdr:from>
    <xdr:to>
      <xdr:col>2</xdr:col>
      <xdr:colOff>600075</xdr:colOff>
      <xdr:row>523</xdr:row>
      <xdr:rowOff>0</xdr:rowOff>
    </xdr:to>
    <xdr:sp macro="" textlink="">
      <xdr:nvSpPr>
        <xdr:cNvPr id="717" name="Line 713"/>
        <xdr:cNvSpPr>
          <a:spLocks noChangeShapeType="1"/>
        </xdr:cNvSpPr>
      </xdr:nvSpPr>
      <xdr:spPr bwMode="auto">
        <a:xfrm flipH="1">
          <a:off x="1047750" y="883253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85725</xdr:colOff>
      <xdr:row>536</xdr:row>
      <xdr:rowOff>152400</xdr:rowOff>
    </xdr:from>
    <xdr:to>
      <xdr:col>3</xdr:col>
      <xdr:colOff>390525</xdr:colOff>
      <xdr:row>537</xdr:row>
      <xdr:rowOff>0</xdr:rowOff>
    </xdr:to>
    <xdr:sp macro="" textlink="">
      <xdr:nvSpPr>
        <xdr:cNvPr id="718" name="Line 714"/>
        <xdr:cNvSpPr>
          <a:spLocks noChangeShapeType="1"/>
        </xdr:cNvSpPr>
      </xdr:nvSpPr>
      <xdr:spPr bwMode="auto">
        <a:xfrm flipH="1">
          <a:off x="695325" y="90582750"/>
          <a:ext cx="1657350" cy="952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539</xdr:row>
      <xdr:rowOff>142875</xdr:rowOff>
    </xdr:from>
    <xdr:to>
      <xdr:col>4</xdr:col>
      <xdr:colOff>0</xdr:colOff>
      <xdr:row>541</xdr:row>
      <xdr:rowOff>152400</xdr:rowOff>
    </xdr:to>
    <xdr:sp macro="" textlink="">
      <xdr:nvSpPr>
        <xdr:cNvPr id="719" name="Line 715"/>
        <xdr:cNvSpPr>
          <a:spLocks noChangeShapeType="1"/>
        </xdr:cNvSpPr>
      </xdr:nvSpPr>
      <xdr:spPr bwMode="auto">
        <a:xfrm>
          <a:off x="685800" y="91059000"/>
          <a:ext cx="182880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533</xdr:row>
      <xdr:rowOff>47625</xdr:rowOff>
    </xdr:from>
    <xdr:to>
      <xdr:col>4</xdr:col>
      <xdr:colOff>0</xdr:colOff>
      <xdr:row>533</xdr:row>
      <xdr:rowOff>47625</xdr:rowOff>
    </xdr:to>
    <xdr:sp macro="" textlink="">
      <xdr:nvSpPr>
        <xdr:cNvPr id="720" name="Line 717"/>
        <xdr:cNvSpPr>
          <a:spLocks noChangeShapeType="1"/>
        </xdr:cNvSpPr>
      </xdr:nvSpPr>
      <xdr:spPr bwMode="auto">
        <a:xfrm>
          <a:off x="2247900" y="8999220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523875</xdr:colOff>
      <xdr:row>534</xdr:row>
      <xdr:rowOff>95250</xdr:rowOff>
    </xdr:from>
    <xdr:to>
      <xdr:col>3</xdr:col>
      <xdr:colOff>266700</xdr:colOff>
      <xdr:row>534</xdr:row>
      <xdr:rowOff>95250</xdr:rowOff>
    </xdr:to>
    <xdr:sp macro="" textlink="">
      <xdr:nvSpPr>
        <xdr:cNvPr id="721" name="Line 718"/>
        <xdr:cNvSpPr>
          <a:spLocks noChangeShapeType="1"/>
        </xdr:cNvSpPr>
      </xdr:nvSpPr>
      <xdr:spPr bwMode="auto">
        <a:xfrm>
          <a:off x="1743075" y="90201750"/>
          <a:ext cx="485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523875</xdr:colOff>
      <xdr:row>536</xdr:row>
      <xdr:rowOff>142875</xdr:rowOff>
    </xdr:from>
    <xdr:to>
      <xdr:col>2</xdr:col>
      <xdr:colOff>523875</xdr:colOff>
      <xdr:row>540</xdr:row>
      <xdr:rowOff>142875</xdr:rowOff>
    </xdr:to>
    <xdr:sp macro="" textlink="">
      <xdr:nvSpPr>
        <xdr:cNvPr id="722" name="Line 719"/>
        <xdr:cNvSpPr>
          <a:spLocks noChangeShapeType="1"/>
        </xdr:cNvSpPr>
      </xdr:nvSpPr>
      <xdr:spPr bwMode="auto">
        <a:xfrm flipV="1">
          <a:off x="1743075" y="90573225"/>
          <a:ext cx="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3</xdr:col>
      <xdr:colOff>285750</xdr:colOff>
      <xdr:row>536</xdr:row>
      <xdr:rowOff>152400</xdr:rowOff>
    </xdr:from>
    <xdr:to>
      <xdr:col>3</xdr:col>
      <xdr:colOff>285750</xdr:colOff>
      <xdr:row>541</xdr:row>
      <xdr:rowOff>66675</xdr:rowOff>
    </xdr:to>
    <xdr:sp macro="" textlink="">
      <xdr:nvSpPr>
        <xdr:cNvPr id="723" name="Line 720"/>
        <xdr:cNvSpPr>
          <a:spLocks noChangeShapeType="1"/>
        </xdr:cNvSpPr>
      </xdr:nvSpPr>
      <xdr:spPr bwMode="auto">
        <a:xfrm flipV="1">
          <a:off x="2247900" y="90582750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4</xdr:col>
      <xdr:colOff>9525</xdr:colOff>
      <xdr:row>537</xdr:row>
      <xdr:rowOff>133350</xdr:rowOff>
    </xdr:from>
    <xdr:to>
      <xdr:col>4</xdr:col>
      <xdr:colOff>9525</xdr:colOff>
      <xdr:row>541</xdr:row>
      <xdr:rowOff>152400</xdr:rowOff>
    </xdr:to>
    <xdr:sp macro="" textlink="">
      <xdr:nvSpPr>
        <xdr:cNvPr id="724" name="Line 721"/>
        <xdr:cNvSpPr>
          <a:spLocks noChangeShapeType="1"/>
        </xdr:cNvSpPr>
      </xdr:nvSpPr>
      <xdr:spPr bwMode="auto">
        <a:xfrm flipV="1">
          <a:off x="2524125" y="90725625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95250</xdr:colOff>
      <xdr:row>536</xdr:row>
      <xdr:rowOff>152400</xdr:rowOff>
    </xdr:from>
    <xdr:to>
      <xdr:col>1</xdr:col>
      <xdr:colOff>95250</xdr:colOff>
      <xdr:row>539</xdr:row>
      <xdr:rowOff>152400</xdr:rowOff>
    </xdr:to>
    <xdr:sp macro="" textlink="">
      <xdr:nvSpPr>
        <xdr:cNvPr id="725" name="Line 722"/>
        <xdr:cNvSpPr>
          <a:spLocks noChangeShapeType="1"/>
        </xdr:cNvSpPr>
      </xdr:nvSpPr>
      <xdr:spPr bwMode="auto">
        <a:xfrm flipV="1">
          <a:off x="704850" y="90582750"/>
          <a:ext cx="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104775</xdr:colOff>
      <xdr:row>540</xdr:row>
      <xdr:rowOff>0</xdr:rowOff>
    </xdr:from>
    <xdr:to>
      <xdr:col>4</xdr:col>
      <xdr:colOff>9525</xdr:colOff>
      <xdr:row>540</xdr:row>
      <xdr:rowOff>0</xdr:rowOff>
    </xdr:to>
    <xdr:sp macro="" textlink="">
      <xdr:nvSpPr>
        <xdr:cNvPr id="726" name="Line 723"/>
        <xdr:cNvSpPr>
          <a:spLocks noChangeShapeType="1"/>
        </xdr:cNvSpPr>
      </xdr:nvSpPr>
      <xdr:spPr bwMode="auto">
        <a:xfrm>
          <a:off x="714375" y="91078050"/>
          <a:ext cx="180975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541</xdr:row>
      <xdr:rowOff>66675</xdr:rowOff>
    </xdr:from>
    <xdr:to>
      <xdr:col>4</xdr:col>
      <xdr:colOff>0</xdr:colOff>
      <xdr:row>541</xdr:row>
      <xdr:rowOff>66675</xdr:rowOff>
    </xdr:to>
    <xdr:sp macro="" textlink="">
      <xdr:nvSpPr>
        <xdr:cNvPr id="727" name="Line 724"/>
        <xdr:cNvSpPr>
          <a:spLocks noChangeShapeType="1"/>
        </xdr:cNvSpPr>
      </xdr:nvSpPr>
      <xdr:spPr bwMode="auto">
        <a:xfrm>
          <a:off x="2200275" y="91306650"/>
          <a:ext cx="314325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76200</xdr:colOff>
      <xdr:row>537</xdr:row>
      <xdr:rowOff>0</xdr:rowOff>
    </xdr:from>
    <xdr:to>
      <xdr:col>4</xdr:col>
      <xdr:colOff>180975</xdr:colOff>
      <xdr:row>537</xdr:row>
      <xdr:rowOff>0</xdr:rowOff>
    </xdr:to>
    <xdr:sp macro="" textlink="">
      <xdr:nvSpPr>
        <xdr:cNvPr id="728" name="Line 725"/>
        <xdr:cNvSpPr>
          <a:spLocks noChangeShapeType="1"/>
        </xdr:cNvSpPr>
      </xdr:nvSpPr>
      <xdr:spPr bwMode="auto">
        <a:xfrm>
          <a:off x="2590800" y="9059227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542</xdr:row>
      <xdr:rowOff>0</xdr:rowOff>
    </xdr:from>
    <xdr:to>
      <xdr:col>4</xdr:col>
      <xdr:colOff>142875</xdr:colOff>
      <xdr:row>542</xdr:row>
      <xdr:rowOff>0</xdr:rowOff>
    </xdr:to>
    <xdr:sp macro="" textlink="">
      <xdr:nvSpPr>
        <xdr:cNvPr id="729" name="Line 726"/>
        <xdr:cNvSpPr>
          <a:spLocks noChangeShapeType="1"/>
        </xdr:cNvSpPr>
      </xdr:nvSpPr>
      <xdr:spPr bwMode="auto">
        <a:xfrm>
          <a:off x="2562225" y="9143047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536</xdr:row>
      <xdr:rowOff>142875</xdr:rowOff>
    </xdr:from>
    <xdr:to>
      <xdr:col>4</xdr:col>
      <xdr:colOff>104775</xdr:colOff>
      <xdr:row>541</xdr:row>
      <xdr:rowOff>152400</xdr:rowOff>
    </xdr:to>
    <xdr:sp macro="" textlink="">
      <xdr:nvSpPr>
        <xdr:cNvPr id="730" name="Line 727"/>
        <xdr:cNvSpPr>
          <a:spLocks noChangeShapeType="1"/>
        </xdr:cNvSpPr>
      </xdr:nvSpPr>
      <xdr:spPr bwMode="auto">
        <a:xfrm>
          <a:off x="2619375" y="90573225"/>
          <a:ext cx="0" cy="819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104775</xdr:colOff>
      <xdr:row>538</xdr:row>
      <xdr:rowOff>85726</xdr:rowOff>
    </xdr:from>
    <xdr:to>
      <xdr:col>4</xdr:col>
      <xdr:colOff>295275</xdr:colOff>
      <xdr:row>539</xdr:row>
      <xdr:rowOff>76201</xdr:rowOff>
    </xdr:to>
    <xdr:sp macro="" textlink="">
      <xdr:nvSpPr>
        <xdr:cNvPr id="731" name="Line 728"/>
        <xdr:cNvSpPr>
          <a:spLocks noChangeShapeType="1"/>
        </xdr:cNvSpPr>
      </xdr:nvSpPr>
      <xdr:spPr bwMode="auto">
        <a:xfrm flipH="1">
          <a:off x="2619375" y="90839926"/>
          <a:ext cx="1905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228600</xdr:colOff>
      <xdr:row>540</xdr:row>
      <xdr:rowOff>0</xdr:rowOff>
    </xdr:from>
    <xdr:to>
      <xdr:col>4</xdr:col>
      <xdr:colOff>361950</xdr:colOff>
      <xdr:row>540</xdr:row>
      <xdr:rowOff>0</xdr:rowOff>
    </xdr:to>
    <xdr:sp macro="" textlink="">
      <xdr:nvSpPr>
        <xdr:cNvPr id="732" name="Line 729"/>
        <xdr:cNvSpPr>
          <a:spLocks noChangeShapeType="1"/>
        </xdr:cNvSpPr>
      </xdr:nvSpPr>
      <xdr:spPr bwMode="auto">
        <a:xfrm>
          <a:off x="2743200" y="91078050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542</xdr:row>
      <xdr:rowOff>0</xdr:rowOff>
    </xdr:from>
    <xdr:to>
      <xdr:col>4</xdr:col>
      <xdr:colOff>371475</xdr:colOff>
      <xdr:row>542</xdr:row>
      <xdr:rowOff>0</xdr:rowOff>
    </xdr:to>
    <xdr:sp macro="" textlink="">
      <xdr:nvSpPr>
        <xdr:cNvPr id="733" name="Line 730"/>
        <xdr:cNvSpPr>
          <a:spLocks noChangeShapeType="1"/>
        </xdr:cNvSpPr>
      </xdr:nvSpPr>
      <xdr:spPr bwMode="auto">
        <a:xfrm>
          <a:off x="2743200" y="914304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540</xdr:row>
      <xdr:rowOff>0</xdr:rowOff>
    </xdr:from>
    <xdr:to>
      <xdr:col>4</xdr:col>
      <xdr:colOff>285750</xdr:colOff>
      <xdr:row>542</xdr:row>
      <xdr:rowOff>0</xdr:rowOff>
    </xdr:to>
    <xdr:sp macro="" textlink="">
      <xdr:nvSpPr>
        <xdr:cNvPr id="734" name="Line 731"/>
        <xdr:cNvSpPr>
          <a:spLocks noChangeShapeType="1"/>
        </xdr:cNvSpPr>
      </xdr:nvSpPr>
      <xdr:spPr bwMode="auto">
        <a:xfrm>
          <a:off x="2800350" y="91078050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295274</xdr:colOff>
      <xdr:row>539</xdr:row>
      <xdr:rowOff>95250</xdr:rowOff>
    </xdr:from>
    <xdr:to>
      <xdr:col>5</xdr:col>
      <xdr:colOff>228600</xdr:colOff>
      <xdr:row>541</xdr:row>
      <xdr:rowOff>19050</xdr:rowOff>
    </xdr:to>
    <xdr:sp macro="" textlink="">
      <xdr:nvSpPr>
        <xdr:cNvPr id="735" name="Line 732"/>
        <xdr:cNvSpPr>
          <a:spLocks noChangeShapeType="1"/>
        </xdr:cNvSpPr>
      </xdr:nvSpPr>
      <xdr:spPr bwMode="auto">
        <a:xfrm flipH="1">
          <a:off x="2809874" y="91011375"/>
          <a:ext cx="704851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561975</xdr:colOff>
      <xdr:row>540</xdr:row>
      <xdr:rowOff>85725</xdr:rowOff>
    </xdr:from>
    <xdr:to>
      <xdr:col>3</xdr:col>
      <xdr:colOff>285750</xdr:colOff>
      <xdr:row>543</xdr:row>
      <xdr:rowOff>95250</xdr:rowOff>
    </xdr:to>
    <xdr:sp macro="" textlink="">
      <xdr:nvSpPr>
        <xdr:cNvPr id="736" name="Line 733"/>
        <xdr:cNvSpPr>
          <a:spLocks noChangeShapeType="1"/>
        </xdr:cNvSpPr>
      </xdr:nvSpPr>
      <xdr:spPr bwMode="auto">
        <a:xfrm flipV="1">
          <a:off x="1781175" y="91163775"/>
          <a:ext cx="466725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628650</xdr:colOff>
      <xdr:row>539</xdr:row>
      <xdr:rowOff>142875</xdr:rowOff>
    </xdr:from>
    <xdr:to>
      <xdr:col>2</xdr:col>
      <xdr:colOff>495300</xdr:colOff>
      <xdr:row>542</xdr:row>
      <xdr:rowOff>28575</xdr:rowOff>
    </xdr:to>
    <xdr:sp macro="" textlink="">
      <xdr:nvSpPr>
        <xdr:cNvPr id="737" name="Line 734"/>
        <xdr:cNvSpPr>
          <a:spLocks noChangeShapeType="1"/>
        </xdr:cNvSpPr>
      </xdr:nvSpPr>
      <xdr:spPr bwMode="auto">
        <a:xfrm flipV="1">
          <a:off x="1219200" y="91059000"/>
          <a:ext cx="49530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533400</xdr:colOff>
      <xdr:row>541</xdr:row>
      <xdr:rowOff>66675</xdr:rowOff>
    </xdr:from>
    <xdr:to>
      <xdr:col>4</xdr:col>
      <xdr:colOff>628650</xdr:colOff>
      <xdr:row>541</xdr:row>
      <xdr:rowOff>66675</xdr:rowOff>
    </xdr:to>
    <xdr:sp macro="" textlink="">
      <xdr:nvSpPr>
        <xdr:cNvPr id="738" name="Line 735"/>
        <xdr:cNvSpPr>
          <a:spLocks noChangeShapeType="1"/>
        </xdr:cNvSpPr>
      </xdr:nvSpPr>
      <xdr:spPr bwMode="auto">
        <a:xfrm>
          <a:off x="3048000" y="913066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542</xdr:row>
      <xdr:rowOff>0</xdr:rowOff>
    </xdr:from>
    <xdr:to>
      <xdr:col>4</xdr:col>
      <xdr:colOff>628650</xdr:colOff>
      <xdr:row>542</xdr:row>
      <xdr:rowOff>0</xdr:rowOff>
    </xdr:to>
    <xdr:sp macro="" textlink="">
      <xdr:nvSpPr>
        <xdr:cNvPr id="739" name="Line 736"/>
        <xdr:cNvSpPr>
          <a:spLocks noChangeShapeType="1"/>
        </xdr:cNvSpPr>
      </xdr:nvSpPr>
      <xdr:spPr bwMode="auto">
        <a:xfrm>
          <a:off x="3076575" y="9143047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542</xdr:row>
      <xdr:rowOff>0</xdr:rowOff>
    </xdr:from>
    <xdr:to>
      <xdr:col>4</xdr:col>
      <xdr:colOff>600075</xdr:colOff>
      <xdr:row>542</xdr:row>
      <xdr:rowOff>142875</xdr:rowOff>
    </xdr:to>
    <xdr:sp macro="" textlink="">
      <xdr:nvSpPr>
        <xdr:cNvPr id="740" name="Line 737"/>
        <xdr:cNvSpPr>
          <a:spLocks noChangeShapeType="1"/>
        </xdr:cNvSpPr>
      </xdr:nvSpPr>
      <xdr:spPr bwMode="auto">
        <a:xfrm flipV="1">
          <a:off x="3114675" y="91430475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540</xdr:row>
      <xdr:rowOff>114300</xdr:rowOff>
    </xdr:from>
    <xdr:to>
      <xdr:col>4</xdr:col>
      <xdr:colOff>600075</xdr:colOff>
      <xdr:row>541</xdr:row>
      <xdr:rowOff>66675</xdr:rowOff>
    </xdr:to>
    <xdr:sp macro="" textlink="">
      <xdr:nvSpPr>
        <xdr:cNvPr id="741" name="Line 738"/>
        <xdr:cNvSpPr>
          <a:spLocks noChangeShapeType="1"/>
        </xdr:cNvSpPr>
      </xdr:nvSpPr>
      <xdr:spPr bwMode="auto">
        <a:xfrm>
          <a:off x="3114675" y="911923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609599</xdr:colOff>
      <xdr:row>541</xdr:row>
      <xdr:rowOff>68581</xdr:rowOff>
    </xdr:from>
    <xdr:to>
      <xdr:col>6</xdr:col>
      <xdr:colOff>266699</xdr:colOff>
      <xdr:row>541</xdr:row>
      <xdr:rowOff>114300</xdr:rowOff>
    </xdr:to>
    <xdr:sp macro="" textlink="">
      <xdr:nvSpPr>
        <xdr:cNvPr id="742" name="Line 740"/>
        <xdr:cNvSpPr>
          <a:spLocks noChangeShapeType="1"/>
        </xdr:cNvSpPr>
      </xdr:nvSpPr>
      <xdr:spPr bwMode="auto">
        <a:xfrm flipH="1">
          <a:off x="3124199" y="91308556"/>
          <a:ext cx="1133475" cy="457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0</xdr:col>
      <xdr:colOff>400050</xdr:colOff>
      <xdr:row>538</xdr:row>
      <xdr:rowOff>28575</xdr:rowOff>
    </xdr:from>
    <xdr:to>
      <xdr:col>1</xdr:col>
      <xdr:colOff>66675</xdr:colOff>
      <xdr:row>538</xdr:row>
      <xdr:rowOff>85725</xdr:rowOff>
    </xdr:to>
    <xdr:sp macro="" textlink="">
      <xdr:nvSpPr>
        <xdr:cNvPr id="743" name="Line 741"/>
        <xdr:cNvSpPr>
          <a:spLocks noChangeShapeType="1"/>
        </xdr:cNvSpPr>
      </xdr:nvSpPr>
      <xdr:spPr bwMode="auto">
        <a:xfrm flipV="1">
          <a:off x="400050" y="90782775"/>
          <a:ext cx="276225" cy="571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66675</xdr:colOff>
      <xdr:row>534</xdr:row>
      <xdr:rowOff>85725</xdr:rowOff>
    </xdr:from>
    <xdr:to>
      <xdr:col>2</xdr:col>
      <xdr:colOff>495300</xdr:colOff>
      <xdr:row>534</xdr:row>
      <xdr:rowOff>85725</xdr:rowOff>
    </xdr:to>
    <xdr:sp macro="" textlink="">
      <xdr:nvSpPr>
        <xdr:cNvPr id="744" name="Line 743"/>
        <xdr:cNvSpPr>
          <a:spLocks noChangeShapeType="1"/>
        </xdr:cNvSpPr>
      </xdr:nvSpPr>
      <xdr:spPr bwMode="auto">
        <a:xfrm flipH="1">
          <a:off x="676275" y="90192225"/>
          <a:ext cx="10382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534</xdr:row>
      <xdr:rowOff>76200</xdr:rowOff>
    </xdr:from>
    <xdr:to>
      <xdr:col>4</xdr:col>
      <xdr:colOff>9525</xdr:colOff>
      <xdr:row>534</xdr:row>
      <xdr:rowOff>76200</xdr:rowOff>
    </xdr:to>
    <xdr:sp macro="" textlink="">
      <xdr:nvSpPr>
        <xdr:cNvPr id="745" name="Line 744"/>
        <xdr:cNvSpPr>
          <a:spLocks noChangeShapeType="1"/>
        </xdr:cNvSpPr>
      </xdr:nvSpPr>
      <xdr:spPr bwMode="auto">
        <a:xfrm>
          <a:off x="2247900" y="90182700"/>
          <a:ext cx="2762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1</xdr:col>
      <xdr:colOff>76200</xdr:colOff>
      <xdr:row>534</xdr:row>
      <xdr:rowOff>85725</xdr:rowOff>
    </xdr:from>
    <xdr:to>
      <xdr:col>1</xdr:col>
      <xdr:colOff>76200</xdr:colOff>
      <xdr:row>537</xdr:row>
      <xdr:rowOff>0</xdr:rowOff>
    </xdr:to>
    <xdr:sp macro="" textlink="">
      <xdr:nvSpPr>
        <xdr:cNvPr id="746" name="Line 745"/>
        <xdr:cNvSpPr>
          <a:spLocks noChangeShapeType="1"/>
        </xdr:cNvSpPr>
      </xdr:nvSpPr>
      <xdr:spPr bwMode="auto">
        <a:xfrm>
          <a:off x="685800" y="90192225"/>
          <a:ext cx="0" cy="40005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19050</xdr:colOff>
      <xdr:row>534</xdr:row>
      <xdr:rowOff>66675</xdr:rowOff>
    </xdr:from>
    <xdr:to>
      <xdr:col>4</xdr:col>
      <xdr:colOff>19050</xdr:colOff>
      <xdr:row>538</xdr:row>
      <xdr:rowOff>9525</xdr:rowOff>
    </xdr:to>
    <xdr:sp macro="" textlink="">
      <xdr:nvSpPr>
        <xdr:cNvPr id="747" name="Line 746"/>
        <xdr:cNvSpPr>
          <a:spLocks noChangeShapeType="1"/>
        </xdr:cNvSpPr>
      </xdr:nvSpPr>
      <xdr:spPr bwMode="auto">
        <a:xfrm>
          <a:off x="2533650" y="90173175"/>
          <a:ext cx="0" cy="590550"/>
        </a:xfrm>
        <a:custGeom>
          <a:avLst/>
          <a:gdLst>
            <a:gd name="T0" fmla="*/ 0 w 6986"/>
            <a:gd name="T1" fmla="*/ 0 h 566925"/>
            <a:gd name="T2" fmla="*/ 0 w 6986"/>
            <a:gd name="T3" fmla="*/ 695311 h 566925"/>
            <a:gd name="T4" fmla="*/ 0 60000 65536"/>
            <a:gd name="T5" fmla="*/ 0 60000 65536"/>
            <a:gd name="T6" fmla="*/ 0 w 6986"/>
            <a:gd name="T7" fmla="*/ 0 h 566925"/>
            <a:gd name="T8" fmla="*/ 0 w 6986"/>
            <a:gd name="T9" fmla="*/ 566925 h 566925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6986" h="566925">
              <a:moveTo>
                <a:pt x="4446" y="0"/>
              </a:moveTo>
              <a:cubicBezTo>
                <a:pt x="6986" y="231648"/>
                <a:pt x="0" y="335277"/>
                <a:pt x="2540" y="566925"/>
              </a:cubicBezTo>
            </a:path>
          </a:pathLst>
        </a:cu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537</xdr:row>
      <xdr:rowOff>0</xdr:rowOff>
    </xdr:from>
    <xdr:to>
      <xdr:col>3</xdr:col>
      <xdr:colOff>504825</xdr:colOff>
      <xdr:row>537</xdr:row>
      <xdr:rowOff>152400</xdr:rowOff>
    </xdr:to>
    <xdr:sp macro="" textlink="">
      <xdr:nvSpPr>
        <xdr:cNvPr id="748" name="Line 747"/>
        <xdr:cNvSpPr>
          <a:spLocks noChangeShapeType="1"/>
        </xdr:cNvSpPr>
      </xdr:nvSpPr>
      <xdr:spPr bwMode="auto">
        <a:xfrm>
          <a:off x="2333625" y="90592275"/>
          <a:ext cx="133350" cy="15240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514350</xdr:colOff>
      <xdr:row>537</xdr:row>
      <xdr:rowOff>142875</xdr:rowOff>
    </xdr:from>
    <xdr:to>
      <xdr:col>4</xdr:col>
      <xdr:colOff>9525</xdr:colOff>
      <xdr:row>537</xdr:row>
      <xdr:rowOff>142875</xdr:rowOff>
    </xdr:to>
    <xdr:sp macro="" textlink="">
      <xdr:nvSpPr>
        <xdr:cNvPr id="749" name="Line 748"/>
        <xdr:cNvSpPr>
          <a:spLocks noChangeShapeType="1"/>
        </xdr:cNvSpPr>
      </xdr:nvSpPr>
      <xdr:spPr bwMode="auto">
        <a:xfrm>
          <a:off x="2476500" y="90735150"/>
          <a:ext cx="476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537</xdr:row>
      <xdr:rowOff>0</xdr:rowOff>
    </xdr:from>
    <xdr:to>
      <xdr:col>4</xdr:col>
      <xdr:colOff>361950</xdr:colOff>
      <xdr:row>537</xdr:row>
      <xdr:rowOff>0</xdr:rowOff>
    </xdr:to>
    <xdr:sp macro="" textlink="">
      <xdr:nvSpPr>
        <xdr:cNvPr id="750" name="Line 749"/>
        <xdr:cNvSpPr>
          <a:spLocks noChangeShapeType="1"/>
        </xdr:cNvSpPr>
      </xdr:nvSpPr>
      <xdr:spPr bwMode="auto">
        <a:xfrm>
          <a:off x="2762250" y="905922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247650</xdr:colOff>
      <xdr:row>537</xdr:row>
      <xdr:rowOff>0</xdr:rowOff>
    </xdr:from>
    <xdr:to>
      <xdr:col>4</xdr:col>
      <xdr:colOff>247650</xdr:colOff>
      <xdr:row>537</xdr:row>
      <xdr:rowOff>152400</xdr:rowOff>
    </xdr:to>
    <xdr:sp macro="" textlink="">
      <xdr:nvSpPr>
        <xdr:cNvPr id="752" name="Line 753"/>
        <xdr:cNvSpPr>
          <a:spLocks noChangeShapeType="1"/>
        </xdr:cNvSpPr>
      </xdr:nvSpPr>
      <xdr:spPr bwMode="auto">
        <a:xfrm>
          <a:off x="2762250" y="905922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9525</xdr:colOff>
      <xdr:row>543</xdr:row>
      <xdr:rowOff>114300</xdr:rowOff>
    </xdr:from>
    <xdr:to>
      <xdr:col>4</xdr:col>
      <xdr:colOff>9525</xdr:colOff>
      <xdr:row>544</xdr:row>
      <xdr:rowOff>47625</xdr:rowOff>
    </xdr:to>
    <xdr:sp macro="" textlink="">
      <xdr:nvSpPr>
        <xdr:cNvPr id="753" name="Line 755"/>
        <xdr:cNvSpPr>
          <a:spLocks noChangeShapeType="1"/>
        </xdr:cNvSpPr>
      </xdr:nvSpPr>
      <xdr:spPr bwMode="auto">
        <a:xfrm>
          <a:off x="2524125" y="917067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544</xdr:row>
      <xdr:rowOff>0</xdr:rowOff>
    </xdr:from>
    <xdr:to>
      <xdr:col>4</xdr:col>
      <xdr:colOff>9525</xdr:colOff>
      <xdr:row>544</xdr:row>
      <xdr:rowOff>0</xdr:rowOff>
    </xdr:to>
    <xdr:sp macro="" textlink="">
      <xdr:nvSpPr>
        <xdr:cNvPr id="754" name="Line 756"/>
        <xdr:cNvSpPr>
          <a:spLocks noChangeShapeType="1"/>
        </xdr:cNvSpPr>
      </xdr:nvSpPr>
      <xdr:spPr bwMode="auto">
        <a:xfrm>
          <a:off x="2438400" y="91754325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0</xdr:colOff>
      <xdr:row>545</xdr:row>
      <xdr:rowOff>104775</xdr:rowOff>
    </xdr:from>
    <xdr:to>
      <xdr:col>4</xdr:col>
      <xdr:colOff>0</xdr:colOff>
      <xdr:row>546</xdr:row>
      <xdr:rowOff>47625</xdr:rowOff>
    </xdr:to>
    <xdr:sp macro="" textlink="">
      <xdr:nvSpPr>
        <xdr:cNvPr id="755" name="Line 757"/>
        <xdr:cNvSpPr>
          <a:spLocks noChangeShapeType="1"/>
        </xdr:cNvSpPr>
      </xdr:nvSpPr>
      <xdr:spPr bwMode="auto">
        <a:xfrm>
          <a:off x="2514600" y="9202102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276225</xdr:colOff>
      <xdr:row>545</xdr:row>
      <xdr:rowOff>0</xdr:rowOff>
    </xdr:from>
    <xdr:to>
      <xdr:col>3</xdr:col>
      <xdr:colOff>552450</xdr:colOff>
      <xdr:row>545</xdr:row>
      <xdr:rowOff>0</xdr:rowOff>
    </xdr:to>
    <xdr:sp macro="" textlink="">
      <xdr:nvSpPr>
        <xdr:cNvPr id="756" name="Line 759"/>
        <xdr:cNvSpPr>
          <a:spLocks noChangeShapeType="1"/>
        </xdr:cNvSpPr>
      </xdr:nvSpPr>
      <xdr:spPr bwMode="auto">
        <a:xfrm>
          <a:off x="2238375" y="91916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600075</xdr:colOff>
      <xdr:row>545</xdr:row>
      <xdr:rowOff>114300</xdr:rowOff>
    </xdr:from>
    <xdr:to>
      <xdr:col>0</xdr:col>
      <xdr:colOff>600075</xdr:colOff>
      <xdr:row>546</xdr:row>
      <xdr:rowOff>19050</xdr:rowOff>
    </xdr:to>
    <xdr:sp macro="" textlink="">
      <xdr:nvSpPr>
        <xdr:cNvPr id="757" name="Line 760"/>
        <xdr:cNvSpPr>
          <a:spLocks noChangeShapeType="1"/>
        </xdr:cNvSpPr>
      </xdr:nvSpPr>
      <xdr:spPr bwMode="auto">
        <a:xfrm>
          <a:off x="600075" y="92030550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381000</xdr:colOff>
      <xdr:row>536</xdr:row>
      <xdr:rowOff>152400</xdr:rowOff>
    </xdr:from>
    <xdr:to>
      <xdr:col>4</xdr:col>
      <xdr:colOff>0</xdr:colOff>
      <xdr:row>536</xdr:row>
      <xdr:rowOff>152400</xdr:rowOff>
    </xdr:to>
    <xdr:sp macro="" textlink="">
      <xdr:nvSpPr>
        <xdr:cNvPr id="758" name="Line 764"/>
        <xdr:cNvSpPr>
          <a:spLocks noChangeShapeType="1"/>
        </xdr:cNvSpPr>
      </xdr:nvSpPr>
      <xdr:spPr bwMode="auto">
        <a:xfrm>
          <a:off x="2343150" y="905827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495300</xdr:colOff>
      <xdr:row>536</xdr:row>
      <xdr:rowOff>152400</xdr:rowOff>
    </xdr:from>
    <xdr:to>
      <xdr:col>3</xdr:col>
      <xdr:colOff>495300</xdr:colOff>
      <xdr:row>537</xdr:row>
      <xdr:rowOff>152400</xdr:rowOff>
    </xdr:to>
    <xdr:sp macro="" textlink="">
      <xdr:nvSpPr>
        <xdr:cNvPr id="759" name="Line 765"/>
        <xdr:cNvSpPr>
          <a:spLocks noChangeShapeType="1"/>
        </xdr:cNvSpPr>
      </xdr:nvSpPr>
      <xdr:spPr bwMode="auto">
        <a:xfrm flipV="1">
          <a:off x="2457450" y="905827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9525</xdr:colOff>
      <xdr:row>523</xdr:row>
      <xdr:rowOff>0</xdr:rowOff>
    </xdr:from>
    <xdr:to>
      <xdr:col>3</xdr:col>
      <xdr:colOff>276225</xdr:colOff>
      <xdr:row>523</xdr:row>
      <xdr:rowOff>0</xdr:rowOff>
    </xdr:to>
    <xdr:sp macro="" textlink="">
      <xdr:nvSpPr>
        <xdr:cNvPr id="760" name="Line 779"/>
        <xdr:cNvSpPr>
          <a:spLocks noChangeShapeType="1"/>
        </xdr:cNvSpPr>
      </xdr:nvSpPr>
      <xdr:spPr bwMode="auto">
        <a:xfrm>
          <a:off x="1971675" y="8832532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19050</xdr:colOff>
      <xdr:row>545</xdr:row>
      <xdr:rowOff>142875</xdr:rowOff>
    </xdr:from>
    <xdr:to>
      <xdr:col>3</xdr:col>
      <xdr:colOff>619125</xdr:colOff>
      <xdr:row>545</xdr:row>
      <xdr:rowOff>142875</xdr:rowOff>
    </xdr:to>
    <xdr:sp macro="" textlink="">
      <xdr:nvSpPr>
        <xdr:cNvPr id="761" name="Line 800"/>
        <xdr:cNvSpPr>
          <a:spLocks noChangeShapeType="1"/>
        </xdr:cNvSpPr>
      </xdr:nvSpPr>
      <xdr:spPr bwMode="auto">
        <a:xfrm>
          <a:off x="628650" y="92059125"/>
          <a:ext cx="1885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</xdr:col>
      <xdr:colOff>428625</xdr:colOff>
      <xdr:row>543</xdr:row>
      <xdr:rowOff>104775</xdr:rowOff>
    </xdr:from>
    <xdr:to>
      <xdr:col>3</xdr:col>
      <xdr:colOff>428625</xdr:colOff>
      <xdr:row>544</xdr:row>
      <xdr:rowOff>66675</xdr:rowOff>
    </xdr:to>
    <xdr:sp macro="" textlink="">
      <xdr:nvSpPr>
        <xdr:cNvPr id="762" name="Line 801"/>
        <xdr:cNvSpPr>
          <a:spLocks noChangeShapeType="1"/>
        </xdr:cNvSpPr>
      </xdr:nvSpPr>
      <xdr:spPr bwMode="auto">
        <a:xfrm>
          <a:off x="2390775" y="916971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228600</xdr:colOff>
      <xdr:row>531</xdr:row>
      <xdr:rowOff>0</xdr:rowOff>
    </xdr:from>
    <xdr:to>
      <xdr:col>7</xdr:col>
      <xdr:colOff>228600</xdr:colOff>
      <xdr:row>531</xdr:row>
      <xdr:rowOff>0</xdr:rowOff>
    </xdr:to>
    <xdr:sp macro="" textlink="">
      <xdr:nvSpPr>
        <xdr:cNvPr id="763" name="Line 803"/>
        <xdr:cNvSpPr>
          <a:spLocks noChangeShapeType="1"/>
        </xdr:cNvSpPr>
      </xdr:nvSpPr>
      <xdr:spPr bwMode="auto">
        <a:xfrm>
          <a:off x="4019550" y="88934925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533</xdr:row>
      <xdr:rowOff>95250</xdr:rowOff>
    </xdr:from>
    <xdr:to>
      <xdr:col>2</xdr:col>
      <xdr:colOff>104775</xdr:colOff>
      <xdr:row>534</xdr:row>
      <xdr:rowOff>85725</xdr:rowOff>
    </xdr:to>
    <xdr:sp macro="" textlink="">
      <xdr:nvSpPr>
        <xdr:cNvPr id="764" name="AutoShape 804"/>
        <xdr:cNvSpPr>
          <a:spLocks noChangeArrowheads="1"/>
        </xdr:cNvSpPr>
      </xdr:nvSpPr>
      <xdr:spPr bwMode="auto">
        <a:xfrm>
          <a:off x="1228725" y="90039825"/>
          <a:ext cx="95250" cy="1524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532</xdr:row>
      <xdr:rowOff>0</xdr:rowOff>
    </xdr:from>
    <xdr:to>
      <xdr:col>2</xdr:col>
      <xdr:colOff>523875</xdr:colOff>
      <xdr:row>532</xdr:row>
      <xdr:rowOff>9525</xdr:rowOff>
    </xdr:to>
    <xdr:sp macro="" textlink="">
      <xdr:nvSpPr>
        <xdr:cNvPr id="765" name="Line 808"/>
        <xdr:cNvSpPr>
          <a:spLocks noChangeShapeType="1"/>
        </xdr:cNvSpPr>
      </xdr:nvSpPr>
      <xdr:spPr bwMode="auto">
        <a:xfrm flipV="1">
          <a:off x="609600" y="89782650"/>
          <a:ext cx="11334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0</xdr:col>
      <xdr:colOff>57150</xdr:colOff>
      <xdr:row>537</xdr:row>
      <xdr:rowOff>0</xdr:rowOff>
    </xdr:from>
    <xdr:to>
      <xdr:col>0</xdr:col>
      <xdr:colOff>200025</xdr:colOff>
      <xdr:row>537</xdr:row>
      <xdr:rowOff>0</xdr:rowOff>
    </xdr:to>
    <xdr:sp macro="" textlink="">
      <xdr:nvSpPr>
        <xdr:cNvPr id="766" name="Line 814"/>
        <xdr:cNvSpPr>
          <a:spLocks noChangeShapeType="1"/>
        </xdr:cNvSpPr>
      </xdr:nvSpPr>
      <xdr:spPr bwMode="auto">
        <a:xfrm>
          <a:off x="57150" y="905922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142875</xdr:colOff>
      <xdr:row>531</xdr:row>
      <xdr:rowOff>9525</xdr:rowOff>
    </xdr:from>
    <xdr:to>
      <xdr:col>7</xdr:col>
      <xdr:colOff>142875</xdr:colOff>
      <xdr:row>534</xdr:row>
      <xdr:rowOff>66675</xdr:rowOff>
    </xdr:to>
    <xdr:sp macro="" textlink="">
      <xdr:nvSpPr>
        <xdr:cNvPr id="767" name="Line 822"/>
        <xdr:cNvSpPr>
          <a:spLocks noChangeShapeType="1"/>
        </xdr:cNvSpPr>
      </xdr:nvSpPr>
      <xdr:spPr bwMode="auto">
        <a:xfrm>
          <a:off x="4543425" y="889444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0</xdr:colOff>
      <xdr:row>527</xdr:row>
      <xdr:rowOff>0</xdr:rowOff>
    </xdr:from>
    <xdr:to>
      <xdr:col>0</xdr:col>
      <xdr:colOff>285750</xdr:colOff>
      <xdr:row>527</xdr:row>
      <xdr:rowOff>0</xdr:rowOff>
    </xdr:to>
    <xdr:sp macro="" textlink="">
      <xdr:nvSpPr>
        <xdr:cNvPr id="768" name="Line 824"/>
        <xdr:cNvSpPr>
          <a:spLocks noChangeShapeType="1"/>
        </xdr:cNvSpPr>
      </xdr:nvSpPr>
      <xdr:spPr bwMode="auto">
        <a:xfrm>
          <a:off x="0" y="88973025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523875</xdr:colOff>
      <xdr:row>415</xdr:row>
      <xdr:rowOff>0</xdr:rowOff>
    </xdr:from>
    <xdr:to>
      <xdr:col>3</xdr:col>
      <xdr:colOff>38100</xdr:colOff>
      <xdr:row>422</xdr:row>
      <xdr:rowOff>142875</xdr:rowOff>
    </xdr:to>
    <xdr:sp macro="" textlink="">
      <xdr:nvSpPr>
        <xdr:cNvPr id="769" name="Line 830"/>
        <xdr:cNvSpPr>
          <a:spLocks noChangeShapeType="1"/>
        </xdr:cNvSpPr>
      </xdr:nvSpPr>
      <xdr:spPr bwMode="auto">
        <a:xfrm flipH="1">
          <a:off x="1743075" y="70485000"/>
          <a:ext cx="257175" cy="1276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695326</xdr:colOff>
      <xdr:row>428</xdr:row>
      <xdr:rowOff>9525</xdr:rowOff>
    </xdr:from>
    <xdr:to>
      <xdr:col>4</xdr:col>
      <xdr:colOff>1</xdr:colOff>
      <xdr:row>429</xdr:row>
      <xdr:rowOff>152400</xdr:rowOff>
    </xdr:to>
    <xdr:sp macro="" textlink="">
      <xdr:nvSpPr>
        <xdr:cNvPr id="770" name="Line 833"/>
        <xdr:cNvSpPr>
          <a:spLocks noChangeShapeType="1"/>
        </xdr:cNvSpPr>
      </xdr:nvSpPr>
      <xdr:spPr bwMode="auto">
        <a:xfrm>
          <a:off x="695326" y="71913750"/>
          <a:ext cx="184785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423</xdr:row>
      <xdr:rowOff>142875</xdr:rowOff>
    </xdr:from>
    <xdr:to>
      <xdr:col>4</xdr:col>
      <xdr:colOff>0</xdr:colOff>
      <xdr:row>424</xdr:row>
      <xdr:rowOff>28575</xdr:rowOff>
    </xdr:to>
    <xdr:sp macro="" textlink="">
      <xdr:nvSpPr>
        <xdr:cNvPr id="771" name="Line 834"/>
        <xdr:cNvSpPr>
          <a:spLocks noChangeShapeType="1"/>
        </xdr:cNvSpPr>
      </xdr:nvSpPr>
      <xdr:spPr bwMode="auto">
        <a:xfrm>
          <a:off x="2514600" y="71923275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514350</xdr:colOff>
      <xdr:row>424</xdr:row>
      <xdr:rowOff>152400</xdr:rowOff>
    </xdr:from>
    <xdr:to>
      <xdr:col>2</xdr:col>
      <xdr:colOff>523875</xdr:colOff>
      <xdr:row>428</xdr:row>
      <xdr:rowOff>142875</xdr:rowOff>
    </xdr:to>
    <xdr:sp macro="" textlink="">
      <xdr:nvSpPr>
        <xdr:cNvPr id="772" name="Line 837"/>
        <xdr:cNvSpPr>
          <a:spLocks noChangeShapeType="1"/>
        </xdr:cNvSpPr>
      </xdr:nvSpPr>
      <xdr:spPr bwMode="auto">
        <a:xfrm flipH="1" flipV="1">
          <a:off x="1733550" y="72094725"/>
          <a:ext cx="9525" cy="638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3</xdr:col>
      <xdr:colOff>285750</xdr:colOff>
      <xdr:row>424</xdr:row>
      <xdr:rowOff>152400</xdr:rowOff>
    </xdr:from>
    <xdr:to>
      <xdr:col>3</xdr:col>
      <xdr:colOff>285750</xdr:colOff>
      <xdr:row>429</xdr:row>
      <xdr:rowOff>66675</xdr:rowOff>
    </xdr:to>
    <xdr:sp macro="" textlink="">
      <xdr:nvSpPr>
        <xdr:cNvPr id="773" name="Line 838"/>
        <xdr:cNvSpPr>
          <a:spLocks noChangeShapeType="1"/>
        </xdr:cNvSpPr>
      </xdr:nvSpPr>
      <xdr:spPr bwMode="auto">
        <a:xfrm flipV="1">
          <a:off x="2247900" y="72094725"/>
          <a:ext cx="0" cy="723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4</xdr:col>
      <xdr:colOff>9525</xdr:colOff>
      <xdr:row>425</xdr:row>
      <xdr:rowOff>133350</xdr:rowOff>
    </xdr:from>
    <xdr:to>
      <xdr:col>4</xdr:col>
      <xdr:colOff>9525</xdr:colOff>
      <xdr:row>429</xdr:row>
      <xdr:rowOff>152400</xdr:rowOff>
    </xdr:to>
    <xdr:sp macro="" textlink="">
      <xdr:nvSpPr>
        <xdr:cNvPr id="774" name="Line 839"/>
        <xdr:cNvSpPr>
          <a:spLocks noChangeShapeType="1"/>
        </xdr:cNvSpPr>
      </xdr:nvSpPr>
      <xdr:spPr bwMode="auto">
        <a:xfrm flipH="1" flipV="1">
          <a:off x="2524125" y="72237600"/>
          <a:ext cx="0" cy="666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0</xdr:colOff>
      <xdr:row>424</xdr:row>
      <xdr:rowOff>133350</xdr:rowOff>
    </xdr:from>
    <xdr:to>
      <xdr:col>1</xdr:col>
      <xdr:colOff>0</xdr:colOff>
      <xdr:row>427</xdr:row>
      <xdr:rowOff>152400</xdr:rowOff>
    </xdr:to>
    <xdr:sp macro="" textlink="">
      <xdr:nvSpPr>
        <xdr:cNvPr id="775" name="Line 840"/>
        <xdr:cNvSpPr>
          <a:spLocks noChangeShapeType="1"/>
        </xdr:cNvSpPr>
      </xdr:nvSpPr>
      <xdr:spPr bwMode="auto">
        <a:xfrm flipV="1">
          <a:off x="609600" y="72075675"/>
          <a:ext cx="0" cy="504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1</xdr:col>
      <xdr:colOff>104775</xdr:colOff>
      <xdr:row>428</xdr:row>
      <xdr:rowOff>0</xdr:rowOff>
    </xdr:from>
    <xdr:to>
      <xdr:col>4</xdr:col>
      <xdr:colOff>9525</xdr:colOff>
      <xdr:row>428</xdr:row>
      <xdr:rowOff>0</xdr:rowOff>
    </xdr:to>
    <xdr:sp macro="" textlink="">
      <xdr:nvSpPr>
        <xdr:cNvPr id="776" name="Line 841"/>
        <xdr:cNvSpPr>
          <a:spLocks noChangeShapeType="1"/>
        </xdr:cNvSpPr>
      </xdr:nvSpPr>
      <xdr:spPr bwMode="auto">
        <a:xfrm>
          <a:off x="714375" y="72590025"/>
          <a:ext cx="1809750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429</xdr:row>
      <xdr:rowOff>66675</xdr:rowOff>
    </xdr:from>
    <xdr:to>
      <xdr:col>4</xdr:col>
      <xdr:colOff>0</xdr:colOff>
      <xdr:row>429</xdr:row>
      <xdr:rowOff>66675</xdr:rowOff>
    </xdr:to>
    <xdr:sp macro="" textlink="">
      <xdr:nvSpPr>
        <xdr:cNvPr id="777" name="Line 842"/>
        <xdr:cNvSpPr>
          <a:spLocks noChangeShapeType="1"/>
        </xdr:cNvSpPr>
      </xdr:nvSpPr>
      <xdr:spPr bwMode="auto">
        <a:xfrm>
          <a:off x="2200275" y="72818625"/>
          <a:ext cx="314325" cy="0"/>
        </a:xfrm>
        <a:prstGeom prst="line">
          <a:avLst/>
        </a:prstGeom>
        <a:noFill/>
        <a:ln w="9525">
          <a:solidFill>
            <a:srgbClr val="0000FF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76200</xdr:colOff>
      <xdr:row>426</xdr:row>
      <xdr:rowOff>0</xdr:rowOff>
    </xdr:from>
    <xdr:to>
      <xdr:col>4</xdr:col>
      <xdr:colOff>180975</xdr:colOff>
      <xdr:row>426</xdr:row>
      <xdr:rowOff>0</xdr:rowOff>
    </xdr:to>
    <xdr:sp macro="" textlink="">
      <xdr:nvSpPr>
        <xdr:cNvPr id="778" name="Line 843"/>
        <xdr:cNvSpPr>
          <a:spLocks noChangeShapeType="1"/>
        </xdr:cNvSpPr>
      </xdr:nvSpPr>
      <xdr:spPr bwMode="auto">
        <a:xfrm>
          <a:off x="2590800" y="7226617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430</xdr:row>
      <xdr:rowOff>0</xdr:rowOff>
    </xdr:from>
    <xdr:to>
      <xdr:col>4</xdr:col>
      <xdr:colOff>142875</xdr:colOff>
      <xdr:row>430</xdr:row>
      <xdr:rowOff>0</xdr:rowOff>
    </xdr:to>
    <xdr:sp macro="" textlink="">
      <xdr:nvSpPr>
        <xdr:cNvPr id="779" name="Line 844"/>
        <xdr:cNvSpPr>
          <a:spLocks noChangeShapeType="1"/>
        </xdr:cNvSpPr>
      </xdr:nvSpPr>
      <xdr:spPr bwMode="auto">
        <a:xfrm>
          <a:off x="2562225" y="729424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425</xdr:row>
      <xdr:rowOff>142875</xdr:rowOff>
    </xdr:from>
    <xdr:to>
      <xdr:col>4</xdr:col>
      <xdr:colOff>104775</xdr:colOff>
      <xdr:row>429</xdr:row>
      <xdr:rowOff>152400</xdr:rowOff>
    </xdr:to>
    <xdr:sp macro="" textlink="">
      <xdr:nvSpPr>
        <xdr:cNvPr id="780" name="Line 845"/>
        <xdr:cNvSpPr>
          <a:spLocks noChangeShapeType="1"/>
        </xdr:cNvSpPr>
      </xdr:nvSpPr>
      <xdr:spPr bwMode="auto">
        <a:xfrm>
          <a:off x="2619375" y="7224712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228600</xdr:colOff>
      <xdr:row>428</xdr:row>
      <xdr:rowOff>0</xdr:rowOff>
    </xdr:from>
    <xdr:to>
      <xdr:col>4</xdr:col>
      <xdr:colOff>361950</xdr:colOff>
      <xdr:row>428</xdr:row>
      <xdr:rowOff>0</xdr:rowOff>
    </xdr:to>
    <xdr:sp macro="" textlink="">
      <xdr:nvSpPr>
        <xdr:cNvPr id="781" name="Line 847"/>
        <xdr:cNvSpPr>
          <a:spLocks noChangeShapeType="1"/>
        </xdr:cNvSpPr>
      </xdr:nvSpPr>
      <xdr:spPr bwMode="auto">
        <a:xfrm>
          <a:off x="2743200" y="7259002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430</xdr:row>
      <xdr:rowOff>0</xdr:rowOff>
    </xdr:from>
    <xdr:to>
      <xdr:col>4</xdr:col>
      <xdr:colOff>371475</xdr:colOff>
      <xdr:row>430</xdr:row>
      <xdr:rowOff>0</xdr:rowOff>
    </xdr:to>
    <xdr:sp macro="" textlink="">
      <xdr:nvSpPr>
        <xdr:cNvPr id="782" name="Line 848"/>
        <xdr:cNvSpPr>
          <a:spLocks noChangeShapeType="1"/>
        </xdr:cNvSpPr>
      </xdr:nvSpPr>
      <xdr:spPr bwMode="auto">
        <a:xfrm>
          <a:off x="2743200" y="729424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428</xdr:row>
      <xdr:rowOff>0</xdr:rowOff>
    </xdr:from>
    <xdr:to>
      <xdr:col>4</xdr:col>
      <xdr:colOff>285750</xdr:colOff>
      <xdr:row>430</xdr:row>
      <xdr:rowOff>0</xdr:rowOff>
    </xdr:to>
    <xdr:sp macro="" textlink="">
      <xdr:nvSpPr>
        <xdr:cNvPr id="783" name="Line 849"/>
        <xdr:cNvSpPr>
          <a:spLocks noChangeShapeType="1"/>
        </xdr:cNvSpPr>
      </xdr:nvSpPr>
      <xdr:spPr bwMode="auto">
        <a:xfrm>
          <a:off x="2800350" y="72590025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533400</xdr:colOff>
      <xdr:row>429</xdr:row>
      <xdr:rowOff>66675</xdr:rowOff>
    </xdr:from>
    <xdr:to>
      <xdr:col>4</xdr:col>
      <xdr:colOff>628650</xdr:colOff>
      <xdr:row>429</xdr:row>
      <xdr:rowOff>66675</xdr:rowOff>
    </xdr:to>
    <xdr:sp macro="" textlink="">
      <xdr:nvSpPr>
        <xdr:cNvPr id="784" name="Line 853"/>
        <xdr:cNvSpPr>
          <a:spLocks noChangeShapeType="1"/>
        </xdr:cNvSpPr>
      </xdr:nvSpPr>
      <xdr:spPr bwMode="auto">
        <a:xfrm>
          <a:off x="3048000" y="7281862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430</xdr:row>
      <xdr:rowOff>0</xdr:rowOff>
    </xdr:from>
    <xdr:to>
      <xdr:col>4</xdr:col>
      <xdr:colOff>628650</xdr:colOff>
      <xdr:row>430</xdr:row>
      <xdr:rowOff>0</xdr:rowOff>
    </xdr:to>
    <xdr:sp macro="" textlink="">
      <xdr:nvSpPr>
        <xdr:cNvPr id="785" name="Line 854"/>
        <xdr:cNvSpPr>
          <a:spLocks noChangeShapeType="1"/>
        </xdr:cNvSpPr>
      </xdr:nvSpPr>
      <xdr:spPr bwMode="auto">
        <a:xfrm>
          <a:off x="3076575" y="7294245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430</xdr:row>
      <xdr:rowOff>0</xdr:rowOff>
    </xdr:from>
    <xdr:to>
      <xdr:col>4</xdr:col>
      <xdr:colOff>600075</xdr:colOff>
      <xdr:row>430</xdr:row>
      <xdr:rowOff>142875</xdr:rowOff>
    </xdr:to>
    <xdr:sp macro="" textlink="">
      <xdr:nvSpPr>
        <xdr:cNvPr id="786" name="Line 855"/>
        <xdr:cNvSpPr>
          <a:spLocks noChangeShapeType="1"/>
        </xdr:cNvSpPr>
      </xdr:nvSpPr>
      <xdr:spPr bwMode="auto">
        <a:xfrm flipV="1">
          <a:off x="3114675" y="7294245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428</xdr:row>
      <xdr:rowOff>114300</xdr:rowOff>
    </xdr:from>
    <xdr:to>
      <xdr:col>4</xdr:col>
      <xdr:colOff>600075</xdr:colOff>
      <xdr:row>429</xdr:row>
      <xdr:rowOff>66675</xdr:rowOff>
    </xdr:to>
    <xdr:sp macro="" textlink="">
      <xdr:nvSpPr>
        <xdr:cNvPr id="787" name="Line 856"/>
        <xdr:cNvSpPr>
          <a:spLocks noChangeShapeType="1"/>
        </xdr:cNvSpPr>
      </xdr:nvSpPr>
      <xdr:spPr bwMode="auto">
        <a:xfrm>
          <a:off x="3114675" y="727043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609600</xdr:colOff>
      <xdr:row>429</xdr:row>
      <xdr:rowOff>104775</xdr:rowOff>
    </xdr:from>
    <xdr:to>
      <xdr:col>5</xdr:col>
      <xdr:colOff>171450</xdr:colOff>
      <xdr:row>429</xdr:row>
      <xdr:rowOff>114300</xdr:rowOff>
    </xdr:to>
    <xdr:sp macro="" textlink="">
      <xdr:nvSpPr>
        <xdr:cNvPr id="788" name="Line 858"/>
        <xdr:cNvSpPr>
          <a:spLocks noChangeShapeType="1"/>
        </xdr:cNvSpPr>
      </xdr:nvSpPr>
      <xdr:spPr bwMode="auto">
        <a:xfrm flipH="1">
          <a:off x="3124200" y="72856725"/>
          <a:ext cx="3333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</xdr:col>
      <xdr:colOff>276225</xdr:colOff>
      <xdr:row>423</xdr:row>
      <xdr:rowOff>0</xdr:rowOff>
    </xdr:from>
    <xdr:to>
      <xdr:col>4</xdr:col>
      <xdr:colOff>0</xdr:colOff>
      <xdr:row>423</xdr:row>
      <xdr:rowOff>0</xdr:rowOff>
    </xdr:to>
    <xdr:sp macro="" textlink="">
      <xdr:nvSpPr>
        <xdr:cNvPr id="789" name="Line 861"/>
        <xdr:cNvSpPr>
          <a:spLocks noChangeShapeType="1"/>
        </xdr:cNvSpPr>
      </xdr:nvSpPr>
      <xdr:spPr bwMode="auto">
        <a:xfrm>
          <a:off x="2238375" y="71780400"/>
          <a:ext cx="27622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57150</xdr:colOff>
      <xdr:row>426</xdr:row>
      <xdr:rowOff>0</xdr:rowOff>
    </xdr:from>
    <xdr:to>
      <xdr:col>4</xdr:col>
      <xdr:colOff>171450</xdr:colOff>
      <xdr:row>426</xdr:row>
      <xdr:rowOff>0</xdr:rowOff>
    </xdr:to>
    <xdr:sp macro="" textlink="">
      <xdr:nvSpPr>
        <xdr:cNvPr id="790" name="Line 866"/>
        <xdr:cNvSpPr>
          <a:spLocks noChangeShapeType="1"/>
        </xdr:cNvSpPr>
      </xdr:nvSpPr>
      <xdr:spPr bwMode="auto">
        <a:xfrm>
          <a:off x="2571750" y="722661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432</xdr:row>
      <xdr:rowOff>123825</xdr:rowOff>
    </xdr:from>
    <xdr:to>
      <xdr:col>3</xdr:col>
      <xdr:colOff>476250</xdr:colOff>
      <xdr:row>433</xdr:row>
      <xdr:rowOff>28575</xdr:rowOff>
    </xdr:to>
    <xdr:sp macro="" textlink="">
      <xdr:nvSpPr>
        <xdr:cNvPr id="791" name="Line 871"/>
        <xdr:cNvSpPr>
          <a:spLocks noChangeShapeType="1"/>
        </xdr:cNvSpPr>
      </xdr:nvSpPr>
      <xdr:spPr bwMode="auto">
        <a:xfrm>
          <a:off x="2438400" y="73390125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431</xdr:row>
      <xdr:rowOff>114300</xdr:rowOff>
    </xdr:from>
    <xdr:to>
      <xdr:col>4</xdr:col>
      <xdr:colOff>9525</xdr:colOff>
      <xdr:row>432</xdr:row>
      <xdr:rowOff>47625</xdr:rowOff>
    </xdr:to>
    <xdr:sp macro="" textlink="">
      <xdr:nvSpPr>
        <xdr:cNvPr id="792" name="Line 872"/>
        <xdr:cNvSpPr>
          <a:spLocks noChangeShapeType="1"/>
        </xdr:cNvSpPr>
      </xdr:nvSpPr>
      <xdr:spPr bwMode="auto">
        <a:xfrm>
          <a:off x="2524125" y="732186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432</xdr:row>
      <xdr:rowOff>0</xdr:rowOff>
    </xdr:from>
    <xdr:to>
      <xdr:col>4</xdr:col>
      <xdr:colOff>9525</xdr:colOff>
      <xdr:row>432</xdr:row>
      <xdr:rowOff>0</xdr:rowOff>
    </xdr:to>
    <xdr:sp macro="" textlink="">
      <xdr:nvSpPr>
        <xdr:cNvPr id="793" name="Line 873"/>
        <xdr:cNvSpPr>
          <a:spLocks noChangeShapeType="1"/>
        </xdr:cNvSpPr>
      </xdr:nvSpPr>
      <xdr:spPr bwMode="auto">
        <a:xfrm>
          <a:off x="2438400" y="7326630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0</xdr:colOff>
      <xdr:row>433</xdr:row>
      <xdr:rowOff>104775</xdr:rowOff>
    </xdr:from>
    <xdr:to>
      <xdr:col>4</xdr:col>
      <xdr:colOff>0</xdr:colOff>
      <xdr:row>434</xdr:row>
      <xdr:rowOff>28575</xdr:rowOff>
    </xdr:to>
    <xdr:sp macro="" textlink="">
      <xdr:nvSpPr>
        <xdr:cNvPr id="794" name="Line 875"/>
        <xdr:cNvSpPr>
          <a:spLocks noChangeShapeType="1"/>
        </xdr:cNvSpPr>
      </xdr:nvSpPr>
      <xdr:spPr bwMode="auto">
        <a:xfrm>
          <a:off x="2514600" y="735330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295275</xdr:colOff>
      <xdr:row>432</xdr:row>
      <xdr:rowOff>114300</xdr:rowOff>
    </xdr:from>
    <xdr:to>
      <xdr:col>3</xdr:col>
      <xdr:colOff>295275</xdr:colOff>
      <xdr:row>433</xdr:row>
      <xdr:rowOff>19050</xdr:rowOff>
    </xdr:to>
    <xdr:sp macro="" textlink="">
      <xdr:nvSpPr>
        <xdr:cNvPr id="795" name="Line 877"/>
        <xdr:cNvSpPr>
          <a:spLocks noChangeShapeType="1"/>
        </xdr:cNvSpPr>
      </xdr:nvSpPr>
      <xdr:spPr bwMode="auto">
        <a:xfrm>
          <a:off x="2257425" y="73380600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285750</xdr:colOff>
      <xdr:row>415</xdr:row>
      <xdr:rowOff>0</xdr:rowOff>
    </xdr:from>
    <xdr:to>
      <xdr:col>3</xdr:col>
      <xdr:colOff>285750</xdr:colOff>
      <xdr:row>422</xdr:row>
      <xdr:rowOff>142875</xdr:rowOff>
    </xdr:to>
    <xdr:sp macro="" textlink="">
      <xdr:nvSpPr>
        <xdr:cNvPr id="797" name="Line 890"/>
        <xdr:cNvSpPr>
          <a:spLocks noChangeShapeType="1"/>
        </xdr:cNvSpPr>
      </xdr:nvSpPr>
      <xdr:spPr bwMode="auto">
        <a:xfrm>
          <a:off x="2247900" y="70485000"/>
          <a:ext cx="0" cy="1276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425</xdr:row>
      <xdr:rowOff>0</xdr:rowOff>
    </xdr:from>
    <xdr:to>
      <xdr:col>3</xdr:col>
      <xdr:colOff>361950</xdr:colOff>
      <xdr:row>425</xdr:row>
      <xdr:rowOff>0</xdr:rowOff>
    </xdr:to>
    <xdr:sp macro="" textlink="">
      <xdr:nvSpPr>
        <xdr:cNvPr id="798" name="Line 892"/>
        <xdr:cNvSpPr>
          <a:spLocks noChangeShapeType="1"/>
        </xdr:cNvSpPr>
      </xdr:nvSpPr>
      <xdr:spPr bwMode="auto">
        <a:xfrm flipH="1">
          <a:off x="609600" y="72104250"/>
          <a:ext cx="1714500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423</xdr:row>
      <xdr:rowOff>142875</xdr:rowOff>
    </xdr:from>
    <xdr:to>
      <xdr:col>4</xdr:col>
      <xdr:colOff>0</xdr:colOff>
      <xdr:row>424</xdr:row>
      <xdr:rowOff>28575</xdr:rowOff>
    </xdr:to>
    <xdr:sp macro="" textlink="">
      <xdr:nvSpPr>
        <xdr:cNvPr id="799" name="Line 894"/>
        <xdr:cNvSpPr>
          <a:spLocks noChangeShapeType="1"/>
        </xdr:cNvSpPr>
      </xdr:nvSpPr>
      <xdr:spPr bwMode="auto">
        <a:xfrm>
          <a:off x="2514600" y="71923275"/>
          <a:ext cx="0" cy="47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295275</xdr:colOff>
      <xdr:row>432</xdr:row>
      <xdr:rowOff>152400</xdr:rowOff>
    </xdr:from>
    <xdr:to>
      <xdr:col>3</xdr:col>
      <xdr:colOff>476250</xdr:colOff>
      <xdr:row>432</xdr:row>
      <xdr:rowOff>152400</xdr:rowOff>
    </xdr:to>
    <xdr:sp macro="" textlink="">
      <xdr:nvSpPr>
        <xdr:cNvPr id="800" name="Line 895"/>
        <xdr:cNvSpPr>
          <a:spLocks noChangeShapeType="1"/>
        </xdr:cNvSpPr>
      </xdr:nvSpPr>
      <xdr:spPr bwMode="auto">
        <a:xfrm flipV="1">
          <a:off x="2257425" y="73418700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</xdr:col>
      <xdr:colOff>514350</xdr:colOff>
      <xdr:row>423</xdr:row>
      <xdr:rowOff>76200</xdr:rowOff>
    </xdr:from>
    <xdr:to>
      <xdr:col>3</xdr:col>
      <xdr:colOff>333375</xdr:colOff>
      <xdr:row>423</xdr:row>
      <xdr:rowOff>76200</xdr:rowOff>
    </xdr:to>
    <xdr:sp macro="" textlink="">
      <xdr:nvSpPr>
        <xdr:cNvPr id="801" name="Line 896"/>
        <xdr:cNvSpPr>
          <a:spLocks noChangeShapeType="1"/>
        </xdr:cNvSpPr>
      </xdr:nvSpPr>
      <xdr:spPr bwMode="auto">
        <a:xfrm>
          <a:off x="1838325" y="71170800"/>
          <a:ext cx="428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</xdr:col>
      <xdr:colOff>104775</xdr:colOff>
      <xdr:row>428</xdr:row>
      <xdr:rowOff>0</xdr:rowOff>
    </xdr:from>
    <xdr:to>
      <xdr:col>4</xdr:col>
      <xdr:colOff>9525</xdr:colOff>
      <xdr:row>428</xdr:row>
      <xdr:rowOff>0</xdr:rowOff>
    </xdr:to>
    <xdr:sp macro="" textlink="">
      <xdr:nvSpPr>
        <xdr:cNvPr id="802" name="Line 901"/>
        <xdr:cNvSpPr>
          <a:spLocks noChangeShapeType="1"/>
        </xdr:cNvSpPr>
      </xdr:nvSpPr>
      <xdr:spPr bwMode="auto">
        <a:xfrm>
          <a:off x="714375" y="72590025"/>
          <a:ext cx="1809750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3</xdr:col>
      <xdr:colOff>238125</xdr:colOff>
      <xdr:row>429</xdr:row>
      <xdr:rowOff>66675</xdr:rowOff>
    </xdr:from>
    <xdr:to>
      <xdr:col>4</xdr:col>
      <xdr:colOff>0</xdr:colOff>
      <xdr:row>429</xdr:row>
      <xdr:rowOff>66675</xdr:rowOff>
    </xdr:to>
    <xdr:sp macro="" textlink="">
      <xdr:nvSpPr>
        <xdr:cNvPr id="803" name="Line 902"/>
        <xdr:cNvSpPr>
          <a:spLocks noChangeShapeType="1"/>
        </xdr:cNvSpPr>
      </xdr:nvSpPr>
      <xdr:spPr bwMode="auto">
        <a:xfrm>
          <a:off x="2200275" y="72818625"/>
          <a:ext cx="314325" cy="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</xdr:col>
      <xdr:colOff>76200</xdr:colOff>
      <xdr:row>426</xdr:row>
      <xdr:rowOff>0</xdr:rowOff>
    </xdr:from>
    <xdr:to>
      <xdr:col>4</xdr:col>
      <xdr:colOff>180975</xdr:colOff>
      <xdr:row>426</xdr:row>
      <xdr:rowOff>0</xdr:rowOff>
    </xdr:to>
    <xdr:sp macro="" textlink="">
      <xdr:nvSpPr>
        <xdr:cNvPr id="804" name="Line 903"/>
        <xdr:cNvSpPr>
          <a:spLocks noChangeShapeType="1"/>
        </xdr:cNvSpPr>
      </xdr:nvSpPr>
      <xdr:spPr bwMode="auto">
        <a:xfrm>
          <a:off x="2590800" y="7226617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430</xdr:row>
      <xdr:rowOff>0</xdr:rowOff>
    </xdr:from>
    <xdr:to>
      <xdr:col>4</xdr:col>
      <xdr:colOff>142875</xdr:colOff>
      <xdr:row>430</xdr:row>
      <xdr:rowOff>0</xdr:rowOff>
    </xdr:to>
    <xdr:sp macro="" textlink="">
      <xdr:nvSpPr>
        <xdr:cNvPr id="805" name="Line 904"/>
        <xdr:cNvSpPr>
          <a:spLocks noChangeShapeType="1"/>
        </xdr:cNvSpPr>
      </xdr:nvSpPr>
      <xdr:spPr bwMode="auto">
        <a:xfrm>
          <a:off x="2562225" y="7294245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104775</xdr:colOff>
      <xdr:row>425</xdr:row>
      <xdr:rowOff>142875</xdr:rowOff>
    </xdr:from>
    <xdr:to>
      <xdr:col>4</xdr:col>
      <xdr:colOff>104775</xdr:colOff>
      <xdr:row>429</xdr:row>
      <xdr:rowOff>152400</xdr:rowOff>
    </xdr:to>
    <xdr:sp macro="" textlink="">
      <xdr:nvSpPr>
        <xdr:cNvPr id="806" name="Line 905"/>
        <xdr:cNvSpPr>
          <a:spLocks noChangeShapeType="1"/>
        </xdr:cNvSpPr>
      </xdr:nvSpPr>
      <xdr:spPr bwMode="auto">
        <a:xfrm>
          <a:off x="2619375" y="72247125"/>
          <a:ext cx="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95250</xdr:colOff>
      <xdr:row>426</xdr:row>
      <xdr:rowOff>114300</xdr:rowOff>
    </xdr:from>
    <xdr:to>
      <xdr:col>4</xdr:col>
      <xdr:colOff>304800</xdr:colOff>
      <xdr:row>427</xdr:row>
      <xdr:rowOff>85725</xdr:rowOff>
    </xdr:to>
    <xdr:sp macro="" textlink="">
      <xdr:nvSpPr>
        <xdr:cNvPr id="807" name="Line 906"/>
        <xdr:cNvSpPr>
          <a:spLocks noChangeShapeType="1"/>
        </xdr:cNvSpPr>
      </xdr:nvSpPr>
      <xdr:spPr bwMode="auto">
        <a:xfrm flipH="1">
          <a:off x="2609850" y="72380475"/>
          <a:ext cx="20955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228600</xdr:colOff>
      <xdr:row>428</xdr:row>
      <xdr:rowOff>0</xdr:rowOff>
    </xdr:from>
    <xdr:to>
      <xdr:col>4</xdr:col>
      <xdr:colOff>361950</xdr:colOff>
      <xdr:row>428</xdr:row>
      <xdr:rowOff>0</xdr:rowOff>
    </xdr:to>
    <xdr:sp macro="" textlink="">
      <xdr:nvSpPr>
        <xdr:cNvPr id="808" name="Line 907"/>
        <xdr:cNvSpPr>
          <a:spLocks noChangeShapeType="1"/>
        </xdr:cNvSpPr>
      </xdr:nvSpPr>
      <xdr:spPr bwMode="auto">
        <a:xfrm>
          <a:off x="2743200" y="72590025"/>
          <a:ext cx="133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430</xdr:row>
      <xdr:rowOff>0</xdr:rowOff>
    </xdr:from>
    <xdr:to>
      <xdr:col>4</xdr:col>
      <xdr:colOff>371475</xdr:colOff>
      <xdr:row>430</xdr:row>
      <xdr:rowOff>0</xdr:rowOff>
    </xdr:to>
    <xdr:sp macro="" textlink="">
      <xdr:nvSpPr>
        <xdr:cNvPr id="809" name="Line 908"/>
        <xdr:cNvSpPr>
          <a:spLocks noChangeShapeType="1"/>
        </xdr:cNvSpPr>
      </xdr:nvSpPr>
      <xdr:spPr bwMode="auto">
        <a:xfrm>
          <a:off x="2743200" y="7294245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285750</xdr:colOff>
      <xdr:row>428</xdr:row>
      <xdr:rowOff>0</xdr:rowOff>
    </xdr:from>
    <xdr:to>
      <xdr:col>4</xdr:col>
      <xdr:colOff>285750</xdr:colOff>
      <xdr:row>430</xdr:row>
      <xdr:rowOff>0</xdr:rowOff>
    </xdr:to>
    <xdr:sp macro="" textlink="">
      <xdr:nvSpPr>
        <xdr:cNvPr id="810" name="Line 909"/>
        <xdr:cNvSpPr>
          <a:spLocks noChangeShapeType="1"/>
        </xdr:cNvSpPr>
      </xdr:nvSpPr>
      <xdr:spPr bwMode="auto">
        <a:xfrm>
          <a:off x="2800350" y="72590025"/>
          <a:ext cx="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4</xdr:col>
      <xdr:colOff>295275</xdr:colOff>
      <xdr:row>427</xdr:row>
      <xdr:rowOff>95250</xdr:rowOff>
    </xdr:from>
    <xdr:to>
      <xdr:col>4</xdr:col>
      <xdr:colOff>657225</xdr:colOff>
      <xdr:row>429</xdr:row>
      <xdr:rowOff>19050</xdr:rowOff>
    </xdr:to>
    <xdr:sp macro="" textlink="">
      <xdr:nvSpPr>
        <xdr:cNvPr id="811" name="Line 910"/>
        <xdr:cNvSpPr>
          <a:spLocks noChangeShapeType="1"/>
        </xdr:cNvSpPr>
      </xdr:nvSpPr>
      <xdr:spPr bwMode="auto">
        <a:xfrm flipH="1">
          <a:off x="2809875" y="72523350"/>
          <a:ext cx="3619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</xdr:col>
      <xdr:colOff>523875</xdr:colOff>
      <xdr:row>427</xdr:row>
      <xdr:rowOff>28575</xdr:rowOff>
    </xdr:from>
    <xdr:to>
      <xdr:col>3</xdr:col>
      <xdr:colOff>285750</xdr:colOff>
      <xdr:row>429</xdr:row>
      <xdr:rowOff>171450</xdr:rowOff>
    </xdr:to>
    <xdr:sp macro="" textlink="">
      <xdr:nvSpPr>
        <xdr:cNvPr id="812" name="Line 911"/>
        <xdr:cNvSpPr>
          <a:spLocks noChangeShapeType="1"/>
        </xdr:cNvSpPr>
      </xdr:nvSpPr>
      <xdr:spPr bwMode="auto">
        <a:xfrm flipV="1">
          <a:off x="1743075" y="72456675"/>
          <a:ext cx="504825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533400</xdr:colOff>
      <xdr:row>429</xdr:row>
      <xdr:rowOff>66675</xdr:rowOff>
    </xdr:from>
    <xdr:to>
      <xdr:col>4</xdr:col>
      <xdr:colOff>628650</xdr:colOff>
      <xdr:row>429</xdr:row>
      <xdr:rowOff>66675</xdr:rowOff>
    </xdr:to>
    <xdr:sp macro="" textlink="">
      <xdr:nvSpPr>
        <xdr:cNvPr id="813" name="Line 913"/>
        <xdr:cNvSpPr>
          <a:spLocks noChangeShapeType="1"/>
        </xdr:cNvSpPr>
      </xdr:nvSpPr>
      <xdr:spPr bwMode="auto">
        <a:xfrm>
          <a:off x="3048000" y="72818625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430</xdr:row>
      <xdr:rowOff>0</xdr:rowOff>
    </xdr:from>
    <xdr:to>
      <xdr:col>4</xdr:col>
      <xdr:colOff>628650</xdr:colOff>
      <xdr:row>430</xdr:row>
      <xdr:rowOff>0</xdr:rowOff>
    </xdr:to>
    <xdr:sp macro="" textlink="">
      <xdr:nvSpPr>
        <xdr:cNvPr id="814" name="Line 914"/>
        <xdr:cNvSpPr>
          <a:spLocks noChangeShapeType="1"/>
        </xdr:cNvSpPr>
      </xdr:nvSpPr>
      <xdr:spPr bwMode="auto">
        <a:xfrm>
          <a:off x="3076575" y="7294245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600075</xdr:colOff>
      <xdr:row>430</xdr:row>
      <xdr:rowOff>0</xdr:rowOff>
    </xdr:from>
    <xdr:to>
      <xdr:col>4</xdr:col>
      <xdr:colOff>600075</xdr:colOff>
      <xdr:row>430</xdr:row>
      <xdr:rowOff>142875</xdr:rowOff>
    </xdr:to>
    <xdr:sp macro="" textlink="">
      <xdr:nvSpPr>
        <xdr:cNvPr id="815" name="Line 915"/>
        <xdr:cNvSpPr>
          <a:spLocks noChangeShapeType="1"/>
        </xdr:cNvSpPr>
      </xdr:nvSpPr>
      <xdr:spPr bwMode="auto">
        <a:xfrm flipV="1">
          <a:off x="3114675" y="7294245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600075</xdr:colOff>
      <xdr:row>428</xdr:row>
      <xdr:rowOff>114300</xdr:rowOff>
    </xdr:from>
    <xdr:to>
      <xdr:col>4</xdr:col>
      <xdr:colOff>600075</xdr:colOff>
      <xdr:row>429</xdr:row>
      <xdr:rowOff>66675</xdr:rowOff>
    </xdr:to>
    <xdr:sp macro="" textlink="">
      <xdr:nvSpPr>
        <xdr:cNvPr id="816" name="Line 916"/>
        <xdr:cNvSpPr>
          <a:spLocks noChangeShapeType="1"/>
        </xdr:cNvSpPr>
      </xdr:nvSpPr>
      <xdr:spPr bwMode="auto">
        <a:xfrm>
          <a:off x="3114675" y="72704325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</xdr:col>
      <xdr:colOff>609600</xdr:colOff>
      <xdr:row>429</xdr:row>
      <xdr:rowOff>104775</xdr:rowOff>
    </xdr:from>
    <xdr:to>
      <xdr:col>5</xdr:col>
      <xdr:colOff>171450</xdr:colOff>
      <xdr:row>429</xdr:row>
      <xdr:rowOff>114300</xdr:rowOff>
    </xdr:to>
    <xdr:sp macro="" textlink="">
      <xdr:nvSpPr>
        <xdr:cNvPr id="817" name="Line 918"/>
        <xdr:cNvSpPr>
          <a:spLocks noChangeShapeType="1"/>
        </xdr:cNvSpPr>
      </xdr:nvSpPr>
      <xdr:spPr bwMode="auto">
        <a:xfrm flipH="1">
          <a:off x="3124200" y="72856725"/>
          <a:ext cx="3333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</xdr:col>
      <xdr:colOff>0</xdr:colOff>
      <xdr:row>423</xdr:row>
      <xdr:rowOff>0</xdr:rowOff>
    </xdr:from>
    <xdr:to>
      <xdr:col>1</xdr:col>
      <xdr:colOff>9525</xdr:colOff>
      <xdr:row>424</xdr:row>
      <xdr:rowOff>142875</xdr:rowOff>
    </xdr:to>
    <xdr:sp macro="" textlink="">
      <xdr:nvSpPr>
        <xdr:cNvPr id="819" name="Line 923"/>
        <xdr:cNvSpPr>
          <a:spLocks noChangeShapeType="1"/>
        </xdr:cNvSpPr>
      </xdr:nvSpPr>
      <xdr:spPr bwMode="auto">
        <a:xfrm flipH="1">
          <a:off x="609600" y="71780400"/>
          <a:ext cx="9525" cy="30480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423</xdr:row>
      <xdr:rowOff>0</xdr:rowOff>
    </xdr:from>
    <xdr:to>
      <xdr:col>4</xdr:col>
      <xdr:colOff>0</xdr:colOff>
      <xdr:row>426</xdr:row>
      <xdr:rowOff>0</xdr:rowOff>
    </xdr:to>
    <xdr:sp macro="" textlink="">
      <xdr:nvSpPr>
        <xdr:cNvPr id="820" name="Line 924"/>
        <xdr:cNvSpPr>
          <a:spLocks noChangeShapeType="1"/>
        </xdr:cNvSpPr>
      </xdr:nvSpPr>
      <xdr:spPr bwMode="auto">
        <a:xfrm flipH="1">
          <a:off x="2514600" y="71780400"/>
          <a:ext cx="0" cy="48577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342900</xdr:colOff>
      <xdr:row>424</xdr:row>
      <xdr:rowOff>142875</xdr:rowOff>
    </xdr:from>
    <xdr:to>
      <xdr:col>3</xdr:col>
      <xdr:colOff>466725</xdr:colOff>
      <xdr:row>425</xdr:row>
      <xdr:rowOff>161925</xdr:rowOff>
    </xdr:to>
    <xdr:sp macro="" textlink="">
      <xdr:nvSpPr>
        <xdr:cNvPr id="821" name="Line 925"/>
        <xdr:cNvSpPr>
          <a:spLocks noChangeShapeType="1"/>
        </xdr:cNvSpPr>
      </xdr:nvSpPr>
      <xdr:spPr bwMode="auto">
        <a:xfrm>
          <a:off x="2305050" y="72085200"/>
          <a:ext cx="123825" cy="180975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485775</xdr:colOff>
      <xdr:row>426</xdr:row>
      <xdr:rowOff>0</xdr:rowOff>
    </xdr:from>
    <xdr:to>
      <xdr:col>3</xdr:col>
      <xdr:colOff>666750</xdr:colOff>
      <xdr:row>426</xdr:row>
      <xdr:rowOff>0</xdr:rowOff>
    </xdr:to>
    <xdr:sp macro="" textlink="">
      <xdr:nvSpPr>
        <xdr:cNvPr id="822" name="Line 926"/>
        <xdr:cNvSpPr>
          <a:spLocks noChangeShapeType="1"/>
        </xdr:cNvSpPr>
      </xdr:nvSpPr>
      <xdr:spPr bwMode="auto">
        <a:xfrm>
          <a:off x="2447925" y="72266175"/>
          <a:ext cx="66675" cy="0"/>
        </a:xfrm>
        <a:prstGeom prst="line">
          <a:avLst/>
        </a:prstGeom>
        <a:noFill/>
        <a:ln w="15875">
          <a:solidFill>
            <a:sysClr val="windowText" lastClr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76200</xdr:colOff>
      <xdr:row>425</xdr:row>
      <xdr:rowOff>152400</xdr:rowOff>
    </xdr:from>
    <xdr:to>
      <xdr:col>4</xdr:col>
      <xdr:colOff>190500</xdr:colOff>
      <xdr:row>425</xdr:row>
      <xdr:rowOff>152400</xdr:rowOff>
    </xdr:to>
    <xdr:sp macro="" textlink="">
      <xdr:nvSpPr>
        <xdr:cNvPr id="823" name="Line 927"/>
        <xdr:cNvSpPr>
          <a:spLocks noChangeShapeType="1"/>
        </xdr:cNvSpPr>
      </xdr:nvSpPr>
      <xdr:spPr bwMode="auto">
        <a:xfrm>
          <a:off x="2590800" y="722566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423</xdr:row>
      <xdr:rowOff>19050</xdr:rowOff>
    </xdr:from>
    <xdr:to>
      <xdr:col>4</xdr:col>
      <xdr:colOff>161925</xdr:colOff>
      <xdr:row>423</xdr:row>
      <xdr:rowOff>19050</xdr:rowOff>
    </xdr:to>
    <xdr:sp macro="" textlink="">
      <xdr:nvSpPr>
        <xdr:cNvPr id="824" name="Line 928"/>
        <xdr:cNvSpPr>
          <a:spLocks noChangeShapeType="1"/>
        </xdr:cNvSpPr>
      </xdr:nvSpPr>
      <xdr:spPr bwMode="auto">
        <a:xfrm>
          <a:off x="2562225" y="71799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85725</xdr:colOff>
      <xdr:row>424</xdr:row>
      <xdr:rowOff>123825</xdr:rowOff>
    </xdr:from>
    <xdr:to>
      <xdr:col>4</xdr:col>
      <xdr:colOff>85725</xdr:colOff>
      <xdr:row>426</xdr:row>
      <xdr:rowOff>0</xdr:rowOff>
    </xdr:to>
    <xdr:sp macro="" textlink="">
      <xdr:nvSpPr>
        <xdr:cNvPr id="825" name="Line 931"/>
        <xdr:cNvSpPr>
          <a:spLocks noChangeShapeType="1"/>
        </xdr:cNvSpPr>
      </xdr:nvSpPr>
      <xdr:spPr bwMode="auto">
        <a:xfrm>
          <a:off x="2600325" y="7206615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476250</xdr:colOff>
      <xdr:row>431</xdr:row>
      <xdr:rowOff>123825</xdr:rowOff>
    </xdr:from>
    <xdr:to>
      <xdr:col>3</xdr:col>
      <xdr:colOff>476250</xdr:colOff>
      <xdr:row>433</xdr:row>
      <xdr:rowOff>85725</xdr:rowOff>
    </xdr:to>
    <xdr:sp macro="" textlink="">
      <xdr:nvSpPr>
        <xdr:cNvPr id="826" name="Line 932"/>
        <xdr:cNvSpPr>
          <a:spLocks noChangeShapeType="1"/>
        </xdr:cNvSpPr>
      </xdr:nvSpPr>
      <xdr:spPr bwMode="auto">
        <a:xfrm flipH="1">
          <a:off x="2438400" y="73228200"/>
          <a:ext cx="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9525</xdr:colOff>
      <xdr:row>431</xdr:row>
      <xdr:rowOff>114300</xdr:rowOff>
    </xdr:from>
    <xdr:to>
      <xdr:col>4</xdr:col>
      <xdr:colOff>9525</xdr:colOff>
      <xdr:row>432</xdr:row>
      <xdr:rowOff>47625</xdr:rowOff>
    </xdr:to>
    <xdr:sp macro="" textlink="">
      <xdr:nvSpPr>
        <xdr:cNvPr id="827" name="Line 933"/>
        <xdr:cNvSpPr>
          <a:spLocks noChangeShapeType="1"/>
        </xdr:cNvSpPr>
      </xdr:nvSpPr>
      <xdr:spPr bwMode="auto">
        <a:xfrm>
          <a:off x="2524125" y="732186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432</xdr:row>
      <xdr:rowOff>0</xdr:rowOff>
    </xdr:from>
    <xdr:to>
      <xdr:col>4</xdr:col>
      <xdr:colOff>9525</xdr:colOff>
      <xdr:row>432</xdr:row>
      <xdr:rowOff>0</xdr:rowOff>
    </xdr:to>
    <xdr:sp macro="" textlink="">
      <xdr:nvSpPr>
        <xdr:cNvPr id="828" name="Line 934"/>
        <xdr:cNvSpPr>
          <a:spLocks noChangeShapeType="1"/>
        </xdr:cNvSpPr>
      </xdr:nvSpPr>
      <xdr:spPr bwMode="auto">
        <a:xfrm>
          <a:off x="2438400" y="73266300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</xdr:col>
      <xdr:colOff>0</xdr:colOff>
      <xdr:row>433</xdr:row>
      <xdr:rowOff>95250</xdr:rowOff>
    </xdr:from>
    <xdr:to>
      <xdr:col>1</xdr:col>
      <xdr:colOff>0</xdr:colOff>
      <xdr:row>434</xdr:row>
      <xdr:rowOff>19050</xdr:rowOff>
    </xdr:to>
    <xdr:sp macro="" textlink="">
      <xdr:nvSpPr>
        <xdr:cNvPr id="829" name="Line 936"/>
        <xdr:cNvSpPr>
          <a:spLocks noChangeShapeType="1"/>
        </xdr:cNvSpPr>
      </xdr:nvSpPr>
      <xdr:spPr bwMode="auto">
        <a:xfrm>
          <a:off x="609600" y="73523475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295275</xdr:colOff>
      <xdr:row>432</xdr:row>
      <xdr:rowOff>114300</xdr:rowOff>
    </xdr:from>
    <xdr:to>
      <xdr:col>3</xdr:col>
      <xdr:colOff>295275</xdr:colOff>
      <xdr:row>433</xdr:row>
      <xdr:rowOff>19050</xdr:rowOff>
    </xdr:to>
    <xdr:sp macro="" textlink="">
      <xdr:nvSpPr>
        <xdr:cNvPr id="830" name="Line 938"/>
        <xdr:cNvSpPr>
          <a:spLocks noChangeShapeType="1"/>
        </xdr:cNvSpPr>
      </xdr:nvSpPr>
      <xdr:spPr bwMode="auto">
        <a:xfrm>
          <a:off x="2257425" y="73380600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415</xdr:row>
      <xdr:rowOff>0</xdr:rowOff>
    </xdr:from>
    <xdr:to>
      <xdr:col>3</xdr:col>
      <xdr:colOff>304800</xdr:colOff>
      <xdr:row>415</xdr:row>
      <xdr:rowOff>0</xdr:rowOff>
    </xdr:to>
    <xdr:sp macro="" textlink="">
      <xdr:nvSpPr>
        <xdr:cNvPr id="831" name="Line 951"/>
        <xdr:cNvSpPr>
          <a:spLocks noChangeShapeType="1"/>
        </xdr:cNvSpPr>
      </xdr:nvSpPr>
      <xdr:spPr bwMode="auto">
        <a:xfrm>
          <a:off x="2000250" y="7048500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571500</xdr:colOff>
      <xdr:row>434</xdr:row>
      <xdr:rowOff>0</xdr:rowOff>
    </xdr:from>
    <xdr:to>
      <xdr:col>3</xdr:col>
      <xdr:colOff>676275</xdr:colOff>
      <xdr:row>434</xdr:row>
      <xdr:rowOff>0</xdr:rowOff>
    </xdr:to>
    <xdr:sp macro="" textlink="">
      <xdr:nvSpPr>
        <xdr:cNvPr id="832" name="Line 972"/>
        <xdr:cNvSpPr>
          <a:spLocks noChangeShapeType="1"/>
        </xdr:cNvSpPr>
      </xdr:nvSpPr>
      <xdr:spPr bwMode="auto">
        <a:xfrm>
          <a:off x="571500" y="73590150"/>
          <a:ext cx="1943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</xdr:col>
      <xdr:colOff>485775</xdr:colOff>
      <xdr:row>420</xdr:row>
      <xdr:rowOff>85725</xdr:rowOff>
    </xdr:from>
    <xdr:to>
      <xdr:col>2</xdr:col>
      <xdr:colOff>485775</xdr:colOff>
      <xdr:row>421</xdr:row>
      <xdr:rowOff>38100</xdr:rowOff>
    </xdr:to>
    <xdr:sp macro="" textlink="">
      <xdr:nvSpPr>
        <xdr:cNvPr id="833" name="Line 979"/>
        <xdr:cNvSpPr>
          <a:spLocks noChangeShapeType="1"/>
        </xdr:cNvSpPr>
      </xdr:nvSpPr>
      <xdr:spPr bwMode="auto">
        <a:xfrm>
          <a:off x="1704975" y="71380350"/>
          <a:ext cx="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600075</xdr:colOff>
      <xdr:row>420</xdr:row>
      <xdr:rowOff>152400</xdr:rowOff>
    </xdr:from>
    <xdr:to>
      <xdr:col>2</xdr:col>
      <xdr:colOff>514350</xdr:colOff>
      <xdr:row>420</xdr:row>
      <xdr:rowOff>152400</xdr:rowOff>
    </xdr:to>
    <xdr:sp macro="" textlink="">
      <xdr:nvSpPr>
        <xdr:cNvPr id="834" name="Line 980"/>
        <xdr:cNvSpPr>
          <a:spLocks noChangeShapeType="1"/>
        </xdr:cNvSpPr>
      </xdr:nvSpPr>
      <xdr:spPr bwMode="auto">
        <a:xfrm>
          <a:off x="600075" y="71447025"/>
          <a:ext cx="1133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</xdr:col>
      <xdr:colOff>542925</xdr:colOff>
      <xdr:row>328</xdr:row>
      <xdr:rowOff>0</xdr:rowOff>
    </xdr:from>
    <xdr:to>
      <xdr:col>6</xdr:col>
      <xdr:colOff>542925</xdr:colOff>
      <xdr:row>329</xdr:row>
      <xdr:rowOff>0</xdr:rowOff>
    </xdr:to>
    <xdr:sp macro="" textlink="">
      <xdr:nvSpPr>
        <xdr:cNvPr id="835" name="Line 14"/>
        <xdr:cNvSpPr>
          <a:spLocks noChangeShapeType="1"/>
        </xdr:cNvSpPr>
      </xdr:nvSpPr>
      <xdr:spPr bwMode="auto">
        <a:xfrm>
          <a:off x="4533900" y="5553075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161925</xdr:colOff>
      <xdr:row>312</xdr:row>
      <xdr:rowOff>9525</xdr:rowOff>
    </xdr:from>
    <xdr:to>
      <xdr:col>5</xdr:col>
      <xdr:colOff>161925</xdr:colOff>
      <xdr:row>324</xdr:row>
      <xdr:rowOff>133350</xdr:rowOff>
    </xdr:to>
    <xdr:cxnSp macro="">
      <xdr:nvCxnSpPr>
        <xdr:cNvPr id="836" name="Straight Arrow Connector 786"/>
        <xdr:cNvCxnSpPr>
          <a:cxnSpLocks noChangeShapeType="1"/>
        </xdr:cNvCxnSpPr>
      </xdr:nvCxnSpPr>
      <xdr:spPr bwMode="auto">
        <a:xfrm>
          <a:off x="3448050" y="52949475"/>
          <a:ext cx="0" cy="206692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419100</xdr:colOff>
      <xdr:row>329</xdr:row>
      <xdr:rowOff>0</xdr:rowOff>
    </xdr:from>
    <xdr:to>
      <xdr:col>7</xdr:col>
      <xdr:colOff>152400</xdr:colOff>
      <xdr:row>329</xdr:row>
      <xdr:rowOff>0</xdr:rowOff>
    </xdr:to>
    <xdr:sp macro="" textlink="">
      <xdr:nvSpPr>
        <xdr:cNvPr id="837" name="Line 468"/>
        <xdr:cNvSpPr>
          <a:spLocks noChangeShapeType="1"/>
        </xdr:cNvSpPr>
      </xdr:nvSpPr>
      <xdr:spPr bwMode="auto">
        <a:xfrm>
          <a:off x="4410075" y="55692675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312</xdr:row>
      <xdr:rowOff>0</xdr:rowOff>
    </xdr:from>
    <xdr:to>
      <xdr:col>0</xdr:col>
      <xdr:colOff>266700</xdr:colOff>
      <xdr:row>312</xdr:row>
      <xdr:rowOff>0</xdr:rowOff>
    </xdr:to>
    <xdr:sp macro="" textlink="">
      <xdr:nvSpPr>
        <xdr:cNvPr id="838" name="Line 18206"/>
        <xdr:cNvSpPr>
          <a:spLocks noChangeShapeType="1"/>
        </xdr:cNvSpPr>
      </xdr:nvSpPr>
      <xdr:spPr bwMode="auto">
        <a:xfrm>
          <a:off x="0" y="5293995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9525</xdr:colOff>
      <xdr:row>318</xdr:row>
      <xdr:rowOff>9525</xdr:rowOff>
    </xdr:from>
    <xdr:to>
      <xdr:col>0</xdr:col>
      <xdr:colOff>314325</xdr:colOff>
      <xdr:row>318</xdr:row>
      <xdr:rowOff>9525</xdr:rowOff>
    </xdr:to>
    <xdr:sp macro="" textlink="">
      <xdr:nvSpPr>
        <xdr:cNvPr id="839" name="Line 18207"/>
        <xdr:cNvSpPr>
          <a:spLocks noChangeShapeType="1"/>
        </xdr:cNvSpPr>
      </xdr:nvSpPr>
      <xdr:spPr bwMode="auto">
        <a:xfrm>
          <a:off x="9525" y="53921025"/>
          <a:ext cx="304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333375</xdr:colOff>
      <xdr:row>328</xdr:row>
      <xdr:rowOff>9525</xdr:rowOff>
    </xdr:from>
    <xdr:to>
      <xdr:col>8</xdr:col>
      <xdr:colOff>19050</xdr:colOff>
      <xdr:row>328</xdr:row>
      <xdr:rowOff>9525</xdr:rowOff>
    </xdr:to>
    <xdr:sp macro="" textlink="">
      <xdr:nvSpPr>
        <xdr:cNvPr id="840" name="Line 18211"/>
        <xdr:cNvSpPr>
          <a:spLocks noChangeShapeType="1"/>
        </xdr:cNvSpPr>
      </xdr:nvSpPr>
      <xdr:spPr bwMode="auto">
        <a:xfrm>
          <a:off x="4324350" y="55540275"/>
          <a:ext cx="933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523875</xdr:colOff>
      <xdr:row>426</xdr:row>
      <xdr:rowOff>152400</xdr:rowOff>
    </xdr:from>
    <xdr:to>
      <xdr:col>2</xdr:col>
      <xdr:colOff>523875</xdr:colOff>
      <xdr:row>429</xdr:row>
      <xdr:rowOff>19050</xdr:rowOff>
    </xdr:to>
    <xdr:cxnSp macro="">
      <xdr:nvCxnSpPr>
        <xdr:cNvPr id="841" name="Straight Connector 792"/>
        <xdr:cNvCxnSpPr>
          <a:cxnSpLocks noChangeShapeType="1"/>
        </xdr:cNvCxnSpPr>
      </xdr:nvCxnSpPr>
      <xdr:spPr bwMode="auto">
        <a:xfrm flipV="1">
          <a:off x="1133475" y="72418575"/>
          <a:ext cx="609600" cy="35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0</xdr:col>
      <xdr:colOff>228600</xdr:colOff>
      <xdr:row>440</xdr:row>
      <xdr:rowOff>104775</xdr:rowOff>
    </xdr:from>
    <xdr:to>
      <xdr:col>0</xdr:col>
      <xdr:colOff>361950</xdr:colOff>
      <xdr:row>442</xdr:row>
      <xdr:rowOff>95250</xdr:rowOff>
    </xdr:to>
    <xdr:sp macro="" textlink="">
      <xdr:nvSpPr>
        <xdr:cNvPr id="842" name="Down Arrow 510"/>
        <xdr:cNvSpPr>
          <a:spLocks noChangeArrowheads="1"/>
        </xdr:cNvSpPr>
      </xdr:nvSpPr>
      <xdr:spPr bwMode="auto">
        <a:xfrm flipH="1">
          <a:off x="228600" y="74695050"/>
          <a:ext cx="133350" cy="314325"/>
        </a:xfrm>
        <a:prstGeom prst="downArrow">
          <a:avLst>
            <a:gd name="adj1" fmla="val 50000"/>
            <a:gd name="adj2" fmla="val 50006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238125</xdr:colOff>
      <xdr:row>444</xdr:row>
      <xdr:rowOff>0</xdr:rowOff>
    </xdr:from>
    <xdr:to>
      <xdr:col>0</xdr:col>
      <xdr:colOff>323850</xdr:colOff>
      <xdr:row>445</xdr:row>
      <xdr:rowOff>19050</xdr:rowOff>
    </xdr:to>
    <xdr:sp macro="" textlink="">
      <xdr:nvSpPr>
        <xdr:cNvPr id="843" name="Up Arrow 516"/>
        <xdr:cNvSpPr>
          <a:spLocks noChangeArrowheads="1"/>
        </xdr:cNvSpPr>
      </xdr:nvSpPr>
      <xdr:spPr bwMode="auto">
        <a:xfrm>
          <a:off x="238125" y="75237975"/>
          <a:ext cx="85725" cy="180975"/>
        </a:xfrm>
        <a:prstGeom prst="upArrow">
          <a:avLst>
            <a:gd name="adj1" fmla="val 50000"/>
            <a:gd name="adj2" fmla="val 36102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19050</xdr:colOff>
      <xdr:row>440</xdr:row>
      <xdr:rowOff>66675</xdr:rowOff>
    </xdr:from>
    <xdr:to>
      <xdr:col>7</xdr:col>
      <xdr:colOff>485775</xdr:colOff>
      <xdr:row>442</xdr:row>
      <xdr:rowOff>66675</xdr:rowOff>
    </xdr:to>
    <xdr:sp macro="" textlink="">
      <xdr:nvSpPr>
        <xdr:cNvPr id="844" name="Arc 843"/>
        <xdr:cNvSpPr/>
      </xdr:nvSpPr>
      <xdr:spPr bwMode="auto">
        <a:xfrm>
          <a:off x="4619625" y="74656950"/>
          <a:ext cx="466725" cy="323850"/>
        </a:xfrm>
        <a:prstGeom prst="arc">
          <a:avLst>
            <a:gd name="adj1" fmla="val 16200000"/>
            <a:gd name="adj2" fmla="val 365255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123825</xdr:colOff>
      <xdr:row>444</xdr:row>
      <xdr:rowOff>57151</xdr:rowOff>
    </xdr:from>
    <xdr:to>
      <xdr:col>7</xdr:col>
      <xdr:colOff>485775</xdr:colOff>
      <xdr:row>446</xdr:row>
      <xdr:rowOff>0</xdr:rowOff>
    </xdr:to>
    <xdr:sp macro="" textlink="">
      <xdr:nvSpPr>
        <xdr:cNvPr id="845" name="Arc 844"/>
        <xdr:cNvSpPr/>
      </xdr:nvSpPr>
      <xdr:spPr bwMode="auto">
        <a:xfrm>
          <a:off x="4724400" y="75295126"/>
          <a:ext cx="361950" cy="266699"/>
        </a:xfrm>
        <a:prstGeom prst="arc">
          <a:avLst>
            <a:gd name="adj1" fmla="val 16200000"/>
            <a:gd name="adj2" fmla="val 3187812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219075</xdr:colOff>
      <xdr:row>452</xdr:row>
      <xdr:rowOff>95250</xdr:rowOff>
    </xdr:from>
    <xdr:to>
      <xdr:col>0</xdr:col>
      <xdr:colOff>333375</xdr:colOff>
      <xdr:row>454</xdr:row>
      <xdr:rowOff>76200</xdr:rowOff>
    </xdr:to>
    <xdr:sp macro="" textlink="">
      <xdr:nvSpPr>
        <xdr:cNvPr id="846" name="Down Arrow 510"/>
        <xdr:cNvSpPr>
          <a:spLocks noChangeArrowheads="1"/>
        </xdr:cNvSpPr>
      </xdr:nvSpPr>
      <xdr:spPr bwMode="auto">
        <a:xfrm flipH="1">
          <a:off x="219075" y="76695300"/>
          <a:ext cx="114300" cy="304800"/>
        </a:xfrm>
        <a:prstGeom prst="downArrow">
          <a:avLst>
            <a:gd name="adj1" fmla="val 50000"/>
            <a:gd name="adj2" fmla="val 50002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247650</xdr:colOff>
      <xdr:row>455</xdr:row>
      <xdr:rowOff>0</xdr:rowOff>
    </xdr:from>
    <xdr:to>
      <xdr:col>0</xdr:col>
      <xdr:colOff>371475</xdr:colOff>
      <xdr:row>456</xdr:row>
      <xdr:rowOff>57150</xdr:rowOff>
    </xdr:to>
    <xdr:sp macro="" textlink="">
      <xdr:nvSpPr>
        <xdr:cNvPr id="847" name="Up Arrow 516"/>
        <xdr:cNvSpPr>
          <a:spLocks noChangeArrowheads="1"/>
        </xdr:cNvSpPr>
      </xdr:nvSpPr>
      <xdr:spPr bwMode="auto">
        <a:xfrm flipH="1">
          <a:off x="247650" y="77085825"/>
          <a:ext cx="123825" cy="219075"/>
        </a:xfrm>
        <a:prstGeom prst="upArrow">
          <a:avLst>
            <a:gd name="adj1" fmla="val 50000"/>
            <a:gd name="adj2" fmla="val 48237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104775</xdr:colOff>
      <xdr:row>452</xdr:row>
      <xdr:rowOff>95250</xdr:rowOff>
    </xdr:from>
    <xdr:to>
      <xdr:col>7</xdr:col>
      <xdr:colOff>552450</xdr:colOff>
      <xdr:row>454</xdr:row>
      <xdr:rowOff>57151</xdr:rowOff>
    </xdr:to>
    <xdr:sp macro="" textlink="">
      <xdr:nvSpPr>
        <xdr:cNvPr id="848" name="Arc 847"/>
        <xdr:cNvSpPr/>
      </xdr:nvSpPr>
      <xdr:spPr bwMode="auto">
        <a:xfrm>
          <a:off x="4705350" y="76695300"/>
          <a:ext cx="447675" cy="285751"/>
        </a:xfrm>
        <a:prstGeom prst="arc">
          <a:avLst>
            <a:gd name="adj1" fmla="val 5611846"/>
            <a:gd name="adj2" fmla="val 16341242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190500</xdr:colOff>
      <xdr:row>455</xdr:row>
      <xdr:rowOff>38100</xdr:rowOff>
    </xdr:from>
    <xdr:to>
      <xdr:col>7</xdr:col>
      <xdr:colOff>552450</xdr:colOff>
      <xdr:row>456</xdr:row>
      <xdr:rowOff>104775</xdr:rowOff>
    </xdr:to>
    <xdr:sp macro="" textlink="">
      <xdr:nvSpPr>
        <xdr:cNvPr id="849" name="Arc 848"/>
        <xdr:cNvSpPr/>
      </xdr:nvSpPr>
      <xdr:spPr bwMode="auto">
        <a:xfrm>
          <a:off x="4791075" y="77123925"/>
          <a:ext cx="361950" cy="228600"/>
        </a:xfrm>
        <a:prstGeom prst="arc">
          <a:avLst>
            <a:gd name="adj1" fmla="val 4411912"/>
            <a:gd name="adj2" fmla="val 14930442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304800</xdr:colOff>
      <xdr:row>528</xdr:row>
      <xdr:rowOff>152400</xdr:rowOff>
    </xdr:from>
    <xdr:to>
      <xdr:col>4</xdr:col>
      <xdr:colOff>676275</xdr:colOff>
      <xdr:row>528</xdr:row>
      <xdr:rowOff>152400</xdr:rowOff>
    </xdr:to>
    <xdr:sp macro="" textlink="">
      <xdr:nvSpPr>
        <xdr:cNvPr id="850" name="Line 433"/>
        <xdr:cNvSpPr>
          <a:spLocks noChangeShapeType="1"/>
        </xdr:cNvSpPr>
      </xdr:nvSpPr>
      <xdr:spPr bwMode="auto">
        <a:xfrm>
          <a:off x="2266950" y="89287350"/>
          <a:ext cx="923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548</xdr:row>
      <xdr:rowOff>85725</xdr:rowOff>
    </xdr:from>
    <xdr:to>
      <xdr:col>3</xdr:col>
      <xdr:colOff>609601</xdr:colOff>
      <xdr:row>550</xdr:row>
      <xdr:rowOff>28575</xdr:rowOff>
    </xdr:to>
    <xdr:sp macro="" textlink="">
      <xdr:nvSpPr>
        <xdr:cNvPr id="852" name="Line 393"/>
        <xdr:cNvSpPr>
          <a:spLocks noChangeShapeType="1"/>
        </xdr:cNvSpPr>
      </xdr:nvSpPr>
      <xdr:spPr bwMode="auto">
        <a:xfrm flipV="1">
          <a:off x="609600" y="92487750"/>
          <a:ext cx="1905001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19050</xdr:colOff>
      <xdr:row>547</xdr:row>
      <xdr:rowOff>95250</xdr:rowOff>
    </xdr:from>
    <xdr:to>
      <xdr:col>3</xdr:col>
      <xdr:colOff>609600</xdr:colOff>
      <xdr:row>547</xdr:row>
      <xdr:rowOff>95250</xdr:rowOff>
    </xdr:to>
    <xdr:sp macro="" textlink="">
      <xdr:nvSpPr>
        <xdr:cNvPr id="853" name="Line 394"/>
        <xdr:cNvSpPr>
          <a:spLocks noChangeShapeType="1"/>
        </xdr:cNvSpPr>
      </xdr:nvSpPr>
      <xdr:spPr bwMode="auto">
        <a:xfrm>
          <a:off x="628650" y="92335350"/>
          <a:ext cx="1885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219075</xdr:colOff>
      <xdr:row>493</xdr:row>
      <xdr:rowOff>0</xdr:rowOff>
    </xdr:from>
    <xdr:to>
      <xdr:col>0</xdr:col>
      <xdr:colOff>361950</xdr:colOff>
      <xdr:row>495</xdr:row>
      <xdr:rowOff>0</xdr:rowOff>
    </xdr:to>
    <xdr:sp macro="" textlink="">
      <xdr:nvSpPr>
        <xdr:cNvPr id="854" name="Down Arrow 510"/>
        <xdr:cNvSpPr>
          <a:spLocks noChangeArrowheads="1"/>
        </xdr:cNvSpPr>
      </xdr:nvSpPr>
      <xdr:spPr bwMode="auto">
        <a:xfrm flipH="1">
          <a:off x="219075" y="83305650"/>
          <a:ext cx="142875" cy="323850"/>
        </a:xfrm>
        <a:prstGeom prst="downArrow">
          <a:avLst>
            <a:gd name="adj1" fmla="val 50000"/>
            <a:gd name="adj2" fmla="val 50009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238125</xdr:colOff>
      <xdr:row>497</xdr:row>
      <xdr:rowOff>85725</xdr:rowOff>
    </xdr:from>
    <xdr:to>
      <xdr:col>0</xdr:col>
      <xdr:colOff>323850</xdr:colOff>
      <xdr:row>499</xdr:row>
      <xdr:rowOff>142875</xdr:rowOff>
    </xdr:to>
    <xdr:sp macro="" textlink="">
      <xdr:nvSpPr>
        <xdr:cNvPr id="855" name="Up Arrow 516"/>
        <xdr:cNvSpPr>
          <a:spLocks noChangeArrowheads="1"/>
        </xdr:cNvSpPr>
      </xdr:nvSpPr>
      <xdr:spPr bwMode="auto">
        <a:xfrm>
          <a:off x="238125" y="84039075"/>
          <a:ext cx="85725" cy="381000"/>
        </a:xfrm>
        <a:prstGeom prst="upArrow">
          <a:avLst>
            <a:gd name="adj1" fmla="val 50000"/>
            <a:gd name="adj2" fmla="val 48995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47625</xdr:colOff>
      <xdr:row>493</xdr:row>
      <xdr:rowOff>0</xdr:rowOff>
    </xdr:from>
    <xdr:to>
      <xdr:col>7</xdr:col>
      <xdr:colOff>514350</xdr:colOff>
      <xdr:row>496</xdr:row>
      <xdr:rowOff>38100</xdr:rowOff>
    </xdr:to>
    <xdr:sp macro="" textlink="">
      <xdr:nvSpPr>
        <xdr:cNvPr id="856" name="Arc 855"/>
        <xdr:cNvSpPr/>
      </xdr:nvSpPr>
      <xdr:spPr bwMode="auto">
        <a:xfrm>
          <a:off x="4648200" y="83305650"/>
          <a:ext cx="466725" cy="523875"/>
        </a:xfrm>
        <a:prstGeom prst="arc">
          <a:avLst>
            <a:gd name="adj1" fmla="val 16200000"/>
            <a:gd name="adj2" fmla="val 338934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114300</xdr:colOff>
      <xdr:row>498</xdr:row>
      <xdr:rowOff>9525</xdr:rowOff>
    </xdr:from>
    <xdr:to>
      <xdr:col>7</xdr:col>
      <xdr:colOff>476250</xdr:colOff>
      <xdr:row>499</xdr:row>
      <xdr:rowOff>152400</xdr:rowOff>
    </xdr:to>
    <xdr:sp macro="" textlink="">
      <xdr:nvSpPr>
        <xdr:cNvPr id="857" name="Arc 856"/>
        <xdr:cNvSpPr/>
      </xdr:nvSpPr>
      <xdr:spPr bwMode="auto">
        <a:xfrm>
          <a:off x="4714875" y="84124800"/>
          <a:ext cx="361950" cy="304800"/>
        </a:xfrm>
        <a:prstGeom prst="arc">
          <a:avLst>
            <a:gd name="adj1" fmla="val 16200000"/>
            <a:gd name="adj2" fmla="val 3187812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219075</xdr:colOff>
      <xdr:row>508</xdr:row>
      <xdr:rowOff>57150</xdr:rowOff>
    </xdr:from>
    <xdr:to>
      <xdr:col>0</xdr:col>
      <xdr:colOff>333375</xdr:colOff>
      <xdr:row>511</xdr:row>
      <xdr:rowOff>57150</xdr:rowOff>
    </xdr:to>
    <xdr:sp macro="" textlink="">
      <xdr:nvSpPr>
        <xdr:cNvPr id="858" name="Down Arrow 510"/>
        <xdr:cNvSpPr>
          <a:spLocks noChangeArrowheads="1"/>
        </xdr:cNvSpPr>
      </xdr:nvSpPr>
      <xdr:spPr bwMode="auto">
        <a:xfrm flipH="1">
          <a:off x="219075" y="85886925"/>
          <a:ext cx="114300" cy="485775"/>
        </a:xfrm>
        <a:prstGeom prst="downArrow">
          <a:avLst>
            <a:gd name="adj1" fmla="val 50000"/>
            <a:gd name="adj2" fmla="val 50009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238125</xdr:colOff>
      <xdr:row>512</xdr:row>
      <xdr:rowOff>85725</xdr:rowOff>
    </xdr:from>
    <xdr:to>
      <xdr:col>0</xdr:col>
      <xdr:colOff>323850</xdr:colOff>
      <xdr:row>514</xdr:row>
      <xdr:rowOff>142875</xdr:rowOff>
    </xdr:to>
    <xdr:sp macro="" textlink="">
      <xdr:nvSpPr>
        <xdr:cNvPr id="859" name="Up Arrow 516"/>
        <xdr:cNvSpPr>
          <a:spLocks noChangeArrowheads="1"/>
        </xdr:cNvSpPr>
      </xdr:nvSpPr>
      <xdr:spPr bwMode="auto">
        <a:xfrm>
          <a:off x="238125" y="86563200"/>
          <a:ext cx="85725" cy="381000"/>
        </a:xfrm>
        <a:prstGeom prst="upArrow">
          <a:avLst>
            <a:gd name="adj1" fmla="val 50000"/>
            <a:gd name="adj2" fmla="val 48995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190500</xdr:colOff>
      <xdr:row>508</xdr:row>
      <xdr:rowOff>114301</xdr:rowOff>
    </xdr:from>
    <xdr:to>
      <xdr:col>8</xdr:col>
      <xdr:colOff>28575</xdr:colOff>
      <xdr:row>511</xdr:row>
      <xdr:rowOff>104776</xdr:rowOff>
    </xdr:to>
    <xdr:sp macro="" textlink="">
      <xdr:nvSpPr>
        <xdr:cNvPr id="860" name="Arc 859"/>
        <xdr:cNvSpPr/>
      </xdr:nvSpPr>
      <xdr:spPr bwMode="auto">
        <a:xfrm>
          <a:off x="4791075" y="85944076"/>
          <a:ext cx="476250" cy="476250"/>
        </a:xfrm>
        <a:prstGeom prst="arc">
          <a:avLst>
            <a:gd name="adj1" fmla="val 6072491"/>
            <a:gd name="adj2" fmla="val 16557597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66675</xdr:colOff>
      <xdr:row>513</xdr:row>
      <xdr:rowOff>38100</xdr:rowOff>
    </xdr:from>
    <xdr:to>
      <xdr:col>7</xdr:col>
      <xdr:colOff>428625</xdr:colOff>
      <xdr:row>515</xdr:row>
      <xdr:rowOff>0</xdr:rowOff>
    </xdr:to>
    <xdr:sp macro="" textlink="">
      <xdr:nvSpPr>
        <xdr:cNvPr id="861" name="Arc 860"/>
        <xdr:cNvSpPr/>
      </xdr:nvSpPr>
      <xdr:spPr bwMode="auto">
        <a:xfrm>
          <a:off x="4667250" y="86677500"/>
          <a:ext cx="361950" cy="285750"/>
        </a:xfrm>
        <a:prstGeom prst="arc">
          <a:avLst>
            <a:gd name="adj1" fmla="val 5597017"/>
            <a:gd name="adj2" fmla="val 1589682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219075</xdr:colOff>
      <xdr:row>557</xdr:row>
      <xdr:rowOff>0</xdr:rowOff>
    </xdr:from>
    <xdr:to>
      <xdr:col>0</xdr:col>
      <xdr:colOff>361950</xdr:colOff>
      <xdr:row>559</xdr:row>
      <xdr:rowOff>0</xdr:rowOff>
    </xdr:to>
    <xdr:sp macro="" textlink="">
      <xdr:nvSpPr>
        <xdr:cNvPr id="862" name="Down Arrow 510"/>
        <xdr:cNvSpPr>
          <a:spLocks noChangeArrowheads="1"/>
        </xdr:cNvSpPr>
      </xdr:nvSpPr>
      <xdr:spPr bwMode="auto">
        <a:xfrm flipH="1">
          <a:off x="219075" y="93887925"/>
          <a:ext cx="142875" cy="323850"/>
        </a:xfrm>
        <a:prstGeom prst="downArrow">
          <a:avLst>
            <a:gd name="adj1" fmla="val 50000"/>
            <a:gd name="adj2" fmla="val 50009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238125</xdr:colOff>
      <xdr:row>561</xdr:row>
      <xdr:rowOff>85725</xdr:rowOff>
    </xdr:from>
    <xdr:to>
      <xdr:col>0</xdr:col>
      <xdr:colOff>323850</xdr:colOff>
      <xdr:row>563</xdr:row>
      <xdr:rowOff>142875</xdr:rowOff>
    </xdr:to>
    <xdr:sp macro="" textlink="">
      <xdr:nvSpPr>
        <xdr:cNvPr id="863" name="Up Arrow 516"/>
        <xdr:cNvSpPr>
          <a:spLocks noChangeArrowheads="1"/>
        </xdr:cNvSpPr>
      </xdr:nvSpPr>
      <xdr:spPr bwMode="auto">
        <a:xfrm>
          <a:off x="238125" y="94621350"/>
          <a:ext cx="85725" cy="381000"/>
        </a:xfrm>
        <a:prstGeom prst="upArrow">
          <a:avLst>
            <a:gd name="adj1" fmla="val 50000"/>
            <a:gd name="adj2" fmla="val 48995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581025</xdr:colOff>
      <xdr:row>557</xdr:row>
      <xdr:rowOff>85725</xdr:rowOff>
    </xdr:from>
    <xdr:to>
      <xdr:col>7</xdr:col>
      <xdr:colOff>438150</xdr:colOff>
      <xdr:row>559</xdr:row>
      <xdr:rowOff>57150</xdr:rowOff>
    </xdr:to>
    <xdr:sp macro="" textlink="">
      <xdr:nvSpPr>
        <xdr:cNvPr id="864" name="Arc 863"/>
        <xdr:cNvSpPr/>
      </xdr:nvSpPr>
      <xdr:spPr bwMode="auto">
        <a:xfrm>
          <a:off x="4572000" y="93973650"/>
          <a:ext cx="466725" cy="295275"/>
        </a:xfrm>
        <a:prstGeom prst="arc">
          <a:avLst>
            <a:gd name="adj1" fmla="val 16200000"/>
            <a:gd name="adj2" fmla="val 366194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95250</xdr:colOff>
      <xdr:row>562</xdr:row>
      <xdr:rowOff>28575</xdr:rowOff>
    </xdr:from>
    <xdr:to>
      <xdr:col>7</xdr:col>
      <xdr:colOff>447675</xdr:colOff>
      <xdr:row>564</xdr:row>
      <xdr:rowOff>9525</xdr:rowOff>
    </xdr:to>
    <xdr:sp macro="" textlink="">
      <xdr:nvSpPr>
        <xdr:cNvPr id="865" name="Arc 864"/>
        <xdr:cNvSpPr/>
      </xdr:nvSpPr>
      <xdr:spPr bwMode="auto">
        <a:xfrm>
          <a:off x="4695825" y="94726125"/>
          <a:ext cx="352425" cy="304800"/>
        </a:xfrm>
        <a:prstGeom prst="arc">
          <a:avLst>
            <a:gd name="adj1" fmla="val 16200000"/>
            <a:gd name="adj2" fmla="val 3187812"/>
          </a:avLst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219074</xdr:colOff>
      <xdr:row>573</xdr:row>
      <xdr:rowOff>0</xdr:rowOff>
    </xdr:from>
    <xdr:to>
      <xdr:col>0</xdr:col>
      <xdr:colOff>342899</xdr:colOff>
      <xdr:row>575</xdr:row>
      <xdr:rowOff>104775</xdr:rowOff>
    </xdr:to>
    <xdr:sp macro="" textlink="">
      <xdr:nvSpPr>
        <xdr:cNvPr id="866" name="Down Arrow 510"/>
        <xdr:cNvSpPr>
          <a:spLocks noChangeArrowheads="1"/>
        </xdr:cNvSpPr>
      </xdr:nvSpPr>
      <xdr:spPr bwMode="auto">
        <a:xfrm flipH="1">
          <a:off x="219074" y="96545400"/>
          <a:ext cx="123825" cy="428625"/>
        </a:xfrm>
        <a:prstGeom prst="downArrow">
          <a:avLst>
            <a:gd name="adj1" fmla="val 50000"/>
            <a:gd name="adj2" fmla="val 50009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266700</xdr:colOff>
      <xdr:row>576</xdr:row>
      <xdr:rowOff>47625</xdr:rowOff>
    </xdr:from>
    <xdr:to>
      <xdr:col>0</xdr:col>
      <xdr:colOff>352425</xdr:colOff>
      <xdr:row>578</xdr:row>
      <xdr:rowOff>104775</xdr:rowOff>
    </xdr:to>
    <xdr:sp macro="" textlink="">
      <xdr:nvSpPr>
        <xdr:cNvPr id="867" name="Up Arrow 516"/>
        <xdr:cNvSpPr>
          <a:spLocks noChangeArrowheads="1"/>
        </xdr:cNvSpPr>
      </xdr:nvSpPr>
      <xdr:spPr bwMode="auto">
        <a:xfrm>
          <a:off x="266700" y="97078800"/>
          <a:ext cx="85725" cy="381000"/>
        </a:xfrm>
        <a:prstGeom prst="upArrow">
          <a:avLst>
            <a:gd name="adj1" fmla="val 50000"/>
            <a:gd name="adj2" fmla="val 48995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104775</xdr:colOff>
      <xdr:row>572</xdr:row>
      <xdr:rowOff>142876</xdr:rowOff>
    </xdr:from>
    <xdr:to>
      <xdr:col>7</xdr:col>
      <xdr:colOff>552450</xdr:colOff>
      <xdr:row>575</xdr:row>
      <xdr:rowOff>133351</xdr:rowOff>
    </xdr:to>
    <xdr:sp macro="" textlink="">
      <xdr:nvSpPr>
        <xdr:cNvPr id="868" name="Arc 867"/>
        <xdr:cNvSpPr/>
      </xdr:nvSpPr>
      <xdr:spPr bwMode="auto">
        <a:xfrm>
          <a:off x="4705350" y="96526351"/>
          <a:ext cx="447675" cy="476250"/>
        </a:xfrm>
        <a:prstGeom prst="arc">
          <a:avLst>
            <a:gd name="adj1" fmla="val 6797758"/>
            <a:gd name="adj2" fmla="val 1636142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123825</xdr:colOff>
      <xdr:row>577</xdr:row>
      <xdr:rowOff>1</xdr:rowOff>
    </xdr:from>
    <xdr:to>
      <xdr:col>7</xdr:col>
      <xdr:colOff>485775</xdr:colOff>
      <xdr:row>579</xdr:row>
      <xdr:rowOff>19050</xdr:rowOff>
    </xdr:to>
    <xdr:sp macro="" textlink="">
      <xdr:nvSpPr>
        <xdr:cNvPr id="869" name="Arc 868"/>
        <xdr:cNvSpPr/>
      </xdr:nvSpPr>
      <xdr:spPr bwMode="auto">
        <a:xfrm>
          <a:off x="4724400" y="97193101"/>
          <a:ext cx="361950" cy="342899"/>
        </a:xfrm>
        <a:prstGeom prst="arc">
          <a:avLst>
            <a:gd name="adj1" fmla="val 6655713"/>
            <a:gd name="adj2" fmla="val 15194386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oneCellAnchor>
    <xdr:from>
      <xdr:col>2</xdr:col>
      <xdr:colOff>285750</xdr:colOff>
      <xdr:row>585</xdr:row>
      <xdr:rowOff>0</xdr:rowOff>
    </xdr:from>
    <xdr:ext cx="323850" cy="170560"/>
    <xdr:sp macro="" textlink="">
      <xdr:nvSpPr>
        <xdr:cNvPr id="870" name="Text Box 135"/>
        <xdr:cNvSpPr txBox="1">
          <a:spLocks noChangeArrowheads="1"/>
        </xdr:cNvSpPr>
      </xdr:nvSpPr>
      <xdr:spPr bwMode="auto">
        <a:xfrm>
          <a:off x="1504950" y="98526600"/>
          <a:ext cx="323850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7</xdr:col>
      <xdr:colOff>285750</xdr:colOff>
      <xdr:row>584</xdr:row>
      <xdr:rowOff>152400</xdr:rowOff>
    </xdr:from>
    <xdr:ext cx="304800" cy="170560"/>
    <xdr:sp macro="" textlink="">
      <xdr:nvSpPr>
        <xdr:cNvPr id="871" name="Text Box 135"/>
        <xdr:cNvSpPr txBox="1">
          <a:spLocks noChangeArrowheads="1"/>
        </xdr:cNvSpPr>
      </xdr:nvSpPr>
      <xdr:spPr bwMode="auto">
        <a:xfrm>
          <a:off x="4886325" y="98517075"/>
          <a:ext cx="304800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2</xdr:col>
      <xdr:colOff>342900</xdr:colOff>
      <xdr:row>596</xdr:row>
      <xdr:rowOff>152400</xdr:rowOff>
    </xdr:from>
    <xdr:ext cx="323850" cy="170560"/>
    <xdr:sp macro="" textlink="">
      <xdr:nvSpPr>
        <xdr:cNvPr id="872" name="Text Box 135"/>
        <xdr:cNvSpPr txBox="1">
          <a:spLocks noChangeArrowheads="1"/>
        </xdr:cNvSpPr>
      </xdr:nvSpPr>
      <xdr:spPr bwMode="auto">
        <a:xfrm>
          <a:off x="1562100" y="100660200"/>
          <a:ext cx="323850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oneCellAnchor>
    <xdr:from>
      <xdr:col>7</xdr:col>
      <xdr:colOff>285750</xdr:colOff>
      <xdr:row>596</xdr:row>
      <xdr:rowOff>142875</xdr:rowOff>
    </xdr:from>
    <xdr:ext cx="304800" cy="170560"/>
    <xdr:sp macro="" textlink="">
      <xdr:nvSpPr>
        <xdr:cNvPr id="873" name="Text Box 135"/>
        <xdr:cNvSpPr txBox="1">
          <a:spLocks noChangeArrowheads="1"/>
        </xdr:cNvSpPr>
      </xdr:nvSpPr>
      <xdr:spPr bwMode="auto">
        <a:xfrm>
          <a:off x="4886325" y="100650675"/>
          <a:ext cx="304800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mm</a:t>
          </a:r>
        </a:p>
      </xdr:txBody>
    </xdr:sp>
    <xdr:clientData/>
  </xdr:oneCellAnchor>
  <xdr:twoCellAnchor editAs="oneCell">
    <xdr:from>
      <xdr:col>7</xdr:col>
      <xdr:colOff>542925</xdr:colOff>
      <xdr:row>607</xdr:row>
      <xdr:rowOff>0</xdr:rowOff>
    </xdr:from>
    <xdr:to>
      <xdr:col>8</xdr:col>
      <xdr:colOff>409575</xdr:colOff>
      <xdr:row>608</xdr:row>
      <xdr:rowOff>38100</xdr:rowOff>
    </xdr:to>
    <xdr:sp macro="" textlink="">
      <xdr:nvSpPr>
        <xdr:cNvPr id="874" name="Text Box 462"/>
        <xdr:cNvSpPr txBox="1">
          <a:spLocks noChangeArrowheads="1"/>
        </xdr:cNvSpPr>
      </xdr:nvSpPr>
      <xdr:spPr bwMode="auto">
        <a:xfrm>
          <a:off x="5143500" y="102489000"/>
          <a:ext cx="5048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542925</xdr:colOff>
      <xdr:row>607</xdr:row>
      <xdr:rowOff>0</xdr:rowOff>
    </xdr:from>
    <xdr:to>
      <xdr:col>8</xdr:col>
      <xdr:colOff>409575</xdr:colOff>
      <xdr:row>608</xdr:row>
      <xdr:rowOff>38100</xdr:rowOff>
    </xdr:to>
    <xdr:sp macro="" textlink="">
      <xdr:nvSpPr>
        <xdr:cNvPr id="875" name="Text Box 464"/>
        <xdr:cNvSpPr txBox="1">
          <a:spLocks noChangeArrowheads="1"/>
        </xdr:cNvSpPr>
      </xdr:nvSpPr>
      <xdr:spPr bwMode="auto">
        <a:xfrm>
          <a:off x="5143500" y="102489000"/>
          <a:ext cx="5048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85725</xdr:colOff>
      <xdr:row>317</xdr:row>
      <xdr:rowOff>161924</xdr:rowOff>
    </xdr:from>
    <xdr:to>
      <xdr:col>8</xdr:col>
      <xdr:colOff>552450</xdr:colOff>
      <xdr:row>324</xdr:row>
      <xdr:rowOff>152400</xdr:rowOff>
    </xdr:to>
    <xdr:sp macro="" textlink="">
      <xdr:nvSpPr>
        <xdr:cNvPr id="876" name="Line 624"/>
        <xdr:cNvSpPr>
          <a:spLocks noChangeShapeType="1"/>
        </xdr:cNvSpPr>
      </xdr:nvSpPr>
      <xdr:spPr bwMode="auto">
        <a:xfrm>
          <a:off x="5324475" y="53911499"/>
          <a:ext cx="466725" cy="112395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66675</xdr:colOff>
      <xdr:row>318</xdr:row>
      <xdr:rowOff>9532</xdr:rowOff>
    </xdr:from>
    <xdr:to>
      <xdr:col>8</xdr:col>
      <xdr:colOff>76202</xdr:colOff>
      <xdr:row>325</xdr:row>
      <xdr:rowOff>9531</xdr:rowOff>
    </xdr:to>
    <xdr:cxnSp macro="">
      <xdr:nvCxnSpPr>
        <xdr:cNvPr id="877" name="Straight Connector 598"/>
        <xdr:cNvCxnSpPr>
          <a:cxnSpLocks noChangeShapeType="1"/>
        </xdr:cNvCxnSpPr>
      </xdr:nvCxnSpPr>
      <xdr:spPr bwMode="auto">
        <a:xfrm rot="5400000">
          <a:off x="4743452" y="54483005"/>
          <a:ext cx="1133474" cy="9527"/>
        </a:xfrm>
        <a:prstGeom prst="line">
          <a:avLst/>
        </a:prstGeom>
        <a:noFill/>
        <a:ln w="9525" algn="ctr">
          <a:solidFill>
            <a:srgbClr val="000000"/>
          </a:solidFill>
          <a:prstDash val="dash"/>
          <a:round/>
          <a:headEnd/>
          <a:tailEnd/>
        </a:ln>
      </xdr:spPr>
    </xdr:cxnSp>
    <xdr:clientData/>
  </xdr:twoCellAnchor>
  <xdr:twoCellAnchor>
    <xdr:from>
      <xdr:col>8</xdr:col>
      <xdr:colOff>66675</xdr:colOff>
      <xdr:row>324</xdr:row>
      <xdr:rowOff>152400</xdr:rowOff>
    </xdr:from>
    <xdr:to>
      <xdr:col>8</xdr:col>
      <xdr:colOff>561975</xdr:colOff>
      <xdr:row>325</xdr:row>
      <xdr:rowOff>0</xdr:rowOff>
    </xdr:to>
    <xdr:cxnSp macro="">
      <xdr:nvCxnSpPr>
        <xdr:cNvPr id="878" name="Straight Connector 600"/>
        <xdr:cNvCxnSpPr>
          <a:cxnSpLocks noChangeShapeType="1"/>
        </xdr:cNvCxnSpPr>
      </xdr:nvCxnSpPr>
      <xdr:spPr bwMode="auto">
        <a:xfrm flipV="1">
          <a:off x="5305425" y="55035450"/>
          <a:ext cx="495300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/>
        </a:ln>
      </xdr:spPr>
    </xdr:cxnSp>
    <xdr:clientData/>
  </xdr:twoCellAnchor>
  <xdr:twoCellAnchor>
    <xdr:from>
      <xdr:col>8</xdr:col>
      <xdr:colOff>0</xdr:colOff>
      <xdr:row>318</xdr:row>
      <xdr:rowOff>7</xdr:rowOff>
    </xdr:from>
    <xdr:to>
      <xdr:col>8</xdr:col>
      <xdr:colOff>9525</xdr:colOff>
      <xdr:row>325</xdr:row>
      <xdr:rowOff>4</xdr:rowOff>
    </xdr:to>
    <xdr:cxnSp macro="">
      <xdr:nvCxnSpPr>
        <xdr:cNvPr id="879" name="Straight Arrow Connector 604"/>
        <xdr:cNvCxnSpPr>
          <a:cxnSpLocks noChangeShapeType="1"/>
        </xdr:cNvCxnSpPr>
      </xdr:nvCxnSpPr>
      <xdr:spPr bwMode="auto">
        <a:xfrm rot="5400000">
          <a:off x="4676777" y="54473480"/>
          <a:ext cx="1133472" cy="952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485775</xdr:colOff>
      <xdr:row>318</xdr:row>
      <xdr:rowOff>0</xdr:rowOff>
    </xdr:from>
    <xdr:to>
      <xdr:col>10</xdr:col>
      <xdr:colOff>66675</xdr:colOff>
      <xdr:row>318</xdr:row>
      <xdr:rowOff>0</xdr:rowOff>
    </xdr:to>
    <xdr:cxnSp macro="">
      <xdr:nvCxnSpPr>
        <xdr:cNvPr id="880" name="Straight Connector 607"/>
        <xdr:cNvCxnSpPr>
          <a:cxnSpLocks noChangeShapeType="1"/>
        </xdr:cNvCxnSpPr>
      </xdr:nvCxnSpPr>
      <xdr:spPr bwMode="auto">
        <a:xfrm>
          <a:off x="5086350" y="53911500"/>
          <a:ext cx="8191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5</xdr:col>
      <xdr:colOff>552452</xdr:colOff>
      <xdr:row>316</xdr:row>
      <xdr:rowOff>5</xdr:rowOff>
    </xdr:from>
    <xdr:to>
      <xdr:col>5</xdr:col>
      <xdr:colOff>552453</xdr:colOff>
      <xdr:row>325</xdr:row>
      <xdr:rowOff>19054</xdr:rowOff>
    </xdr:to>
    <xdr:cxnSp macro="">
      <xdr:nvCxnSpPr>
        <xdr:cNvPr id="881" name="Straight Connector 679"/>
        <xdr:cNvCxnSpPr>
          <a:cxnSpLocks noChangeShapeType="1"/>
        </xdr:cNvCxnSpPr>
      </xdr:nvCxnSpPr>
      <xdr:spPr bwMode="auto">
        <a:xfrm rot="5400000">
          <a:off x="3100391" y="54325841"/>
          <a:ext cx="1476374" cy="1"/>
        </a:xfrm>
        <a:prstGeom prst="line">
          <a:avLst/>
        </a:prstGeom>
        <a:noFill/>
        <a:ln w="9525" algn="ctr">
          <a:solidFill>
            <a:srgbClr val="000000"/>
          </a:solidFill>
          <a:prstDash val="dash"/>
          <a:round/>
          <a:headEnd/>
          <a:tailEnd/>
        </a:ln>
      </xdr:spPr>
    </xdr:cxnSp>
    <xdr:clientData/>
  </xdr:twoCellAnchor>
  <xdr:twoCellAnchor>
    <xdr:from>
      <xdr:col>5</xdr:col>
      <xdr:colOff>561977</xdr:colOff>
      <xdr:row>315</xdr:row>
      <xdr:rowOff>152402</xdr:rowOff>
    </xdr:from>
    <xdr:to>
      <xdr:col>6</xdr:col>
      <xdr:colOff>200024</xdr:colOff>
      <xdr:row>325</xdr:row>
      <xdr:rowOff>0</xdr:rowOff>
    </xdr:to>
    <xdr:cxnSp macro="">
      <xdr:nvCxnSpPr>
        <xdr:cNvPr id="882" name="Straight Connector 681"/>
        <xdr:cNvCxnSpPr>
          <a:cxnSpLocks noChangeShapeType="1"/>
        </xdr:cNvCxnSpPr>
      </xdr:nvCxnSpPr>
      <xdr:spPr bwMode="auto">
        <a:xfrm rot="16200000" flipH="1">
          <a:off x="3000377" y="53501927"/>
          <a:ext cx="1466848" cy="247647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5</xdr:col>
      <xdr:colOff>533402</xdr:colOff>
      <xdr:row>325</xdr:row>
      <xdr:rowOff>0</xdr:rowOff>
    </xdr:from>
    <xdr:to>
      <xdr:col>6</xdr:col>
      <xdr:colOff>266701</xdr:colOff>
      <xdr:row>325</xdr:row>
      <xdr:rowOff>1588</xdr:rowOff>
    </xdr:to>
    <xdr:cxnSp macro="">
      <xdr:nvCxnSpPr>
        <xdr:cNvPr id="883" name="Straight Arrow Connector 683"/>
        <xdr:cNvCxnSpPr>
          <a:cxnSpLocks noChangeShapeType="1"/>
        </xdr:cNvCxnSpPr>
      </xdr:nvCxnSpPr>
      <xdr:spPr bwMode="auto">
        <a:xfrm rot="10800000">
          <a:off x="3581402" y="54359175"/>
          <a:ext cx="342899" cy="1588"/>
        </a:xfrm>
        <a:prstGeom prst="straightConnector1">
          <a:avLst/>
        </a:prstGeom>
        <a:noFill/>
        <a:ln w="9525" algn="ctr">
          <a:solidFill>
            <a:sysClr val="windowText" lastClr="000000"/>
          </a:solidFill>
          <a:round/>
          <a:headEnd type="none" w="med" len="med"/>
          <a:tailEnd type="triangle" w="med" len="med"/>
        </a:ln>
      </xdr:spPr>
    </xdr:cxnSp>
    <xdr:clientData/>
  </xdr:twoCellAnchor>
  <xdr:twoCellAnchor editAs="oneCell">
    <xdr:from>
      <xdr:col>4</xdr:col>
      <xdr:colOff>600075</xdr:colOff>
      <xdr:row>406</xdr:row>
      <xdr:rowOff>0</xdr:rowOff>
    </xdr:from>
    <xdr:to>
      <xdr:col>5</xdr:col>
      <xdr:colOff>171450</xdr:colOff>
      <xdr:row>406</xdr:row>
      <xdr:rowOff>161925</xdr:rowOff>
    </xdr:to>
    <xdr:sp macro="" textlink="">
      <xdr:nvSpPr>
        <xdr:cNvPr id="884" name="Text Box 154"/>
        <xdr:cNvSpPr txBox="1">
          <a:spLocks noChangeArrowheads="1"/>
        </xdr:cNvSpPr>
      </xdr:nvSpPr>
      <xdr:spPr bwMode="auto">
        <a:xfrm>
          <a:off x="3114675" y="68856225"/>
          <a:ext cx="3714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408</xdr:row>
      <xdr:rowOff>0</xdr:rowOff>
    </xdr:from>
    <xdr:to>
      <xdr:col>5</xdr:col>
      <xdr:colOff>171450</xdr:colOff>
      <xdr:row>408</xdr:row>
      <xdr:rowOff>161925</xdr:rowOff>
    </xdr:to>
    <xdr:sp macro="" textlink="">
      <xdr:nvSpPr>
        <xdr:cNvPr id="885" name="Text Box 154"/>
        <xdr:cNvSpPr txBox="1">
          <a:spLocks noChangeArrowheads="1"/>
        </xdr:cNvSpPr>
      </xdr:nvSpPr>
      <xdr:spPr bwMode="auto">
        <a:xfrm>
          <a:off x="3114675" y="69246750"/>
          <a:ext cx="3714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409</xdr:row>
      <xdr:rowOff>0</xdr:rowOff>
    </xdr:from>
    <xdr:to>
      <xdr:col>5</xdr:col>
      <xdr:colOff>171450</xdr:colOff>
      <xdr:row>409</xdr:row>
      <xdr:rowOff>161925</xdr:rowOff>
    </xdr:to>
    <xdr:sp macro="" textlink="">
      <xdr:nvSpPr>
        <xdr:cNvPr id="886" name="Text Box 154"/>
        <xdr:cNvSpPr txBox="1">
          <a:spLocks noChangeArrowheads="1"/>
        </xdr:cNvSpPr>
      </xdr:nvSpPr>
      <xdr:spPr bwMode="auto">
        <a:xfrm>
          <a:off x="3114675" y="69446775"/>
          <a:ext cx="3714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621</xdr:row>
      <xdr:rowOff>0</xdr:rowOff>
    </xdr:from>
    <xdr:to>
      <xdr:col>5</xdr:col>
      <xdr:colOff>171450</xdr:colOff>
      <xdr:row>621</xdr:row>
      <xdr:rowOff>161925</xdr:rowOff>
    </xdr:to>
    <xdr:sp macro="" textlink="">
      <xdr:nvSpPr>
        <xdr:cNvPr id="887" name="Text Box 154"/>
        <xdr:cNvSpPr txBox="1">
          <a:spLocks noChangeArrowheads="1"/>
        </xdr:cNvSpPr>
      </xdr:nvSpPr>
      <xdr:spPr bwMode="auto">
        <a:xfrm>
          <a:off x="3114675" y="104813100"/>
          <a:ext cx="3714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623</xdr:row>
      <xdr:rowOff>0</xdr:rowOff>
    </xdr:from>
    <xdr:to>
      <xdr:col>5</xdr:col>
      <xdr:colOff>171450</xdr:colOff>
      <xdr:row>623</xdr:row>
      <xdr:rowOff>161925</xdr:rowOff>
    </xdr:to>
    <xdr:sp macro="" textlink="">
      <xdr:nvSpPr>
        <xdr:cNvPr id="888" name="Text Box 154"/>
        <xdr:cNvSpPr txBox="1">
          <a:spLocks noChangeArrowheads="1"/>
        </xdr:cNvSpPr>
      </xdr:nvSpPr>
      <xdr:spPr bwMode="auto">
        <a:xfrm>
          <a:off x="3114675" y="105203625"/>
          <a:ext cx="3714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624</xdr:row>
      <xdr:rowOff>0</xdr:rowOff>
    </xdr:from>
    <xdr:to>
      <xdr:col>5</xdr:col>
      <xdr:colOff>171450</xdr:colOff>
      <xdr:row>624</xdr:row>
      <xdr:rowOff>161925</xdr:rowOff>
    </xdr:to>
    <xdr:sp macro="" textlink="">
      <xdr:nvSpPr>
        <xdr:cNvPr id="889" name="Text Box 154"/>
        <xdr:cNvSpPr txBox="1">
          <a:spLocks noChangeArrowheads="1"/>
        </xdr:cNvSpPr>
      </xdr:nvSpPr>
      <xdr:spPr bwMode="auto">
        <a:xfrm>
          <a:off x="3114675" y="105403650"/>
          <a:ext cx="3714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9525</xdr:colOff>
      <xdr:row>424</xdr:row>
      <xdr:rowOff>133350</xdr:rowOff>
    </xdr:from>
    <xdr:to>
      <xdr:col>4</xdr:col>
      <xdr:colOff>285750</xdr:colOff>
      <xdr:row>424</xdr:row>
      <xdr:rowOff>142875</xdr:rowOff>
    </xdr:to>
    <xdr:cxnSp macro="">
      <xdr:nvCxnSpPr>
        <xdr:cNvPr id="891" name="Straight Connector 704"/>
        <xdr:cNvCxnSpPr>
          <a:cxnSpLocks noChangeShapeType="1"/>
        </xdr:cNvCxnSpPr>
      </xdr:nvCxnSpPr>
      <xdr:spPr bwMode="auto">
        <a:xfrm>
          <a:off x="2524125" y="72075675"/>
          <a:ext cx="276225" cy="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3</xdr:col>
      <xdr:colOff>295276</xdr:colOff>
      <xdr:row>422</xdr:row>
      <xdr:rowOff>28575</xdr:rowOff>
    </xdr:from>
    <xdr:to>
      <xdr:col>4</xdr:col>
      <xdr:colOff>19051</xdr:colOff>
      <xdr:row>422</xdr:row>
      <xdr:rowOff>30163</xdr:rowOff>
    </xdr:to>
    <xdr:cxnSp macro="">
      <xdr:nvCxnSpPr>
        <xdr:cNvPr id="892" name="Straight Connector 710"/>
        <xdr:cNvCxnSpPr>
          <a:cxnSpLocks noChangeShapeType="1"/>
        </xdr:cNvCxnSpPr>
      </xdr:nvCxnSpPr>
      <xdr:spPr bwMode="auto">
        <a:xfrm rot="10800000">
          <a:off x="2257426" y="71647050"/>
          <a:ext cx="276225" cy="1588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4</xdr:col>
      <xdr:colOff>238125</xdr:colOff>
      <xdr:row>534</xdr:row>
      <xdr:rowOff>38100</xdr:rowOff>
    </xdr:from>
    <xdr:to>
      <xdr:col>4</xdr:col>
      <xdr:colOff>247650</xdr:colOff>
      <xdr:row>537</xdr:row>
      <xdr:rowOff>0</xdr:rowOff>
    </xdr:to>
    <xdr:cxnSp macro="">
      <xdr:nvCxnSpPr>
        <xdr:cNvPr id="893" name="Straight Arrow Connector 743"/>
        <xdr:cNvCxnSpPr>
          <a:cxnSpLocks noChangeShapeType="1"/>
          <a:stCxn id="750" idx="0"/>
        </xdr:cNvCxnSpPr>
      </xdr:nvCxnSpPr>
      <xdr:spPr bwMode="auto">
        <a:xfrm rot="5400000" flipH="1">
          <a:off x="2533650" y="90363675"/>
          <a:ext cx="447675" cy="952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0</xdr:col>
      <xdr:colOff>28575</xdr:colOff>
      <xdr:row>522</xdr:row>
      <xdr:rowOff>152401</xdr:rowOff>
    </xdr:from>
    <xdr:to>
      <xdr:col>1</xdr:col>
      <xdr:colOff>219075</xdr:colOff>
      <xdr:row>523</xdr:row>
      <xdr:rowOff>0</xdr:rowOff>
    </xdr:to>
    <xdr:cxnSp macro="">
      <xdr:nvCxnSpPr>
        <xdr:cNvPr id="894" name="Straight Connector 747"/>
        <xdr:cNvCxnSpPr>
          <a:cxnSpLocks noChangeShapeType="1"/>
        </xdr:cNvCxnSpPr>
      </xdr:nvCxnSpPr>
      <xdr:spPr bwMode="auto">
        <a:xfrm>
          <a:off x="28575" y="88315801"/>
          <a:ext cx="800100" cy="9524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4</xdr:col>
      <xdr:colOff>161925</xdr:colOff>
      <xdr:row>538</xdr:row>
      <xdr:rowOff>0</xdr:rowOff>
    </xdr:from>
    <xdr:to>
      <xdr:col>4</xdr:col>
      <xdr:colOff>419100</xdr:colOff>
      <xdr:row>538</xdr:row>
      <xdr:rowOff>0</xdr:rowOff>
    </xdr:to>
    <xdr:cxnSp macro="">
      <xdr:nvCxnSpPr>
        <xdr:cNvPr id="895" name="Straight Connector 753"/>
        <xdr:cNvCxnSpPr>
          <a:cxnSpLocks noChangeShapeType="1"/>
        </xdr:cNvCxnSpPr>
      </xdr:nvCxnSpPr>
      <xdr:spPr bwMode="auto">
        <a:xfrm>
          <a:off x="2676525" y="90754200"/>
          <a:ext cx="25717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4</xdr:col>
      <xdr:colOff>209550</xdr:colOff>
      <xdr:row>528</xdr:row>
      <xdr:rowOff>152400</xdr:rowOff>
    </xdr:from>
    <xdr:to>
      <xdr:col>4</xdr:col>
      <xdr:colOff>209550</xdr:colOff>
      <xdr:row>534</xdr:row>
      <xdr:rowOff>76200</xdr:rowOff>
    </xdr:to>
    <xdr:cxnSp macro="">
      <xdr:nvCxnSpPr>
        <xdr:cNvPr id="896" name="Straight Connector 757"/>
        <xdr:cNvCxnSpPr>
          <a:cxnSpLocks noChangeShapeType="1"/>
        </xdr:cNvCxnSpPr>
      </xdr:nvCxnSpPr>
      <xdr:spPr bwMode="auto">
        <a:xfrm rot="5400000">
          <a:off x="2276475" y="89735025"/>
          <a:ext cx="8953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</xdr:col>
      <xdr:colOff>66675</xdr:colOff>
      <xdr:row>484</xdr:row>
      <xdr:rowOff>9525</xdr:rowOff>
    </xdr:from>
    <xdr:to>
      <xdr:col>3</xdr:col>
      <xdr:colOff>676275</xdr:colOff>
      <xdr:row>485</xdr:row>
      <xdr:rowOff>0</xdr:rowOff>
    </xdr:to>
    <xdr:cxnSp macro="">
      <xdr:nvCxnSpPr>
        <xdr:cNvPr id="897" name="Straight Connector 896"/>
        <xdr:cNvCxnSpPr/>
      </xdr:nvCxnSpPr>
      <xdr:spPr bwMode="auto">
        <a:xfrm>
          <a:off x="676275" y="81829275"/>
          <a:ext cx="1838325" cy="15240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75407</xdr:colOff>
      <xdr:row>482</xdr:row>
      <xdr:rowOff>134144</xdr:rowOff>
    </xdr:from>
    <xdr:to>
      <xdr:col>1</xdr:col>
      <xdr:colOff>76995</xdr:colOff>
      <xdr:row>483</xdr:row>
      <xdr:rowOff>153194</xdr:rowOff>
    </xdr:to>
    <xdr:cxnSp macro="">
      <xdr:nvCxnSpPr>
        <xdr:cNvPr id="898" name="Straight Arrow Connector 897"/>
        <xdr:cNvCxnSpPr/>
      </xdr:nvCxnSpPr>
      <xdr:spPr bwMode="auto">
        <a:xfrm rot="5400000" flipH="1" flipV="1">
          <a:off x="595313" y="81719738"/>
          <a:ext cx="1809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1</xdr:colOff>
      <xdr:row>483</xdr:row>
      <xdr:rowOff>9525</xdr:rowOff>
    </xdr:from>
    <xdr:to>
      <xdr:col>4</xdr:col>
      <xdr:colOff>1</xdr:colOff>
      <xdr:row>485</xdr:row>
      <xdr:rowOff>0</xdr:rowOff>
    </xdr:to>
    <xdr:cxnSp macro="">
      <xdr:nvCxnSpPr>
        <xdr:cNvPr id="899" name="Straight Arrow Connector 898"/>
        <xdr:cNvCxnSpPr/>
      </xdr:nvCxnSpPr>
      <xdr:spPr bwMode="auto">
        <a:xfrm rot="5400000" flipH="1" flipV="1">
          <a:off x="2357438" y="81824513"/>
          <a:ext cx="314325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284957</xdr:colOff>
      <xdr:row>483</xdr:row>
      <xdr:rowOff>10319</xdr:rowOff>
    </xdr:from>
    <xdr:to>
      <xdr:col>3</xdr:col>
      <xdr:colOff>286545</xdr:colOff>
      <xdr:row>484</xdr:row>
      <xdr:rowOff>124619</xdr:rowOff>
    </xdr:to>
    <xdr:cxnSp macro="">
      <xdr:nvCxnSpPr>
        <xdr:cNvPr id="900" name="Straight Arrow Connector 899"/>
        <xdr:cNvCxnSpPr/>
      </xdr:nvCxnSpPr>
      <xdr:spPr bwMode="auto">
        <a:xfrm rot="5400000" flipH="1" flipV="1">
          <a:off x="2109788" y="81805463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542131</xdr:colOff>
      <xdr:row>483</xdr:row>
      <xdr:rowOff>10319</xdr:rowOff>
    </xdr:from>
    <xdr:to>
      <xdr:col>2</xdr:col>
      <xdr:colOff>543719</xdr:colOff>
      <xdr:row>484</xdr:row>
      <xdr:rowOff>115094</xdr:rowOff>
    </xdr:to>
    <xdr:cxnSp macro="">
      <xdr:nvCxnSpPr>
        <xdr:cNvPr id="901" name="Straight Arrow Connector 900"/>
        <xdr:cNvCxnSpPr/>
      </xdr:nvCxnSpPr>
      <xdr:spPr bwMode="auto">
        <a:xfrm rot="5400000" flipH="1" flipV="1">
          <a:off x="1628775" y="81800700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19050</xdr:colOff>
      <xdr:row>483</xdr:row>
      <xdr:rowOff>142875</xdr:rowOff>
    </xdr:from>
    <xdr:to>
      <xdr:col>2</xdr:col>
      <xdr:colOff>485775</xdr:colOff>
      <xdr:row>485</xdr:row>
      <xdr:rowOff>57150</xdr:rowOff>
    </xdr:to>
    <xdr:cxnSp macro="">
      <xdr:nvCxnSpPr>
        <xdr:cNvPr id="902" name="Straight Arrow Connector 901"/>
        <xdr:cNvCxnSpPr/>
      </xdr:nvCxnSpPr>
      <xdr:spPr bwMode="auto">
        <a:xfrm flipV="1">
          <a:off x="1238250" y="81800700"/>
          <a:ext cx="466725" cy="2381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647700</xdr:colOff>
      <xdr:row>484</xdr:row>
      <xdr:rowOff>9525</xdr:rowOff>
    </xdr:from>
    <xdr:to>
      <xdr:col>3</xdr:col>
      <xdr:colOff>266700</xdr:colOff>
      <xdr:row>486</xdr:row>
      <xdr:rowOff>123825</xdr:rowOff>
    </xdr:to>
    <xdr:sp macro="" textlink="">
      <xdr:nvSpPr>
        <xdr:cNvPr id="903" name="Freeform 902"/>
        <xdr:cNvSpPr/>
      </xdr:nvSpPr>
      <xdr:spPr bwMode="auto">
        <a:xfrm>
          <a:off x="1866900" y="81829275"/>
          <a:ext cx="361950" cy="438150"/>
        </a:xfrm>
        <a:custGeom>
          <a:avLst/>
          <a:gdLst>
            <a:gd name="connsiteX0" fmla="*/ 31750 w 222250"/>
            <a:gd name="connsiteY0" fmla="*/ 409575 h 423862"/>
            <a:gd name="connsiteX1" fmla="*/ 146050 w 222250"/>
            <a:gd name="connsiteY1" fmla="*/ 381000 h 423862"/>
            <a:gd name="connsiteX2" fmla="*/ 12700 w 222250"/>
            <a:gd name="connsiteY2" fmla="*/ 152400 h 423862"/>
            <a:gd name="connsiteX3" fmla="*/ 222250 w 222250"/>
            <a:gd name="connsiteY3" fmla="*/ 0 h 4238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22250" h="423862">
              <a:moveTo>
                <a:pt x="31750" y="409575"/>
              </a:moveTo>
              <a:cubicBezTo>
                <a:pt x="90487" y="416718"/>
                <a:pt x="149225" y="423862"/>
                <a:pt x="146050" y="381000"/>
              </a:cubicBezTo>
              <a:cubicBezTo>
                <a:pt x="142875" y="338138"/>
                <a:pt x="0" y="215900"/>
                <a:pt x="12700" y="152400"/>
              </a:cubicBezTo>
              <a:cubicBezTo>
                <a:pt x="25400" y="88900"/>
                <a:pt x="123825" y="44450"/>
                <a:pt x="222250" y="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600075</xdr:colOff>
      <xdr:row>547</xdr:row>
      <xdr:rowOff>76201</xdr:rowOff>
    </xdr:from>
    <xdr:to>
      <xdr:col>3</xdr:col>
      <xdr:colOff>600076</xdr:colOff>
      <xdr:row>548</xdr:row>
      <xdr:rowOff>66676</xdr:rowOff>
    </xdr:to>
    <xdr:cxnSp macro="">
      <xdr:nvCxnSpPr>
        <xdr:cNvPr id="904" name="Straight Arrow Connector 903"/>
        <xdr:cNvCxnSpPr/>
      </xdr:nvCxnSpPr>
      <xdr:spPr bwMode="auto">
        <a:xfrm rot="5400000" flipH="1">
          <a:off x="2438401" y="92392500"/>
          <a:ext cx="15240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285751</xdr:colOff>
      <xdr:row>547</xdr:row>
      <xdr:rowOff>85725</xdr:rowOff>
    </xdr:from>
    <xdr:to>
      <xdr:col>3</xdr:col>
      <xdr:colOff>295276</xdr:colOff>
      <xdr:row>548</xdr:row>
      <xdr:rowOff>123825</xdr:rowOff>
    </xdr:to>
    <xdr:cxnSp macro="">
      <xdr:nvCxnSpPr>
        <xdr:cNvPr id="905" name="Straight Arrow Connector 904"/>
        <xdr:cNvCxnSpPr/>
      </xdr:nvCxnSpPr>
      <xdr:spPr bwMode="auto">
        <a:xfrm rot="16200000" flipV="1">
          <a:off x="2152651" y="92421075"/>
          <a:ext cx="2000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380206</xdr:colOff>
      <xdr:row>547</xdr:row>
      <xdr:rowOff>96044</xdr:rowOff>
    </xdr:from>
    <xdr:to>
      <xdr:col>2</xdr:col>
      <xdr:colOff>381794</xdr:colOff>
      <xdr:row>549</xdr:row>
      <xdr:rowOff>57944</xdr:rowOff>
    </xdr:to>
    <xdr:cxnSp macro="">
      <xdr:nvCxnSpPr>
        <xdr:cNvPr id="906" name="Straight Arrow Connector 905"/>
        <xdr:cNvCxnSpPr/>
      </xdr:nvCxnSpPr>
      <xdr:spPr bwMode="auto">
        <a:xfrm rot="5400000" flipH="1" flipV="1">
          <a:off x="1457325" y="92478225"/>
          <a:ext cx="285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1</xdr:colOff>
      <xdr:row>547</xdr:row>
      <xdr:rowOff>76201</xdr:rowOff>
    </xdr:from>
    <xdr:to>
      <xdr:col>1</xdr:col>
      <xdr:colOff>9525</xdr:colOff>
      <xdr:row>550</xdr:row>
      <xdr:rowOff>28575</xdr:rowOff>
    </xdr:to>
    <xdr:cxnSp macro="">
      <xdr:nvCxnSpPr>
        <xdr:cNvPr id="907" name="Straight Arrow Connector 906"/>
        <xdr:cNvCxnSpPr/>
      </xdr:nvCxnSpPr>
      <xdr:spPr bwMode="auto">
        <a:xfrm rot="5400000" flipH="1" flipV="1">
          <a:off x="500063" y="91844814"/>
          <a:ext cx="438149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323852</xdr:colOff>
      <xdr:row>548</xdr:row>
      <xdr:rowOff>57150</xdr:rowOff>
    </xdr:from>
    <xdr:to>
      <xdr:col>4</xdr:col>
      <xdr:colOff>228600</xdr:colOff>
      <xdr:row>549</xdr:row>
      <xdr:rowOff>66675</xdr:rowOff>
    </xdr:to>
    <xdr:cxnSp macro="">
      <xdr:nvCxnSpPr>
        <xdr:cNvPr id="908" name="Straight Arrow Connector 907"/>
        <xdr:cNvCxnSpPr/>
      </xdr:nvCxnSpPr>
      <xdr:spPr bwMode="auto">
        <a:xfrm rot="10800000">
          <a:off x="2286002" y="92459175"/>
          <a:ext cx="457198" cy="1714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400050</xdr:colOff>
      <xdr:row>548</xdr:row>
      <xdr:rowOff>28575</xdr:rowOff>
    </xdr:from>
    <xdr:to>
      <xdr:col>3</xdr:col>
      <xdr:colOff>600075</xdr:colOff>
      <xdr:row>550</xdr:row>
      <xdr:rowOff>95250</xdr:rowOff>
    </xdr:to>
    <xdr:sp macro="" textlink="">
      <xdr:nvSpPr>
        <xdr:cNvPr id="909" name="Freeform 908"/>
        <xdr:cNvSpPr/>
      </xdr:nvSpPr>
      <xdr:spPr bwMode="auto">
        <a:xfrm>
          <a:off x="1619250" y="92430600"/>
          <a:ext cx="895350" cy="390525"/>
        </a:xfrm>
        <a:custGeom>
          <a:avLst/>
          <a:gdLst>
            <a:gd name="connsiteX0" fmla="*/ 857250 w 857250"/>
            <a:gd name="connsiteY0" fmla="*/ 390525 h 390525"/>
            <a:gd name="connsiteX1" fmla="*/ 323850 w 857250"/>
            <a:gd name="connsiteY1" fmla="*/ 304800 h 390525"/>
            <a:gd name="connsiteX2" fmla="*/ 247650 w 857250"/>
            <a:gd name="connsiteY2" fmla="*/ 38100 h 390525"/>
            <a:gd name="connsiteX3" fmla="*/ 0 w 857250"/>
            <a:gd name="connsiteY3" fmla="*/ 76200 h 390525"/>
            <a:gd name="connsiteX4" fmla="*/ 0 w 857250"/>
            <a:gd name="connsiteY4" fmla="*/ 76200 h 3905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57250" h="390525">
              <a:moveTo>
                <a:pt x="857250" y="390525"/>
              </a:moveTo>
              <a:cubicBezTo>
                <a:pt x="641350" y="377031"/>
                <a:pt x="425450" y="363538"/>
                <a:pt x="323850" y="304800"/>
              </a:cubicBezTo>
              <a:cubicBezTo>
                <a:pt x="222250" y="246063"/>
                <a:pt x="301625" y="76200"/>
                <a:pt x="247650" y="38100"/>
              </a:cubicBezTo>
              <a:cubicBezTo>
                <a:pt x="193675" y="0"/>
                <a:pt x="0" y="76200"/>
                <a:pt x="0" y="76200"/>
              </a:cubicBezTo>
              <a:lnTo>
                <a:pt x="0" y="76200"/>
              </a:ln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0</xdr:colOff>
      <xdr:row>546</xdr:row>
      <xdr:rowOff>76200</xdr:rowOff>
    </xdr:from>
    <xdr:to>
      <xdr:col>4</xdr:col>
      <xdr:colOff>600075</xdr:colOff>
      <xdr:row>548</xdr:row>
      <xdr:rowOff>9525</xdr:rowOff>
    </xdr:to>
    <xdr:sp macro="" textlink="">
      <xdr:nvSpPr>
        <xdr:cNvPr id="910" name="Freeform 909"/>
        <xdr:cNvSpPr/>
      </xdr:nvSpPr>
      <xdr:spPr bwMode="auto">
        <a:xfrm>
          <a:off x="2514600" y="92154375"/>
          <a:ext cx="600075" cy="257175"/>
        </a:xfrm>
        <a:custGeom>
          <a:avLst/>
          <a:gdLst>
            <a:gd name="connsiteX0" fmla="*/ 409575 w 409575"/>
            <a:gd name="connsiteY0" fmla="*/ 0 h 266700"/>
            <a:gd name="connsiteX1" fmla="*/ 104775 w 409575"/>
            <a:gd name="connsiteY1" fmla="*/ 66675 h 266700"/>
            <a:gd name="connsiteX2" fmla="*/ 295275 w 409575"/>
            <a:gd name="connsiteY2" fmla="*/ 114300 h 266700"/>
            <a:gd name="connsiteX3" fmla="*/ 0 w 409575"/>
            <a:gd name="connsiteY3" fmla="*/ 266700 h 2667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09575" h="266700">
              <a:moveTo>
                <a:pt x="409575" y="0"/>
              </a:moveTo>
              <a:cubicBezTo>
                <a:pt x="266700" y="23812"/>
                <a:pt x="123825" y="47625"/>
                <a:pt x="104775" y="66675"/>
              </a:cubicBezTo>
              <a:cubicBezTo>
                <a:pt x="85725" y="85725"/>
                <a:pt x="312737" y="80963"/>
                <a:pt x="295275" y="114300"/>
              </a:cubicBezTo>
              <a:cubicBezTo>
                <a:pt x="277813" y="147637"/>
                <a:pt x="138906" y="207168"/>
                <a:pt x="0" y="266700"/>
              </a:cubicBezTo>
            </a:path>
          </a:pathLst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219075</xdr:colOff>
      <xdr:row>473</xdr:row>
      <xdr:rowOff>152400</xdr:rowOff>
    </xdr:from>
    <xdr:to>
      <xdr:col>4</xdr:col>
      <xdr:colOff>523875</xdr:colOff>
      <xdr:row>473</xdr:row>
      <xdr:rowOff>153988</xdr:rowOff>
    </xdr:to>
    <xdr:cxnSp macro="">
      <xdr:nvCxnSpPr>
        <xdr:cNvPr id="911" name="Straight Connector 910"/>
        <xdr:cNvCxnSpPr/>
      </xdr:nvCxnSpPr>
      <xdr:spPr bwMode="auto">
        <a:xfrm>
          <a:off x="2733675" y="80190975"/>
          <a:ext cx="3048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304007</xdr:colOff>
      <xdr:row>473</xdr:row>
      <xdr:rowOff>10319</xdr:rowOff>
    </xdr:from>
    <xdr:to>
      <xdr:col>4</xdr:col>
      <xdr:colOff>305595</xdr:colOff>
      <xdr:row>474</xdr:row>
      <xdr:rowOff>10319</xdr:rowOff>
    </xdr:to>
    <xdr:cxnSp macro="">
      <xdr:nvCxnSpPr>
        <xdr:cNvPr id="912" name="Straight Connector 911"/>
        <xdr:cNvCxnSpPr/>
      </xdr:nvCxnSpPr>
      <xdr:spPr bwMode="auto">
        <a:xfrm rot="5400000">
          <a:off x="2738438" y="80129063"/>
          <a:ext cx="1619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0</xdr:col>
      <xdr:colOff>419100</xdr:colOff>
      <xdr:row>311</xdr:row>
      <xdr:rowOff>152400</xdr:rowOff>
    </xdr:from>
    <xdr:to>
      <xdr:col>4</xdr:col>
      <xdr:colOff>342900</xdr:colOff>
      <xdr:row>311</xdr:row>
      <xdr:rowOff>153988</xdr:rowOff>
    </xdr:to>
    <xdr:cxnSp macro="">
      <xdr:nvCxnSpPr>
        <xdr:cNvPr id="913" name="Straight Connector 912"/>
        <xdr:cNvCxnSpPr/>
      </xdr:nvCxnSpPr>
      <xdr:spPr bwMode="auto">
        <a:xfrm>
          <a:off x="419100" y="52930425"/>
          <a:ext cx="2438400" cy="1588"/>
        </a:xfrm>
        <a:prstGeom prst="line">
          <a:avLst/>
        </a:prstGeom>
        <a:solidFill>
          <a:srgbClr val="FFFFFF"/>
        </a:solidFill>
        <a:ln w="127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219075</xdr:colOff>
      <xdr:row>415</xdr:row>
      <xdr:rowOff>9525</xdr:rowOff>
    </xdr:from>
    <xdr:to>
      <xdr:col>2</xdr:col>
      <xdr:colOff>542925</xdr:colOff>
      <xdr:row>415</xdr:row>
      <xdr:rowOff>11113</xdr:rowOff>
    </xdr:to>
    <xdr:cxnSp macro="">
      <xdr:nvCxnSpPr>
        <xdr:cNvPr id="914" name="Straight Connector 913"/>
        <xdr:cNvCxnSpPr/>
      </xdr:nvCxnSpPr>
      <xdr:spPr bwMode="auto">
        <a:xfrm>
          <a:off x="219075" y="70494525"/>
          <a:ext cx="15430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647700</xdr:colOff>
      <xdr:row>427</xdr:row>
      <xdr:rowOff>95251</xdr:rowOff>
    </xdr:from>
    <xdr:to>
      <xdr:col>5</xdr:col>
      <xdr:colOff>142875</xdr:colOff>
      <xdr:row>427</xdr:row>
      <xdr:rowOff>104775</xdr:rowOff>
    </xdr:to>
    <xdr:cxnSp macro="">
      <xdr:nvCxnSpPr>
        <xdr:cNvPr id="915" name="Straight Connector 914"/>
        <xdr:cNvCxnSpPr/>
      </xdr:nvCxnSpPr>
      <xdr:spPr bwMode="auto">
        <a:xfrm flipV="1">
          <a:off x="3162300" y="72523351"/>
          <a:ext cx="266700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104775</xdr:colOff>
      <xdr:row>423</xdr:row>
      <xdr:rowOff>19049</xdr:rowOff>
    </xdr:from>
    <xdr:to>
      <xdr:col>4</xdr:col>
      <xdr:colOff>114300</xdr:colOff>
      <xdr:row>424</xdr:row>
      <xdr:rowOff>114299</xdr:rowOff>
    </xdr:to>
    <xdr:cxnSp macro="">
      <xdr:nvCxnSpPr>
        <xdr:cNvPr id="916" name="Straight Arrow Connector 915"/>
        <xdr:cNvCxnSpPr/>
      </xdr:nvCxnSpPr>
      <xdr:spPr bwMode="auto">
        <a:xfrm rot="16200000" flipH="1">
          <a:off x="2495550" y="71923274"/>
          <a:ext cx="2571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</xdr:colOff>
      <xdr:row>422</xdr:row>
      <xdr:rowOff>0</xdr:rowOff>
    </xdr:from>
    <xdr:to>
      <xdr:col>4</xdr:col>
      <xdr:colOff>9526</xdr:colOff>
      <xdr:row>422</xdr:row>
      <xdr:rowOff>104775</xdr:rowOff>
    </xdr:to>
    <xdr:cxnSp macro="">
      <xdr:nvCxnSpPr>
        <xdr:cNvPr id="917" name="Straight Connector 916"/>
        <xdr:cNvCxnSpPr/>
      </xdr:nvCxnSpPr>
      <xdr:spPr bwMode="auto">
        <a:xfrm rot="5400000">
          <a:off x="2466976" y="71666100"/>
          <a:ext cx="1047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284957</xdr:colOff>
      <xdr:row>471</xdr:row>
      <xdr:rowOff>86519</xdr:rowOff>
    </xdr:from>
    <xdr:to>
      <xdr:col>4</xdr:col>
      <xdr:colOff>286545</xdr:colOff>
      <xdr:row>473</xdr:row>
      <xdr:rowOff>794</xdr:rowOff>
    </xdr:to>
    <xdr:cxnSp macro="">
      <xdr:nvCxnSpPr>
        <xdr:cNvPr id="918" name="Straight Arrow Connector 917"/>
        <xdr:cNvCxnSpPr/>
      </xdr:nvCxnSpPr>
      <xdr:spPr bwMode="auto">
        <a:xfrm rot="5400000">
          <a:off x="2681288" y="79919513"/>
          <a:ext cx="238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3</xdr:col>
      <xdr:colOff>285750</xdr:colOff>
      <xdr:row>480</xdr:row>
      <xdr:rowOff>142877</xdr:rowOff>
    </xdr:from>
    <xdr:to>
      <xdr:col>3</xdr:col>
      <xdr:colOff>466725</xdr:colOff>
      <xdr:row>481</xdr:row>
      <xdr:rowOff>2</xdr:rowOff>
    </xdr:to>
    <xdr:cxnSp macro="">
      <xdr:nvCxnSpPr>
        <xdr:cNvPr id="919" name="Straight Arrow Connector 918"/>
        <xdr:cNvCxnSpPr/>
      </xdr:nvCxnSpPr>
      <xdr:spPr bwMode="auto">
        <a:xfrm rot="16200000" flipH="1">
          <a:off x="2328863" y="81233964"/>
          <a:ext cx="19050" cy="1809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600075</xdr:colOff>
      <xdr:row>312</xdr:row>
      <xdr:rowOff>4</xdr:rowOff>
    </xdr:from>
    <xdr:to>
      <xdr:col>2</xdr:col>
      <xdr:colOff>19050</xdr:colOff>
      <xdr:row>325</xdr:row>
      <xdr:rowOff>1</xdr:rowOff>
    </xdr:to>
    <xdr:cxnSp macro="">
      <xdr:nvCxnSpPr>
        <xdr:cNvPr id="920" name="Straight Connector 919"/>
        <xdr:cNvCxnSpPr>
          <a:endCxn id="518" idx="0"/>
        </xdr:cNvCxnSpPr>
      </xdr:nvCxnSpPr>
      <xdr:spPr bwMode="auto">
        <a:xfrm rot="5400000">
          <a:off x="171452" y="53978177"/>
          <a:ext cx="2105022" cy="2857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284956</xdr:colOff>
      <xdr:row>464</xdr:row>
      <xdr:rowOff>794</xdr:rowOff>
    </xdr:from>
    <xdr:to>
      <xdr:col>4</xdr:col>
      <xdr:colOff>286544</xdr:colOff>
      <xdr:row>471</xdr:row>
      <xdr:rowOff>86519</xdr:rowOff>
    </xdr:to>
    <xdr:cxnSp macro="">
      <xdr:nvCxnSpPr>
        <xdr:cNvPr id="921" name="Straight Arrow Connector 920"/>
        <xdr:cNvCxnSpPr/>
      </xdr:nvCxnSpPr>
      <xdr:spPr bwMode="auto">
        <a:xfrm rot="5400000" flipH="1" flipV="1">
          <a:off x="2190750" y="79190850"/>
          <a:ext cx="12192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342902</xdr:colOff>
      <xdr:row>316</xdr:row>
      <xdr:rowOff>3</xdr:rowOff>
    </xdr:from>
    <xdr:to>
      <xdr:col>6</xdr:col>
      <xdr:colOff>352427</xdr:colOff>
      <xdr:row>325</xdr:row>
      <xdr:rowOff>9528</xdr:rowOff>
    </xdr:to>
    <xdr:cxnSp macro="">
      <xdr:nvCxnSpPr>
        <xdr:cNvPr id="922" name="Straight Arrow Connector 921"/>
        <xdr:cNvCxnSpPr/>
      </xdr:nvCxnSpPr>
      <xdr:spPr bwMode="auto">
        <a:xfrm rot="16200000" flipH="1">
          <a:off x="3605215" y="54316315"/>
          <a:ext cx="14668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0</xdr:colOff>
      <xdr:row>184</xdr:row>
      <xdr:rowOff>161924</xdr:rowOff>
    </xdr:from>
    <xdr:to>
      <xdr:col>6</xdr:col>
      <xdr:colOff>9525</xdr:colOff>
      <xdr:row>195</xdr:row>
      <xdr:rowOff>9524</xdr:rowOff>
    </xdr:to>
    <xdr:cxnSp macro="">
      <xdr:nvCxnSpPr>
        <xdr:cNvPr id="923" name="Straight Arrow Connector 922"/>
        <xdr:cNvCxnSpPr/>
      </xdr:nvCxnSpPr>
      <xdr:spPr bwMode="auto">
        <a:xfrm rot="16200000" flipH="1">
          <a:off x="3181350" y="32365949"/>
          <a:ext cx="16287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514350</xdr:colOff>
      <xdr:row>195</xdr:row>
      <xdr:rowOff>1</xdr:rowOff>
    </xdr:from>
    <xdr:to>
      <xdr:col>6</xdr:col>
      <xdr:colOff>133350</xdr:colOff>
      <xdr:row>195</xdr:row>
      <xdr:rowOff>9525</xdr:rowOff>
    </xdr:to>
    <xdr:cxnSp macro="">
      <xdr:nvCxnSpPr>
        <xdr:cNvPr id="924" name="Straight Connector 609"/>
        <xdr:cNvCxnSpPr>
          <a:cxnSpLocks noChangeShapeType="1"/>
        </xdr:cNvCxnSpPr>
      </xdr:nvCxnSpPr>
      <xdr:spPr bwMode="auto">
        <a:xfrm>
          <a:off x="3800475" y="33175576"/>
          <a:ext cx="323850" cy="9524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6</xdr:col>
      <xdr:colOff>257176</xdr:colOff>
      <xdr:row>185</xdr:row>
      <xdr:rowOff>57150</xdr:rowOff>
    </xdr:from>
    <xdr:to>
      <xdr:col>6</xdr:col>
      <xdr:colOff>447676</xdr:colOff>
      <xdr:row>186</xdr:row>
      <xdr:rowOff>38100</xdr:rowOff>
    </xdr:to>
    <xdr:sp macro="" textlink="">
      <xdr:nvSpPr>
        <xdr:cNvPr id="925" name="Rectangle 924"/>
        <xdr:cNvSpPr/>
      </xdr:nvSpPr>
      <xdr:spPr bwMode="auto">
        <a:xfrm>
          <a:off x="4248151" y="31613475"/>
          <a:ext cx="190500" cy="1428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GB" sz="1100"/>
            <a:t>W</a:t>
          </a:r>
        </a:p>
      </xdr:txBody>
    </xdr:sp>
    <xdr:clientData/>
  </xdr:twoCellAnchor>
  <xdr:twoCellAnchor>
    <xdr:from>
      <xdr:col>7</xdr:col>
      <xdr:colOff>0</xdr:colOff>
      <xdr:row>184</xdr:row>
      <xdr:rowOff>161923</xdr:rowOff>
    </xdr:from>
    <xdr:to>
      <xdr:col>7</xdr:col>
      <xdr:colOff>9525</xdr:colOff>
      <xdr:row>198</xdr:row>
      <xdr:rowOff>9524</xdr:rowOff>
    </xdr:to>
    <xdr:cxnSp macro="">
      <xdr:nvCxnSpPr>
        <xdr:cNvPr id="926" name="Straight Arrow Connector 925"/>
        <xdr:cNvCxnSpPr/>
      </xdr:nvCxnSpPr>
      <xdr:spPr bwMode="auto">
        <a:xfrm rot="16200000" flipH="1">
          <a:off x="3548062" y="32608836"/>
          <a:ext cx="2114551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590550</xdr:colOff>
      <xdr:row>197</xdr:row>
      <xdr:rowOff>152400</xdr:rowOff>
    </xdr:from>
    <xdr:to>
      <xdr:col>7</xdr:col>
      <xdr:colOff>371475</xdr:colOff>
      <xdr:row>197</xdr:row>
      <xdr:rowOff>152401</xdr:rowOff>
    </xdr:to>
    <xdr:cxnSp macro="">
      <xdr:nvCxnSpPr>
        <xdr:cNvPr id="927" name="Straight Connector 609"/>
        <xdr:cNvCxnSpPr>
          <a:cxnSpLocks noChangeShapeType="1"/>
        </xdr:cNvCxnSpPr>
      </xdr:nvCxnSpPr>
      <xdr:spPr bwMode="auto">
        <a:xfrm flipV="1">
          <a:off x="4581525" y="33651825"/>
          <a:ext cx="390525" cy="1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cxnSp>
    <xdr:clientData/>
  </xdr:twoCellAnchor>
  <xdr:oneCellAnchor>
    <xdr:from>
      <xdr:col>7</xdr:col>
      <xdr:colOff>104775</xdr:colOff>
      <xdr:row>320</xdr:row>
      <xdr:rowOff>161924</xdr:rowOff>
    </xdr:from>
    <xdr:ext cx="266700" cy="170560"/>
    <xdr:sp macro="" textlink="">
      <xdr:nvSpPr>
        <xdr:cNvPr id="928" name="Text Box 147"/>
        <xdr:cNvSpPr txBox="1">
          <a:spLocks noChangeArrowheads="1"/>
        </xdr:cNvSpPr>
      </xdr:nvSpPr>
      <xdr:spPr bwMode="auto">
        <a:xfrm>
          <a:off x="4705350" y="54397274"/>
          <a:ext cx="266700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h4=</a:t>
          </a:r>
        </a:p>
      </xdr:txBody>
    </xdr:sp>
    <xdr:clientData/>
  </xdr:oneCellAnchor>
  <xdr:twoCellAnchor>
    <xdr:from>
      <xdr:col>0</xdr:col>
      <xdr:colOff>19050</xdr:colOff>
      <xdr:row>462</xdr:row>
      <xdr:rowOff>0</xdr:rowOff>
    </xdr:from>
    <xdr:to>
      <xdr:col>1</xdr:col>
      <xdr:colOff>190500</xdr:colOff>
      <xdr:row>462</xdr:row>
      <xdr:rowOff>9525</xdr:rowOff>
    </xdr:to>
    <xdr:cxnSp macro="">
      <xdr:nvCxnSpPr>
        <xdr:cNvPr id="929" name="Straight Connector 928"/>
        <xdr:cNvCxnSpPr/>
      </xdr:nvCxnSpPr>
      <xdr:spPr bwMode="auto">
        <a:xfrm flipV="1">
          <a:off x="19050" y="78257400"/>
          <a:ext cx="7810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514350</xdr:colOff>
      <xdr:row>534</xdr:row>
      <xdr:rowOff>57150</xdr:rowOff>
    </xdr:from>
    <xdr:to>
      <xdr:col>7</xdr:col>
      <xdr:colOff>304800</xdr:colOff>
      <xdr:row>534</xdr:row>
      <xdr:rowOff>57150</xdr:rowOff>
    </xdr:to>
    <xdr:sp macro="" textlink="">
      <xdr:nvSpPr>
        <xdr:cNvPr id="930" name="Line 657"/>
        <xdr:cNvSpPr>
          <a:spLocks noChangeShapeType="1"/>
        </xdr:cNvSpPr>
      </xdr:nvSpPr>
      <xdr:spPr bwMode="auto">
        <a:xfrm>
          <a:off x="4305300" y="89477850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532606</xdr:colOff>
      <xdr:row>24</xdr:row>
      <xdr:rowOff>38893</xdr:rowOff>
    </xdr:from>
    <xdr:to>
      <xdr:col>0</xdr:col>
      <xdr:colOff>534194</xdr:colOff>
      <xdr:row>41</xdr:row>
      <xdr:rowOff>19843</xdr:rowOff>
    </xdr:to>
    <xdr:cxnSp macro="">
      <xdr:nvCxnSpPr>
        <xdr:cNvPr id="932" name="Straight Arrow Connector 931"/>
        <xdr:cNvCxnSpPr/>
      </xdr:nvCxnSpPr>
      <xdr:spPr bwMode="auto">
        <a:xfrm rot="5400000">
          <a:off x="-833438" y="5519737"/>
          <a:ext cx="27336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180975</xdr:colOff>
      <xdr:row>95</xdr:row>
      <xdr:rowOff>19049</xdr:rowOff>
    </xdr:from>
    <xdr:to>
      <xdr:col>0</xdr:col>
      <xdr:colOff>190500</xdr:colOff>
      <xdr:row>103</xdr:row>
      <xdr:rowOff>161924</xdr:rowOff>
    </xdr:to>
    <xdr:cxnSp macro="">
      <xdr:nvCxnSpPr>
        <xdr:cNvPr id="935" name="Straight Arrow Connector 934"/>
        <xdr:cNvCxnSpPr/>
      </xdr:nvCxnSpPr>
      <xdr:spPr bwMode="auto">
        <a:xfrm rot="16200000" flipH="1">
          <a:off x="-533400" y="16649699"/>
          <a:ext cx="14382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600075</xdr:colOff>
      <xdr:row>95</xdr:row>
      <xdr:rowOff>9525</xdr:rowOff>
    </xdr:from>
    <xdr:to>
      <xdr:col>1</xdr:col>
      <xdr:colOff>600075</xdr:colOff>
      <xdr:row>111</xdr:row>
      <xdr:rowOff>9525</xdr:rowOff>
    </xdr:to>
    <xdr:sp macro="" textlink="">
      <xdr:nvSpPr>
        <xdr:cNvPr id="936" name="Line 197"/>
        <xdr:cNvSpPr>
          <a:spLocks noChangeShapeType="1"/>
        </xdr:cNvSpPr>
      </xdr:nvSpPr>
      <xdr:spPr bwMode="auto">
        <a:xfrm>
          <a:off x="1209675" y="15925800"/>
          <a:ext cx="0" cy="2590800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0</xdr:col>
      <xdr:colOff>200025</xdr:colOff>
      <xdr:row>177</xdr:row>
      <xdr:rowOff>152400</xdr:rowOff>
    </xdr:from>
    <xdr:to>
      <xdr:col>0</xdr:col>
      <xdr:colOff>200025</xdr:colOff>
      <xdr:row>187</xdr:row>
      <xdr:rowOff>123825</xdr:rowOff>
    </xdr:to>
    <xdr:sp macro="" textlink="">
      <xdr:nvSpPr>
        <xdr:cNvPr id="937" name="Line 608"/>
        <xdr:cNvSpPr>
          <a:spLocks noChangeShapeType="1"/>
        </xdr:cNvSpPr>
      </xdr:nvSpPr>
      <xdr:spPr bwMode="auto">
        <a:xfrm flipV="1">
          <a:off x="200025" y="29603700"/>
          <a:ext cx="0" cy="1590675"/>
        </a:xfrm>
        <a:prstGeom prst="line">
          <a:avLst/>
        </a:prstGeom>
        <a:noFill/>
        <a:ln w="9525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</xdr:col>
      <xdr:colOff>0</xdr:colOff>
      <xdr:row>178</xdr:row>
      <xdr:rowOff>0</xdr:rowOff>
    </xdr:from>
    <xdr:to>
      <xdr:col>2</xdr:col>
      <xdr:colOff>0</xdr:colOff>
      <xdr:row>195</xdr:row>
      <xdr:rowOff>0</xdr:rowOff>
    </xdr:to>
    <xdr:sp macro="" textlink="">
      <xdr:nvSpPr>
        <xdr:cNvPr id="938" name="Line 554"/>
        <xdr:cNvSpPr>
          <a:spLocks noChangeShapeType="1"/>
        </xdr:cNvSpPr>
      </xdr:nvSpPr>
      <xdr:spPr bwMode="auto">
        <a:xfrm>
          <a:off x="1219200" y="29613225"/>
          <a:ext cx="0" cy="2752725"/>
        </a:xfrm>
        <a:prstGeom prst="line">
          <a:avLst/>
        </a:prstGeom>
        <a:noFill/>
        <a:ln w="9525">
          <a:solidFill>
            <a:sysClr val="windowText" lastClr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0</xdr:col>
      <xdr:colOff>95256</xdr:colOff>
      <xdr:row>312</xdr:row>
      <xdr:rowOff>3</xdr:rowOff>
    </xdr:from>
    <xdr:to>
      <xdr:col>0</xdr:col>
      <xdr:colOff>104778</xdr:colOff>
      <xdr:row>318</xdr:row>
      <xdr:rowOff>19056</xdr:rowOff>
    </xdr:to>
    <xdr:cxnSp macro="">
      <xdr:nvCxnSpPr>
        <xdr:cNvPr id="939" name="Straight Arrow Connector 938"/>
        <xdr:cNvCxnSpPr/>
      </xdr:nvCxnSpPr>
      <xdr:spPr bwMode="auto">
        <a:xfrm rot="5400000">
          <a:off x="-395285" y="52744694"/>
          <a:ext cx="990603" cy="95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113507</xdr:colOff>
      <xdr:row>462</xdr:row>
      <xdr:rowOff>793</xdr:rowOff>
    </xdr:from>
    <xdr:to>
      <xdr:col>0</xdr:col>
      <xdr:colOff>115095</xdr:colOff>
      <xdr:row>466</xdr:row>
      <xdr:rowOff>153194</xdr:rowOff>
    </xdr:to>
    <xdr:cxnSp macro="">
      <xdr:nvCxnSpPr>
        <xdr:cNvPr id="941" name="Straight Arrow Connector 940"/>
        <xdr:cNvCxnSpPr/>
      </xdr:nvCxnSpPr>
      <xdr:spPr bwMode="auto">
        <a:xfrm rot="5400000">
          <a:off x="-285750" y="77971650"/>
          <a:ext cx="800101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95250</xdr:colOff>
      <xdr:row>110</xdr:row>
      <xdr:rowOff>76200</xdr:rowOff>
    </xdr:from>
    <xdr:to>
      <xdr:col>1</xdr:col>
      <xdr:colOff>400050</xdr:colOff>
      <xdr:row>110</xdr:row>
      <xdr:rowOff>77788</xdr:rowOff>
    </xdr:to>
    <xdr:cxnSp macro="">
      <xdr:nvCxnSpPr>
        <xdr:cNvPr id="943" name="Straight Arrow Connector 942"/>
        <xdr:cNvCxnSpPr/>
      </xdr:nvCxnSpPr>
      <xdr:spPr bwMode="auto">
        <a:xfrm>
          <a:off x="809625" y="18421350"/>
          <a:ext cx="304800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57150</xdr:colOff>
      <xdr:row>108</xdr:row>
      <xdr:rowOff>85725</xdr:rowOff>
    </xdr:from>
    <xdr:to>
      <xdr:col>1</xdr:col>
      <xdr:colOff>600075</xdr:colOff>
      <xdr:row>108</xdr:row>
      <xdr:rowOff>87313</xdr:rowOff>
    </xdr:to>
    <xdr:cxnSp macro="">
      <xdr:nvCxnSpPr>
        <xdr:cNvPr id="947" name="Straight Arrow Connector 946"/>
        <xdr:cNvCxnSpPr/>
      </xdr:nvCxnSpPr>
      <xdr:spPr bwMode="auto">
        <a:xfrm>
          <a:off x="771525" y="18107025"/>
          <a:ext cx="542925" cy="1588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142875</xdr:colOff>
      <xdr:row>192</xdr:row>
      <xdr:rowOff>66677</xdr:rowOff>
    </xdr:from>
    <xdr:to>
      <xdr:col>1</xdr:col>
      <xdr:colOff>600075</xdr:colOff>
      <xdr:row>192</xdr:row>
      <xdr:rowOff>76200</xdr:rowOff>
    </xdr:to>
    <xdr:cxnSp macro="">
      <xdr:nvCxnSpPr>
        <xdr:cNvPr id="950" name="Straight Arrow Connector 949"/>
        <xdr:cNvCxnSpPr/>
      </xdr:nvCxnSpPr>
      <xdr:spPr bwMode="auto">
        <a:xfrm>
          <a:off x="857250" y="31946852"/>
          <a:ext cx="457200" cy="9523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85725</xdr:colOff>
      <xdr:row>194</xdr:row>
      <xdr:rowOff>76200</xdr:rowOff>
    </xdr:from>
    <xdr:to>
      <xdr:col>1</xdr:col>
      <xdr:colOff>400050</xdr:colOff>
      <xdr:row>194</xdr:row>
      <xdr:rowOff>85723</xdr:rowOff>
    </xdr:to>
    <xdr:cxnSp macro="">
      <xdr:nvCxnSpPr>
        <xdr:cNvPr id="953" name="Straight Arrow Connector 952"/>
        <xdr:cNvCxnSpPr/>
      </xdr:nvCxnSpPr>
      <xdr:spPr bwMode="auto">
        <a:xfrm>
          <a:off x="800100" y="32280225"/>
          <a:ext cx="314325" cy="9523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438150</xdr:colOff>
      <xdr:row>115</xdr:row>
      <xdr:rowOff>19050</xdr:rowOff>
    </xdr:from>
    <xdr:to>
      <xdr:col>7</xdr:col>
      <xdr:colOff>57150</xdr:colOff>
      <xdr:row>115</xdr:row>
      <xdr:rowOff>19050</xdr:rowOff>
    </xdr:to>
    <xdr:sp macro="" textlink="">
      <xdr:nvSpPr>
        <xdr:cNvPr id="956" name="Line 250"/>
        <xdr:cNvSpPr>
          <a:spLocks noChangeShapeType="1"/>
        </xdr:cNvSpPr>
      </xdr:nvSpPr>
      <xdr:spPr bwMode="auto">
        <a:xfrm flipV="1">
          <a:off x="4229100" y="191738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714374</xdr:colOff>
      <xdr:row>415</xdr:row>
      <xdr:rowOff>9525</xdr:rowOff>
    </xdr:from>
    <xdr:to>
      <xdr:col>1</xdr:col>
      <xdr:colOff>9524</xdr:colOff>
      <xdr:row>422</xdr:row>
      <xdr:rowOff>152400</xdr:rowOff>
    </xdr:to>
    <xdr:cxnSp macro="">
      <xdr:nvCxnSpPr>
        <xdr:cNvPr id="960" name="Straight Arrow Connector 959"/>
        <xdr:cNvCxnSpPr/>
      </xdr:nvCxnSpPr>
      <xdr:spPr bwMode="auto">
        <a:xfrm rot="16200000" flipH="1">
          <a:off x="80962" y="70442137"/>
          <a:ext cx="12763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9525</xdr:colOff>
      <xdr:row>422</xdr:row>
      <xdr:rowOff>152400</xdr:rowOff>
    </xdr:from>
    <xdr:to>
      <xdr:col>2</xdr:col>
      <xdr:colOff>504825</xdr:colOff>
      <xdr:row>423</xdr:row>
      <xdr:rowOff>0</xdr:rowOff>
    </xdr:to>
    <xdr:cxnSp macro="">
      <xdr:nvCxnSpPr>
        <xdr:cNvPr id="962" name="Straight Connector 961"/>
        <xdr:cNvCxnSpPr>
          <a:stCxn id="819" idx="0"/>
        </xdr:cNvCxnSpPr>
      </xdr:nvCxnSpPr>
      <xdr:spPr bwMode="auto">
        <a:xfrm rot="5400000" flipH="1" flipV="1">
          <a:off x="1271587" y="70537388"/>
          <a:ext cx="9525" cy="1104900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190501</xdr:colOff>
      <xdr:row>522</xdr:row>
      <xdr:rowOff>152402</xdr:rowOff>
    </xdr:from>
    <xdr:to>
      <xdr:col>0</xdr:col>
      <xdr:colOff>200027</xdr:colOff>
      <xdr:row>526</xdr:row>
      <xdr:rowOff>152403</xdr:rowOff>
    </xdr:to>
    <xdr:cxnSp macro="">
      <xdr:nvCxnSpPr>
        <xdr:cNvPr id="965" name="Straight Arrow Connector 964"/>
        <xdr:cNvCxnSpPr/>
      </xdr:nvCxnSpPr>
      <xdr:spPr bwMode="auto">
        <a:xfrm rot="5400000">
          <a:off x="-128587" y="87949090"/>
          <a:ext cx="647701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171450</xdr:colOff>
      <xdr:row>527</xdr:row>
      <xdr:rowOff>9526</xdr:rowOff>
    </xdr:from>
    <xdr:to>
      <xdr:col>0</xdr:col>
      <xdr:colOff>180975</xdr:colOff>
      <xdr:row>537</xdr:row>
      <xdr:rowOff>9526</xdr:rowOff>
    </xdr:to>
    <xdr:cxnSp macro="">
      <xdr:nvCxnSpPr>
        <xdr:cNvPr id="968" name="Straight Arrow Connector 967"/>
        <xdr:cNvCxnSpPr/>
      </xdr:nvCxnSpPr>
      <xdr:spPr bwMode="auto">
        <a:xfrm rot="5400000">
          <a:off x="-633412" y="89101613"/>
          <a:ext cx="16192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247650</xdr:colOff>
      <xdr:row>31</xdr:row>
      <xdr:rowOff>38100</xdr:rowOff>
    </xdr:from>
    <xdr:to>
      <xdr:col>5</xdr:col>
      <xdr:colOff>400050</xdr:colOff>
      <xdr:row>31</xdr:row>
      <xdr:rowOff>133350</xdr:rowOff>
    </xdr:to>
    <xdr:sp macro="" textlink="">
      <xdr:nvSpPr>
        <xdr:cNvPr id="940" name="Line 46"/>
        <xdr:cNvSpPr>
          <a:spLocks noChangeShapeType="1"/>
        </xdr:cNvSpPr>
      </xdr:nvSpPr>
      <xdr:spPr bwMode="auto">
        <a:xfrm flipH="1">
          <a:off x="3429000" y="5286375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409575</xdr:colOff>
      <xdr:row>31</xdr:row>
      <xdr:rowOff>28575</xdr:rowOff>
    </xdr:from>
    <xdr:to>
      <xdr:col>5</xdr:col>
      <xdr:colOff>533400</xdr:colOff>
      <xdr:row>31</xdr:row>
      <xdr:rowOff>152400</xdr:rowOff>
    </xdr:to>
    <xdr:sp macro="" textlink="">
      <xdr:nvSpPr>
        <xdr:cNvPr id="942" name="Line 47"/>
        <xdr:cNvSpPr>
          <a:spLocks noChangeShapeType="1"/>
        </xdr:cNvSpPr>
      </xdr:nvSpPr>
      <xdr:spPr bwMode="auto">
        <a:xfrm>
          <a:off x="3590925" y="5276850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390525</xdr:colOff>
      <xdr:row>31</xdr:row>
      <xdr:rowOff>28575</xdr:rowOff>
    </xdr:from>
    <xdr:to>
      <xdr:col>5</xdr:col>
      <xdr:colOff>533400</xdr:colOff>
      <xdr:row>31</xdr:row>
      <xdr:rowOff>142875</xdr:rowOff>
    </xdr:to>
    <xdr:sp macro="" textlink="">
      <xdr:nvSpPr>
        <xdr:cNvPr id="944" name="Line 48"/>
        <xdr:cNvSpPr>
          <a:spLocks noChangeShapeType="1"/>
        </xdr:cNvSpPr>
      </xdr:nvSpPr>
      <xdr:spPr bwMode="auto">
        <a:xfrm flipV="1">
          <a:off x="3571875" y="5276850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523875</xdr:colOff>
      <xdr:row>31</xdr:row>
      <xdr:rowOff>19050</xdr:rowOff>
    </xdr:from>
    <xdr:to>
      <xdr:col>6</xdr:col>
      <xdr:colOff>28575</xdr:colOff>
      <xdr:row>31</xdr:row>
      <xdr:rowOff>142875</xdr:rowOff>
    </xdr:to>
    <xdr:sp macro="" textlink="">
      <xdr:nvSpPr>
        <xdr:cNvPr id="945" name="Line 53"/>
        <xdr:cNvSpPr>
          <a:spLocks noChangeShapeType="1"/>
        </xdr:cNvSpPr>
      </xdr:nvSpPr>
      <xdr:spPr bwMode="auto">
        <a:xfrm>
          <a:off x="3705225" y="5267325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514350</xdr:colOff>
      <xdr:row>31</xdr:row>
      <xdr:rowOff>28575</xdr:rowOff>
    </xdr:from>
    <xdr:to>
      <xdr:col>6</xdr:col>
      <xdr:colOff>57150</xdr:colOff>
      <xdr:row>31</xdr:row>
      <xdr:rowOff>123825</xdr:rowOff>
    </xdr:to>
    <xdr:sp macro="" textlink="">
      <xdr:nvSpPr>
        <xdr:cNvPr id="946" name="Line 46"/>
        <xdr:cNvSpPr>
          <a:spLocks noChangeShapeType="1"/>
        </xdr:cNvSpPr>
      </xdr:nvSpPr>
      <xdr:spPr bwMode="auto">
        <a:xfrm flipH="1">
          <a:off x="3695700" y="5276850"/>
          <a:ext cx="15240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</xdr:colOff>
      <xdr:row>31</xdr:row>
      <xdr:rowOff>19050</xdr:rowOff>
    </xdr:from>
    <xdr:to>
      <xdr:col>6</xdr:col>
      <xdr:colOff>190500</xdr:colOff>
      <xdr:row>31</xdr:row>
      <xdr:rowOff>142875</xdr:rowOff>
    </xdr:to>
    <xdr:sp macro="" textlink="">
      <xdr:nvSpPr>
        <xdr:cNvPr id="948" name="Line 47"/>
        <xdr:cNvSpPr>
          <a:spLocks noChangeShapeType="1"/>
        </xdr:cNvSpPr>
      </xdr:nvSpPr>
      <xdr:spPr bwMode="auto">
        <a:xfrm>
          <a:off x="3857625" y="5267325"/>
          <a:ext cx="123825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47625</xdr:colOff>
      <xdr:row>31</xdr:row>
      <xdr:rowOff>19050</xdr:rowOff>
    </xdr:from>
    <xdr:to>
      <xdr:col>6</xdr:col>
      <xdr:colOff>190500</xdr:colOff>
      <xdr:row>31</xdr:row>
      <xdr:rowOff>133350</xdr:rowOff>
    </xdr:to>
    <xdr:sp macro="" textlink="">
      <xdr:nvSpPr>
        <xdr:cNvPr id="949" name="Line 48"/>
        <xdr:cNvSpPr>
          <a:spLocks noChangeShapeType="1"/>
        </xdr:cNvSpPr>
      </xdr:nvSpPr>
      <xdr:spPr bwMode="auto">
        <a:xfrm flipV="1">
          <a:off x="3838575" y="5267325"/>
          <a:ext cx="142875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180975</xdr:colOff>
      <xdr:row>31</xdr:row>
      <xdr:rowOff>9525</xdr:rowOff>
    </xdr:from>
    <xdr:to>
      <xdr:col>6</xdr:col>
      <xdr:colOff>295275</xdr:colOff>
      <xdr:row>31</xdr:row>
      <xdr:rowOff>133350</xdr:rowOff>
    </xdr:to>
    <xdr:sp macro="" textlink="">
      <xdr:nvSpPr>
        <xdr:cNvPr id="951" name="Line 53"/>
        <xdr:cNvSpPr>
          <a:spLocks noChangeShapeType="1"/>
        </xdr:cNvSpPr>
      </xdr:nvSpPr>
      <xdr:spPr bwMode="auto">
        <a:xfrm>
          <a:off x="3971925" y="5257800"/>
          <a:ext cx="1143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57150</xdr:colOff>
      <xdr:row>147</xdr:row>
      <xdr:rowOff>76200</xdr:rowOff>
    </xdr:from>
    <xdr:to>
      <xdr:col>7</xdr:col>
      <xdr:colOff>400050</xdr:colOff>
      <xdr:row>147</xdr:row>
      <xdr:rowOff>133350</xdr:rowOff>
    </xdr:to>
    <xdr:sp macro="" textlink="">
      <xdr:nvSpPr>
        <xdr:cNvPr id="957" name="Left Arrow 515"/>
        <xdr:cNvSpPr>
          <a:spLocks noChangeArrowheads="1"/>
        </xdr:cNvSpPr>
      </xdr:nvSpPr>
      <xdr:spPr bwMode="auto">
        <a:xfrm>
          <a:off x="4457700" y="24450675"/>
          <a:ext cx="342900" cy="57150"/>
        </a:xfrm>
        <a:prstGeom prst="leftArrow">
          <a:avLst>
            <a:gd name="adj1" fmla="val 50000"/>
            <a:gd name="adj2" fmla="val 50000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10</xdr:row>
      <xdr:rowOff>0</xdr:rowOff>
    </xdr:from>
    <xdr:to>
      <xdr:col>3</xdr:col>
      <xdr:colOff>602052</xdr:colOff>
      <xdr:row>11</xdr:row>
      <xdr:rowOff>8986</xdr:rowOff>
    </xdr:to>
    <xdr:sp macro="" textlink="">
      <xdr:nvSpPr>
        <xdr:cNvPr id="2" name="Line 816"/>
        <xdr:cNvSpPr>
          <a:spLocks noChangeShapeType="1"/>
        </xdr:cNvSpPr>
      </xdr:nvSpPr>
      <xdr:spPr bwMode="auto">
        <a:xfrm>
          <a:off x="876300" y="9763125"/>
          <a:ext cx="1554552" cy="17091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371475</xdr:colOff>
      <xdr:row>9</xdr:row>
      <xdr:rowOff>161922</xdr:rowOff>
    </xdr:from>
    <xdr:to>
      <xdr:col>8</xdr:col>
      <xdr:colOff>0</xdr:colOff>
      <xdr:row>11</xdr:row>
      <xdr:rowOff>9525</xdr:rowOff>
    </xdr:to>
    <xdr:sp macro="" textlink="">
      <xdr:nvSpPr>
        <xdr:cNvPr id="3" name="Line 818"/>
        <xdr:cNvSpPr>
          <a:spLocks noChangeShapeType="1"/>
        </xdr:cNvSpPr>
      </xdr:nvSpPr>
      <xdr:spPr bwMode="auto">
        <a:xfrm flipV="1">
          <a:off x="3419475" y="9763122"/>
          <a:ext cx="1533525" cy="171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13</xdr:row>
      <xdr:rowOff>19050</xdr:rowOff>
    </xdr:from>
    <xdr:to>
      <xdr:col>4</xdr:col>
      <xdr:colOff>0</xdr:colOff>
      <xdr:row>14</xdr:row>
      <xdr:rowOff>0</xdr:rowOff>
    </xdr:to>
    <xdr:sp macro="" textlink="">
      <xdr:nvSpPr>
        <xdr:cNvPr id="4" name="Line 820"/>
        <xdr:cNvSpPr>
          <a:spLocks noChangeShapeType="1"/>
        </xdr:cNvSpPr>
      </xdr:nvSpPr>
      <xdr:spPr bwMode="auto">
        <a:xfrm flipH="1">
          <a:off x="904875" y="10267950"/>
          <a:ext cx="153352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352425</xdr:colOff>
      <xdr:row>13</xdr:row>
      <xdr:rowOff>19050</xdr:rowOff>
    </xdr:from>
    <xdr:to>
      <xdr:col>8</xdr:col>
      <xdr:colOff>0</xdr:colOff>
      <xdr:row>14</xdr:row>
      <xdr:rowOff>0</xdr:rowOff>
    </xdr:to>
    <xdr:sp macro="" textlink="">
      <xdr:nvSpPr>
        <xdr:cNvPr id="5" name="Line 823"/>
        <xdr:cNvSpPr>
          <a:spLocks noChangeShapeType="1"/>
        </xdr:cNvSpPr>
      </xdr:nvSpPr>
      <xdr:spPr bwMode="auto">
        <a:xfrm>
          <a:off x="3400425" y="10267950"/>
          <a:ext cx="15525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590550</xdr:colOff>
      <xdr:row>12</xdr:row>
      <xdr:rowOff>47625</xdr:rowOff>
    </xdr:from>
    <xdr:to>
      <xdr:col>8</xdr:col>
      <xdr:colOff>190500</xdr:colOff>
      <xdr:row>12</xdr:row>
      <xdr:rowOff>47625</xdr:rowOff>
    </xdr:to>
    <xdr:sp macro="" textlink="">
      <xdr:nvSpPr>
        <xdr:cNvPr id="6" name="Line 825"/>
        <xdr:cNvSpPr>
          <a:spLocks noChangeShapeType="1"/>
        </xdr:cNvSpPr>
      </xdr:nvSpPr>
      <xdr:spPr bwMode="auto">
        <a:xfrm>
          <a:off x="4248150" y="10134600"/>
          <a:ext cx="895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oneCellAnchor>
    <xdr:from>
      <xdr:col>9</xdr:col>
      <xdr:colOff>361950</xdr:colOff>
      <xdr:row>11</xdr:row>
      <xdr:rowOff>142875</xdr:rowOff>
    </xdr:from>
    <xdr:ext cx="125291" cy="180036"/>
    <xdr:sp macro="" textlink="">
      <xdr:nvSpPr>
        <xdr:cNvPr id="7" name="Text Box 3267"/>
        <xdr:cNvSpPr txBox="1">
          <a:spLocks noChangeArrowheads="1"/>
        </xdr:cNvSpPr>
      </xdr:nvSpPr>
      <xdr:spPr bwMode="auto">
        <a:xfrm>
          <a:off x="5924550" y="10067925"/>
          <a:ext cx="125291" cy="180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6</xdr:col>
      <xdr:colOff>9529</xdr:colOff>
      <xdr:row>17</xdr:row>
      <xdr:rowOff>143670</xdr:rowOff>
    </xdr:from>
    <xdr:to>
      <xdr:col>6</xdr:col>
      <xdr:colOff>10326</xdr:colOff>
      <xdr:row>19</xdr:row>
      <xdr:rowOff>76203</xdr:rowOff>
    </xdr:to>
    <xdr:cxnSp macro="">
      <xdr:nvCxnSpPr>
        <xdr:cNvPr id="8" name="Straight Connector 7"/>
        <xdr:cNvCxnSpPr/>
      </xdr:nvCxnSpPr>
      <xdr:spPr bwMode="auto">
        <a:xfrm rot="5400000">
          <a:off x="3539336" y="11168063"/>
          <a:ext cx="256383" cy="79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19</xdr:row>
      <xdr:rowOff>1588</xdr:rowOff>
    </xdr:from>
    <xdr:to>
      <xdr:col>7</xdr:col>
      <xdr:colOff>590550</xdr:colOff>
      <xdr:row>19</xdr:row>
      <xdr:rowOff>9525</xdr:rowOff>
    </xdr:to>
    <xdr:cxnSp macro="">
      <xdr:nvCxnSpPr>
        <xdr:cNvPr id="9" name="Straight Arrow Connector 8"/>
        <xdr:cNvCxnSpPr/>
      </xdr:nvCxnSpPr>
      <xdr:spPr bwMode="auto">
        <a:xfrm flipV="1">
          <a:off x="3648075" y="11222038"/>
          <a:ext cx="1285875" cy="793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342108</xdr:colOff>
      <xdr:row>7</xdr:row>
      <xdr:rowOff>9527</xdr:rowOff>
    </xdr:from>
    <xdr:to>
      <xdr:col>8</xdr:col>
      <xdr:colOff>352426</xdr:colOff>
      <xdr:row>16</xdr:row>
      <xdr:rowOff>153193</xdr:rowOff>
    </xdr:to>
    <xdr:cxnSp macro="">
      <xdr:nvCxnSpPr>
        <xdr:cNvPr id="10" name="Straight Connector 9"/>
        <xdr:cNvCxnSpPr/>
      </xdr:nvCxnSpPr>
      <xdr:spPr bwMode="auto">
        <a:xfrm rot="5400000">
          <a:off x="4499771" y="10082214"/>
          <a:ext cx="1600991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17</xdr:row>
      <xdr:rowOff>0</xdr:rowOff>
    </xdr:from>
    <xdr:to>
      <xdr:col>8</xdr:col>
      <xdr:colOff>342900</xdr:colOff>
      <xdr:row>17</xdr:row>
      <xdr:rowOff>1588</xdr:rowOff>
    </xdr:to>
    <xdr:cxnSp macro="">
      <xdr:nvCxnSpPr>
        <xdr:cNvPr id="11" name="Straight Connector 10"/>
        <xdr:cNvCxnSpPr/>
      </xdr:nvCxnSpPr>
      <xdr:spPr bwMode="auto">
        <a:xfrm>
          <a:off x="4943475" y="10896600"/>
          <a:ext cx="352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333376</xdr:colOff>
      <xdr:row>18</xdr:row>
      <xdr:rowOff>48418</xdr:rowOff>
    </xdr:from>
    <xdr:to>
      <xdr:col>8</xdr:col>
      <xdr:colOff>334171</xdr:colOff>
      <xdr:row>20</xdr:row>
      <xdr:rowOff>57153</xdr:rowOff>
    </xdr:to>
    <xdr:cxnSp macro="">
      <xdr:nvCxnSpPr>
        <xdr:cNvPr id="12" name="Straight Connector 11"/>
        <xdr:cNvCxnSpPr/>
      </xdr:nvCxnSpPr>
      <xdr:spPr bwMode="auto">
        <a:xfrm rot="5400000">
          <a:off x="5120481" y="11272838"/>
          <a:ext cx="332585" cy="79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0</xdr:colOff>
      <xdr:row>19</xdr:row>
      <xdr:rowOff>0</xdr:rowOff>
    </xdr:from>
    <xdr:to>
      <xdr:col>8</xdr:col>
      <xdr:colOff>333375</xdr:colOff>
      <xdr:row>19</xdr:row>
      <xdr:rowOff>1588</xdr:rowOff>
    </xdr:to>
    <xdr:cxnSp macro="">
      <xdr:nvCxnSpPr>
        <xdr:cNvPr id="13" name="Straight Arrow Connector 12"/>
        <xdr:cNvCxnSpPr/>
      </xdr:nvCxnSpPr>
      <xdr:spPr bwMode="auto">
        <a:xfrm>
          <a:off x="4953000" y="11220450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8</xdr:col>
      <xdr:colOff>495300</xdr:colOff>
      <xdr:row>9</xdr:row>
      <xdr:rowOff>152400</xdr:rowOff>
    </xdr:from>
    <xdr:to>
      <xdr:col>9</xdr:col>
      <xdr:colOff>114300</xdr:colOff>
      <xdr:row>9</xdr:row>
      <xdr:rowOff>153988</xdr:rowOff>
    </xdr:to>
    <xdr:cxnSp macro="">
      <xdr:nvCxnSpPr>
        <xdr:cNvPr id="14" name="Straight Connector 13"/>
        <xdr:cNvCxnSpPr/>
      </xdr:nvCxnSpPr>
      <xdr:spPr bwMode="auto">
        <a:xfrm>
          <a:off x="5448300" y="9753600"/>
          <a:ext cx="228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447675</xdr:colOff>
      <xdr:row>14</xdr:row>
      <xdr:rowOff>9525</xdr:rowOff>
    </xdr:from>
    <xdr:to>
      <xdr:col>9</xdr:col>
      <xdr:colOff>114300</xdr:colOff>
      <xdr:row>14</xdr:row>
      <xdr:rowOff>11113</xdr:rowOff>
    </xdr:to>
    <xdr:cxnSp macro="">
      <xdr:nvCxnSpPr>
        <xdr:cNvPr id="15" name="Straight Connector 14"/>
        <xdr:cNvCxnSpPr/>
      </xdr:nvCxnSpPr>
      <xdr:spPr bwMode="auto">
        <a:xfrm>
          <a:off x="5400675" y="10420350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352425</xdr:colOff>
      <xdr:row>5</xdr:row>
      <xdr:rowOff>9526</xdr:rowOff>
    </xdr:from>
    <xdr:to>
      <xdr:col>8</xdr:col>
      <xdr:colOff>333375</xdr:colOff>
      <xdr:row>5</xdr:row>
      <xdr:rowOff>19050</xdr:rowOff>
    </xdr:to>
    <xdr:cxnSp macro="">
      <xdr:nvCxnSpPr>
        <xdr:cNvPr id="16" name="Straight Arrow Connector 15"/>
        <xdr:cNvCxnSpPr/>
      </xdr:nvCxnSpPr>
      <xdr:spPr bwMode="auto">
        <a:xfrm flipV="1">
          <a:off x="3400425" y="8963026"/>
          <a:ext cx="1885950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19050</xdr:colOff>
      <xdr:row>19</xdr:row>
      <xdr:rowOff>133350</xdr:rowOff>
    </xdr:from>
    <xdr:to>
      <xdr:col>8</xdr:col>
      <xdr:colOff>352425</xdr:colOff>
      <xdr:row>19</xdr:row>
      <xdr:rowOff>144463</xdr:rowOff>
    </xdr:to>
    <xdr:cxnSp macro="">
      <xdr:nvCxnSpPr>
        <xdr:cNvPr id="17" name="Straight Arrow Connector 16"/>
        <xdr:cNvCxnSpPr/>
      </xdr:nvCxnSpPr>
      <xdr:spPr bwMode="auto">
        <a:xfrm>
          <a:off x="3676650" y="11353800"/>
          <a:ext cx="1628775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352425</xdr:colOff>
      <xdr:row>26</xdr:row>
      <xdr:rowOff>19053</xdr:rowOff>
    </xdr:from>
    <xdr:to>
      <xdr:col>0</xdr:col>
      <xdr:colOff>352428</xdr:colOff>
      <xdr:row>29</xdr:row>
      <xdr:rowOff>28578</xdr:rowOff>
    </xdr:to>
    <xdr:cxnSp macro="">
      <xdr:nvCxnSpPr>
        <xdr:cNvPr id="18" name="Straight Connector 17"/>
        <xdr:cNvCxnSpPr/>
      </xdr:nvCxnSpPr>
      <xdr:spPr bwMode="auto">
        <a:xfrm rot="5400000">
          <a:off x="104777" y="12620626"/>
          <a:ext cx="495300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600075</xdr:colOff>
      <xdr:row>5</xdr:row>
      <xdr:rowOff>9525</xdr:rowOff>
    </xdr:from>
    <xdr:to>
      <xdr:col>4</xdr:col>
      <xdr:colOff>0</xdr:colOff>
      <xdr:row>5</xdr:row>
      <xdr:rowOff>9526</xdr:rowOff>
    </xdr:to>
    <xdr:cxnSp macro="">
      <xdr:nvCxnSpPr>
        <xdr:cNvPr id="19" name="Straight Arrow Connector 18"/>
        <xdr:cNvCxnSpPr/>
      </xdr:nvCxnSpPr>
      <xdr:spPr bwMode="auto">
        <a:xfrm>
          <a:off x="600075" y="8963025"/>
          <a:ext cx="18383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293939</xdr:colOff>
      <xdr:row>24</xdr:row>
      <xdr:rowOff>159993</xdr:rowOff>
    </xdr:from>
    <xdr:to>
      <xdr:col>3</xdr:col>
      <xdr:colOff>297657</xdr:colOff>
      <xdr:row>27</xdr:row>
      <xdr:rowOff>159989</xdr:rowOff>
    </xdr:to>
    <xdr:cxnSp macro="">
      <xdr:nvCxnSpPr>
        <xdr:cNvPr id="20" name="Straight Connector 19"/>
        <xdr:cNvCxnSpPr/>
      </xdr:nvCxnSpPr>
      <xdr:spPr bwMode="auto">
        <a:xfrm rot="16200000" flipH="1">
          <a:off x="1880819" y="4358806"/>
          <a:ext cx="491129" cy="371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0</xdr:colOff>
      <xdr:row>5</xdr:row>
      <xdr:rowOff>19050</xdr:rowOff>
    </xdr:from>
    <xdr:to>
      <xdr:col>5</xdr:col>
      <xdr:colOff>371475</xdr:colOff>
      <xdr:row>5</xdr:row>
      <xdr:rowOff>20638</xdr:rowOff>
    </xdr:to>
    <xdr:cxnSp macro="">
      <xdr:nvCxnSpPr>
        <xdr:cNvPr id="21" name="Straight Arrow Connector 20"/>
        <xdr:cNvCxnSpPr/>
      </xdr:nvCxnSpPr>
      <xdr:spPr bwMode="auto">
        <a:xfrm>
          <a:off x="2438400" y="8972550"/>
          <a:ext cx="9810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9525</xdr:colOff>
      <xdr:row>4</xdr:row>
      <xdr:rowOff>76200</xdr:rowOff>
    </xdr:from>
    <xdr:to>
      <xdr:col>4</xdr:col>
      <xdr:colOff>9527</xdr:colOff>
      <xdr:row>5</xdr:row>
      <xdr:rowOff>76201</xdr:rowOff>
    </xdr:to>
    <xdr:cxnSp macro="">
      <xdr:nvCxnSpPr>
        <xdr:cNvPr id="22" name="Straight Connector 21"/>
        <xdr:cNvCxnSpPr/>
      </xdr:nvCxnSpPr>
      <xdr:spPr bwMode="auto">
        <a:xfrm rot="16200000" flipH="1">
          <a:off x="2366963" y="8948737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381000</xdr:colOff>
      <xdr:row>19</xdr:row>
      <xdr:rowOff>0</xdr:rowOff>
    </xdr:from>
    <xdr:to>
      <xdr:col>6</xdr:col>
      <xdr:colOff>0</xdr:colOff>
      <xdr:row>19</xdr:row>
      <xdr:rowOff>1588</xdr:rowOff>
    </xdr:to>
    <xdr:cxnSp macro="">
      <xdr:nvCxnSpPr>
        <xdr:cNvPr id="23" name="Straight Arrow Connector 22"/>
        <xdr:cNvCxnSpPr/>
      </xdr:nvCxnSpPr>
      <xdr:spPr bwMode="auto">
        <a:xfrm>
          <a:off x="3429000" y="11220450"/>
          <a:ext cx="228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371475</xdr:colOff>
      <xdr:row>19</xdr:row>
      <xdr:rowOff>0</xdr:rowOff>
    </xdr:from>
    <xdr:to>
      <xdr:col>4</xdr:col>
      <xdr:colOff>0</xdr:colOff>
      <xdr:row>19</xdr:row>
      <xdr:rowOff>1588</xdr:rowOff>
    </xdr:to>
    <xdr:cxnSp macro="">
      <xdr:nvCxnSpPr>
        <xdr:cNvPr id="24" name="Straight Arrow Connector 23"/>
        <xdr:cNvCxnSpPr/>
      </xdr:nvCxnSpPr>
      <xdr:spPr bwMode="auto">
        <a:xfrm>
          <a:off x="2200275" y="11220450"/>
          <a:ext cx="238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0</xdr:colOff>
      <xdr:row>19</xdr:row>
      <xdr:rowOff>9525</xdr:rowOff>
    </xdr:from>
    <xdr:to>
      <xdr:col>3</xdr:col>
      <xdr:colOff>371475</xdr:colOff>
      <xdr:row>19</xdr:row>
      <xdr:rowOff>11113</xdr:rowOff>
    </xdr:to>
    <xdr:cxnSp macro="">
      <xdr:nvCxnSpPr>
        <xdr:cNvPr id="25" name="Straight Arrow Connector 24"/>
        <xdr:cNvCxnSpPr/>
      </xdr:nvCxnSpPr>
      <xdr:spPr bwMode="auto">
        <a:xfrm>
          <a:off x="609600" y="11229975"/>
          <a:ext cx="15906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600076</xdr:colOff>
      <xdr:row>7</xdr:row>
      <xdr:rowOff>19050</xdr:rowOff>
    </xdr:from>
    <xdr:to>
      <xdr:col>8</xdr:col>
      <xdr:colOff>1</xdr:colOff>
      <xdr:row>10</xdr:row>
      <xdr:rowOff>19050</xdr:rowOff>
    </xdr:to>
    <xdr:cxnSp macro="">
      <xdr:nvCxnSpPr>
        <xdr:cNvPr id="26" name="Straight Connector 25"/>
        <xdr:cNvCxnSpPr/>
      </xdr:nvCxnSpPr>
      <xdr:spPr bwMode="auto">
        <a:xfrm rot="5400000">
          <a:off x="4705351" y="9534525"/>
          <a:ext cx="4857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457200</xdr:colOff>
      <xdr:row>17</xdr:row>
      <xdr:rowOff>9525</xdr:rowOff>
    </xdr:from>
    <xdr:to>
      <xdr:col>9</xdr:col>
      <xdr:colOff>123825</xdr:colOff>
      <xdr:row>17</xdr:row>
      <xdr:rowOff>11113</xdr:rowOff>
    </xdr:to>
    <xdr:cxnSp macro="">
      <xdr:nvCxnSpPr>
        <xdr:cNvPr id="27" name="Straight Connector 26"/>
        <xdr:cNvCxnSpPr/>
      </xdr:nvCxnSpPr>
      <xdr:spPr bwMode="auto">
        <a:xfrm>
          <a:off x="5410200" y="10906125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oneCellAnchor>
    <xdr:from>
      <xdr:col>9</xdr:col>
      <xdr:colOff>285750</xdr:colOff>
      <xdr:row>14</xdr:row>
      <xdr:rowOff>152400</xdr:rowOff>
    </xdr:from>
    <xdr:ext cx="125291" cy="180036"/>
    <xdr:sp macro="" textlink="">
      <xdr:nvSpPr>
        <xdr:cNvPr id="28" name="Text Box 3267"/>
        <xdr:cNvSpPr txBox="1">
          <a:spLocks noChangeArrowheads="1"/>
        </xdr:cNvSpPr>
      </xdr:nvSpPr>
      <xdr:spPr bwMode="auto">
        <a:xfrm>
          <a:off x="5848350" y="10563225"/>
          <a:ext cx="125291" cy="1800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600075</xdr:colOff>
      <xdr:row>14</xdr:row>
      <xdr:rowOff>2</xdr:rowOff>
    </xdr:from>
    <xdr:to>
      <xdr:col>8</xdr:col>
      <xdr:colOff>600076</xdr:colOff>
      <xdr:row>17</xdr:row>
      <xdr:rowOff>9529</xdr:rowOff>
    </xdr:to>
    <xdr:cxnSp macro="">
      <xdr:nvCxnSpPr>
        <xdr:cNvPr id="29" name="Straight Arrow Connector 28"/>
        <xdr:cNvCxnSpPr/>
      </xdr:nvCxnSpPr>
      <xdr:spPr bwMode="auto">
        <a:xfrm rot="5400000">
          <a:off x="5305425" y="10658477"/>
          <a:ext cx="495302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608807</xdr:colOff>
      <xdr:row>10</xdr:row>
      <xdr:rowOff>793</xdr:rowOff>
    </xdr:from>
    <xdr:to>
      <xdr:col>9</xdr:col>
      <xdr:colOff>795</xdr:colOff>
      <xdr:row>14</xdr:row>
      <xdr:rowOff>29368</xdr:rowOff>
    </xdr:to>
    <xdr:cxnSp macro="">
      <xdr:nvCxnSpPr>
        <xdr:cNvPr id="30" name="Straight Arrow Connector 29"/>
        <xdr:cNvCxnSpPr/>
      </xdr:nvCxnSpPr>
      <xdr:spPr bwMode="auto">
        <a:xfrm rot="5400000">
          <a:off x="5224463" y="10101262"/>
          <a:ext cx="676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9525</xdr:colOff>
      <xdr:row>27</xdr:row>
      <xdr:rowOff>38100</xdr:rowOff>
    </xdr:from>
    <xdr:to>
      <xdr:col>4</xdr:col>
      <xdr:colOff>76200</xdr:colOff>
      <xdr:row>27</xdr:row>
      <xdr:rowOff>123825</xdr:rowOff>
    </xdr:to>
    <xdr:sp macro="" textlink="">
      <xdr:nvSpPr>
        <xdr:cNvPr id="31" name="Flowchart: Merge 30"/>
        <xdr:cNvSpPr/>
      </xdr:nvSpPr>
      <xdr:spPr bwMode="auto">
        <a:xfrm>
          <a:off x="2447925" y="1255395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371475</xdr:colOff>
      <xdr:row>18</xdr:row>
      <xdr:rowOff>95250</xdr:rowOff>
    </xdr:from>
    <xdr:to>
      <xdr:col>5</xdr:col>
      <xdr:colOff>371477</xdr:colOff>
      <xdr:row>19</xdr:row>
      <xdr:rowOff>95251</xdr:rowOff>
    </xdr:to>
    <xdr:cxnSp macro="">
      <xdr:nvCxnSpPr>
        <xdr:cNvPr id="32" name="Straight Connector 31"/>
        <xdr:cNvCxnSpPr/>
      </xdr:nvCxnSpPr>
      <xdr:spPr bwMode="auto">
        <a:xfrm rot="16200000" flipH="1">
          <a:off x="3338513" y="11234737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9525</xdr:colOff>
      <xdr:row>29</xdr:row>
      <xdr:rowOff>123825</xdr:rowOff>
    </xdr:from>
    <xdr:to>
      <xdr:col>9</xdr:col>
      <xdr:colOff>9527</xdr:colOff>
      <xdr:row>30</xdr:row>
      <xdr:rowOff>123826</xdr:rowOff>
    </xdr:to>
    <xdr:cxnSp macro="">
      <xdr:nvCxnSpPr>
        <xdr:cNvPr id="33" name="Straight Connector 32"/>
        <xdr:cNvCxnSpPr/>
      </xdr:nvCxnSpPr>
      <xdr:spPr bwMode="auto">
        <a:xfrm rot="16200000" flipH="1">
          <a:off x="5491163" y="13044487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17</xdr:row>
      <xdr:rowOff>76200</xdr:rowOff>
    </xdr:from>
    <xdr:to>
      <xdr:col>3</xdr:col>
      <xdr:colOff>600077</xdr:colOff>
      <xdr:row>18</xdr:row>
      <xdr:rowOff>76201</xdr:rowOff>
    </xdr:to>
    <xdr:cxnSp macro="">
      <xdr:nvCxnSpPr>
        <xdr:cNvPr id="34" name="Straight Connector 33"/>
        <xdr:cNvCxnSpPr/>
      </xdr:nvCxnSpPr>
      <xdr:spPr bwMode="auto">
        <a:xfrm rot="16200000" flipH="1">
          <a:off x="2347913" y="1105376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18</xdr:row>
      <xdr:rowOff>85725</xdr:rowOff>
    </xdr:from>
    <xdr:to>
      <xdr:col>7</xdr:col>
      <xdr:colOff>600077</xdr:colOff>
      <xdr:row>19</xdr:row>
      <xdr:rowOff>85726</xdr:rowOff>
    </xdr:to>
    <xdr:cxnSp macro="">
      <xdr:nvCxnSpPr>
        <xdr:cNvPr id="35" name="Straight Connector 34"/>
        <xdr:cNvCxnSpPr/>
      </xdr:nvCxnSpPr>
      <xdr:spPr bwMode="auto">
        <a:xfrm rot="16200000" flipH="1">
          <a:off x="4862513" y="1122521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57152</xdr:colOff>
      <xdr:row>13</xdr:row>
      <xdr:rowOff>152404</xdr:rowOff>
    </xdr:from>
    <xdr:to>
      <xdr:col>0</xdr:col>
      <xdr:colOff>257973</xdr:colOff>
      <xdr:row>13</xdr:row>
      <xdr:rowOff>153198</xdr:rowOff>
    </xdr:to>
    <xdr:cxnSp macro="">
      <xdr:nvCxnSpPr>
        <xdr:cNvPr id="36" name="Straight Connector 35"/>
        <xdr:cNvCxnSpPr/>
      </xdr:nvCxnSpPr>
      <xdr:spPr bwMode="auto">
        <a:xfrm rot="10800000">
          <a:off x="57152" y="10401304"/>
          <a:ext cx="200821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85727</xdr:colOff>
      <xdr:row>9</xdr:row>
      <xdr:rowOff>152404</xdr:rowOff>
    </xdr:from>
    <xdr:to>
      <xdr:col>0</xdr:col>
      <xdr:colOff>286548</xdr:colOff>
      <xdr:row>9</xdr:row>
      <xdr:rowOff>153198</xdr:rowOff>
    </xdr:to>
    <xdr:cxnSp macro="">
      <xdr:nvCxnSpPr>
        <xdr:cNvPr id="37" name="Straight Connector 36"/>
        <xdr:cNvCxnSpPr/>
      </xdr:nvCxnSpPr>
      <xdr:spPr bwMode="auto">
        <a:xfrm rot="10800000">
          <a:off x="85727" y="9753604"/>
          <a:ext cx="200821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</xdr:colOff>
      <xdr:row>16</xdr:row>
      <xdr:rowOff>152400</xdr:rowOff>
    </xdr:from>
    <xdr:to>
      <xdr:col>1</xdr:col>
      <xdr:colOff>285750</xdr:colOff>
      <xdr:row>16</xdr:row>
      <xdr:rowOff>153988</xdr:rowOff>
    </xdr:to>
    <xdr:cxnSp macro="">
      <xdr:nvCxnSpPr>
        <xdr:cNvPr id="38" name="Straight Connector 37"/>
        <xdr:cNvCxnSpPr/>
      </xdr:nvCxnSpPr>
      <xdr:spPr bwMode="auto">
        <a:xfrm>
          <a:off x="619125" y="10887075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600074</xdr:colOff>
      <xdr:row>17</xdr:row>
      <xdr:rowOff>66674</xdr:rowOff>
    </xdr:from>
    <xdr:to>
      <xdr:col>0</xdr:col>
      <xdr:colOff>600075</xdr:colOff>
      <xdr:row>18</xdr:row>
      <xdr:rowOff>152402</xdr:rowOff>
    </xdr:to>
    <xdr:cxnSp macro="">
      <xdr:nvCxnSpPr>
        <xdr:cNvPr id="39" name="Straight Connector 38"/>
        <xdr:cNvCxnSpPr/>
      </xdr:nvCxnSpPr>
      <xdr:spPr bwMode="auto">
        <a:xfrm rot="16200000" flipH="1">
          <a:off x="476248" y="11087100"/>
          <a:ext cx="247653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276226</xdr:colOff>
      <xdr:row>14</xdr:row>
      <xdr:rowOff>9525</xdr:rowOff>
    </xdr:from>
    <xdr:to>
      <xdr:col>1</xdr:col>
      <xdr:colOff>285751</xdr:colOff>
      <xdr:row>17</xdr:row>
      <xdr:rowOff>9525</xdr:rowOff>
    </xdr:to>
    <xdr:cxnSp macro="">
      <xdr:nvCxnSpPr>
        <xdr:cNvPr id="40" name="Straight Connector 39"/>
        <xdr:cNvCxnSpPr/>
      </xdr:nvCxnSpPr>
      <xdr:spPr bwMode="auto">
        <a:xfrm rot="5400000">
          <a:off x="647701" y="10658475"/>
          <a:ext cx="4857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590550</xdr:colOff>
      <xdr:row>18</xdr:row>
      <xdr:rowOff>28575</xdr:rowOff>
    </xdr:from>
    <xdr:to>
      <xdr:col>1</xdr:col>
      <xdr:colOff>314325</xdr:colOff>
      <xdr:row>18</xdr:row>
      <xdr:rowOff>30163</xdr:rowOff>
    </xdr:to>
    <xdr:cxnSp macro="">
      <xdr:nvCxnSpPr>
        <xdr:cNvPr id="41" name="Straight Arrow Connector 40"/>
        <xdr:cNvCxnSpPr/>
      </xdr:nvCxnSpPr>
      <xdr:spPr bwMode="auto">
        <a:xfrm>
          <a:off x="590550" y="11087100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8</xdr:col>
      <xdr:colOff>0</xdr:colOff>
      <xdr:row>7</xdr:row>
      <xdr:rowOff>9525</xdr:rowOff>
    </xdr:from>
    <xdr:to>
      <xdr:col>8</xdr:col>
      <xdr:colOff>352425</xdr:colOff>
      <xdr:row>7</xdr:row>
      <xdr:rowOff>11113</xdr:rowOff>
    </xdr:to>
    <xdr:cxnSp macro="">
      <xdr:nvCxnSpPr>
        <xdr:cNvPr id="42" name="Straight Connector 41"/>
        <xdr:cNvCxnSpPr/>
      </xdr:nvCxnSpPr>
      <xdr:spPr bwMode="auto">
        <a:xfrm>
          <a:off x="4953000" y="9286875"/>
          <a:ext cx="352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18</xdr:row>
      <xdr:rowOff>85725</xdr:rowOff>
    </xdr:from>
    <xdr:to>
      <xdr:col>3</xdr:col>
      <xdr:colOff>600077</xdr:colOff>
      <xdr:row>19</xdr:row>
      <xdr:rowOff>85726</xdr:rowOff>
    </xdr:to>
    <xdr:cxnSp macro="">
      <xdr:nvCxnSpPr>
        <xdr:cNvPr id="43" name="Straight Connector 42"/>
        <xdr:cNvCxnSpPr/>
      </xdr:nvCxnSpPr>
      <xdr:spPr bwMode="auto">
        <a:xfrm rot="16200000" flipH="1">
          <a:off x="2347913" y="1122521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7</xdr:row>
      <xdr:rowOff>9525</xdr:rowOff>
    </xdr:from>
    <xdr:to>
      <xdr:col>1</xdr:col>
      <xdr:colOff>276225</xdr:colOff>
      <xdr:row>7</xdr:row>
      <xdr:rowOff>11113</xdr:rowOff>
    </xdr:to>
    <xdr:cxnSp macro="">
      <xdr:nvCxnSpPr>
        <xdr:cNvPr id="44" name="Straight Connector 43"/>
        <xdr:cNvCxnSpPr/>
      </xdr:nvCxnSpPr>
      <xdr:spPr bwMode="auto">
        <a:xfrm>
          <a:off x="609600" y="9286875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276226</xdr:colOff>
      <xdr:row>7</xdr:row>
      <xdr:rowOff>9525</xdr:rowOff>
    </xdr:from>
    <xdr:to>
      <xdr:col>1</xdr:col>
      <xdr:colOff>285751</xdr:colOff>
      <xdr:row>10</xdr:row>
      <xdr:rowOff>9525</xdr:rowOff>
    </xdr:to>
    <xdr:cxnSp macro="">
      <xdr:nvCxnSpPr>
        <xdr:cNvPr id="45" name="Straight Connector 44"/>
        <xdr:cNvCxnSpPr/>
      </xdr:nvCxnSpPr>
      <xdr:spPr bwMode="auto">
        <a:xfrm rot="5400000">
          <a:off x="647701" y="9525000"/>
          <a:ext cx="4857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342900</xdr:colOff>
      <xdr:row>4</xdr:row>
      <xdr:rowOff>66675</xdr:rowOff>
    </xdr:from>
    <xdr:to>
      <xdr:col>8</xdr:col>
      <xdr:colOff>342902</xdr:colOff>
      <xdr:row>5</xdr:row>
      <xdr:rowOff>66676</xdr:rowOff>
    </xdr:to>
    <xdr:cxnSp macro="">
      <xdr:nvCxnSpPr>
        <xdr:cNvPr id="46" name="Straight Connector 45"/>
        <xdr:cNvCxnSpPr/>
      </xdr:nvCxnSpPr>
      <xdr:spPr bwMode="auto">
        <a:xfrm rot="16200000" flipH="1">
          <a:off x="5214938" y="893921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600075</xdr:colOff>
      <xdr:row>4</xdr:row>
      <xdr:rowOff>57150</xdr:rowOff>
    </xdr:from>
    <xdr:to>
      <xdr:col>0</xdr:col>
      <xdr:colOff>600077</xdr:colOff>
      <xdr:row>5</xdr:row>
      <xdr:rowOff>57151</xdr:rowOff>
    </xdr:to>
    <xdr:cxnSp macro="">
      <xdr:nvCxnSpPr>
        <xdr:cNvPr id="47" name="Straight Connector 46"/>
        <xdr:cNvCxnSpPr/>
      </xdr:nvCxnSpPr>
      <xdr:spPr bwMode="auto">
        <a:xfrm rot="16200000" flipH="1">
          <a:off x="519113" y="8929687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371475</xdr:colOff>
      <xdr:row>18</xdr:row>
      <xdr:rowOff>104775</xdr:rowOff>
    </xdr:from>
    <xdr:to>
      <xdr:col>3</xdr:col>
      <xdr:colOff>371477</xdr:colOff>
      <xdr:row>19</xdr:row>
      <xdr:rowOff>104776</xdr:rowOff>
    </xdr:to>
    <xdr:cxnSp macro="">
      <xdr:nvCxnSpPr>
        <xdr:cNvPr id="48" name="Straight Connector 47"/>
        <xdr:cNvCxnSpPr/>
      </xdr:nvCxnSpPr>
      <xdr:spPr bwMode="auto">
        <a:xfrm rot="16200000" flipH="1">
          <a:off x="2119313" y="1124426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9525</xdr:colOff>
      <xdr:row>19</xdr:row>
      <xdr:rowOff>76200</xdr:rowOff>
    </xdr:from>
    <xdr:to>
      <xdr:col>6</xdr:col>
      <xdr:colOff>9527</xdr:colOff>
      <xdr:row>20</xdr:row>
      <xdr:rowOff>76201</xdr:rowOff>
    </xdr:to>
    <xdr:cxnSp macro="">
      <xdr:nvCxnSpPr>
        <xdr:cNvPr id="49" name="Straight Connector 48"/>
        <xdr:cNvCxnSpPr/>
      </xdr:nvCxnSpPr>
      <xdr:spPr bwMode="auto">
        <a:xfrm rot="16200000" flipH="1">
          <a:off x="3586163" y="1137761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</xdr:colOff>
      <xdr:row>17</xdr:row>
      <xdr:rowOff>9527</xdr:rowOff>
    </xdr:from>
    <xdr:to>
      <xdr:col>0</xdr:col>
      <xdr:colOff>276226</xdr:colOff>
      <xdr:row>17</xdr:row>
      <xdr:rowOff>11115</xdr:rowOff>
    </xdr:to>
    <xdr:cxnSp macro="">
      <xdr:nvCxnSpPr>
        <xdr:cNvPr id="50" name="Straight Connector 49"/>
        <xdr:cNvCxnSpPr/>
      </xdr:nvCxnSpPr>
      <xdr:spPr bwMode="auto">
        <a:xfrm>
          <a:off x="1" y="10906127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0</xdr:colOff>
      <xdr:row>6</xdr:row>
      <xdr:rowOff>142877</xdr:rowOff>
    </xdr:from>
    <xdr:to>
      <xdr:col>0</xdr:col>
      <xdr:colOff>276225</xdr:colOff>
      <xdr:row>6</xdr:row>
      <xdr:rowOff>144465</xdr:rowOff>
    </xdr:to>
    <xdr:cxnSp macro="">
      <xdr:nvCxnSpPr>
        <xdr:cNvPr id="51" name="Straight Connector 50"/>
        <xdr:cNvCxnSpPr/>
      </xdr:nvCxnSpPr>
      <xdr:spPr bwMode="auto">
        <a:xfrm>
          <a:off x="0" y="9258302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466723</xdr:colOff>
      <xdr:row>7</xdr:row>
      <xdr:rowOff>2</xdr:rowOff>
    </xdr:from>
    <xdr:to>
      <xdr:col>9</xdr:col>
      <xdr:colOff>133348</xdr:colOff>
      <xdr:row>7</xdr:row>
      <xdr:rowOff>1590</xdr:rowOff>
    </xdr:to>
    <xdr:cxnSp macro="">
      <xdr:nvCxnSpPr>
        <xdr:cNvPr id="52" name="Straight Connector 51"/>
        <xdr:cNvCxnSpPr/>
      </xdr:nvCxnSpPr>
      <xdr:spPr bwMode="auto">
        <a:xfrm>
          <a:off x="5419723" y="9277352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609598</xdr:colOff>
      <xdr:row>7</xdr:row>
      <xdr:rowOff>4</xdr:rowOff>
    </xdr:from>
    <xdr:to>
      <xdr:col>8</xdr:col>
      <xdr:colOff>609599</xdr:colOff>
      <xdr:row>10</xdr:row>
      <xdr:rowOff>9531</xdr:rowOff>
    </xdr:to>
    <xdr:cxnSp macro="">
      <xdr:nvCxnSpPr>
        <xdr:cNvPr id="53" name="Straight Arrow Connector 52"/>
        <xdr:cNvCxnSpPr/>
      </xdr:nvCxnSpPr>
      <xdr:spPr bwMode="auto">
        <a:xfrm rot="5400000">
          <a:off x="5314948" y="9525004"/>
          <a:ext cx="495302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323850</xdr:colOff>
      <xdr:row>17</xdr:row>
      <xdr:rowOff>114300</xdr:rowOff>
    </xdr:from>
    <xdr:to>
      <xdr:col>1</xdr:col>
      <xdr:colOff>323852</xdr:colOff>
      <xdr:row>18</xdr:row>
      <xdr:rowOff>114301</xdr:rowOff>
    </xdr:to>
    <xdr:cxnSp macro="">
      <xdr:nvCxnSpPr>
        <xdr:cNvPr id="54" name="Straight Connector 53"/>
        <xdr:cNvCxnSpPr/>
      </xdr:nvCxnSpPr>
      <xdr:spPr bwMode="auto">
        <a:xfrm rot="16200000" flipH="1">
          <a:off x="852488" y="11091862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361950</xdr:colOff>
      <xdr:row>4</xdr:row>
      <xdr:rowOff>114300</xdr:rowOff>
    </xdr:from>
    <xdr:to>
      <xdr:col>5</xdr:col>
      <xdr:colOff>361952</xdr:colOff>
      <xdr:row>5</xdr:row>
      <xdr:rowOff>114301</xdr:rowOff>
    </xdr:to>
    <xdr:cxnSp macro="">
      <xdr:nvCxnSpPr>
        <xdr:cNvPr id="55" name="Straight Connector 54"/>
        <xdr:cNvCxnSpPr/>
      </xdr:nvCxnSpPr>
      <xdr:spPr bwMode="auto">
        <a:xfrm rot="16200000" flipH="1">
          <a:off x="3328988" y="8986837"/>
          <a:ext cx="161926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 editAs="oneCell">
    <xdr:from>
      <xdr:col>0</xdr:col>
      <xdr:colOff>542925</xdr:colOff>
      <xdr:row>29</xdr:row>
      <xdr:rowOff>38100</xdr:rowOff>
    </xdr:from>
    <xdr:to>
      <xdr:col>1</xdr:col>
      <xdr:colOff>494157</xdr:colOff>
      <xdr:row>29</xdr:row>
      <xdr:rowOff>100584</xdr:rowOff>
    </xdr:to>
    <xdr:sp macro="" textlink="">
      <xdr:nvSpPr>
        <xdr:cNvPr id="56" name="Text Box 53"/>
        <xdr:cNvSpPr txBox="1">
          <a:spLocks noChangeArrowheads="1"/>
        </xdr:cNvSpPr>
      </xdr:nvSpPr>
      <xdr:spPr bwMode="auto">
        <a:xfrm>
          <a:off x="542925" y="12877800"/>
          <a:ext cx="5334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28575</xdr:colOff>
      <xdr:row>35</xdr:row>
      <xdr:rowOff>19050</xdr:rowOff>
    </xdr:from>
    <xdr:to>
      <xdr:col>0</xdr:col>
      <xdr:colOff>28575</xdr:colOff>
      <xdr:row>35</xdr:row>
      <xdr:rowOff>95250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8575" y="13830300"/>
          <a:ext cx="0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33</xdr:row>
      <xdr:rowOff>38100</xdr:rowOff>
    </xdr:from>
    <xdr:to>
      <xdr:col>5</xdr:col>
      <xdr:colOff>0</xdr:colOff>
      <xdr:row>34</xdr:row>
      <xdr:rowOff>133350</xdr:rowOff>
    </xdr:to>
    <xdr:sp macro="" textlink="">
      <xdr:nvSpPr>
        <xdr:cNvPr id="58" name="Line 66"/>
        <xdr:cNvSpPr>
          <a:spLocks noChangeShapeType="1"/>
        </xdr:cNvSpPr>
      </xdr:nvSpPr>
      <xdr:spPr bwMode="auto">
        <a:xfrm>
          <a:off x="3048000" y="1352550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27</xdr:row>
      <xdr:rowOff>157163</xdr:rowOff>
    </xdr:from>
    <xdr:to>
      <xdr:col>3</xdr:col>
      <xdr:colOff>219074</xdr:colOff>
      <xdr:row>29</xdr:row>
      <xdr:rowOff>9525</xdr:rowOff>
    </xdr:to>
    <xdr:sp macro="" textlink="">
      <xdr:nvSpPr>
        <xdr:cNvPr id="59" name="Line 73"/>
        <xdr:cNvSpPr>
          <a:spLocks noChangeShapeType="1"/>
        </xdr:cNvSpPr>
      </xdr:nvSpPr>
      <xdr:spPr bwMode="auto">
        <a:xfrm flipV="1">
          <a:off x="1828800" y="12673013"/>
          <a:ext cx="219074" cy="17621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9525</xdr:colOff>
      <xdr:row>28</xdr:row>
      <xdr:rowOff>0</xdr:rowOff>
    </xdr:from>
    <xdr:to>
      <xdr:col>5</xdr:col>
      <xdr:colOff>319088</xdr:colOff>
      <xdr:row>28</xdr:row>
      <xdr:rowOff>152400</xdr:rowOff>
    </xdr:to>
    <xdr:sp macro="" textlink="">
      <xdr:nvSpPr>
        <xdr:cNvPr id="60" name="Line 75"/>
        <xdr:cNvSpPr>
          <a:spLocks noChangeShapeType="1"/>
        </xdr:cNvSpPr>
      </xdr:nvSpPr>
      <xdr:spPr bwMode="auto">
        <a:xfrm>
          <a:off x="3057525" y="12677775"/>
          <a:ext cx="309563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485775</xdr:colOff>
      <xdr:row>29</xdr:row>
      <xdr:rowOff>0</xdr:rowOff>
    </xdr:from>
    <xdr:to>
      <xdr:col>9</xdr:col>
      <xdr:colOff>9525</xdr:colOff>
      <xdr:row>29</xdr:row>
      <xdr:rowOff>0</xdr:rowOff>
    </xdr:to>
    <xdr:sp macro="" textlink="">
      <xdr:nvSpPr>
        <xdr:cNvPr id="61" name="Line 82"/>
        <xdr:cNvSpPr>
          <a:spLocks noChangeShapeType="1"/>
        </xdr:cNvSpPr>
      </xdr:nvSpPr>
      <xdr:spPr bwMode="auto">
        <a:xfrm>
          <a:off x="4829175" y="12839700"/>
          <a:ext cx="742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247650</xdr:colOff>
      <xdr:row>33</xdr:row>
      <xdr:rowOff>28575</xdr:rowOff>
    </xdr:from>
    <xdr:to>
      <xdr:col>3</xdr:col>
      <xdr:colOff>247650</xdr:colOff>
      <xdr:row>34</xdr:row>
      <xdr:rowOff>133350</xdr:rowOff>
    </xdr:to>
    <xdr:sp macro="" textlink="">
      <xdr:nvSpPr>
        <xdr:cNvPr id="62" name="Line 96"/>
        <xdr:cNvSpPr>
          <a:spLocks noChangeShapeType="1"/>
        </xdr:cNvSpPr>
      </xdr:nvSpPr>
      <xdr:spPr bwMode="auto">
        <a:xfrm>
          <a:off x="2076450" y="1351597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14287</xdr:colOff>
      <xdr:row>33</xdr:row>
      <xdr:rowOff>104775</xdr:rowOff>
    </xdr:from>
    <xdr:to>
      <xdr:col>0</xdr:col>
      <xdr:colOff>14287</xdr:colOff>
      <xdr:row>34</xdr:row>
      <xdr:rowOff>133350</xdr:rowOff>
    </xdr:to>
    <xdr:sp macro="" textlink="">
      <xdr:nvSpPr>
        <xdr:cNvPr id="63" name="Line 99"/>
        <xdr:cNvSpPr>
          <a:spLocks noChangeShapeType="1"/>
        </xdr:cNvSpPr>
      </xdr:nvSpPr>
      <xdr:spPr bwMode="auto">
        <a:xfrm>
          <a:off x="14287" y="135921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9</xdr:col>
      <xdr:colOff>310731</xdr:colOff>
      <xdr:row>30</xdr:row>
      <xdr:rowOff>15994</xdr:rowOff>
    </xdr:from>
    <xdr:ext cx="123825" cy="180975"/>
    <xdr:sp macro="" textlink="">
      <xdr:nvSpPr>
        <xdr:cNvPr id="64" name="Text Box 103"/>
        <xdr:cNvSpPr txBox="1">
          <a:spLocks noChangeArrowheads="1"/>
        </xdr:cNvSpPr>
      </xdr:nvSpPr>
      <xdr:spPr bwMode="auto">
        <a:xfrm>
          <a:off x="5873331" y="13017619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4</xdr:col>
      <xdr:colOff>285750</xdr:colOff>
      <xdr:row>32</xdr:row>
      <xdr:rowOff>142875</xdr:rowOff>
    </xdr:from>
    <xdr:ext cx="123825" cy="180975"/>
    <xdr:sp macro="" textlink="">
      <xdr:nvSpPr>
        <xdr:cNvPr id="66" name="Text Box 157"/>
        <xdr:cNvSpPr txBox="1">
          <a:spLocks noChangeArrowheads="1"/>
        </xdr:cNvSpPr>
      </xdr:nvSpPr>
      <xdr:spPr bwMode="auto">
        <a:xfrm>
          <a:off x="2724150" y="134683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9</xdr:col>
      <xdr:colOff>9525</xdr:colOff>
      <xdr:row>33</xdr:row>
      <xdr:rowOff>28575</xdr:rowOff>
    </xdr:from>
    <xdr:to>
      <xdr:col>9</xdr:col>
      <xdr:colOff>9525</xdr:colOff>
      <xdr:row>34</xdr:row>
      <xdr:rowOff>114300</xdr:rowOff>
    </xdr:to>
    <xdr:sp macro="" textlink="">
      <xdr:nvSpPr>
        <xdr:cNvPr id="67" name="Line 158"/>
        <xdr:cNvSpPr>
          <a:spLocks noChangeShapeType="1"/>
        </xdr:cNvSpPr>
      </xdr:nvSpPr>
      <xdr:spPr bwMode="auto">
        <a:xfrm>
          <a:off x="5572125" y="1351597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4</xdr:col>
      <xdr:colOff>476250</xdr:colOff>
      <xdr:row>27</xdr:row>
      <xdr:rowOff>0</xdr:rowOff>
    </xdr:from>
    <xdr:ext cx="460126" cy="170560"/>
    <xdr:sp macro="" textlink="">
      <xdr:nvSpPr>
        <xdr:cNvPr id="68" name="Text Box 161"/>
        <xdr:cNvSpPr txBox="1">
          <a:spLocks noChangeArrowheads="1"/>
        </xdr:cNvSpPr>
      </xdr:nvSpPr>
      <xdr:spPr bwMode="auto">
        <a:xfrm>
          <a:off x="2914650" y="12515850"/>
          <a:ext cx="460126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 PWD</a:t>
          </a:r>
        </a:p>
      </xdr:txBody>
    </xdr:sp>
    <xdr:clientData/>
  </xdr:oneCellAnchor>
  <xdr:twoCellAnchor>
    <xdr:from>
      <xdr:col>1</xdr:col>
      <xdr:colOff>238125</xdr:colOff>
      <xdr:row>22</xdr:row>
      <xdr:rowOff>9527</xdr:rowOff>
    </xdr:from>
    <xdr:to>
      <xdr:col>3</xdr:col>
      <xdr:colOff>238125</xdr:colOff>
      <xdr:row>26</xdr:row>
      <xdr:rowOff>28575</xdr:rowOff>
    </xdr:to>
    <xdr:cxnSp macro="">
      <xdr:nvCxnSpPr>
        <xdr:cNvPr id="70" name="Straight Connector 69"/>
        <xdr:cNvCxnSpPr/>
      </xdr:nvCxnSpPr>
      <xdr:spPr bwMode="auto">
        <a:xfrm flipV="1">
          <a:off x="847725" y="11715752"/>
          <a:ext cx="1219200" cy="66674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0</xdr:colOff>
      <xdr:row>22</xdr:row>
      <xdr:rowOff>9525</xdr:rowOff>
    </xdr:from>
    <xdr:to>
      <xdr:col>7</xdr:col>
      <xdr:colOff>276225</xdr:colOff>
      <xdr:row>26</xdr:row>
      <xdr:rowOff>0</xdr:rowOff>
    </xdr:to>
    <xdr:cxnSp macro="">
      <xdr:nvCxnSpPr>
        <xdr:cNvPr id="71" name="Straight Connector 70"/>
        <xdr:cNvCxnSpPr/>
      </xdr:nvCxnSpPr>
      <xdr:spPr bwMode="auto">
        <a:xfrm>
          <a:off x="3048000" y="11715750"/>
          <a:ext cx="1571625" cy="6381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209550</xdr:colOff>
      <xdr:row>27</xdr:row>
      <xdr:rowOff>152400</xdr:rowOff>
    </xdr:from>
    <xdr:to>
      <xdr:col>5</xdr:col>
      <xdr:colOff>9525</xdr:colOff>
      <xdr:row>28</xdr:row>
      <xdr:rowOff>1</xdr:rowOff>
    </xdr:to>
    <xdr:cxnSp macro="">
      <xdr:nvCxnSpPr>
        <xdr:cNvPr id="72" name="Straight Connector 71"/>
        <xdr:cNvCxnSpPr/>
      </xdr:nvCxnSpPr>
      <xdr:spPr bwMode="auto">
        <a:xfrm flipV="1">
          <a:off x="2038350" y="12668250"/>
          <a:ext cx="1019175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180975</xdr:colOff>
      <xdr:row>29</xdr:row>
      <xdr:rowOff>9525</xdr:rowOff>
    </xdr:from>
    <xdr:to>
      <xdr:col>2</xdr:col>
      <xdr:colOff>590550</xdr:colOff>
      <xdr:row>29</xdr:row>
      <xdr:rowOff>11113</xdr:rowOff>
    </xdr:to>
    <xdr:cxnSp macro="">
      <xdr:nvCxnSpPr>
        <xdr:cNvPr id="73" name="Straight Connector 72"/>
        <xdr:cNvCxnSpPr/>
      </xdr:nvCxnSpPr>
      <xdr:spPr bwMode="auto">
        <a:xfrm>
          <a:off x="180975" y="12849225"/>
          <a:ext cx="16287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323850</xdr:colOff>
      <xdr:row>28</xdr:row>
      <xdr:rowOff>152400</xdr:rowOff>
    </xdr:from>
    <xdr:to>
      <xdr:col>8</xdr:col>
      <xdr:colOff>523875</xdr:colOff>
      <xdr:row>29</xdr:row>
      <xdr:rowOff>0</xdr:rowOff>
    </xdr:to>
    <xdr:cxnSp macro="">
      <xdr:nvCxnSpPr>
        <xdr:cNvPr id="74" name="Straight Connector 73"/>
        <xdr:cNvCxnSpPr/>
      </xdr:nvCxnSpPr>
      <xdr:spPr bwMode="auto">
        <a:xfrm>
          <a:off x="3371850" y="12830175"/>
          <a:ext cx="21050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247650</xdr:colOff>
      <xdr:row>34</xdr:row>
      <xdr:rowOff>9525</xdr:rowOff>
    </xdr:from>
    <xdr:to>
      <xdr:col>5</xdr:col>
      <xdr:colOff>0</xdr:colOff>
      <xdr:row>34</xdr:row>
      <xdr:rowOff>11113</xdr:rowOff>
    </xdr:to>
    <xdr:cxnSp macro="">
      <xdr:nvCxnSpPr>
        <xdr:cNvPr id="75" name="Straight Arrow Connector 74"/>
        <xdr:cNvCxnSpPr/>
      </xdr:nvCxnSpPr>
      <xdr:spPr bwMode="auto">
        <a:xfrm>
          <a:off x="2076450" y="13658850"/>
          <a:ext cx="9715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9525</xdr:colOff>
      <xdr:row>34</xdr:row>
      <xdr:rowOff>9525</xdr:rowOff>
    </xdr:from>
    <xdr:to>
      <xdr:col>9</xdr:col>
      <xdr:colOff>9525</xdr:colOff>
      <xdr:row>34</xdr:row>
      <xdr:rowOff>11113</xdr:rowOff>
    </xdr:to>
    <xdr:cxnSp macro="">
      <xdr:nvCxnSpPr>
        <xdr:cNvPr id="76" name="Straight Connector 75"/>
        <xdr:cNvCxnSpPr/>
      </xdr:nvCxnSpPr>
      <xdr:spPr bwMode="auto">
        <a:xfrm>
          <a:off x="3057525" y="13658850"/>
          <a:ext cx="2514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9525</xdr:colOff>
      <xdr:row>34</xdr:row>
      <xdr:rowOff>9526</xdr:rowOff>
    </xdr:from>
    <xdr:to>
      <xdr:col>3</xdr:col>
      <xdr:colOff>238125</xdr:colOff>
      <xdr:row>34</xdr:row>
      <xdr:rowOff>28575</xdr:rowOff>
    </xdr:to>
    <xdr:cxnSp macro="">
      <xdr:nvCxnSpPr>
        <xdr:cNvPr id="77" name="Straight Arrow Connector 76"/>
        <xdr:cNvCxnSpPr/>
      </xdr:nvCxnSpPr>
      <xdr:spPr bwMode="auto">
        <a:xfrm flipV="1">
          <a:off x="9525" y="13658851"/>
          <a:ext cx="2057400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0</xdr:colOff>
      <xdr:row>29</xdr:row>
      <xdr:rowOff>9525</xdr:rowOff>
    </xdr:from>
    <xdr:to>
      <xdr:col>0</xdr:col>
      <xdr:colOff>180975</xdr:colOff>
      <xdr:row>29</xdr:row>
      <xdr:rowOff>11113</xdr:rowOff>
    </xdr:to>
    <xdr:cxnSp macro="">
      <xdr:nvCxnSpPr>
        <xdr:cNvPr id="78" name="Straight Connector 77"/>
        <xdr:cNvCxnSpPr/>
      </xdr:nvCxnSpPr>
      <xdr:spPr bwMode="auto">
        <a:xfrm>
          <a:off x="0" y="12849225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438150</xdr:colOff>
      <xdr:row>30</xdr:row>
      <xdr:rowOff>9525</xdr:rowOff>
    </xdr:from>
    <xdr:to>
      <xdr:col>9</xdr:col>
      <xdr:colOff>47625</xdr:colOff>
      <xdr:row>30</xdr:row>
      <xdr:rowOff>19050</xdr:rowOff>
    </xdr:to>
    <xdr:cxnSp macro="">
      <xdr:nvCxnSpPr>
        <xdr:cNvPr id="79" name="Straight Arrow Connector 78"/>
        <xdr:cNvCxnSpPr/>
      </xdr:nvCxnSpPr>
      <xdr:spPr bwMode="auto">
        <a:xfrm>
          <a:off x="5391150" y="13011150"/>
          <a:ext cx="2190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19053</xdr:colOff>
      <xdr:row>35</xdr:row>
      <xdr:rowOff>76199</xdr:rowOff>
    </xdr:from>
    <xdr:to>
      <xdr:col>4</xdr:col>
      <xdr:colOff>219075</xdr:colOff>
      <xdr:row>35</xdr:row>
      <xdr:rowOff>95250</xdr:rowOff>
    </xdr:to>
    <xdr:cxnSp macro="">
      <xdr:nvCxnSpPr>
        <xdr:cNvPr id="80" name="Straight Connector 79"/>
        <xdr:cNvCxnSpPr/>
      </xdr:nvCxnSpPr>
      <xdr:spPr bwMode="auto">
        <a:xfrm rot="10800000" flipV="1">
          <a:off x="19053" y="13887449"/>
          <a:ext cx="2638422" cy="1905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19050</xdr:colOff>
      <xdr:row>28</xdr:row>
      <xdr:rowOff>104773</xdr:rowOff>
    </xdr:from>
    <xdr:to>
      <xdr:col>3</xdr:col>
      <xdr:colOff>242887</xdr:colOff>
      <xdr:row>29</xdr:row>
      <xdr:rowOff>119062</xdr:rowOff>
    </xdr:to>
    <xdr:sp macro="" textlink="">
      <xdr:nvSpPr>
        <xdr:cNvPr id="81" name="Line 73"/>
        <xdr:cNvSpPr>
          <a:spLocks noChangeShapeType="1"/>
        </xdr:cNvSpPr>
      </xdr:nvSpPr>
      <xdr:spPr bwMode="auto">
        <a:xfrm flipV="1">
          <a:off x="1847850" y="12782548"/>
          <a:ext cx="223837" cy="1762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19050</xdr:colOff>
      <xdr:row>28</xdr:row>
      <xdr:rowOff>114300</xdr:rowOff>
    </xdr:from>
    <xdr:to>
      <xdr:col>5</xdr:col>
      <xdr:colOff>328613</xdr:colOff>
      <xdr:row>29</xdr:row>
      <xdr:rowOff>80963</xdr:rowOff>
    </xdr:to>
    <xdr:sp macro="" textlink="">
      <xdr:nvSpPr>
        <xdr:cNvPr id="82" name="Line 75"/>
        <xdr:cNvSpPr>
          <a:spLocks noChangeShapeType="1"/>
        </xdr:cNvSpPr>
      </xdr:nvSpPr>
      <xdr:spPr bwMode="auto">
        <a:xfrm>
          <a:off x="3067050" y="12792075"/>
          <a:ext cx="309563" cy="1285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238125</xdr:colOff>
      <xdr:row>28</xdr:row>
      <xdr:rowOff>104775</xdr:rowOff>
    </xdr:from>
    <xdr:to>
      <xdr:col>5</xdr:col>
      <xdr:colOff>9525</xdr:colOff>
      <xdr:row>28</xdr:row>
      <xdr:rowOff>104776</xdr:rowOff>
    </xdr:to>
    <xdr:cxnSp macro="">
      <xdr:nvCxnSpPr>
        <xdr:cNvPr id="83" name="Straight Connector 82"/>
        <xdr:cNvCxnSpPr/>
      </xdr:nvCxnSpPr>
      <xdr:spPr bwMode="auto">
        <a:xfrm flipV="1">
          <a:off x="2066925" y="12782550"/>
          <a:ext cx="99060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209550</xdr:colOff>
      <xdr:row>29</xdr:row>
      <xdr:rowOff>114300</xdr:rowOff>
    </xdr:from>
    <xdr:to>
      <xdr:col>3</xdr:col>
      <xdr:colOff>19050</xdr:colOff>
      <xdr:row>29</xdr:row>
      <xdr:rowOff>115888</xdr:rowOff>
    </xdr:to>
    <xdr:cxnSp macro="">
      <xdr:nvCxnSpPr>
        <xdr:cNvPr id="84" name="Straight Connector 83"/>
        <xdr:cNvCxnSpPr/>
      </xdr:nvCxnSpPr>
      <xdr:spPr bwMode="auto">
        <a:xfrm>
          <a:off x="209550" y="12954000"/>
          <a:ext cx="1638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323850</xdr:colOff>
      <xdr:row>29</xdr:row>
      <xdr:rowOff>76200</xdr:rowOff>
    </xdr:from>
    <xdr:to>
      <xdr:col>9</xdr:col>
      <xdr:colOff>9525</xdr:colOff>
      <xdr:row>29</xdr:row>
      <xdr:rowOff>85725</xdr:rowOff>
    </xdr:to>
    <xdr:cxnSp macro="">
      <xdr:nvCxnSpPr>
        <xdr:cNvPr id="85" name="Straight Connector 84"/>
        <xdr:cNvCxnSpPr/>
      </xdr:nvCxnSpPr>
      <xdr:spPr bwMode="auto">
        <a:xfrm>
          <a:off x="3371850" y="12915900"/>
          <a:ext cx="22002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</xdr:colOff>
      <xdr:row>29</xdr:row>
      <xdr:rowOff>114300</xdr:rowOff>
    </xdr:from>
    <xdr:to>
      <xdr:col>0</xdr:col>
      <xdr:colOff>238126</xdr:colOff>
      <xdr:row>29</xdr:row>
      <xdr:rowOff>114302</xdr:rowOff>
    </xdr:to>
    <xdr:cxnSp macro="">
      <xdr:nvCxnSpPr>
        <xdr:cNvPr id="86" name="Straight Connector 85"/>
        <xdr:cNvCxnSpPr/>
      </xdr:nvCxnSpPr>
      <xdr:spPr bwMode="auto">
        <a:xfrm rot="10800000" flipV="1">
          <a:off x="1" y="12954000"/>
          <a:ext cx="238125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180975</xdr:colOff>
      <xdr:row>29</xdr:row>
      <xdr:rowOff>66675</xdr:rowOff>
    </xdr:from>
    <xdr:to>
      <xdr:col>0</xdr:col>
      <xdr:colOff>180975</xdr:colOff>
      <xdr:row>33</xdr:row>
      <xdr:rowOff>0</xdr:rowOff>
    </xdr:to>
    <xdr:sp macro="" textlink="">
      <xdr:nvSpPr>
        <xdr:cNvPr id="87" name="Line 78"/>
        <xdr:cNvSpPr>
          <a:spLocks noChangeShapeType="1"/>
        </xdr:cNvSpPr>
      </xdr:nvSpPr>
      <xdr:spPr bwMode="auto">
        <a:xfrm>
          <a:off x="180975" y="12906375"/>
          <a:ext cx="0" cy="581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457200</xdr:colOff>
      <xdr:row>29</xdr:row>
      <xdr:rowOff>47625</xdr:rowOff>
    </xdr:from>
    <xdr:to>
      <xdr:col>8</xdr:col>
      <xdr:colOff>457200</xdr:colOff>
      <xdr:row>33</xdr:row>
      <xdr:rowOff>0</xdr:rowOff>
    </xdr:to>
    <xdr:sp macro="" textlink="">
      <xdr:nvSpPr>
        <xdr:cNvPr id="88" name="Line 78"/>
        <xdr:cNvSpPr>
          <a:spLocks noChangeShapeType="1"/>
        </xdr:cNvSpPr>
      </xdr:nvSpPr>
      <xdr:spPr bwMode="auto">
        <a:xfrm>
          <a:off x="5410200" y="12887325"/>
          <a:ext cx="0" cy="600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4766</xdr:colOff>
      <xdr:row>28</xdr:row>
      <xdr:rowOff>152404</xdr:rowOff>
    </xdr:from>
    <xdr:to>
      <xdr:col>9</xdr:col>
      <xdr:colOff>9525</xdr:colOff>
      <xdr:row>29</xdr:row>
      <xdr:rowOff>80963</xdr:rowOff>
    </xdr:to>
    <xdr:cxnSp macro="">
      <xdr:nvCxnSpPr>
        <xdr:cNvPr id="89" name="Straight Connector 88"/>
        <xdr:cNvCxnSpPr/>
      </xdr:nvCxnSpPr>
      <xdr:spPr bwMode="auto">
        <a:xfrm rot="16200000" flipV="1">
          <a:off x="5524504" y="12873041"/>
          <a:ext cx="90484" cy="475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257175</xdr:colOff>
      <xdr:row>25</xdr:row>
      <xdr:rowOff>152400</xdr:rowOff>
    </xdr:from>
    <xdr:to>
      <xdr:col>8</xdr:col>
      <xdr:colOff>323850</xdr:colOff>
      <xdr:row>25</xdr:row>
      <xdr:rowOff>153988</xdr:rowOff>
    </xdr:to>
    <xdr:cxnSp macro="">
      <xdr:nvCxnSpPr>
        <xdr:cNvPr id="90" name="Straight Connector 89"/>
        <xdr:cNvCxnSpPr/>
      </xdr:nvCxnSpPr>
      <xdr:spPr bwMode="auto">
        <a:xfrm>
          <a:off x="4600575" y="12344400"/>
          <a:ext cx="6762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342900</xdr:colOff>
      <xdr:row>26</xdr:row>
      <xdr:rowOff>19050</xdr:rowOff>
    </xdr:from>
    <xdr:to>
      <xdr:col>1</xdr:col>
      <xdr:colOff>247650</xdr:colOff>
      <xdr:row>26</xdr:row>
      <xdr:rowOff>20638</xdr:rowOff>
    </xdr:to>
    <xdr:cxnSp macro="">
      <xdr:nvCxnSpPr>
        <xdr:cNvPr id="91" name="Straight Connector 90"/>
        <xdr:cNvCxnSpPr/>
      </xdr:nvCxnSpPr>
      <xdr:spPr bwMode="auto">
        <a:xfrm>
          <a:off x="342900" y="12372975"/>
          <a:ext cx="5143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323850</xdr:colOff>
      <xdr:row>25</xdr:row>
      <xdr:rowOff>152404</xdr:rowOff>
    </xdr:from>
    <xdr:to>
      <xdr:col>8</xdr:col>
      <xdr:colOff>323853</xdr:colOff>
      <xdr:row>29</xdr:row>
      <xdr:rowOff>4</xdr:rowOff>
    </xdr:to>
    <xdr:cxnSp macro="">
      <xdr:nvCxnSpPr>
        <xdr:cNvPr id="92" name="Straight Connector 91"/>
        <xdr:cNvCxnSpPr/>
      </xdr:nvCxnSpPr>
      <xdr:spPr bwMode="auto">
        <a:xfrm rot="5400000">
          <a:off x="5029202" y="12592052"/>
          <a:ext cx="495300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600075</xdr:colOff>
      <xdr:row>25</xdr:row>
      <xdr:rowOff>57150</xdr:rowOff>
    </xdr:from>
    <xdr:to>
      <xdr:col>8</xdr:col>
      <xdr:colOff>57150</xdr:colOff>
      <xdr:row>25</xdr:row>
      <xdr:rowOff>142875</xdr:rowOff>
    </xdr:to>
    <xdr:sp macro="" textlink="">
      <xdr:nvSpPr>
        <xdr:cNvPr id="93" name="Flowchart: Merge 92"/>
        <xdr:cNvSpPr/>
      </xdr:nvSpPr>
      <xdr:spPr bwMode="auto">
        <a:xfrm>
          <a:off x="4943475" y="1224915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228600</xdr:colOff>
      <xdr:row>22</xdr:row>
      <xdr:rowOff>9525</xdr:rowOff>
    </xdr:from>
    <xdr:to>
      <xdr:col>5</xdr:col>
      <xdr:colOff>0</xdr:colOff>
      <xdr:row>25</xdr:row>
      <xdr:rowOff>0</xdr:rowOff>
    </xdr:to>
    <xdr:sp macro="" textlink="">
      <xdr:nvSpPr>
        <xdr:cNvPr id="94" name="Rectangle 93"/>
        <xdr:cNvSpPr/>
      </xdr:nvSpPr>
      <xdr:spPr bwMode="auto">
        <a:xfrm>
          <a:off x="2057400" y="11715750"/>
          <a:ext cx="990600" cy="476250"/>
        </a:xfrm>
        <a:prstGeom prst="rect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180975</xdr:colOff>
      <xdr:row>31</xdr:row>
      <xdr:rowOff>9525</xdr:rowOff>
    </xdr:from>
    <xdr:to>
      <xdr:col>8</xdr:col>
      <xdr:colOff>466725</xdr:colOff>
      <xdr:row>31</xdr:row>
      <xdr:rowOff>11113</xdr:rowOff>
    </xdr:to>
    <xdr:cxnSp macro="">
      <xdr:nvCxnSpPr>
        <xdr:cNvPr id="95" name="Straight Arrow Connector 94"/>
        <xdr:cNvCxnSpPr/>
      </xdr:nvCxnSpPr>
      <xdr:spPr bwMode="auto">
        <a:xfrm>
          <a:off x="180975" y="13173075"/>
          <a:ext cx="52387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95250</xdr:colOff>
      <xdr:row>35</xdr:row>
      <xdr:rowOff>57150</xdr:rowOff>
    </xdr:from>
    <xdr:to>
      <xdr:col>9</xdr:col>
      <xdr:colOff>14287</xdr:colOff>
      <xdr:row>35</xdr:row>
      <xdr:rowOff>66675</xdr:rowOff>
    </xdr:to>
    <xdr:cxnSp macro="">
      <xdr:nvCxnSpPr>
        <xdr:cNvPr id="96" name="Straight Connector 95"/>
        <xdr:cNvCxnSpPr/>
      </xdr:nvCxnSpPr>
      <xdr:spPr bwMode="auto">
        <a:xfrm>
          <a:off x="3143250" y="13868400"/>
          <a:ext cx="2433637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9525</xdr:colOff>
      <xdr:row>34</xdr:row>
      <xdr:rowOff>133350</xdr:rowOff>
    </xdr:from>
    <xdr:to>
      <xdr:col>9</xdr:col>
      <xdr:colOff>9525</xdr:colOff>
      <xdr:row>35</xdr:row>
      <xdr:rowOff>119063</xdr:rowOff>
    </xdr:to>
    <xdr:sp macro="" textlink="">
      <xdr:nvSpPr>
        <xdr:cNvPr id="97" name="Line 99"/>
        <xdr:cNvSpPr>
          <a:spLocks noChangeShapeType="1"/>
        </xdr:cNvSpPr>
      </xdr:nvSpPr>
      <xdr:spPr bwMode="auto">
        <a:xfrm>
          <a:off x="5572125" y="13782675"/>
          <a:ext cx="0" cy="14763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28</xdr:row>
      <xdr:rowOff>57150</xdr:rowOff>
    </xdr:from>
    <xdr:to>
      <xdr:col>6</xdr:col>
      <xdr:colOff>238125</xdr:colOff>
      <xdr:row>28</xdr:row>
      <xdr:rowOff>142875</xdr:rowOff>
    </xdr:to>
    <xdr:sp macro="" textlink="">
      <xdr:nvSpPr>
        <xdr:cNvPr id="98" name="Flowchart: Merge 97"/>
        <xdr:cNvSpPr/>
      </xdr:nvSpPr>
      <xdr:spPr bwMode="auto">
        <a:xfrm>
          <a:off x="3829050" y="491490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495300</xdr:colOff>
      <xdr:row>21</xdr:row>
      <xdr:rowOff>38100</xdr:rowOff>
    </xdr:from>
    <xdr:to>
      <xdr:col>3</xdr:col>
      <xdr:colOff>561975</xdr:colOff>
      <xdr:row>21</xdr:row>
      <xdr:rowOff>123825</xdr:rowOff>
    </xdr:to>
    <xdr:sp macro="" textlink="">
      <xdr:nvSpPr>
        <xdr:cNvPr id="99" name="Flowchart: Merge 98"/>
        <xdr:cNvSpPr/>
      </xdr:nvSpPr>
      <xdr:spPr bwMode="auto">
        <a:xfrm>
          <a:off x="2324100" y="1158240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</xdr:col>
      <xdr:colOff>228600</xdr:colOff>
      <xdr:row>28</xdr:row>
      <xdr:rowOff>66675</xdr:rowOff>
    </xdr:from>
    <xdr:to>
      <xdr:col>1</xdr:col>
      <xdr:colOff>295275</xdr:colOff>
      <xdr:row>28</xdr:row>
      <xdr:rowOff>152400</xdr:rowOff>
    </xdr:to>
    <xdr:sp macro="" textlink="">
      <xdr:nvSpPr>
        <xdr:cNvPr id="100" name="Flowchart: Merge 99"/>
        <xdr:cNvSpPr/>
      </xdr:nvSpPr>
      <xdr:spPr bwMode="auto">
        <a:xfrm>
          <a:off x="838200" y="12744450"/>
          <a:ext cx="66675" cy="85725"/>
        </a:xfrm>
        <a:prstGeom prst="flowChartMerg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oneCellAnchor>
    <xdr:from>
      <xdr:col>4</xdr:col>
      <xdr:colOff>314325</xdr:colOff>
      <xdr:row>20</xdr:row>
      <xdr:rowOff>142875</xdr:rowOff>
    </xdr:from>
    <xdr:ext cx="460126" cy="170560"/>
    <xdr:sp macro="" textlink="">
      <xdr:nvSpPr>
        <xdr:cNvPr id="101" name="Text Box 161"/>
        <xdr:cNvSpPr txBox="1">
          <a:spLocks noChangeArrowheads="1"/>
        </xdr:cNvSpPr>
      </xdr:nvSpPr>
      <xdr:spPr bwMode="auto">
        <a:xfrm>
          <a:off x="2752725" y="11525250"/>
          <a:ext cx="460126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 PWD</a:t>
          </a:r>
        </a:p>
      </xdr:txBody>
    </xdr:sp>
    <xdr:clientData/>
  </xdr:oneCellAnchor>
  <xdr:oneCellAnchor>
    <xdr:from>
      <xdr:col>0</xdr:col>
      <xdr:colOff>466725</xdr:colOff>
      <xdr:row>24</xdr:row>
      <xdr:rowOff>142875</xdr:rowOff>
    </xdr:from>
    <xdr:ext cx="460126" cy="170560"/>
    <xdr:sp macro="" textlink="">
      <xdr:nvSpPr>
        <xdr:cNvPr id="102" name="Text Box 161"/>
        <xdr:cNvSpPr txBox="1">
          <a:spLocks noChangeArrowheads="1"/>
        </xdr:cNvSpPr>
      </xdr:nvSpPr>
      <xdr:spPr bwMode="auto">
        <a:xfrm>
          <a:off x="466725" y="12172950"/>
          <a:ext cx="460126" cy="17056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ysClr val="windowText" lastClr="000000"/>
              </a:solidFill>
              <a:latin typeface="Arial"/>
              <a:cs typeface="Arial"/>
            </a:rPr>
            <a:t>m PWD</a:t>
          </a:r>
        </a:p>
      </xdr:txBody>
    </xdr:sp>
    <xdr:clientData/>
  </xdr:oneCellAnchor>
  <xdr:twoCellAnchor>
    <xdr:from>
      <xdr:col>3</xdr:col>
      <xdr:colOff>295275</xdr:colOff>
      <xdr:row>22</xdr:row>
      <xdr:rowOff>19050</xdr:rowOff>
    </xdr:from>
    <xdr:to>
      <xdr:col>4</xdr:col>
      <xdr:colOff>542925</xdr:colOff>
      <xdr:row>24</xdr:row>
      <xdr:rowOff>104775</xdr:rowOff>
    </xdr:to>
    <xdr:sp macro="" textlink="">
      <xdr:nvSpPr>
        <xdr:cNvPr id="103" name="Rectangle 102"/>
        <xdr:cNvSpPr/>
      </xdr:nvSpPr>
      <xdr:spPr bwMode="auto">
        <a:xfrm>
          <a:off x="2124075" y="11725275"/>
          <a:ext cx="857250" cy="409575"/>
        </a:xfrm>
        <a:prstGeom prst="rect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228600</xdr:colOff>
      <xdr:row>24</xdr:row>
      <xdr:rowOff>66675</xdr:rowOff>
    </xdr:from>
    <xdr:to>
      <xdr:col>6</xdr:col>
      <xdr:colOff>457200</xdr:colOff>
      <xdr:row>25</xdr:row>
      <xdr:rowOff>0</xdr:rowOff>
    </xdr:to>
    <xdr:sp macro="" textlink="">
      <xdr:nvSpPr>
        <xdr:cNvPr id="104" name="Right Triangle 103"/>
        <xdr:cNvSpPr/>
      </xdr:nvSpPr>
      <xdr:spPr bwMode="auto">
        <a:xfrm>
          <a:off x="3886200" y="12096750"/>
          <a:ext cx="228600" cy="95250"/>
        </a:xfrm>
        <a:prstGeom prst="rtTriangle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en-US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190500</xdr:colOff>
      <xdr:row>23</xdr:row>
      <xdr:rowOff>152400</xdr:rowOff>
    </xdr:from>
    <xdr:to>
      <xdr:col>2</xdr:col>
      <xdr:colOff>447676</xdr:colOff>
      <xdr:row>24</xdr:row>
      <xdr:rowOff>142875</xdr:rowOff>
    </xdr:to>
    <xdr:sp macro="" textlink="">
      <xdr:nvSpPr>
        <xdr:cNvPr id="105" name="Right Triangle 104"/>
        <xdr:cNvSpPr/>
      </xdr:nvSpPr>
      <xdr:spPr bwMode="auto">
        <a:xfrm flipH="1">
          <a:off x="1409700" y="12020550"/>
          <a:ext cx="257176" cy="152400"/>
        </a:xfrm>
        <a:prstGeom prst="rtTriangle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602052</xdr:colOff>
      <xdr:row>11</xdr:row>
      <xdr:rowOff>8986</xdr:rowOff>
    </xdr:from>
    <xdr:to>
      <xdr:col>5</xdr:col>
      <xdr:colOff>386391</xdr:colOff>
      <xdr:row>13</xdr:row>
      <xdr:rowOff>17971</xdr:rowOff>
    </xdr:to>
    <xdr:sp macro="" textlink="">
      <xdr:nvSpPr>
        <xdr:cNvPr id="106" name="Rectangle 105"/>
        <xdr:cNvSpPr/>
      </xdr:nvSpPr>
      <xdr:spPr bwMode="auto">
        <a:xfrm>
          <a:off x="2430852" y="9934036"/>
          <a:ext cx="1003539" cy="332835"/>
        </a:xfrm>
        <a:prstGeom prst="rect">
          <a:avLst/>
        </a:prstGeom>
        <a:noFill/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609062</xdr:colOff>
      <xdr:row>13</xdr:row>
      <xdr:rowOff>153839</xdr:rowOff>
    </xdr:from>
    <xdr:to>
      <xdr:col>8</xdr:col>
      <xdr:colOff>8987</xdr:colOff>
      <xdr:row>16</xdr:row>
      <xdr:rowOff>153839</xdr:rowOff>
    </xdr:to>
    <xdr:cxnSp macro="">
      <xdr:nvCxnSpPr>
        <xdr:cNvPr id="107" name="Straight Connector 106"/>
        <xdr:cNvCxnSpPr/>
      </xdr:nvCxnSpPr>
      <xdr:spPr bwMode="auto">
        <a:xfrm rot="5400000">
          <a:off x="4714337" y="10640864"/>
          <a:ext cx="4857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608808</xdr:colOff>
      <xdr:row>7</xdr:row>
      <xdr:rowOff>19053</xdr:rowOff>
    </xdr:from>
    <xdr:to>
      <xdr:col>1</xdr:col>
      <xdr:colOff>9526</xdr:colOff>
      <xdr:row>17</xdr:row>
      <xdr:rowOff>794</xdr:rowOff>
    </xdr:to>
    <xdr:cxnSp macro="">
      <xdr:nvCxnSpPr>
        <xdr:cNvPr id="108" name="Straight Connector 107"/>
        <xdr:cNvCxnSpPr/>
      </xdr:nvCxnSpPr>
      <xdr:spPr bwMode="auto">
        <a:xfrm rot="5400000">
          <a:off x="-186529" y="2271715"/>
          <a:ext cx="1600991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123825</xdr:colOff>
      <xdr:row>13</xdr:row>
      <xdr:rowOff>133353</xdr:rowOff>
    </xdr:from>
    <xdr:to>
      <xdr:col>0</xdr:col>
      <xdr:colOff>123826</xdr:colOff>
      <xdr:row>16</xdr:row>
      <xdr:rowOff>142880</xdr:rowOff>
    </xdr:to>
    <xdr:cxnSp macro="">
      <xdr:nvCxnSpPr>
        <xdr:cNvPr id="109" name="Straight Arrow Connector 108"/>
        <xdr:cNvCxnSpPr/>
      </xdr:nvCxnSpPr>
      <xdr:spPr bwMode="auto">
        <a:xfrm rot="5400000">
          <a:off x="-123825" y="2809878"/>
          <a:ext cx="495302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132557</xdr:colOff>
      <xdr:row>9</xdr:row>
      <xdr:rowOff>134144</xdr:rowOff>
    </xdr:from>
    <xdr:to>
      <xdr:col>0</xdr:col>
      <xdr:colOff>134145</xdr:colOff>
      <xdr:row>14</xdr:row>
      <xdr:rowOff>794</xdr:rowOff>
    </xdr:to>
    <xdr:cxnSp macro="">
      <xdr:nvCxnSpPr>
        <xdr:cNvPr id="110" name="Straight Arrow Connector 109"/>
        <xdr:cNvCxnSpPr/>
      </xdr:nvCxnSpPr>
      <xdr:spPr bwMode="auto">
        <a:xfrm rot="5400000">
          <a:off x="-204787" y="2252663"/>
          <a:ext cx="676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133348</xdr:colOff>
      <xdr:row>6</xdr:row>
      <xdr:rowOff>133355</xdr:rowOff>
    </xdr:from>
    <xdr:to>
      <xdr:col>0</xdr:col>
      <xdr:colOff>133349</xdr:colOff>
      <xdr:row>9</xdr:row>
      <xdr:rowOff>142882</xdr:rowOff>
    </xdr:to>
    <xdr:cxnSp macro="">
      <xdr:nvCxnSpPr>
        <xdr:cNvPr id="111" name="Straight Arrow Connector 110"/>
        <xdr:cNvCxnSpPr/>
      </xdr:nvCxnSpPr>
      <xdr:spPr bwMode="auto">
        <a:xfrm rot="5400000">
          <a:off x="-114302" y="1676405"/>
          <a:ext cx="495302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452301</xdr:colOff>
      <xdr:row>264</xdr:row>
      <xdr:rowOff>38877</xdr:rowOff>
    </xdr:from>
    <xdr:to>
      <xdr:col>2</xdr:col>
      <xdr:colOff>554005</xdr:colOff>
      <xdr:row>264</xdr:row>
      <xdr:rowOff>163674</xdr:rowOff>
    </xdr:to>
    <xdr:sp macro="" textlink="">
      <xdr:nvSpPr>
        <xdr:cNvPr id="112" name="AutoShape 27"/>
        <xdr:cNvSpPr>
          <a:spLocks noChangeArrowheads="1"/>
        </xdr:cNvSpPr>
      </xdr:nvSpPr>
      <xdr:spPr bwMode="auto">
        <a:xfrm>
          <a:off x="1671501" y="8478027"/>
          <a:ext cx="101704" cy="124797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1</xdr:col>
      <xdr:colOff>301885</xdr:colOff>
      <xdr:row>260</xdr:row>
      <xdr:rowOff>0</xdr:rowOff>
    </xdr:from>
    <xdr:ext cx="123825" cy="180975"/>
    <xdr:sp macro="" textlink="">
      <xdr:nvSpPr>
        <xdr:cNvPr id="114" name="Text Box 46"/>
        <xdr:cNvSpPr txBox="1">
          <a:spLocks noChangeArrowheads="1"/>
        </xdr:cNvSpPr>
      </xdr:nvSpPr>
      <xdr:spPr bwMode="auto">
        <a:xfrm>
          <a:off x="911485" y="77914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8</xdr:col>
      <xdr:colOff>600075</xdr:colOff>
      <xdr:row>256</xdr:row>
      <xdr:rowOff>0</xdr:rowOff>
    </xdr:from>
    <xdr:ext cx="123825" cy="180975"/>
    <xdr:sp macro="" textlink="">
      <xdr:nvSpPr>
        <xdr:cNvPr id="115" name="Text Box 59"/>
        <xdr:cNvSpPr txBox="1">
          <a:spLocks noChangeArrowheads="1"/>
        </xdr:cNvSpPr>
      </xdr:nvSpPr>
      <xdr:spPr bwMode="auto">
        <a:xfrm>
          <a:off x="5476875" y="70580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8</xdr:col>
      <xdr:colOff>209550</xdr:colOff>
      <xdr:row>272</xdr:row>
      <xdr:rowOff>123825</xdr:rowOff>
    </xdr:from>
    <xdr:to>
      <xdr:col>9</xdr:col>
      <xdr:colOff>114300</xdr:colOff>
      <xdr:row>273</xdr:row>
      <xdr:rowOff>123825</xdr:rowOff>
    </xdr:to>
    <xdr:sp macro="" textlink="">
      <xdr:nvSpPr>
        <xdr:cNvPr id="116" name="Line 63"/>
        <xdr:cNvSpPr>
          <a:spLocks noChangeShapeType="1"/>
        </xdr:cNvSpPr>
      </xdr:nvSpPr>
      <xdr:spPr bwMode="auto">
        <a:xfrm flipH="1">
          <a:off x="5086350" y="14668500"/>
          <a:ext cx="5143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oneCellAnchor>
    <xdr:from>
      <xdr:col>0</xdr:col>
      <xdr:colOff>447675</xdr:colOff>
      <xdr:row>264</xdr:row>
      <xdr:rowOff>180975</xdr:rowOff>
    </xdr:from>
    <xdr:ext cx="123825" cy="180975"/>
    <xdr:sp macro="" textlink="">
      <xdr:nvSpPr>
        <xdr:cNvPr id="117" name="Text Box 69"/>
        <xdr:cNvSpPr txBox="1">
          <a:spLocks noChangeArrowheads="1"/>
        </xdr:cNvSpPr>
      </xdr:nvSpPr>
      <xdr:spPr bwMode="auto">
        <a:xfrm>
          <a:off x="447675" y="86010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7</xdr:col>
      <xdr:colOff>581025</xdr:colOff>
      <xdr:row>267</xdr:row>
      <xdr:rowOff>142875</xdr:rowOff>
    </xdr:from>
    <xdr:to>
      <xdr:col>8</xdr:col>
      <xdr:colOff>238125</xdr:colOff>
      <xdr:row>269</xdr:row>
      <xdr:rowOff>95250</xdr:rowOff>
    </xdr:to>
    <xdr:sp macro="" textlink="">
      <xdr:nvSpPr>
        <xdr:cNvPr id="118" name="Oval 117"/>
        <xdr:cNvSpPr>
          <a:spLocks noChangeArrowheads="1"/>
        </xdr:cNvSpPr>
      </xdr:nvSpPr>
      <xdr:spPr bwMode="auto">
        <a:xfrm>
          <a:off x="4848225" y="9067800"/>
          <a:ext cx="266700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7</xdr:col>
      <xdr:colOff>581025</xdr:colOff>
      <xdr:row>247</xdr:row>
      <xdr:rowOff>155510</xdr:rowOff>
    </xdr:from>
    <xdr:to>
      <xdr:col>8</xdr:col>
      <xdr:colOff>238125</xdr:colOff>
      <xdr:row>249</xdr:row>
      <xdr:rowOff>95250</xdr:rowOff>
    </xdr:to>
    <xdr:sp macro="" textlink="">
      <xdr:nvSpPr>
        <xdr:cNvPr id="119" name="Oval 118"/>
        <xdr:cNvSpPr>
          <a:spLocks noChangeArrowheads="1"/>
        </xdr:cNvSpPr>
      </xdr:nvSpPr>
      <xdr:spPr bwMode="auto">
        <a:xfrm>
          <a:off x="4848225" y="5613335"/>
          <a:ext cx="266700" cy="29216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oneCellAnchor>
    <xdr:from>
      <xdr:col>7</xdr:col>
      <xdr:colOff>590550</xdr:colOff>
      <xdr:row>271</xdr:row>
      <xdr:rowOff>0</xdr:rowOff>
    </xdr:from>
    <xdr:ext cx="123825" cy="180975"/>
    <xdr:sp macro="" textlink="">
      <xdr:nvSpPr>
        <xdr:cNvPr id="120" name="Text Box 86"/>
        <xdr:cNvSpPr txBox="1">
          <a:spLocks noChangeArrowheads="1"/>
        </xdr:cNvSpPr>
      </xdr:nvSpPr>
      <xdr:spPr bwMode="auto">
        <a:xfrm>
          <a:off x="4857750" y="96583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609989</xdr:colOff>
      <xdr:row>252</xdr:row>
      <xdr:rowOff>20799</xdr:rowOff>
    </xdr:from>
    <xdr:to>
      <xdr:col>6</xdr:col>
      <xdr:colOff>454867</xdr:colOff>
      <xdr:row>252</xdr:row>
      <xdr:rowOff>20799</xdr:rowOff>
    </xdr:to>
    <xdr:sp macro="" textlink="">
      <xdr:nvSpPr>
        <xdr:cNvPr id="122" name="Line 1012"/>
        <xdr:cNvSpPr>
          <a:spLocks noChangeShapeType="1"/>
        </xdr:cNvSpPr>
      </xdr:nvSpPr>
      <xdr:spPr bwMode="auto">
        <a:xfrm>
          <a:off x="3657989" y="6373974"/>
          <a:ext cx="45447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</xdr:col>
      <xdr:colOff>275059</xdr:colOff>
      <xdr:row>255</xdr:row>
      <xdr:rowOff>0</xdr:rowOff>
    </xdr:from>
    <xdr:ext cx="123825" cy="180975"/>
    <xdr:sp macro="" textlink="">
      <xdr:nvSpPr>
        <xdr:cNvPr id="123" name="Text Box 1014"/>
        <xdr:cNvSpPr txBox="1">
          <a:spLocks noChangeArrowheads="1"/>
        </xdr:cNvSpPr>
      </xdr:nvSpPr>
      <xdr:spPr bwMode="auto">
        <a:xfrm>
          <a:off x="884659" y="68961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1</xdr:col>
      <xdr:colOff>409575</xdr:colOff>
      <xdr:row>267</xdr:row>
      <xdr:rowOff>142875</xdr:rowOff>
    </xdr:from>
    <xdr:to>
      <xdr:col>2</xdr:col>
      <xdr:colOff>66675</xdr:colOff>
      <xdr:row>269</xdr:row>
      <xdr:rowOff>85725</xdr:rowOff>
    </xdr:to>
    <xdr:sp macro="" textlink="">
      <xdr:nvSpPr>
        <xdr:cNvPr id="124" name="Oval 1021"/>
        <xdr:cNvSpPr>
          <a:spLocks noChangeArrowheads="1"/>
        </xdr:cNvSpPr>
      </xdr:nvSpPr>
      <xdr:spPr bwMode="auto">
        <a:xfrm>
          <a:off x="1019175" y="9067800"/>
          <a:ext cx="266700" cy="2952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232163</xdr:colOff>
      <xdr:row>251</xdr:row>
      <xdr:rowOff>11144</xdr:rowOff>
    </xdr:from>
    <xdr:to>
      <xdr:col>9</xdr:col>
      <xdr:colOff>355988</xdr:colOff>
      <xdr:row>251</xdr:row>
      <xdr:rowOff>12732</xdr:rowOff>
    </xdr:to>
    <xdr:cxnSp macro="">
      <xdr:nvCxnSpPr>
        <xdr:cNvPr id="128" name="Straight Connector 127"/>
        <xdr:cNvCxnSpPr/>
      </xdr:nvCxnSpPr>
      <xdr:spPr bwMode="auto">
        <a:xfrm>
          <a:off x="5108963" y="6173819"/>
          <a:ext cx="7334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262423</xdr:colOff>
      <xdr:row>264</xdr:row>
      <xdr:rowOff>184669</xdr:rowOff>
    </xdr:from>
    <xdr:to>
      <xdr:col>0</xdr:col>
      <xdr:colOff>544285</xdr:colOff>
      <xdr:row>265</xdr:row>
      <xdr:rowOff>1</xdr:rowOff>
    </xdr:to>
    <xdr:cxnSp macro="">
      <xdr:nvCxnSpPr>
        <xdr:cNvPr id="129" name="Straight Connector 128"/>
        <xdr:cNvCxnSpPr/>
      </xdr:nvCxnSpPr>
      <xdr:spPr bwMode="auto">
        <a:xfrm>
          <a:off x="262423" y="8604769"/>
          <a:ext cx="281862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391321</xdr:colOff>
      <xdr:row>266</xdr:row>
      <xdr:rowOff>10321</xdr:rowOff>
    </xdr:from>
    <xdr:to>
      <xdr:col>0</xdr:col>
      <xdr:colOff>398496</xdr:colOff>
      <xdr:row>268</xdr:row>
      <xdr:rowOff>13413</xdr:rowOff>
    </xdr:to>
    <xdr:cxnSp macro="">
      <xdr:nvCxnSpPr>
        <xdr:cNvPr id="130" name="Straight Arrow Connector 129"/>
        <xdr:cNvCxnSpPr/>
      </xdr:nvCxnSpPr>
      <xdr:spPr bwMode="auto">
        <a:xfrm rot="16200000" flipH="1">
          <a:off x="231438" y="8933204"/>
          <a:ext cx="326942" cy="71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8</xdr:col>
      <xdr:colOff>247198</xdr:colOff>
      <xdr:row>263</xdr:row>
      <xdr:rowOff>0</xdr:rowOff>
    </xdr:from>
    <xdr:to>
      <xdr:col>9</xdr:col>
      <xdr:colOff>351973</xdr:colOff>
      <xdr:row>263</xdr:row>
      <xdr:rowOff>1588</xdr:rowOff>
    </xdr:to>
    <xdr:cxnSp macro="">
      <xdr:nvCxnSpPr>
        <xdr:cNvPr id="131" name="Straight Connector 130"/>
        <xdr:cNvCxnSpPr/>
      </xdr:nvCxnSpPr>
      <xdr:spPr bwMode="auto">
        <a:xfrm rot="10800000">
          <a:off x="5123998" y="8277225"/>
          <a:ext cx="714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438150</xdr:colOff>
      <xdr:row>278</xdr:row>
      <xdr:rowOff>152400</xdr:rowOff>
    </xdr:from>
    <xdr:to>
      <xdr:col>4</xdr:col>
      <xdr:colOff>38100</xdr:colOff>
      <xdr:row>278</xdr:row>
      <xdr:rowOff>153988</xdr:rowOff>
    </xdr:to>
    <xdr:cxnSp macro="">
      <xdr:nvCxnSpPr>
        <xdr:cNvPr id="133" name="Straight Connector 132"/>
        <xdr:cNvCxnSpPr/>
      </xdr:nvCxnSpPr>
      <xdr:spPr bwMode="auto">
        <a:xfrm>
          <a:off x="2266950" y="11791950"/>
          <a:ext cx="2095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276</xdr:row>
      <xdr:rowOff>0</xdr:rowOff>
    </xdr:from>
    <xdr:to>
      <xdr:col>7</xdr:col>
      <xdr:colOff>0</xdr:colOff>
      <xdr:row>276</xdr:row>
      <xdr:rowOff>1588</xdr:rowOff>
    </xdr:to>
    <xdr:cxnSp macro="">
      <xdr:nvCxnSpPr>
        <xdr:cNvPr id="134" name="Straight Connector 133"/>
        <xdr:cNvCxnSpPr/>
      </xdr:nvCxnSpPr>
      <xdr:spPr bwMode="auto">
        <a:xfrm>
          <a:off x="609600" y="11287125"/>
          <a:ext cx="3657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273</xdr:row>
      <xdr:rowOff>142875</xdr:rowOff>
    </xdr:from>
    <xdr:to>
      <xdr:col>8</xdr:col>
      <xdr:colOff>171450</xdr:colOff>
      <xdr:row>276</xdr:row>
      <xdr:rowOff>1</xdr:rowOff>
    </xdr:to>
    <xdr:cxnSp macro="">
      <xdr:nvCxnSpPr>
        <xdr:cNvPr id="135" name="Straight Connector 134"/>
        <xdr:cNvCxnSpPr/>
      </xdr:nvCxnSpPr>
      <xdr:spPr bwMode="auto">
        <a:xfrm flipV="1">
          <a:off x="4267200" y="10944225"/>
          <a:ext cx="781050" cy="34290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600075</xdr:colOff>
      <xdr:row>275</xdr:row>
      <xdr:rowOff>133350</xdr:rowOff>
    </xdr:from>
    <xdr:to>
      <xdr:col>8</xdr:col>
      <xdr:colOff>200025</xdr:colOff>
      <xdr:row>277</xdr:row>
      <xdr:rowOff>152400</xdr:rowOff>
    </xdr:to>
    <xdr:cxnSp macro="">
      <xdr:nvCxnSpPr>
        <xdr:cNvPr id="136" name="Straight Connector 135"/>
        <xdr:cNvCxnSpPr/>
      </xdr:nvCxnSpPr>
      <xdr:spPr bwMode="auto">
        <a:xfrm rot="10800000" flipV="1">
          <a:off x="4257675" y="11258550"/>
          <a:ext cx="819150" cy="3429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600076</xdr:colOff>
      <xdr:row>276</xdr:row>
      <xdr:rowOff>10317</xdr:rowOff>
    </xdr:from>
    <xdr:to>
      <xdr:col>1</xdr:col>
      <xdr:colOff>796</xdr:colOff>
      <xdr:row>279</xdr:row>
      <xdr:rowOff>9527</xdr:rowOff>
    </xdr:to>
    <xdr:cxnSp macro="">
      <xdr:nvCxnSpPr>
        <xdr:cNvPr id="137" name="Straight Connector 136"/>
        <xdr:cNvCxnSpPr/>
      </xdr:nvCxnSpPr>
      <xdr:spPr bwMode="auto">
        <a:xfrm rot="5400000">
          <a:off x="348456" y="11549062"/>
          <a:ext cx="513560" cy="1032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279</xdr:row>
      <xdr:rowOff>9525</xdr:rowOff>
    </xdr:from>
    <xdr:to>
      <xdr:col>1</xdr:col>
      <xdr:colOff>333375</xdr:colOff>
      <xdr:row>279</xdr:row>
      <xdr:rowOff>11113</xdr:rowOff>
    </xdr:to>
    <xdr:cxnSp macro="">
      <xdr:nvCxnSpPr>
        <xdr:cNvPr id="138" name="Straight Connector 137"/>
        <xdr:cNvCxnSpPr/>
      </xdr:nvCxnSpPr>
      <xdr:spPr bwMode="auto">
        <a:xfrm>
          <a:off x="609600" y="11811000"/>
          <a:ext cx="333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323851</xdr:colOff>
      <xdr:row>276</xdr:row>
      <xdr:rowOff>152400</xdr:rowOff>
    </xdr:from>
    <xdr:to>
      <xdr:col>2</xdr:col>
      <xdr:colOff>9525</xdr:colOff>
      <xdr:row>279</xdr:row>
      <xdr:rowOff>19051</xdr:rowOff>
    </xdr:to>
    <xdr:cxnSp macro="">
      <xdr:nvCxnSpPr>
        <xdr:cNvPr id="139" name="Straight Connector 138"/>
        <xdr:cNvCxnSpPr/>
      </xdr:nvCxnSpPr>
      <xdr:spPr bwMode="auto">
        <a:xfrm rot="5400000" flipH="1" flipV="1">
          <a:off x="890587" y="11482389"/>
          <a:ext cx="381001" cy="29527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</xdr:colOff>
      <xdr:row>276</xdr:row>
      <xdr:rowOff>152400</xdr:rowOff>
    </xdr:from>
    <xdr:to>
      <xdr:col>7</xdr:col>
      <xdr:colOff>0</xdr:colOff>
      <xdr:row>277</xdr:row>
      <xdr:rowOff>152400</xdr:rowOff>
    </xdr:to>
    <xdr:cxnSp macro="">
      <xdr:nvCxnSpPr>
        <xdr:cNvPr id="140" name="Straight Connector 139"/>
        <xdr:cNvCxnSpPr/>
      </xdr:nvCxnSpPr>
      <xdr:spPr bwMode="auto">
        <a:xfrm>
          <a:off x="1228725" y="11439525"/>
          <a:ext cx="3038475" cy="1619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180181</xdr:colOff>
      <xdr:row>273</xdr:row>
      <xdr:rowOff>153194</xdr:rowOff>
    </xdr:from>
    <xdr:to>
      <xdr:col>8</xdr:col>
      <xdr:colOff>181769</xdr:colOff>
      <xdr:row>275</xdr:row>
      <xdr:rowOff>153194</xdr:rowOff>
    </xdr:to>
    <xdr:cxnSp macro="">
      <xdr:nvCxnSpPr>
        <xdr:cNvPr id="141" name="Straight Connector 140"/>
        <xdr:cNvCxnSpPr/>
      </xdr:nvCxnSpPr>
      <xdr:spPr bwMode="auto">
        <a:xfrm rot="5400000">
          <a:off x="4895850" y="11115675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238125</xdr:colOff>
      <xdr:row>274</xdr:row>
      <xdr:rowOff>0</xdr:rowOff>
    </xdr:from>
    <xdr:to>
      <xdr:col>8</xdr:col>
      <xdr:colOff>495300</xdr:colOff>
      <xdr:row>274</xdr:row>
      <xdr:rowOff>1588</xdr:rowOff>
    </xdr:to>
    <xdr:cxnSp macro="">
      <xdr:nvCxnSpPr>
        <xdr:cNvPr id="142" name="Straight Connector 141"/>
        <xdr:cNvCxnSpPr/>
      </xdr:nvCxnSpPr>
      <xdr:spPr bwMode="auto">
        <a:xfrm>
          <a:off x="5114925" y="10963275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228600</xdr:colOff>
      <xdr:row>276</xdr:row>
      <xdr:rowOff>0</xdr:rowOff>
    </xdr:from>
    <xdr:to>
      <xdr:col>8</xdr:col>
      <xdr:colOff>428625</xdr:colOff>
      <xdr:row>276</xdr:row>
      <xdr:rowOff>1588</xdr:rowOff>
    </xdr:to>
    <xdr:cxnSp macro="">
      <xdr:nvCxnSpPr>
        <xdr:cNvPr id="143" name="Straight Connector 142"/>
        <xdr:cNvCxnSpPr/>
      </xdr:nvCxnSpPr>
      <xdr:spPr bwMode="auto">
        <a:xfrm>
          <a:off x="5105400" y="11287125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275432</xdr:colOff>
      <xdr:row>274</xdr:row>
      <xdr:rowOff>10319</xdr:rowOff>
    </xdr:from>
    <xdr:to>
      <xdr:col>8</xdr:col>
      <xdr:colOff>277020</xdr:colOff>
      <xdr:row>276</xdr:row>
      <xdr:rowOff>794</xdr:rowOff>
    </xdr:to>
    <xdr:cxnSp macro="">
      <xdr:nvCxnSpPr>
        <xdr:cNvPr id="144" name="Straight Arrow Connector 143"/>
        <xdr:cNvCxnSpPr/>
      </xdr:nvCxnSpPr>
      <xdr:spPr bwMode="auto">
        <a:xfrm rot="5400000">
          <a:off x="4995863" y="11129963"/>
          <a:ext cx="3143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8732</xdr:colOff>
      <xdr:row>273</xdr:row>
      <xdr:rowOff>134143</xdr:rowOff>
    </xdr:from>
    <xdr:to>
      <xdr:col>7</xdr:col>
      <xdr:colOff>10320</xdr:colOff>
      <xdr:row>276</xdr:row>
      <xdr:rowOff>793</xdr:rowOff>
    </xdr:to>
    <xdr:cxnSp macro="">
      <xdr:nvCxnSpPr>
        <xdr:cNvPr id="145" name="Straight Arrow Connector 144"/>
        <xdr:cNvCxnSpPr/>
      </xdr:nvCxnSpPr>
      <xdr:spPr bwMode="auto">
        <a:xfrm rot="5400000">
          <a:off x="4100513" y="11110912"/>
          <a:ext cx="3524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608807</xdr:colOff>
      <xdr:row>278</xdr:row>
      <xdr:rowOff>19843</xdr:rowOff>
    </xdr:from>
    <xdr:to>
      <xdr:col>7</xdr:col>
      <xdr:colOff>795</xdr:colOff>
      <xdr:row>279</xdr:row>
      <xdr:rowOff>96043</xdr:rowOff>
    </xdr:to>
    <xdr:cxnSp macro="">
      <xdr:nvCxnSpPr>
        <xdr:cNvPr id="146" name="Straight Arrow Connector 145"/>
        <xdr:cNvCxnSpPr/>
      </xdr:nvCxnSpPr>
      <xdr:spPr bwMode="auto">
        <a:xfrm rot="5400000">
          <a:off x="4148138" y="11777662"/>
          <a:ext cx="238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279</xdr:row>
      <xdr:rowOff>85725</xdr:rowOff>
    </xdr:from>
    <xdr:to>
      <xdr:col>7</xdr:col>
      <xdr:colOff>219075</xdr:colOff>
      <xdr:row>279</xdr:row>
      <xdr:rowOff>87313</xdr:rowOff>
    </xdr:to>
    <xdr:cxnSp macro="">
      <xdr:nvCxnSpPr>
        <xdr:cNvPr id="147" name="Straight Connector 146"/>
        <xdr:cNvCxnSpPr/>
      </xdr:nvCxnSpPr>
      <xdr:spPr bwMode="auto">
        <a:xfrm>
          <a:off x="4267200" y="11887200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447675</xdr:colOff>
      <xdr:row>275</xdr:row>
      <xdr:rowOff>9524</xdr:rowOff>
    </xdr:from>
    <xdr:to>
      <xdr:col>1</xdr:col>
      <xdr:colOff>456406</xdr:colOff>
      <xdr:row>276</xdr:row>
      <xdr:rowOff>10318</xdr:rowOff>
    </xdr:to>
    <xdr:cxnSp macro="">
      <xdr:nvCxnSpPr>
        <xdr:cNvPr id="148" name="Straight Arrow Connector 147"/>
        <xdr:cNvCxnSpPr/>
      </xdr:nvCxnSpPr>
      <xdr:spPr bwMode="auto">
        <a:xfrm rot="16200000" flipH="1">
          <a:off x="980281" y="11211718"/>
          <a:ext cx="162719" cy="87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8731</xdr:colOff>
      <xdr:row>276</xdr:row>
      <xdr:rowOff>143669</xdr:rowOff>
    </xdr:from>
    <xdr:to>
      <xdr:col>2</xdr:col>
      <xdr:colOff>10319</xdr:colOff>
      <xdr:row>278</xdr:row>
      <xdr:rowOff>48419</xdr:rowOff>
    </xdr:to>
    <xdr:cxnSp macro="">
      <xdr:nvCxnSpPr>
        <xdr:cNvPr id="149" name="Straight Arrow Connector 148"/>
        <xdr:cNvCxnSpPr/>
      </xdr:nvCxnSpPr>
      <xdr:spPr bwMode="auto">
        <a:xfrm rot="5400000" flipH="1" flipV="1">
          <a:off x="1100137" y="11558588"/>
          <a:ext cx="2571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0</xdr:colOff>
      <xdr:row>278</xdr:row>
      <xdr:rowOff>47625</xdr:rowOff>
    </xdr:from>
    <xdr:to>
      <xdr:col>2</xdr:col>
      <xdr:colOff>219075</xdr:colOff>
      <xdr:row>278</xdr:row>
      <xdr:rowOff>49213</xdr:rowOff>
    </xdr:to>
    <xdr:cxnSp macro="">
      <xdr:nvCxnSpPr>
        <xdr:cNvPr id="150" name="Straight Connector 149"/>
        <xdr:cNvCxnSpPr/>
      </xdr:nvCxnSpPr>
      <xdr:spPr bwMode="auto">
        <a:xfrm>
          <a:off x="1219200" y="11687175"/>
          <a:ext cx="2190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0</xdr:colOff>
      <xdr:row>274</xdr:row>
      <xdr:rowOff>95250</xdr:rowOff>
    </xdr:from>
    <xdr:to>
      <xdr:col>5</xdr:col>
      <xdr:colOff>1588</xdr:colOff>
      <xdr:row>276</xdr:row>
      <xdr:rowOff>0</xdr:rowOff>
    </xdr:to>
    <xdr:cxnSp macro="">
      <xdr:nvCxnSpPr>
        <xdr:cNvPr id="151" name="Straight Arrow Connector 150"/>
        <xdr:cNvCxnSpPr/>
      </xdr:nvCxnSpPr>
      <xdr:spPr bwMode="auto">
        <a:xfrm rot="5400000" flipH="1" flipV="1">
          <a:off x="2934494" y="11172031"/>
          <a:ext cx="228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5</xdr:col>
      <xdr:colOff>3</xdr:colOff>
      <xdr:row>277</xdr:row>
      <xdr:rowOff>96045</xdr:rowOff>
    </xdr:from>
    <xdr:to>
      <xdr:col>5</xdr:col>
      <xdr:colOff>797</xdr:colOff>
      <xdr:row>279</xdr:row>
      <xdr:rowOff>47625</xdr:rowOff>
    </xdr:to>
    <xdr:cxnSp macro="">
      <xdr:nvCxnSpPr>
        <xdr:cNvPr id="152" name="Straight Arrow Connector 151"/>
        <xdr:cNvCxnSpPr/>
      </xdr:nvCxnSpPr>
      <xdr:spPr bwMode="auto">
        <a:xfrm rot="5400000" flipH="1" flipV="1">
          <a:off x="2896397" y="11696701"/>
          <a:ext cx="304005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1</xdr:colOff>
      <xdr:row>279</xdr:row>
      <xdr:rowOff>57150</xdr:rowOff>
    </xdr:from>
    <xdr:to>
      <xdr:col>5</xdr:col>
      <xdr:colOff>200026</xdr:colOff>
      <xdr:row>279</xdr:row>
      <xdr:rowOff>58738</xdr:rowOff>
    </xdr:to>
    <xdr:cxnSp macro="">
      <xdr:nvCxnSpPr>
        <xdr:cNvPr id="153" name="Straight Connector 152"/>
        <xdr:cNvCxnSpPr/>
      </xdr:nvCxnSpPr>
      <xdr:spPr bwMode="auto">
        <a:xfrm rot="10800000">
          <a:off x="3048001" y="11858625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409577</xdr:colOff>
      <xdr:row>274</xdr:row>
      <xdr:rowOff>152401</xdr:rowOff>
    </xdr:from>
    <xdr:to>
      <xdr:col>3</xdr:col>
      <xdr:colOff>419102</xdr:colOff>
      <xdr:row>276</xdr:row>
      <xdr:rowOff>3</xdr:rowOff>
    </xdr:to>
    <xdr:cxnSp macro="">
      <xdr:nvCxnSpPr>
        <xdr:cNvPr id="154" name="Straight Arrow Connector 153"/>
        <xdr:cNvCxnSpPr/>
      </xdr:nvCxnSpPr>
      <xdr:spPr bwMode="auto">
        <a:xfrm rot="5400000" flipH="1" flipV="1">
          <a:off x="2157414" y="11196639"/>
          <a:ext cx="171452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3</xdr:col>
      <xdr:colOff>438150</xdr:colOff>
      <xdr:row>277</xdr:row>
      <xdr:rowOff>28575</xdr:rowOff>
    </xdr:from>
    <xdr:to>
      <xdr:col>3</xdr:col>
      <xdr:colOff>438944</xdr:colOff>
      <xdr:row>278</xdr:row>
      <xdr:rowOff>142080</xdr:rowOff>
    </xdr:to>
    <xdr:cxnSp macro="">
      <xdr:nvCxnSpPr>
        <xdr:cNvPr id="155" name="Straight Arrow Connector 154"/>
        <xdr:cNvCxnSpPr/>
      </xdr:nvCxnSpPr>
      <xdr:spPr bwMode="auto">
        <a:xfrm rot="5400000" flipH="1" flipV="1">
          <a:off x="2115344" y="11629231"/>
          <a:ext cx="304005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161925</xdr:colOff>
      <xdr:row>253</xdr:row>
      <xdr:rowOff>180975</xdr:rowOff>
    </xdr:from>
    <xdr:to>
      <xdr:col>5</xdr:col>
      <xdr:colOff>9525</xdr:colOff>
      <xdr:row>253</xdr:row>
      <xdr:rowOff>180975</xdr:rowOff>
    </xdr:to>
    <xdr:sp macro="" textlink="">
      <xdr:nvSpPr>
        <xdr:cNvPr id="156" name="Line 1012"/>
        <xdr:cNvSpPr>
          <a:spLocks noChangeShapeType="1"/>
        </xdr:cNvSpPr>
      </xdr:nvSpPr>
      <xdr:spPr bwMode="auto">
        <a:xfrm>
          <a:off x="2600325" y="672465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408218</xdr:colOff>
      <xdr:row>264</xdr:row>
      <xdr:rowOff>3</xdr:rowOff>
    </xdr:from>
    <xdr:to>
      <xdr:col>0</xdr:col>
      <xdr:colOff>415796</xdr:colOff>
      <xdr:row>265</xdr:row>
      <xdr:rowOff>6</xdr:rowOff>
    </xdr:to>
    <xdr:cxnSp macro="">
      <xdr:nvCxnSpPr>
        <xdr:cNvPr id="157" name="Straight Arrow Connector 156"/>
        <xdr:cNvCxnSpPr/>
      </xdr:nvCxnSpPr>
      <xdr:spPr bwMode="auto">
        <a:xfrm rot="5400000">
          <a:off x="331043" y="8516328"/>
          <a:ext cx="161928" cy="757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cxnSp>
    <xdr:clientData/>
  </xdr:twoCellAnchor>
  <xdr:twoCellAnchor>
    <xdr:from>
      <xdr:col>1</xdr:col>
      <xdr:colOff>0</xdr:colOff>
      <xdr:row>279</xdr:row>
      <xdr:rowOff>38896</xdr:rowOff>
    </xdr:from>
    <xdr:to>
      <xdr:col>1</xdr:col>
      <xdr:colOff>796</xdr:colOff>
      <xdr:row>283</xdr:row>
      <xdr:rowOff>3</xdr:rowOff>
    </xdr:to>
    <xdr:cxnSp macro="">
      <xdr:nvCxnSpPr>
        <xdr:cNvPr id="158" name="Straight Connector 157"/>
        <xdr:cNvCxnSpPr/>
      </xdr:nvCxnSpPr>
      <xdr:spPr bwMode="auto">
        <a:xfrm rot="5400000">
          <a:off x="262732" y="12187239"/>
          <a:ext cx="694532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280</xdr:row>
      <xdr:rowOff>9527</xdr:rowOff>
    </xdr:from>
    <xdr:to>
      <xdr:col>2</xdr:col>
      <xdr:colOff>1588</xdr:colOff>
      <xdr:row>281</xdr:row>
      <xdr:rowOff>76202</xdr:rowOff>
    </xdr:to>
    <xdr:cxnSp macro="">
      <xdr:nvCxnSpPr>
        <xdr:cNvPr id="159" name="Straight Connector 158"/>
        <xdr:cNvCxnSpPr/>
      </xdr:nvCxnSpPr>
      <xdr:spPr bwMode="auto">
        <a:xfrm rot="5400000">
          <a:off x="1091406" y="12100721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</xdr:colOff>
      <xdr:row>280</xdr:row>
      <xdr:rowOff>19053</xdr:rowOff>
    </xdr:from>
    <xdr:to>
      <xdr:col>7</xdr:col>
      <xdr:colOff>11115</xdr:colOff>
      <xdr:row>283</xdr:row>
      <xdr:rowOff>3</xdr:rowOff>
    </xdr:to>
    <xdr:cxnSp macro="">
      <xdr:nvCxnSpPr>
        <xdr:cNvPr id="160" name="Straight Connector 159"/>
        <xdr:cNvCxnSpPr/>
      </xdr:nvCxnSpPr>
      <xdr:spPr bwMode="auto">
        <a:xfrm rot="5400000">
          <a:off x="4001295" y="12257883"/>
          <a:ext cx="552450" cy="159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280</xdr:row>
      <xdr:rowOff>180975</xdr:rowOff>
    </xdr:from>
    <xdr:to>
      <xdr:col>2</xdr:col>
      <xdr:colOff>0</xdr:colOff>
      <xdr:row>280</xdr:row>
      <xdr:rowOff>182563</xdr:rowOff>
    </xdr:to>
    <xdr:cxnSp macro="">
      <xdr:nvCxnSpPr>
        <xdr:cNvPr id="161" name="Straight Arrow Connector 160"/>
        <xdr:cNvCxnSpPr/>
      </xdr:nvCxnSpPr>
      <xdr:spPr bwMode="auto">
        <a:xfrm>
          <a:off x="609600" y="12144375"/>
          <a:ext cx="609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9525</xdr:colOff>
      <xdr:row>280</xdr:row>
      <xdr:rowOff>161925</xdr:rowOff>
    </xdr:from>
    <xdr:to>
      <xdr:col>7</xdr:col>
      <xdr:colOff>38100</xdr:colOff>
      <xdr:row>280</xdr:row>
      <xdr:rowOff>163513</xdr:rowOff>
    </xdr:to>
    <xdr:cxnSp macro="">
      <xdr:nvCxnSpPr>
        <xdr:cNvPr id="162" name="Straight Arrow Connector 161"/>
        <xdr:cNvCxnSpPr/>
      </xdr:nvCxnSpPr>
      <xdr:spPr bwMode="auto">
        <a:xfrm>
          <a:off x="1228725" y="12125325"/>
          <a:ext cx="30765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0</xdr:colOff>
      <xdr:row>271</xdr:row>
      <xdr:rowOff>180973</xdr:rowOff>
    </xdr:from>
    <xdr:to>
      <xdr:col>7</xdr:col>
      <xdr:colOff>2</xdr:colOff>
      <xdr:row>271</xdr:row>
      <xdr:rowOff>180974</xdr:rowOff>
    </xdr:to>
    <xdr:cxnSp macro="">
      <xdr:nvCxnSpPr>
        <xdr:cNvPr id="163" name="Straight Connector 162"/>
        <xdr:cNvCxnSpPr/>
      </xdr:nvCxnSpPr>
      <xdr:spPr bwMode="auto">
        <a:xfrm rot="10800000" flipV="1">
          <a:off x="3048000" y="10601323"/>
          <a:ext cx="1219202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608806</xdr:colOff>
      <xdr:row>271</xdr:row>
      <xdr:rowOff>38894</xdr:rowOff>
    </xdr:from>
    <xdr:to>
      <xdr:col>7</xdr:col>
      <xdr:colOff>794</xdr:colOff>
      <xdr:row>272</xdr:row>
      <xdr:rowOff>172244</xdr:rowOff>
    </xdr:to>
    <xdr:cxnSp macro="">
      <xdr:nvCxnSpPr>
        <xdr:cNvPr id="164" name="Straight Connector 163"/>
        <xdr:cNvCxnSpPr/>
      </xdr:nvCxnSpPr>
      <xdr:spPr bwMode="auto">
        <a:xfrm rot="5400000">
          <a:off x="4105275" y="10620375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447675</xdr:colOff>
      <xdr:row>271</xdr:row>
      <xdr:rowOff>0</xdr:rowOff>
    </xdr:from>
    <xdr:to>
      <xdr:col>3</xdr:col>
      <xdr:colOff>449263</xdr:colOff>
      <xdr:row>272</xdr:row>
      <xdr:rowOff>133350</xdr:rowOff>
    </xdr:to>
    <xdr:cxnSp macro="">
      <xdr:nvCxnSpPr>
        <xdr:cNvPr id="165" name="Straight Connector 164"/>
        <xdr:cNvCxnSpPr/>
      </xdr:nvCxnSpPr>
      <xdr:spPr bwMode="auto">
        <a:xfrm rot="5400000">
          <a:off x="2115344" y="1058148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485775</xdr:colOff>
      <xdr:row>271</xdr:row>
      <xdr:rowOff>47625</xdr:rowOff>
    </xdr:from>
    <xdr:to>
      <xdr:col>1</xdr:col>
      <xdr:colOff>487363</xdr:colOff>
      <xdr:row>272</xdr:row>
      <xdr:rowOff>180975</xdr:rowOff>
    </xdr:to>
    <xdr:cxnSp macro="">
      <xdr:nvCxnSpPr>
        <xdr:cNvPr id="166" name="Straight Connector 165"/>
        <xdr:cNvCxnSpPr/>
      </xdr:nvCxnSpPr>
      <xdr:spPr bwMode="auto">
        <a:xfrm rot="5400000">
          <a:off x="934244" y="10629106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9525</xdr:colOff>
      <xdr:row>271</xdr:row>
      <xdr:rowOff>38100</xdr:rowOff>
    </xdr:from>
    <xdr:to>
      <xdr:col>5</xdr:col>
      <xdr:colOff>11113</xdr:colOff>
      <xdr:row>272</xdr:row>
      <xdr:rowOff>171450</xdr:rowOff>
    </xdr:to>
    <xdr:cxnSp macro="">
      <xdr:nvCxnSpPr>
        <xdr:cNvPr id="167" name="Straight Connector 166"/>
        <xdr:cNvCxnSpPr/>
      </xdr:nvCxnSpPr>
      <xdr:spPr bwMode="auto">
        <a:xfrm rot="5400000">
          <a:off x="2896394" y="1061958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485776</xdr:colOff>
      <xdr:row>271</xdr:row>
      <xdr:rowOff>190499</xdr:rowOff>
    </xdr:from>
    <xdr:to>
      <xdr:col>3</xdr:col>
      <xdr:colOff>457203</xdr:colOff>
      <xdr:row>272</xdr:row>
      <xdr:rowOff>9525</xdr:rowOff>
    </xdr:to>
    <xdr:cxnSp macro="">
      <xdr:nvCxnSpPr>
        <xdr:cNvPr id="168" name="Straight Connector 167"/>
        <xdr:cNvCxnSpPr/>
      </xdr:nvCxnSpPr>
      <xdr:spPr bwMode="auto">
        <a:xfrm rot="10800000" flipV="1">
          <a:off x="1095376" y="10610849"/>
          <a:ext cx="1190627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428625</xdr:colOff>
      <xdr:row>271</xdr:row>
      <xdr:rowOff>180975</xdr:rowOff>
    </xdr:from>
    <xdr:to>
      <xdr:col>5</xdr:col>
      <xdr:colOff>9525</xdr:colOff>
      <xdr:row>271</xdr:row>
      <xdr:rowOff>182563</xdr:rowOff>
    </xdr:to>
    <xdr:cxnSp macro="">
      <xdr:nvCxnSpPr>
        <xdr:cNvPr id="169" name="Straight Connector 168"/>
        <xdr:cNvCxnSpPr/>
      </xdr:nvCxnSpPr>
      <xdr:spPr bwMode="auto">
        <a:xfrm rot="10800000">
          <a:off x="2257425" y="10601325"/>
          <a:ext cx="8001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323850</xdr:colOff>
      <xdr:row>275</xdr:row>
      <xdr:rowOff>152400</xdr:rowOff>
    </xdr:from>
    <xdr:to>
      <xdr:col>0</xdr:col>
      <xdr:colOff>581025</xdr:colOff>
      <xdr:row>277</xdr:row>
      <xdr:rowOff>794</xdr:rowOff>
    </xdr:to>
    <xdr:grpSp>
      <xdr:nvGrpSpPr>
        <xdr:cNvPr id="171" name="Group 170"/>
        <xdr:cNvGrpSpPr/>
      </xdr:nvGrpSpPr>
      <xdr:grpSpPr>
        <a:xfrm>
          <a:off x="323850" y="47929800"/>
          <a:ext cx="257175" cy="172244"/>
          <a:chOff x="314325" y="124721144"/>
          <a:chExt cx="257175" cy="172244"/>
        </a:xfrm>
      </xdr:grpSpPr>
      <xdr:cxnSp macro="">
        <xdr:nvCxnSpPr>
          <xdr:cNvPr id="172" name="Straight Connector 171"/>
          <xdr:cNvCxnSpPr/>
        </xdr:nvCxnSpPr>
        <xdr:spPr bwMode="auto">
          <a:xfrm>
            <a:off x="314325" y="124891800"/>
            <a:ext cx="238125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173" name="Straight Connector 172"/>
          <xdr:cNvCxnSpPr/>
        </xdr:nvCxnSpPr>
        <xdr:spPr bwMode="auto">
          <a:xfrm>
            <a:off x="323850" y="124739400"/>
            <a:ext cx="247650" cy="1588"/>
          </a:xfrm>
          <a:prstGeom prst="line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174" name="Straight Arrow Connector 173"/>
          <xdr:cNvCxnSpPr/>
        </xdr:nvCxnSpPr>
        <xdr:spPr bwMode="auto">
          <a:xfrm rot="5400000">
            <a:off x="414338" y="124801313"/>
            <a:ext cx="161925" cy="1588"/>
          </a:xfrm>
          <a:prstGeom prst="straightConnector1">
            <a:avLst/>
          </a:prstGeom>
          <a:solidFill>
            <a:srgbClr val="FFFFFF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triangle" w="sm" len="sm"/>
            <a:tailEnd type="triangle" w="sm" len="sm"/>
          </a:ln>
          <a:effectLst/>
        </xdr:spPr>
      </xdr:cxnSp>
    </xdr:grpSp>
    <xdr:clientData/>
  </xdr:twoCellAnchor>
  <xdr:twoCellAnchor>
    <xdr:from>
      <xdr:col>1</xdr:col>
      <xdr:colOff>0</xdr:colOff>
      <xdr:row>271</xdr:row>
      <xdr:rowOff>47625</xdr:rowOff>
    </xdr:from>
    <xdr:to>
      <xdr:col>1</xdr:col>
      <xdr:colOff>1588</xdr:colOff>
      <xdr:row>272</xdr:row>
      <xdr:rowOff>180975</xdr:rowOff>
    </xdr:to>
    <xdr:cxnSp macro="">
      <xdr:nvCxnSpPr>
        <xdr:cNvPr id="175" name="Straight Connector 174"/>
        <xdr:cNvCxnSpPr/>
      </xdr:nvCxnSpPr>
      <xdr:spPr bwMode="auto">
        <a:xfrm rot="5400000">
          <a:off x="448469" y="10629106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590551</xdr:colOff>
      <xdr:row>271</xdr:row>
      <xdr:rowOff>180975</xdr:rowOff>
    </xdr:from>
    <xdr:to>
      <xdr:col>1</xdr:col>
      <xdr:colOff>485775</xdr:colOff>
      <xdr:row>272</xdr:row>
      <xdr:rowOff>1</xdr:rowOff>
    </xdr:to>
    <xdr:cxnSp macro="">
      <xdr:nvCxnSpPr>
        <xdr:cNvPr id="176" name="Straight Connector 175"/>
        <xdr:cNvCxnSpPr/>
      </xdr:nvCxnSpPr>
      <xdr:spPr bwMode="auto">
        <a:xfrm rot="10800000" flipV="1">
          <a:off x="590551" y="10601325"/>
          <a:ext cx="504824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600075</xdr:colOff>
      <xdr:row>282</xdr:row>
      <xdr:rowOff>171450</xdr:rowOff>
    </xdr:from>
    <xdr:to>
      <xdr:col>6</xdr:col>
      <xdr:colOff>600075</xdr:colOff>
      <xdr:row>282</xdr:row>
      <xdr:rowOff>173038</xdr:rowOff>
    </xdr:to>
    <xdr:cxnSp macro="">
      <xdr:nvCxnSpPr>
        <xdr:cNvPr id="177" name="Straight Arrow Connector 176"/>
        <xdr:cNvCxnSpPr/>
      </xdr:nvCxnSpPr>
      <xdr:spPr bwMode="auto">
        <a:xfrm>
          <a:off x="600075" y="12515850"/>
          <a:ext cx="36576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24848</xdr:colOff>
      <xdr:row>264</xdr:row>
      <xdr:rowOff>173934</xdr:rowOff>
    </xdr:from>
    <xdr:to>
      <xdr:col>7</xdr:col>
      <xdr:colOff>24848</xdr:colOff>
      <xdr:row>264</xdr:row>
      <xdr:rowOff>175522</xdr:rowOff>
    </xdr:to>
    <xdr:cxnSp macro="">
      <xdr:nvCxnSpPr>
        <xdr:cNvPr id="178" name="Straight Connector 177"/>
        <xdr:cNvCxnSpPr/>
      </xdr:nvCxnSpPr>
      <xdr:spPr bwMode="auto">
        <a:xfrm>
          <a:off x="634448" y="8603559"/>
          <a:ext cx="3657600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24848</xdr:colOff>
      <xdr:row>263</xdr:row>
      <xdr:rowOff>10353</xdr:rowOff>
    </xdr:from>
    <xdr:to>
      <xdr:col>8</xdr:col>
      <xdr:colOff>196298</xdr:colOff>
      <xdr:row>264</xdr:row>
      <xdr:rowOff>173935</xdr:rowOff>
    </xdr:to>
    <xdr:cxnSp macro="">
      <xdr:nvCxnSpPr>
        <xdr:cNvPr id="179" name="Straight Connector 178"/>
        <xdr:cNvCxnSpPr/>
      </xdr:nvCxnSpPr>
      <xdr:spPr bwMode="auto">
        <a:xfrm flipV="1">
          <a:off x="4292048" y="8287578"/>
          <a:ext cx="781050" cy="315982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12010</xdr:colOff>
      <xdr:row>264</xdr:row>
      <xdr:rowOff>141632</xdr:rowOff>
    </xdr:from>
    <xdr:to>
      <xdr:col>8</xdr:col>
      <xdr:colOff>224873</xdr:colOff>
      <xdr:row>266</xdr:row>
      <xdr:rowOff>110987</xdr:rowOff>
    </xdr:to>
    <xdr:cxnSp macro="">
      <xdr:nvCxnSpPr>
        <xdr:cNvPr id="180" name="Straight Connector 179"/>
        <xdr:cNvCxnSpPr/>
      </xdr:nvCxnSpPr>
      <xdr:spPr bwMode="auto">
        <a:xfrm rot="10800000" flipV="1">
          <a:off x="4279210" y="8580782"/>
          <a:ext cx="822463" cy="29320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12012</xdr:colOff>
      <xdr:row>264</xdr:row>
      <xdr:rowOff>174950</xdr:rowOff>
    </xdr:from>
    <xdr:to>
      <xdr:col>1</xdr:col>
      <xdr:colOff>19439</xdr:colOff>
      <xdr:row>267</xdr:row>
      <xdr:rowOff>114327</xdr:rowOff>
    </xdr:to>
    <xdr:cxnSp macro="">
      <xdr:nvCxnSpPr>
        <xdr:cNvPr id="181" name="Straight Connector 180"/>
        <xdr:cNvCxnSpPr/>
      </xdr:nvCxnSpPr>
      <xdr:spPr bwMode="auto">
        <a:xfrm rot="5400000">
          <a:off x="407987" y="8818200"/>
          <a:ext cx="434677" cy="7427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605873</xdr:colOff>
      <xdr:row>267</xdr:row>
      <xdr:rowOff>133764</xdr:rowOff>
    </xdr:from>
    <xdr:to>
      <xdr:col>1</xdr:col>
      <xdr:colOff>329648</xdr:colOff>
      <xdr:row>267</xdr:row>
      <xdr:rowOff>135352</xdr:rowOff>
    </xdr:to>
    <xdr:cxnSp macro="">
      <xdr:nvCxnSpPr>
        <xdr:cNvPr id="182" name="Straight Connector 181"/>
        <xdr:cNvCxnSpPr/>
      </xdr:nvCxnSpPr>
      <xdr:spPr bwMode="auto">
        <a:xfrm>
          <a:off x="605873" y="44205939"/>
          <a:ext cx="333375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348699</xdr:colOff>
      <xdr:row>265</xdr:row>
      <xdr:rowOff>135834</xdr:rowOff>
    </xdr:from>
    <xdr:to>
      <xdr:col>2</xdr:col>
      <xdr:colOff>34373</xdr:colOff>
      <xdr:row>267</xdr:row>
      <xdr:rowOff>143290</xdr:rowOff>
    </xdr:to>
    <xdr:cxnSp macro="">
      <xdr:nvCxnSpPr>
        <xdr:cNvPr id="183" name="Straight Connector 182"/>
        <xdr:cNvCxnSpPr/>
      </xdr:nvCxnSpPr>
      <xdr:spPr bwMode="auto">
        <a:xfrm rot="5400000" flipH="1" flipV="1">
          <a:off x="940283" y="8754925"/>
          <a:ext cx="331306" cy="295274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34373</xdr:colOff>
      <xdr:row>265</xdr:row>
      <xdr:rowOff>135834</xdr:rowOff>
    </xdr:from>
    <xdr:to>
      <xdr:col>7</xdr:col>
      <xdr:colOff>24848</xdr:colOff>
      <xdr:row>266</xdr:row>
      <xdr:rowOff>110987</xdr:rowOff>
    </xdr:to>
    <xdr:cxnSp macro="">
      <xdr:nvCxnSpPr>
        <xdr:cNvPr id="184" name="Straight Connector 183"/>
        <xdr:cNvCxnSpPr/>
      </xdr:nvCxnSpPr>
      <xdr:spPr bwMode="auto">
        <a:xfrm>
          <a:off x="1253573" y="8736909"/>
          <a:ext cx="3038475" cy="13707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205029</xdr:colOff>
      <xdr:row>263</xdr:row>
      <xdr:rowOff>20672</xdr:rowOff>
    </xdr:from>
    <xdr:to>
      <xdr:col>8</xdr:col>
      <xdr:colOff>206617</xdr:colOff>
      <xdr:row>264</xdr:row>
      <xdr:rowOff>161476</xdr:rowOff>
    </xdr:to>
    <xdr:cxnSp macro="">
      <xdr:nvCxnSpPr>
        <xdr:cNvPr id="185" name="Straight Connector 184"/>
        <xdr:cNvCxnSpPr/>
      </xdr:nvCxnSpPr>
      <xdr:spPr bwMode="auto">
        <a:xfrm rot="5400000">
          <a:off x="4931258" y="8448468"/>
          <a:ext cx="302729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426218</xdr:colOff>
      <xdr:row>256</xdr:row>
      <xdr:rowOff>19440</xdr:rowOff>
    </xdr:from>
    <xdr:to>
      <xdr:col>1</xdr:col>
      <xdr:colOff>427653</xdr:colOff>
      <xdr:row>264</xdr:row>
      <xdr:rowOff>161516</xdr:rowOff>
    </xdr:to>
    <xdr:cxnSp macro="">
      <xdr:nvCxnSpPr>
        <xdr:cNvPr id="186" name="Straight Connector 185"/>
        <xdr:cNvCxnSpPr/>
      </xdr:nvCxnSpPr>
      <xdr:spPr bwMode="auto">
        <a:xfrm rot="5400000">
          <a:off x="274935" y="7838348"/>
          <a:ext cx="1523201" cy="143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573444</xdr:colOff>
      <xdr:row>251</xdr:row>
      <xdr:rowOff>9718</xdr:rowOff>
    </xdr:from>
    <xdr:to>
      <xdr:col>8</xdr:col>
      <xdr:colOff>194388</xdr:colOff>
      <xdr:row>255</xdr:row>
      <xdr:rowOff>184666</xdr:rowOff>
    </xdr:to>
    <xdr:sp macro="" textlink="">
      <xdr:nvSpPr>
        <xdr:cNvPr id="187" name="Line 1011"/>
        <xdr:cNvSpPr>
          <a:spLocks noChangeShapeType="1"/>
        </xdr:cNvSpPr>
      </xdr:nvSpPr>
      <xdr:spPr bwMode="auto">
        <a:xfrm flipV="1">
          <a:off x="2402244" y="6172393"/>
          <a:ext cx="2668944" cy="889323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324239</xdr:colOff>
      <xdr:row>268</xdr:row>
      <xdr:rowOff>8359</xdr:rowOff>
    </xdr:from>
    <xdr:to>
      <xdr:col>0</xdr:col>
      <xdr:colOff>469835</xdr:colOff>
      <xdr:row>268</xdr:row>
      <xdr:rowOff>8359</xdr:rowOff>
    </xdr:to>
    <xdr:sp macro="" textlink="">
      <xdr:nvSpPr>
        <xdr:cNvPr id="188" name="Line 57"/>
        <xdr:cNvSpPr>
          <a:spLocks noChangeShapeType="1"/>
        </xdr:cNvSpPr>
      </xdr:nvSpPr>
      <xdr:spPr bwMode="auto">
        <a:xfrm>
          <a:off x="324239" y="9095209"/>
          <a:ext cx="1455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238579</xdr:colOff>
      <xdr:row>263</xdr:row>
      <xdr:rowOff>0</xdr:rowOff>
    </xdr:from>
    <xdr:to>
      <xdr:col>8</xdr:col>
      <xdr:colOff>403225</xdr:colOff>
      <xdr:row>263</xdr:row>
      <xdr:rowOff>0</xdr:rowOff>
    </xdr:to>
    <xdr:sp macro="" textlink="">
      <xdr:nvSpPr>
        <xdr:cNvPr id="189" name="Line 58"/>
        <xdr:cNvSpPr>
          <a:spLocks noChangeShapeType="1"/>
        </xdr:cNvSpPr>
      </xdr:nvSpPr>
      <xdr:spPr bwMode="auto">
        <a:xfrm>
          <a:off x="5115379" y="8277225"/>
          <a:ext cx="1646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216742</xdr:colOff>
      <xdr:row>262</xdr:row>
      <xdr:rowOff>192638</xdr:rowOff>
    </xdr:from>
    <xdr:to>
      <xdr:col>6</xdr:col>
      <xdr:colOff>333763</xdr:colOff>
      <xdr:row>262</xdr:row>
      <xdr:rowOff>192638</xdr:rowOff>
    </xdr:to>
    <xdr:sp macro="" textlink="">
      <xdr:nvSpPr>
        <xdr:cNvPr id="190" name="Line 61"/>
        <xdr:cNvSpPr>
          <a:spLocks noChangeShapeType="1"/>
        </xdr:cNvSpPr>
      </xdr:nvSpPr>
      <xdr:spPr bwMode="auto">
        <a:xfrm flipV="1">
          <a:off x="3874342" y="8279363"/>
          <a:ext cx="1170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214994</xdr:colOff>
      <xdr:row>265</xdr:row>
      <xdr:rowOff>22678</xdr:rowOff>
    </xdr:from>
    <xdr:to>
      <xdr:col>8</xdr:col>
      <xdr:colOff>214994</xdr:colOff>
      <xdr:row>268</xdr:row>
      <xdr:rowOff>41729</xdr:rowOff>
    </xdr:to>
    <xdr:sp macro="" textlink="">
      <xdr:nvSpPr>
        <xdr:cNvPr id="191" name="Line 25"/>
        <xdr:cNvSpPr>
          <a:spLocks noChangeShapeType="1"/>
        </xdr:cNvSpPr>
      </xdr:nvSpPr>
      <xdr:spPr bwMode="auto">
        <a:xfrm flipH="1">
          <a:off x="5091794" y="8623753"/>
          <a:ext cx="0" cy="504826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8</xdr:col>
      <xdr:colOff>182790</xdr:colOff>
      <xdr:row>249</xdr:row>
      <xdr:rowOff>88899</xdr:rowOff>
    </xdr:from>
    <xdr:to>
      <xdr:col>8</xdr:col>
      <xdr:colOff>182790</xdr:colOff>
      <xdr:row>250</xdr:row>
      <xdr:rowOff>174624</xdr:rowOff>
    </xdr:to>
    <xdr:sp macro="" textlink="">
      <xdr:nvSpPr>
        <xdr:cNvPr id="192" name="Line 26"/>
        <xdr:cNvSpPr>
          <a:spLocks noChangeShapeType="1"/>
        </xdr:cNvSpPr>
      </xdr:nvSpPr>
      <xdr:spPr bwMode="auto">
        <a:xfrm flipV="1">
          <a:off x="5059590" y="5899149"/>
          <a:ext cx="0" cy="24765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6</xdr:col>
      <xdr:colOff>601889</xdr:colOff>
      <xdr:row>252</xdr:row>
      <xdr:rowOff>45358</xdr:rowOff>
    </xdr:from>
    <xdr:to>
      <xdr:col>6</xdr:col>
      <xdr:colOff>611414</xdr:colOff>
      <xdr:row>267</xdr:row>
      <xdr:rowOff>4990</xdr:rowOff>
    </xdr:to>
    <xdr:sp macro="" textlink="">
      <xdr:nvSpPr>
        <xdr:cNvPr id="193" name="Line 16"/>
        <xdr:cNvSpPr>
          <a:spLocks noChangeShapeType="1"/>
        </xdr:cNvSpPr>
      </xdr:nvSpPr>
      <xdr:spPr bwMode="auto">
        <a:xfrm>
          <a:off x="4259489" y="6398533"/>
          <a:ext cx="9525" cy="2531382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6</xdr:col>
      <xdr:colOff>514803</xdr:colOff>
      <xdr:row>249</xdr:row>
      <xdr:rowOff>113911</xdr:rowOff>
    </xdr:from>
    <xdr:to>
      <xdr:col>7</xdr:col>
      <xdr:colOff>171904</xdr:colOff>
      <xdr:row>251</xdr:row>
      <xdr:rowOff>75813</xdr:rowOff>
    </xdr:to>
    <xdr:sp macro="" textlink="">
      <xdr:nvSpPr>
        <xdr:cNvPr id="194" name="Oval 193"/>
        <xdr:cNvSpPr>
          <a:spLocks noChangeArrowheads="1"/>
        </xdr:cNvSpPr>
      </xdr:nvSpPr>
      <xdr:spPr bwMode="auto">
        <a:xfrm>
          <a:off x="4172403" y="5924161"/>
          <a:ext cx="266701" cy="314327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6</xdr:col>
      <xdr:colOff>537092</xdr:colOff>
      <xdr:row>267</xdr:row>
      <xdr:rowOff>120586</xdr:rowOff>
    </xdr:from>
    <xdr:to>
      <xdr:col>7</xdr:col>
      <xdr:colOff>194193</xdr:colOff>
      <xdr:row>269</xdr:row>
      <xdr:rowOff>82486</xdr:rowOff>
    </xdr:to>
    <xdr:sp macro="" textlink="">
      <xdr:nvSpPr>
        <xdr:cNvPr id="195" name="Oval 194"/>
        <xdr:cNvSpPr>
          <a:spLocks noChangeArrowheads="1"/>
        </xdr:cNvSpPr>
      </xdr:nvSpPr>
      <xdr:spPr bwMode="auto">
        <a:xfrm>
          <a:off x="4194692" y="9045511"/>
          <a:ext cx="266701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148318</xdr:colOff>
      <xdr:row>250</xdr:row>
      <xdr:rowOff>104775</xdr:rowOff>
    </xdr:from>
    <xdr:to>
      <xdr:col>5</xdr:col>
      <xdr:colOff>417739</xdr:colOff>
      <xdr:row>252</xdr:row>
      <xdr:rowOff>66676</xdr:rowOff>
    </xdr:to>
    <xdr:sp macro="" textlink="">
      <xdr:nvSpPr>
        <xdr:cNvPr id="196" name="Oval 1018"/>
        <xdr:cNvSpPr>
          <a:spLocks noChangeArrowheads="1"/>
        </xdr:cNvSpPr>
      </xdr:nvSpPr>
      <xdr:spPr bwMode="auto">
        <a:xfrm>
          <a:off x="3196318" y="6076950"/>
          <a:ext cx="269421" cy="342901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5</xdr:col>
      <xdr:colOff>154798</xdr:colOff>
      <xdr:row>267</xdr:row>
      <xdr:rowOff>105424</xdr:rowOff>
    </xdr:from>
    <xdr:to>
      <xdr:col>5</xdr:col>
      <xdr:colOff>424219</xdr:colOff>
      <xdr:row>269</xdr:row>
      <xdr:rowOff>65704</xdr:rowOff>
    </xdr:to>
    <xdr:sp macro="" textlink="">
      <xdr:nvSpPr>
        <xdr:cNvPr id="197" name="Oval 1018"/>
        <xdr:cNvSpPr>
          <a:spLocks noChangeArrowheads="1"/>
        </xdr:cNvSpPr>
      </xdr:nvSpPr>
      <xdr:spPr bwMode="auto">
        <a:xfrm>
          <a:off x="3202798" y="9030349"/>
          <a:ext cx="269421" cy="31270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5</xdr:col>
      <xdr:colOff>290286</xdr:colOff>
      <xdr:row>252</xdr:row>
      <xdr:rowOff>77562</xdr:rowOff>
    </xdr:from>
    <xdr:to>
      <xdr:col>5</xdr:col>
      <xdr:colOff>299811</xdr:colOff>
      <xdr:row>267</xdr:row>
      <xdr:rowOff>56244</xdr:rowOff>
    </xdr:to>
    <xdr:sp macro="" textlink="">
      <xdr:nvSpPr>
        <xdr:cNvPr id="198" name="Line 1016"/>
        <xdr:cNvSpPr>
          <a:spLocks noChangeShapeType="1"/>
        </xdr:cNvSpPr>
      </xdr:nvSpPr>
      <xdr:spPr bwMode="auto">
        <a:xfrm>
          <a:off x="3338286" y="6430737"/>
          <a:ext cx="9525" cy="2550432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</xdr:col>
      <xdr:colOff>568325</xdr:colOff>
      <xdr:row>252</xdr:row>
      <xdr:rowOff>65315</xdr:rowOff>
    </xdr:from>
    <xdr:to>
      <xdr:col>3</xdr:col>
      <xdr:colOff>577850</xdr:colOff>
      <xdr:row>267</xdr:row>
      <xdr:rowOff>46265</xdr:rowOff>
    </xdr:to>
    <xdr:sp macro="" textlink="">
      <xdr:nvSpPr>
        <xdr:cNvPr id="199" name="Line 1016"/>
        <xdr:cNvSpPr>
          <a:spLocks noChangeShapeType="1"/>
        </xdr:cNvSpPr>
      </xdr:nvSpPr>
      <xdr:spPr bwMode="auto">
        <a:xfrm>
          <a:off x="2397125" y="6418490"/>
          <a:ext cx="9525" cy="25527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</xdr:col>
      <xdr:colOff>365579</xdr:colOff>
      <xdr:row>251</xdr:row>
      <xdr:rowOff>84364</xdr:rowOff>
    </xdr:from>
    <xdr:to>
      <xdr:col>4</xdr:col>
      <xdr:colOff>22678</xdr:colOff>
      <xdr:row>253</xdr:row>
      <xdr:rowOff>46265</xdr:rowOff>
    </xdr:to>
    <xdr:sp macro="" textlink="">
      <xdr:nvSpPr>
        <xdr:cNvPr id="200" name="Oval 1018"/>
        <xdr:cNvSpPr>
          <a:spLocks noChangeArrowheads="1"/>
        </xdr:cNvSpPr>
      </xdr:nvSpPr>
      <xdr:spPr bwMode="auto">
        <a:xfrm>
          <a:off x="2194379" y="6247039"/>
          <a:ext cx="266699" cy="342901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</xdr:col>
      <xdr:colOff>530419</xdr:colOff>
      <xdr:row>267</xdr:row>
      <xdr:rowOff>114495</xdr:rowOff>
    </xdr:from>
    <xdr:to>
      <xdr:col>4</xdr:col>
      <xdr:colOff>184797</xdr:colOff>
      <xdr:row>269</xdr:row>
      <xdr:rowOff>74775</xdr:rowOff>
    </xdr:to>
    <xdr:sp macro="" textlink="">
      <xdr:nvSpPr>
        <xdr:cNvPr id="201" name="Oval 1020"/>
        <xdr:cNvSpPr>
          <a:spLocks noChangeArrowheads="1"/>
        </xdr:cNvSpPr>
      </xdr:nvSpPr>
      <xdr:spPr bwMode="auto">
        <a:xfrm>
          <a:off x="2359219" y="9039420"/>
          <a:ext cx="263978" cy="31270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453183</xdr:colOff>
      <xdr:row>252</xdr:row>
      <xdr:rowOff>145403</xdr:rowOff>
    </xdr:from>
    <xdr:to>
      <xdr:col>1</xdr:col>
      <xdr:colOff>453183</xdr:colOff>
      <xdr:row>268</xdr:row>
      <xdr:rowOff>260</xdr:rowOff>
    </xdr:to>
    <xdr:sp macro="" textlink="">
      <xdr:nvSpPr>
        <xdr:cNvPr id="202" name="Line 1017"/>
        <xdr:cNvSpPr>
          <a:spLocks noChangeShapeType="1"/>
        </xdr:cNvSpPr>
      </xdr:nvSpPr>
      <xdr:spPr bwMode="auto">
        <a:xfrm>
          <a:off x="1062783" y="6498578"/>
          <a:ext cx="0" cy="2588532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1</xdr:col>
      <xdr:colOff>417933</xdr:colOff>
      <xdr:row>250</xdr:row>
      <xdr:rowOff>152141</xdr:rowOff>
    </xdr:from>
    <xdr:to>
      <xdr:col>2</xdr:col>
      <xdr:colOff>106912</xdr:colOff>
      <xdr:row>252</xdr:row>
      <xdr:rowOff>114042</xdr:rowOff>
    </xdr:to>
    <xdr:sp macro="" textlink="">
      <xdr:nvSpPr>
        <xdr:cNvPr id="203" name="Oval 1019"/>
        <xdr:cNvSpPr>
          <a:spLocks noChangeArrowheads="1"/>
        </xdr:cNvSpPr>
      </xdr:nvSpPr>
      <xdr:spPr bwMode="auto">
        <a:xfrm>
          <a:off x="1027533" y="6124316"/>
          <a:ext cx="298579" cy="342901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10431</xdr:colOff>
      <xdr:row>246</xdr:row>
      <xdr:rowOff>61121</xdr:rowOff>
    </xdr:from>
    <xdr:to>
      <xdr:col>1</xdr:col>
      <xdr:colOff>11227</xdr:colOff>
      <xdr:row>250</xdr:row>
      <xdr:rowOff>73935</xdr:rowOff>
    </xdr:to>
    <xdr:cxnSp macro="">
      <xdr:nvCxnSpPr>
        <xdr:cNvPr id="204" name="Straight Connector 203"/>
        <xdr:cNvCxnSpPr/>
      </xdr:nvCxnSpPr>
      <xdr:spPr bwMode="auto">
        <a:xfrm rot="5400000">
          <a:off x="275884" y="9634993"/>
          <a:ext cx="689089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246857</xdr:colOff>
      <xdr:row>271</xdr:row>
      <xdr:rowOff>38896</xdr:rowOff>
    </xdr:from>
    <xdr:to>
      <xdr:col>8</xdr:col>
      <xdr:colOff>248445</xdr:colOff>
      <xdr:row>272</xdr:row>
      <xdr:rowOff>86517</xdr:rowOff>
    </xdr:to>
    <xdr:cxnSp macro="">
      <xdr:nvCxnSpPr>
        <xdr:cNvPr id="205" name="Straight Connector 204"/>
        <xdr:cNvCxnSpPr/>
      </xdr:nvCxnSpPr>
      <xdr:spPr bwMode="auto">
        <a:xfrm rot="5400000">
          <a:off x="5005390" y="14511338"/>
          <a:ext cx="238121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11339</xdr:colOff>
      <xdr:row>271</xdr:row>
      <xdr:rowOff>0</xdr:rowOff>
    </xdr:from>
    <xdr:to>
      <xdr:col>7</xdr:col>
      <xdr:colOff>12927</xdr:colOff>
      <xdr:row>272</xdr:row>
      <xdr:rowOff>8168</xdr:rowOff>
    </xdr:to>
    <xdr:cxnSp macro="">
      <xdr:nvCxnSpPr>
        <xdr:cNvPr id="207" name="Straight Connector 206"/>
        <xdr:cNvCxnSpPr/>
      </xdr:nvCxnSpPr>
      <xdr:spPr bwMode="auto">
        <a:xfrm rot="5400000">
          <a:off x="4151879" y="9728771"/>
          <a:ext cx="25490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430893</xdr:colOff>
      <xdr:row>246</xdr:row>
      <xdr:rowOff>9532</xdr:rowOff>
    </xdr:from>
    <xdr:to>
      <xdr:col>1</xdr:col>
      <xdr:colOff>432481</xdr:colOff>
      <xdr:row>247</xdr:row>
      <xdr:rowOff>76207</xdr:rowOff>
    </xdr:to>
    <xdr:cxnSp macro="">
      <xdr:nvCxnSpPr>
        <xdr:cNvPr id="208" name="Straight Connector 207"/>
        <xdr:cNvCxnSpPr/>
      </xdr:nvCxnSpPr>
      <xdr:spPr bwMode="auto">
        <a:xfrm rot="5400000">
          <a:off x="912699" y="9795676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13154</xdr:colOff>
      <xdr:row>271</xdr:row>
      <xdr:rowOff>174171</xdr:rowOff>
    </xdr:from>
    <xdr:to>
      <xdr:col>8</xdr:col>
      <xdr:colOff>228600</xdr:colOff>
      <xdr:row>271</xdr:row>
      <xdr:rowOff>185510</xdr:rowOff>
    </xdr:to>
    <xdr:cxnSp macro="">
      <xdr:nvCxnSpPr>
        <xdr:cNvPr id="209" name="Straight Arrow Connector 208"/>
        <xdr:cNvCxnSpPr/>
      </xdr:nvCxnSpPr>
      <xdr:spPr bwMode="auto">
        <a:xfrm>
          <a:off x="4280354" y="9832521"/>
          <a:ext cx="825046" cy="1133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907</xdr:colOff>
      <xdr:row>247</xdr:row>
      <xdr:rowOff>38099</xdr:rowOff>
    </xdr:from>
    <xdr:to>
      <xdr:col>1</xdr:col>
      <xdr:colOff>440418</xdr:colOff>
      <xdr:row>247</xdr:row>
      <xdr:rowOff>38100</xdr:rowOff>
    </xdr:to>
    <xdr:cxnSp macro="">
      <xdr:nvCxnSpPr>
        <xdr:cNvPr id="211" name="Straight Arrow Connector 210"/>
        <xdr:cNvCxnSpPr/>
      </xdr:nvCxnSpPr>
      <xdr:spPr bwMode="auto">
        <a:xfrm>
          <a:off x="610507" y="40643174"/>
          <a:ext cx="439511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287225</xdr:colOff>
      <xdr:row>248</xdr:row>
      <xdr:rowOff>39801</xdr:rowOff>
    </xdr:from>
    <xdr:to>
      <xdr:col>5</xdr:col>
      <xdr:colOff>288813</xdr:colOff>
      <xdr:row>249</xdr:row>
      <xdr:rowOff>20751</xdr:rowOff>
    </xdr:to>
    <xdr:cxnSp macro="">
      <xdr:nvCxnSpPr>
        <xdr:cNvPr id="212" name="Straight Connector 211"/>
        <xdr:cNvCxnSpPr/>
      </xdr:nvCxnSpPr>
      <xdr:spPr bwMode="auto">
        <a:xfrm rot="5400000" flipH="1" flipV="1">
          <a:off x="3250294" y="5744482"/>
          <a:ext cx="1714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26421</xdr:colOff>
      <xdr:row>248</xdr:row>
      <xdr:rowOff>51140</xdr:rowOff>
    </xdr:from>
    <xdr:to>
      <xdr:col>7</xdr:col>
      <xdr:colOff>28009</xdr:colOff>
      <xdr:row>249</xdr:row>
      <xdr:rowOff>32090</xdr:rowOff>
    </xdr:to>
    <xdr:cxnSp macro="">
      <xdr:nvCxnSpPr>
        <xdr:cNvPr id="213" name="Straight Connector 212"/>
        <xdr:cNvCxnSpPr/>
      </xdr:nvCxnSpPr>
      <xdr:spPr bwMode="auto">
        <a:xfrm rot="5400000" flipH="1" flipV="1">
          <a:off x="4208690" y="5755821"/>
          <a:ext cx="1714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282576</xdr:colOff>
      <xdr:row>248</xdr:row>
      <xdr:rowOff>190955</xdr:rowOff>
    </xdr:from>
    <xdr:to>
      <xdr:col>7</xdr:col>
      <xdr:colOff>22679</xdr:colOff>
      <xdr:row>249</xdr:row>
      <xdr:rowOff>0</xdr:rowOff>
    </xdr:to>
    <xdr:cxnSp macro="">
      <xdr:nvCxnSpPr>
        <xdr:cNvPr id="214" name="Straight Arrow Connector 213"/>
        <xdr:cNvCxnSpPr/>
      </xdr:nvCxnSpPr>
      <xdr:spPr bwMode="auto">
        <a:xfrm>
          <a:off x="3330576" y="5810705"/>
          <a:ext cx="959303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11339</xdr:colOff>
      <xdr:row>254</xdr:row>
      <xdr:rowOff>0</xdr:rowOff>
    </xdr:from>
    <xdr:to>
      <xdr:col>5</xdr:col>
      <xdr:colOff>272143</xdr:colOff>
      <xdr:row>254</xdr:row>
      <xdr:rowOff>45719</xdr:rowOff>
    </xdr:to>
    <xdr:sp macro="" textlink="">
      <xdr:nvSpPr>
        <xdr:cNvPr id="215" name="Line 1012"/>
        <xdr:cNvSpPr>
          <a:spLocks noChangeShapeType="1"/>
        </xdr:cNvSpPr>
      </xdr:nvSpPr>
      <xdr:spPr bwMode="auto">
        <a:xfrm>
          <a:off x="3059339" y="6734175"/>
          <a:ext cx="260804" cy="45719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sp>
    <xdr:clientData/>
  </xdr:twoCellAnchor>
  <xdr:twoCellAnchor>
    <xdr:from>
      <xdr:col>8</xdr:col>
      <xdr:colOff>200027</xdr:colOff>
      <xdr:row>246</xdr:row>
      <xdr:rowOff>40825</xdr:rowOff>
    </xdr:from>
    <xdr:to>
      <xdr:col>8</xdr:col>
      <xdr:colOff>208975</xdr:colOff>
      <xdr:row>248</xdr:row>
      <xdr:rowOff>0</xdr:rowOff>
    </xdr:to>
    <xdr:cxnSp macro="">
      <xdr:nvCxnSpPr>
        <xdr:cNvPr id="218" name="Straight Connector 217"/>
        <xdr:cNvCxnSpPr/>
      </xdr:nvCxnSpPr>
      <xdr:spPr bwMode="auto">
        <a:xfrm rot="5400000" flipH="1" flipV="1">
          <a:off x="4939788" y="9407589"/>
          <a:ext cx="283025" cy="894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2528</xdr:colOff>
      <xdr:row>248</xdr:row>
      <xdr:rowOff>30324</xdr:rowOff>
    </xdr:from>
    <xdr:to>
      <xdr:col>4</xdr:col>
      <xdr:colOff>2529</xdr:colOff>
      <xdr:row>251</xdr:row>
      <xdr:rowOff>2332</xdr:rowOff>
    </xdr:to>
    <xdr:cxnSp macro="">
      <xdr:nvCxnSpPr>
        <xdr:cNvPr id="219" name="Straight Connector 218"/>
        <xdr:cNvCxnSpPr/>
      </xdr:nvCxnSpPr>
      <xdr:spPr bwMode="auto">
        <a:xfrm rot="16200000" flipV="1">
          <a:off x="2183462" y="9841365"/>
          <a:ext cx="514933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435882</xdr:colOff>
      <xdr:row>249</xdr:row>
      <xdr:rowOff>19054</xdr:rowOff>
    </xdr:from>
    <xdr:to>
      <xdr:col>3</xdr:col>
      <xdr:colOff>594746</xdr:colOff>
      <xdr:row>249</xdr:row>
      <xdr:rowOff>22847</xdr:rowOff>
    </xdr:to>
    <xdr:cxnSp macro="">
      <xdr:nvCxnSpPr>
        <xdr:cNvPr id="222" name="Straight Arrow Connector 221"/>
        <xdr:cNvCxnSpPr/>
      </xdr:nvCxnSpPr>
      <xdr:spPr bwMode="auto">
        <a:xfrm>
          <a:off x="1045482" y="9763129"/>
          <a:ext cx="1378064" cy="379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581025</xdr:colOff>
      <xdr:row>249</xdr:row>
      <xdr:rowOff>9525</xdr:rowOff>
    </xdr:from>
    <xdr:to>
      <xdr:col>5</xdr:col>
      <xdr:colOff>295275</xdr:colOff>
      <xdr:row>249</xdr:row>
      <xdr:rowOff>19050</xdr:rowOff>
    </xdr:to>
    <xdr:cxnSp macro="">
      <xdr:nvCxnSpPr>
        <xdr:cNvPr id="225" name="Straight Arrow Connector 224"/>
        <xdr:cNvCxnSpPr/>
      </xdr:nvCxnSpPr>
      <xdr:spPr bwMode="auto">
        <a:xfrm flipV="1">
          <a:off x="2409825" y="9753600"/>
          <a:ext cx="9334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418323</xdr:colOff>
      <xdr:row>247</xdr:row>
      <xdr:rowOff>23943</xdr:rowOff>
    </xdr:from>
    <xdr:to>
      <xdr:col>8</xdr:col>
      <xdr:colOff>182141</xdr:colOff>
      <xdr:row>247</xdr:row>
      <xdr:rowOff>32268</xdr:rowOff>
    </xdr:to>
    <xdr:cxnSp macro="">
      <xdr:nvCxnSpPr>
        <xdr:cNvPr id="226" name="Straight Arrow Connector 225"/>
        <xdr:cNvCxnSpPr/>
      </xdr:nvCxnSpPr>
      <xdr:spPr bwMode="auto">
        <a:xfrm flipV="1">
          <a:off x="1027923" y="40629018"/>
          <a:ext cx="4031018" cy="83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427654</xdr:colOff>
      <xdr:row>256</xdr:row>
      <xdr:rowOff>0</xdr:rowOff>
    </xdr:from>
    <xdr:to>
      <xdr:col>3</xdr:col>
      <xdr:colOff>573444</xdr:colOff>
      <xdr:row>256</xdr:row>
      <xdr:rowOff>9722</xdr:rowOff>
    </xdr:to>
    <xdr:cxnSp macro="">
      <xdr:nvCxnSpPr>
        <xdr:cNvPr id="228" name="Straight Connector 227"/>
        <xdr:cNvCxnSpPr/>
      </xdr:nvCxnSpPr>
      <xdr:spPr bwMode="auto">
        <a:xfrm flipV="1">
          <a:off x="1037254" y="7058025"/>
          <a:ext cx="1364990" cy="9722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566371</xdr:colOff>
      <xdr:row>256</xdr:row>
      <xdr:rowOff>19442</xdr:rowOff>
    </xdr:from>
    <xdr:to>
      <xdr:col>0</xdr:col>
      <xdr:colOff>567806</xdr:colOff>
      <xdr:row>264</xdr:row>
      <xdr:rowOff>161518</xdr:rowOff>
    </xdr:to>
    <xdr:cxnSp macro="">
      <xdr:nvCxnSpPr>
        <xdr:cNvPr id="233" name="Straight Connector 232"/>
        <xdr:cNvCxnSpPr/>
      </xdr:nvCxnSpPr>
      <xdr:spPr bwMode="auto">
        <a:xfrm rot="5400000">
          <a:off x="-194512" y="11772175"/>
          <a:ext cx="1523201" cy="143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cxnSp>
    <xdr:clientData/>
  </xdr:twoCellAnchor>
  <xdr:twoCellAnchor>
    <xdr:from>
      <xdr:col>6</xdr:col>
      <xdr:colOff>300720</xdr:colOff>
      <xdr:row>262</xdr:row>
      <xdr:rowOff>190892</xdr:rowOff>
    </xdr:from>
    <xdr:to>
      <xdr:col>6</xdr:col>
      <xdr:colOff>311020</xdr:colOff>
      <xdr:row>264</xdr:row>
      <xdr:rowOff>184669</xdr:rowOff>
    </xdr:to>
    <xdr:cxnSp macro="">
      <xdr:nvCxnSpPr>
        <xdr:cNvPr id="234" name="Straight Arrow Connector 233"/>
        <xdr:cNvCxnSpPr/>
      </xdr:nvCxnSpPr>
      <xdr:spPr bwMode="auto">
        <a:xfrm rot="16200000" flipV="1">
          <a:off x="3799894" y="8436043"/>
          <a:ext cx="327152" cy="103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0</xdr:col>
      <xdr:colOff>195360</xdr:colOff>
      <xdr:row>266</xdr:row>
      <xdr:rowOff>0</xdr:rowOff>
    </xdr:from>
    <xdr:to>
      <xdr:col>0</xdr:col>
      <xdr:colOff>485775</xdr:colOff>
      <xdr:row>266</xdr:row>
      <xdr:rowOff>1588</xdr:rowOff>
    </xdr:to>
    <xdr:cxnSp macro="">
      <xdr:nvCxnSpPr>
        <xdr:cNvPr id="235" name="Straight Connector 234"/>
        <xdr:cNvCxnSpPr/>
      </xdr:nvCxnSpPr>
      <xdr:spPr bwMode="auto">
        <a:xfrm>
          <a:off x="195360" y="8763000"/>
          <a:ext cx="29041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458430</xdr:colOff>
      <xdr:row>252</xdr:row>
      <xdr:rowOff>19439</xdr:rowOff>
    </xdr:from>
    <xdr:to>
      <xdr:col>6</xdr:col>
      <xdr:colOff>602602</xdr:colOff>
      <xdr:row>252</xdr:row>
      <xdr:rowOff>116633</xdr:rowOff>
    </xdr:to>
    <xdr:sp macro="" textlink="">
      <xdr:nvSpPr>
        <xdr:cNvPr id="236" name="Line 1012"/>
        <xdr:cNvSpPr>
          <a:spLocks noChangeShapeType="1"/>
        </xdr:cNvSpPr>
      </xdr:nvSpPr>
      <xdr:spPr bwMode="auto">
        <a:xfrm>
          <a:off x="4116030" y="6372614"/>
          <a:ext cx="144172" cy="97194"/>
        </a:xfrm>
        <a:prstGeom prst="line">
          <a:avLst/>
        </a:prstGeom>
        <a:noFill/>
        <a:ln w="9525">
          <a:solidFill>
            <a:srgbClr val="000000"/>
          </a:solidFill>
          <a:round/>
          <a:headEnd type="none" w="med" len="med"/>
          <a:tailEnd type="triangle" w="med" len="med"/>
        </a:ln>
      </xdr:spPr>
    </xdr:sp>
    <xdr:clientData/>
  </xdr:twoCellAnchor>
  <xdr:twoCellAnchor>
    <xdr:from>
      <xdr:col>0</xdr:col>
      <xdr:colOff>241883</xdr:colOff>
      <xdr:row>256</xdr:row>
      <xdr:rowOff>1424</xdr:rowOff>
    </xdr:from>
    <xdr:to>
      <xdr:col>1</xdr:col>
      <xdr:colOff>365709</xdr:colOff>
      <xdr:row>256</xdr:row>
      <xdr:rowOff>3012</xdr:rowOff>
    </xdr:to>
    <xdr:cxnSp macro="">
      <xdr:nvCxnSpPr>
        <xdr:cNvPr id="237" name="Straight Connector 236"/>
        <xdr:cNvCxnSpPr/>
      </xdr:nvCxnSpPr>
      <xdr:spPr bwMode="auto">
        <a:xfrm>
          <a:off x="241883" y="7059449"/>
          <a:ext cx="733426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200026</xdr:colOff>
      <xdr:row>277</xdr:row>
      <xdr:rowOff>155316</xdr:rowOff>
    </xdr:from>
    <xdr:to>
      <xdr:col>1</xdr:col>
      <xdr:colOff>200026</xdr:colOff>
      <xdr:row>280</xdr:row>
      <xdr:rowOff>66869</xdr:rowOff>
    </xdr:to>
    <xdr:sp macro="" textlink="">
      <xdr:nvSpPr>
        <xdr:cNvPr id="238" name="Line 92"/>
        <xdr:cNvSpPr>
          <a:spLocks noChangeShapeType="1"/>
        </xdr:cNvSpPr>
      </xdr:nvSpPr>
      <xdr:spPr bwMode="auto">
        <a:xfrm>
          <a:off x="809626" y="11604366"/>
          <a:ext cx="0" cy="4259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180587</xdr:colOff>
      <xdr:row>266</xdr:row>
      <xdr:rowOff>97000</xdr:rowOff>
    </xdr:from>
    <xdr:to>
      <xdr:col>1</xdr:col>
      <xdr:colOff>180587</xdr:colOff>
      <xdr:row>268</xdr:row>
      <xdr:rowOff>144624</xdr:rowOff>
    </xdr:to>
    <xdr:sp macro="" textlink="">
      <xdr:nvSpPr>
        <xdr:cNvPr id="239" name="Line 92"/>
        <xdr:cNvSpPr>
          <a:spLocks noChangeShapeType="1"/>
        </xdr:cNvSpPr>
      </xdr:nvSpPr>
      <xdr:spPr bwMode="auto">
        <a:xfrm>
          <a:off x="790187" y="8860000"/>
          <a:ext cx="0" cy="3714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</xdr:col>
      <xdr:colOff>586078</xdr:colOff>
      <xdr:row>251</xdr:row>
      <xdr:rowOff>19438</xdr:rowOff>
    </xdr:from>
    <xdr:ext cx="175304" cy="170560"/>
    <xdr:sp macro="" textlink="">
      <xdr:nvSpPr>
        <xdr:cNvPr id="240" name="Text Box 1014"/>
        <xdr:cNvSpPr txBox="1">
          <a:spLocks noChangeArrowheads="1"/>
        </xdr:cNvSpPr>
      </xdr:nvSpPr>
      <xdr:spPr bwMode="auto">
        <a:xfrm>
          <a:off x="3634078" y="6182113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oneCellAnchor>
    <xdr:from>
      <xdr:col>4</xdr:col>
      <xdr:colOff>129266</xdr:colOff>
      <xdr:row>253</xdr:row>
      <xdr:rowOff>38876</xdr:rowOff>
    </xdr:from>
    <xdr:ext cx="175304" cy="170560"/>
    <xdr:sp macro="" textlink="">
      <xdr:nvSpPr>
        <xdr:cNvPr id="241" name="Text Box 1014"/>
        <xdr:cNvSpPr txBox="1">
          <a:spLocks noChangeArrowheads="1"/>
        </xdr:cNvSpPr>
      </xdr:nvSpPr>
      <xdr:spPr bwMode="auto">
        <a:xfrm>
          <a:off x="2567666" y="6582551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1</xdr:col>
      <xdr:colOff>314325</xdr:colOff>
      <xdr:row>269</xdr:row>
      <xdr:rowOff>114300</xdr:rowOff>
    </xdr:from>
    <xdr:to>
      <xdr:col>1</xdr:col>
      <xdr:colOff>314325</xdr:colOff>
      <xdr:row>270</xdr:row>
      <xdr:rowOff>76200</xdr:rowOff>
    </xdr:to>
    <xdr:sp macro="" textlink="">
      <xdr:nvSpPr>
        <xdr:cNvPr id="242" name="Line 4342"/>
        <xdr:cNvSpPr>
          <a:spLocks noChangeShapeType="1"/>
        </xdr:cNvSpPr>
      </xdr:nvSpPr>
      <xdr:spPr bwMode="auto">
        <a:xfrm>
          <a:off x="923925" y="93916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600075</xdr:colOff>
      <xdr:row>270</xdr:row>
      <xdr:rowOff>0</xdr:rowOff>
    </xdr:from>
    <xdr:to>
      <xdr:col>1</xdr:col>
      <xdr:colOff>314325</xdr:colOff>
      <xdr:row>270</xdr:row>
      <xdr:rowOff>1588</xdr:rowOff>
    </xdr:to>
    <xdr:cxnSp macro="">
      <xdr:nvCxnSpPr>
        <xdr:cNvPr id="243" name="Straight Arrow Connector 242"/>
        <xdr:cNvCxnSpPr/>
      </xdr:nvCxnSpPr>
      <xdr:spPr bwMode="auto">
        <a:xfrm>
          <a:off x="600075" y="9467850"/>
          <a:ext cx="3238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200025</xdr:colOff>
      <xdr:row>251</xdr:row>
      <xdr:rowOff>19051</xdr:rowOff>
    </xdr:from>
    <xdr:to>
      <xdr:col>8</xdr:col>
      <xdr:colOff>201613</xdr:colOff>
      <xdr:row>263</xdr:row>
      <xdr:rowOff>28770</xdr:rowOff>
    </xdr:to>
    <xdr:cxnSp macro="">
      <xdr:nvCxnSpPr>
        <xdr:cNvPr id="245" name="Straight Connector 244"/>
        <xdr:cNvCxnSpPr/>
      </xdr:nvCxnSpPr>
      <xdr:spPr bwMode="auto">
        <a:xfrm rot="5400000">
          <a:off x="4015484" y="11176892"/>
          <a:ext cx="2124269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440678</xdr:colOff>
      <xdr:row>246</xdr:row>
      <xdr:rowOff>96999</xdr:rowOff>
    </xdr:from>
    <xdr:to>
      <xdr:col>1</xdr:col>
      <xdr:colOff>440679</xdr:colOff>
      <xdr:row>249</xdr:row>
      <xdr:rowOff>97582</xdr:rowOff>
    </xdr:to>
    <xdr:cxnSp macro="">
      <xdr:nvCxnSpPr>
        <xdr:cNvPr id="249" name="Straight Connector 248"/>
        <xdr:cNvCxnSpPr/>
      </xdr:nvCxnSpPr>
      <xdr:spPr bwMode="auto">
        <a:xfrm rot="16200000" flipV="1">
          <a:off x="792812" y="9584190"/>
          <a:ext cx="514933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62398</xdr:colOff>
      <xdr:row>368</xdr:row>
      <xdr:rowOff>8165</xdr:rowOff>
    </xdr:from>
    <xdr:to>
      <xdr:col>9</xdr:col>
      <xdr:colOff>412101</xdr:colOff>
      <xdr:row>368</xdr:row>
      <xdr:rowOff>8165</xdr:rowOff>
    </xdr:to>
    <xdr:sp macro="" textlink="">
      <xdr:nvSpPr>
        <xdr:cNvPr id="259" name="Line 39"/>
        <xdr:cNvSpPr>
          <a:spLocks noChangeShapeType="1"/>
        </xdr:cNvSpPr>
      </xdr:nvSpPr>
      <xdr:spPr bwMode="auto">
        <a:xfrm>
          <a:off x="5596423" y="6923315"/>
          <a:ext cx="34970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82031</xdr:colOff>
      <xdr:row>379</xdr:row>
      <xdr:rowOff>0</xdr:rowOff>
    </xdr:from>
    <xdr:to>
      <xdr:col>9</xdr:col>
      <xdr:colOff>339206</xdr:colOff>
      <xdr:row>379</xdr:row>
      <xdr:rowOff>0</xdr:rowOff>
    </xdr:to>
    <xdr:sp macro="" textlink="">
      <xdr:nvSpPr>
        <xdr:cNvPr id="260" name="Line 41"/>
        <xdr:cNvSpPr>
          <a:spLocks noChangeShapeType="1"/>
        </xdr:cNvSpPr>
      </xdr:nvSpPr>
      <xdr:spPr bwMode="auto">
        <a:xfrm>
          <a:off x="5568431" y="6541770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</xdr:col>
      <xdr:colOff>466725</xdr:colOff>
      <xdr:row>362</xdr:row>
      <xdr:rowOff>9525</xdr:rowOff>
    </xdr:from>
    <xdr:ext cx="123825" cy="180975"/>
    <xdr:sp macro="" textlink="">
      <xdr:nvSpPr>
        <xdr:cNvPr id="261" name="Text Box 45"/>
        <xdr:cNvSpPr txBox="1">
          <a:spLocks noChangeArrowheads="1"/>
        </xdr:cNvSpPr>
      </xdr:nvSpPr>
      <xdr:spPr bwMode="auto">
        <a:xfrm>
          <a:off x="1695450" y="58388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600075</xdr:colOff>
      <xdr:row>367</xdr:row>
      <xdr:rowOff>0</xdr:rowOff>
    </xdr:from>
    <xdr:ext cx="123825" cy="180975"/>
    <xdr:sp macro="" textlink="">
      <xdr:nvSpPr>
        <xdr:cNvPr id="262" name="Text Box 59"/>
        <xdr:cNvSpPr txBox="1">
          <a:spLocks noChangeArrowheads="1"/>
        </xdr:cNvSpPr>
      </xdr:nvSpPr>
      <xdr:spPr bwMode="auto">
        <a:xfrm>
          <a:off x="600075" y="74580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0</xdr:col>
      <xdr:colOff>438150</xdr:colOff>
      <xdr:row>389</xdr:row>
      <xdr:rowOff>0</xdr:rowOff>
    </xdr:from>
    <xdr:ext cx="123825" cy="180975"/>
    <xdr:sp macro="" textlink="">
      <xdr:nvSpPr>
        <xdr:cNvPr id="263" name="Text Box 62"/>
        <xdr:cNvSpPr txBox="1">
          <a:spLocks noChangeArrowheads="1"/>
        </xdr:cNvSpPr>
      </xdr:nvSpPr>
      <xdr:spPr bwMode="auto">
        <a:xfrm>
          <a:off x="438150" y="114585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133350</xdr:colOff>
      <xdr:row>374</xdr:row>
      <xdr:rowOff>105941</xdr:rowOff>
    </xdr:from>
    <xdr:to>
      <xdr:col>2</xdr:col>
      <xdr:colOff>133350</xdr:colOff>
      <xdr:row>375</xdr:row>
      <xdr:rowOff>134516</xdr:rowOff>
    </xdr:to>
    <xdr:sp macro="" textlink="">
      <xdr:nvSpPr>
        <xdr:cNvPr id="265" name="Line 64"/>
        <xdr:cNvSpPr>
          <a:spLocks noChangeShapeType="1"/>
        </xdr:cNvSpPr>
      </xdr:nvSpPr>
      <xdr:spPr bwMode="auto">
        <a:xfrm flipH="1">
          <a:off x="1362075" y="8707016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0</xdr:col>
      <xdr:colOff>571500</xdr:colOff>
      <xdr:row>378</xdr:row>
      <xdr:rowOff>114300</xdr:rowOff>
    </xdr:from>
    <xdr:to>
      <xdr:col>1</xdr:col>
      <xdr:colOff>219075</xdr:colOff>
      <xdr:row>380</xdr:row>
      <xdr:rowOff>66675</xdr:rowOff>
    </xdr:to>
    <xdr:sp macro="" textlink="">
      <xdr:nvSpPr>
        <xdr:cNvPr id="266" name="Oval 265"/>
        <xdr:cNvSpPr>
          <a:spLocks noChangeArrowheads="1"/>
        </xdr:cNvSpPr>
      </xdr:nvSpPr>
      <xdr:spPr bwMode="auto">
        <a:xfrm>
          <a:off x="571500" y="9477375"/>
          <a:ext cx="257175" cy="3333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600075</xdr:colOff>
      <xdr:row>358</xdr:row>
      <xdr:rowOff>152400</xdr:rowOff>
    </xdr:from>
    <xdr:to>
      <xdr:col>1</xdr:col>
      <xdr:colOff>247650</xdr:colOff>
      <xdr:row>360</xdr:row>
      <xdr:rowOff>85725</xdr:rowOff>
    </xdr:to>
    <xdr:sp macro="" textlink="">
      <xdr:nvSpPr>
        <xdr:cNvPr id="267" name="Oval 266"/>
        <xdr:cNvSpPr>
          <a:spLocks noChangeArrowheads="1"/>
        </xdr:cNvSpPr>
      </xdr:nvSpPr>
      <xdr:spPr bwMode="auto">
        <a:xfrm>
          <a:off x="600075" y="5219700"/>
          <a:ext cx="257175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</xdr:col>
      <xdr:colOff>533400</xdr:colOff>
      <xdr:row>378</xdr:row>
      <xdr:rowOff>104775</xdr:rowOff>
    </xdr:from>
    <xdr:to>
      <xdr:col>2</xdr:col>
      <xdr:colOff>190500</xdr:colOff>
      <xdr:row>380</xdr:row>
      <xdr:rowOff>66675</xdr:rowOff>
    </xdr:to>
    <xdr:sp macro="" textlink="">
      <xdr:nvSpPr>
        <xdr:cNvPr id="268" name="Oval 267"/>
        <xdr:cNvSpPr>
          <a:spLocks noChangeArrowheads="1"/>
        </xdr:cNvSpPr>
      </xdr:nvSpPr>
      <xdr:spPr bwMode="auto">
        <a:xfrm>
          <a:off x="1143000" y="9467850"/>
          <a:ext cx="276225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</xdr:col>
      <xdr:colOff>590550</xdr:colOff>
      <xdr:row>359</xdr:row>
      <xdr:rowOff>85725</xdr:rowOff>
    </xdr:from>
    <xdr:to>
      <xdr:col>2</xdr:col>
      <xdr:colOff>247650</xdr:colOff>
      <xdr:row>361</xdr:row>
      <xdr:rowOff>47625</xdr:rowOff>
    </xdr:to>
    <xdr:sp macro="" textlink="">
      <xdr:nvSpPr>
        <xdr:cNvPr id="269" name="Oval 268"/>
        <xdr:cNvSpPr>
          <a:spLocks noChangeArrowheads="1"/>
        </xdr:cNvSpPr>
      </xdr:nvSpPr>
      <xdr:spPr bwMode="auto">
        <a:xfrm>
          <a:off x="1200150" y="5343525"/>
          <a:ext cx="276225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</xdr:col>
      <xdr:colOff>200608</xdr:colOff>
      <xdr:row>382</xdr:row>
      <xdr:rowOff>95638</xdr:rowOff>
    </xdr:from>
    <xdr:to>
      <xdr:col>2</xdr:col>
      <xdr:colOff>200608</xdr:colOff>
      <xdr:row>383</xdr:row>
      <xdr:rowOff>86113</xdr:rowOff>
    </xdr:to>
    <xdr:sp macro="" textlink="">
      <xdr:nvSpPr>
        <xdr:cNvPr id="270" name="Line 79"/>
        <xdr:cNvSpPr>
          <a:spLocks noChangeShapeType="1"/>
        </xdr:cNvSpPr>
      </xdr:nvSpPr>
      <xdr:spPr bwMode="auto">
        <a:xfrm>
          <a:off x="1429333" y="10220713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306938</xdr:colOff>
      <xdr:row>382</xdr:row>
      <xdr:rowOff>123825</xdr:rowOff>
    </xdr:from>
    <xdr:to>
      <xdr:col>8</xdr:col>
      <xdr:colOff>306938</xdr:colOff>
      <xdr:row>383</xdr:row>
      <xdr:rowOff>85725</xdr:rowOff>
    </xdr:to>
    <xdr:sp macro="" textlink="">
      <xdr:nvSpPr>
        <xdr:cNvPr id="271" name="Line 81"/>
        <xdr:cNvSpPr>
          <a:spLocks noChangeShapeType="1"/>
        </xdr:cNvSpPr>
      </xdr:nvSpPr>
      <xdr:spPr bwMode="auto">
        <a:xfrm>
          <a:off x="5231363" y="102489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17495</xdr:colOff>
      <xdr:row>382</xdr:row>
      <xdr:rowOff>163092</xdr:rowOff>
    </xdr:from>
    <xdr:to>
      <xdr:col>9</xdr:col>
      <xdr:colOff>17495</xdr:colOff>
      <xdr:row>383</xdr:row>
      <xdr:rowOff>105942</xdr:rowOff>
    </xdr:to>
    <xdr:sp macro="" textlink="">
      <xdr:nvSpPr>
        <xdr:cNvPr id="272" name="Line 82"/>
        <xdr:cNvSpPr>
          <a:spLocks noChangeShapeType="1"/>
        </xdr:cNvSpPr>
      </xdr:nvSpPr>
      <xdr:spPr bwMode="auto">
        <a:xfrm>
          <a:off x="5551520" y="10288167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229767</xdr:colOff>
      <xdr:row>382</xdr:row>
      <xdr:rowOff>193999</xdr:rowOff>
    </xdr:from>
    <xdr:to>
      <xdr:col>2</xdr:col>
      <xdr:colOff>191472</xdr:colOff>
      <xdr:row>382</xdr:row>
      <xdr:rowOff>193999</xdr:rowOff>
    </xdr:to>
    <xdr:sp macro="" textlink="">
      <xdr:nvSpPr>
        <xdr:cNvPr id="273" name="Line 83"/>
        <xdr:cNvSpPr>
          <a:spLocks noChangeShapeType="1"/>
        </xdr:cNvSpPr>
      </xdr:nvSpPr>
      <xdr:spPr bwMode="auto">
        <a:xfrm>
          <a:off x="839367" y="10319074"/>
          <a:ext cx="58083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1</xdr:col>
      <xdr:colOff>590550</xdr:colOff>
      <xdr:row>382</xdr:row>
      <xdr:rowOff>0</xdr:rowOff>
    </xdr:from>
    <xdr:ext cx="123825" cy="180975"/>
    <xdr:sp macro="" textlink="">
      <xdr:nvSpPr>
        <xdr:cNvPr id="274" name="Text Box 86"/>
        <xdr:cNvSpPr txBox="1">
          <a:spLocks noChangeArrowheads="1"/>
        </xdr:cNvSpPr>
      </xdr:nvSpPr>
      <xdr:spPr bwMode="auto">
        <a:xfrm>
          <a:off x="1200150" y="101250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</xdr:col>
      <xdr:colOff>361950</xdr:colOff>
      <xdr:row>382</xdr:row>
      <xdr:rowOff>0</xdr:rowOff>
    </xdr:from>
    <xdr:ext cx="123825" cy="180975"/>
    <xdr:sp macro="" textlink="">
      <xdr:nvSpPr>
        <xdr:cNvPr id="275" name="Text Box 87"/>
        <xdr:cNvSpPr txBox="1">
          <a:spLocks noChangeArrowheads="1"/>
        </xdr:cNvSpPr>
      </xdr:nvSpPr>
      <xdr:spPr bwMode="auto">
        <a:xfrm>
          <a:off x="3429000" y="101250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8</xdr:col>
      <xdr:colOff>571500</xdr:colOff>
      <xdr:row>382</xdr:row>
      <xdr:rowOff>0</xdr:rowOff>
    </xdr:from>
    <xdr:ext cx="123825" cy="180975"/>
    <xdr:sp macro="" textlink="">
      <xdr:nvSpPr>
        <xdr:cNvPr id="276" name="Text Box 88"/>
        <xdr:cNvSpPr txBox="1">
          <a:spLocks noChangeArrowheads="1"/>
        </xdr:cNvSpPr>
      </xdr:nvSpPr>
      <xdr:spPr bwMode="auto">
        <a:xfrm>
          <a:off x="5495925" y="101250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</xdr:col>
      <xdr:colOff>201774</xdr:colOff>
      <xdr:row>363</xdr:row>
      <xdr:rowOff>35379</xdr:rowOff>
    </xdr:from>
    <xdr:to>
      <xdr:col>3</xdr:col>
      <xdr:colOff>46652</xdr:colOff>
      <xdr:row>363</xdr:row>
      <xdr:rowOff>35379</xdr:rowOff>
    </xdr:to>
    <xdr:sp macro="" textlink="">
      <xdr:nvSpPr>
        <xdr:cNvPr id="279" name="Line 1012"/>
        <xdr:cNvSpPr>
          <a:spLocks noChangeShapeType="1"/>
        </xdr:cNvSpPr>
      </xdr:nvSpPr>
      <xdr:spPr bwMode="auto">
        <a:xfrm>
          <a:off x="1430499" y="6055179"/>
          <a:ext cx="45447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7</xdr:col>
      <xdr:colOff>333375</xdr:colOff>
      <xdr:row>367</xdr:row>
      <xdr:rowOff>0</xdr:rowOff>
    </xdr:from>
    <xdr:ext cx="123825" cy="180975"/>
    <xdr:sp macro="" textlink="">
      <xdr:nvSpPr>
        <xdr:cNvPr id="280" name="Text Box 1013"/>
        <xdr:cNvSpPr txBox="1">
          <a:spLocks noChangeArrowheads="1"/>
        </xdr:cNvSpPr>
      </xdr:nvSpPr>
      <xdr:spPr bwMode="auto">
        <a:xfrm>
          <a:off x="4648200" y="67246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7</xdr:col>
      <xdr:colOff>333375</xdr:colOff>
      <xdr:row>367</xdr:row>
      <xdr:rowOff>0</xdr:rowOff>
    </xdr:from>
    <xdr:ext cx="123825" cy="180975"/>
    <xdr:sp macro="" textlink="">
      <xdr:nvSpPr>
        <xdr:cNvPr id="281" name="Text Box 1014"/>
        <xdr:cNvSpPr txBox="1">
          <a:spLocks noChangeArrowheads="1"/>
        </xdr:cNvSpPr>
      </xdr:nvSpPr>
      <xdr:spPr bwMode="auto">
        <a:xfrm>
          <a:off x="4648200" y="67246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</xdr:col>
      <xdr:colOff>539750</xdr:colOff>
      <xdr:row>361</xdr:row>
      <xdr:rowOff>111125</xdr:rowOff>
    </xdr:from>
    <xdr:to>
      <xdr:col>6</xdr:col>
      <xdr:colOff>196850</xdr:colOff>
      <xdr:row>363</xdr:row>
      <xdr:rowOff>73025</xdr:rowOff>
    </xdr:to>
    <xdr:sp macro="" textlink="">
      <xdr:nvSpPr>
        <xdr:cNvPr id="282" name="Oval 1018"/>
        <xdr:cNvSpPr>
          <a:spLocks noChangeArrowheads="1"/>
        </xdr:cNvSpPr>
      </xdr:nvSpPr>
      <xdr:spPr bwMode="auto">
        <a:xfrm>
          <a:off x="3606800" y="5749925"/>
          <a:ext cx="295275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146050</xdr:colOff>
      <xdr:row>364</xdr:row>
      <xdr:rowOff>98425</xdr:rowOff>
    </xdr:from>
    <xdr:to>
      <xdr:col>8</xdr:col>
      <xdr:colOff>412750</xdr:colOff>
      <xdr:row>366</xdr:row>
      <xdr:rowOff>60325</xdr:rowOff>
    </xdr:to>
    <xdr:sp macro="" textlink="">
      <xdr:nvSpPr>
        <xdr:cNvPr id="283" name="Oval 1019"/>
        <xdr:cNvSpPr>
          <a:spLocks noChangeArrowheads="1"/>
        </xdr:cNvSpPr>
      </xdr:nvSpPr>
      <xdr:spPr bwMode="auto">
        <a:xfrm>
          <a:off x="5070475" y="62801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5</xdr:col>
      <xdr:colOff>542925</xdr:colOff>
      <xdr:row>379</xdr:row>
      <xdr:rowOff>95250</xdr:rowOff>
    </xdr:from>
    <xdr:to>
      <xdr:col>6</xdr:col>
      <xdr:colOff>200025</xdr:colOff>
      <xdr:row>381</xdr:row>
      <xdr:rowOff>57150</xdr:rowOff>
    </xdr:to>
    <xdr:sp macro="" textlink="">
      <xdr:nvSpPr>
        <xdr:cNvPr id="284" name="Oval 1020"/>
        <xdr:cNvSpPr>
          <a:spLocks noChangeArrowheads="1"/>
        </xdr:cNvSpPr>
      </xdr:nvSpPr>
      <xdr:spPr bwMode="auto">
        <a:xfrm>
          <a:off x="3609975" y="9648825"/>
          <a:ext cx="295275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590549</xdr:colOff>
      <xdr:row>377</xdr:row>
      <xdr:rowOff>150197</xdr:rowOff>
    </xdr:from>
    <xdr:to>
      <xdr:col>8</xdr:col>
      <xdr:colOff>244928</xdr:colOff>
      <xdr:row>379</xdr:row>
      <xdr:rowOff>93047</xdr:rowOff>
    </xdr:to>
    <xdr:sp macro="" textlink="">
      <xdr:nvSpPr>
        <xdr:cNvPr id="285" name="Oval 1021"/>
        <xdr:cNvSpPr>
          <a:spLocks noChangeArrowheads="1"/>
        </xdr:cNvSpPr>
      </xdr:nvSpPr>
      <xdr:spPr bwMode="auto">
        <a:xfrm>
          <a:off x="4905374" y="9322772"/>
          <a:ext cx="263979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4</xdr:col>
      <xdr:colOff>17496</xdr:colOff>
      <xdr:row>364</xdr:row>
      <xdr:rowOff>184669</xdr:rowOff>
    </xdr:from>
    <xdr:to>
      <xdr:col>4</xdr:col>
      <xdr:colOff>301302</xdr:colOff>
      <xdr:row>365</xdr:row>
      <xdr:rowOff>95637</xdr:rowOff>
    </xdr:to>
    <xdr:sp macro="" textlink="">
      <xdr:nvSpPr>
        <xdr:cNvPr id="288" name="Line 2153"/>
        <xdr:cNvSpPr>
          <a:spLocks noChangeShapeType="1"/>
        </xdr:cNvSpPr>
      </xdr:nvSpPr>
      <xdr:spPr bwMode="auto">
        <a:xfrm flipH="1">
          <a:off x="2474946" y="6366394"/>
          <a:ext cx="283806" cy="10146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342900</xdr:colOff>
      <xdr:row>378</xdr:row>
      <xdr:rowOff>57150</xdr:rowOff>
    </xdr:from>
    <xdr:to>
      <xdr:col>8</xdr:col>
      <xdr:colOff>342900</xdr:colOff>
      <xdr:row>379</xdr:row>
      <xdr:rowOff>19050</xdr:rowOff>
    </xdr:to>
    <xdr:sp macro="" textlink="">
      <xdr:nvSpPr>
        <xdr:cNvPr id="290" name="Line 4342"/>
        <xdr:cNvSpPr>
          <a:spLocks noChangeShapeType="1"/>
        </xdr:cNvSpPr>
      </xdr:nvSpPr>
      <xdr:spPr bwMode="auto">
        <a:xfrm>
          <a:off x="5267325" y="94202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342901</xdr:colOff>
      <xdr:row>378</xdr:row>
      <xdr:rowOff>181752</xdr:rowOff>
    </xdr:from>
    <xdr:to>
      <xdr:col>9</xdr:col>
      <xdr:colOff>9525</xdr:colOff>
      <xdr:row>378</xdr:row>
      <xdr:rowOff>181752</xdr:rowOff>
    </xdr:to>
    <xdr:sp macro="" textlink="">
      <xdr:nvSpPr>
        <xdr:cNvPr id="291" name="Line 4343"/>
        <xdr:cNvSpPr>
          <a:spLocks noChangeShapeType="1"/>
        </xdr:cNvSpPr>
      </xdr:nvSpPr>
      <xdr:spPr bwMode="auto">
        <a:xfrm>
          <a:off x="5267326" y="9544827"/>
          <a:ext cx="276224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0</xdr:col>
      <xdr:colOff>281862</xdr:colOff>
      <xdr:row>361</xdr:row>
      <xdr:rowOff>184668</xdr:rowOff>
    </xdr:from>
    <xdr:to>
      <xdr:col>1</xdr:col>
      <xdr:colOff>143264</xdr:colOff>
      <xdr:row>361</xdr:row>
      <xdr:rowOff>186062</xdr:rowOff>
    </xdr:to>
    <xdr:cxnSp macro="">
      <xdr:nvCxnSpPr>
        <xdr:cNvPr id="293" name="Straight Connector 292"/>
        <xdr:cNvCxnSpPr/>
      </xdr:nvCxnSpPr>
      <xdr:spPr bwMode="auto">
        <a:xfrm>
          <a:off x="281862" y="5823468"/>
          <a:ext cx="471002" cy="139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15147</xdr:colOff>
      <xdr:row>382</xdr:row>
      <xdr:rowOff>125398</xdr:rowOff>
    </xdr:from>
    <xdr:to>
      <xdr:col>9</xdr:col>
      <xdr:colOff>16735</xdr:colOff>
      <xdr:row>386</xdr:row>
      <xdr:rowOff>125397</xdr:rowOff>
    </xdr:to>
    <xdr:cxnSp macro="">
      <xdr:nvCxnSpPr>
        <xdr:cNvPr id="294" name="Straight Connector 293"/>
        <xdr:cNvCxnSpPr/>
      </xdr:nvCxnSpPr>
      <xdr:spPr bwMode="auto">
        <a:xfrm rot="5400000">
          <a:off x="5168966" y="10630679"/>
          <a:ext cx="761999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200608</xdr:colOff>
      <xdr:row>385</xdr:row>
      <xdr:rowOff>0</xdr:rowOff>
    </xdr:from>
    <xdr:to>
      <xdr:col>9</xdr:col>
      <xdr:colOff>0</xdr:colOff>
      <xdr:row>385</xdr:row>
      <xdr:rowOff>9721</xdr:rowOff>
    </xdr:to>
    <xdr:cxnSp macro="">
      <xdr:nvCxnSpPr>
        <xdr:cNvPr id="295" name="Straight Arrow Connector 294"/>
        <xdr:cNvCxnSpPr/>
      </xdr:nvCxnSpPr>
      <xdr:spPr bwMode="auto">
        <a:xfrm flipV="1">
          <a:off x="810208" y="10696575"/>
          <a:ext cx="4723817" cy="97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219270</xdr:colOff>
      <xdr:row>358</xdr:row>
      <xdr:rowOff>41795</xdr:rowOff>
    </xdr:from>
    <xdr:to>
      <xdr:col>8</xdr:col>
      <xdr:colOff>319963</xdr:colOff>
      <xdr:row>358</xdr:row>
      <xdr:rowOff>41795</xdr:rowOff>
    </xdr:to>
    <xdr:cxnSp macro="">
      <xdr:nvCxnSpPr>
        <xdr:cNvPr id="297" name="Straight Arrow Connector 296"/>
        <xdr:cNvCxnSpPr/>
      </xdr:nvCxnSpPr>
      <xdr:spPr bwMode="auto">
        <a:xfrm>
          <a:off x="828870" y="23663795"/>
          <a:ext cx="4367893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85725</xdr:colOff>
      <xdr:row>377</xdr:row>
      <xdr:rowOff>0</xdr:rowOff>
    </xdr:from>
    <xdr:to>
      <xdr:col>9</xdr:col>
      <xdr:colOff>571500</xdr:colOff>
      <xdr:row>377</xdr:row>
      <xdr:rowOff>1</xdr:rowOff>
    </xdr:to>
    <xdr:cxnSp macro="">
      <xdr:nvCxnSpPr>
        <xdr:cNvPr id="298" name="Straight Connector 297"/>
        <xdr:cNvCxnSpPr/>
      </xdr:nvCxnSpPr>
      <xdr:spPr bwMode="auto">
        <a:xfrm flipV="1">
          <a:off x="5572125" y="65065275"/>
          <a:ext cx="48577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150650</xdr:colOff>
      <xdr:row>377</xdr:row>
      <xdr:rowOff>795</xdr:rowOff>
    </xdr:from>
    <xdr:to>
      <xdr:col>9</xdr:col>
      <xdr:colOff>153195</xdr:colOff>
      <xdr:row>379</xdr:row>
      <xdr:rowOff>1</xdr:rowOff>
    </xdr:to>
    <xdr:cxnSp macro="">
      <xdr:nvCxnSpPr>
        <xdr:cNvPr id="299" name="Straight Arrow Connector 298"/>
        <xdr:cNvCxnSpPr/>
      </xdr:nvCxnSpPr>
      <xdr:spPr bwMode="auto">
        <a:xfrm rot="5400000">
          <a:off x="5462507" y="65240613"/>
          <a:ext cx="351631" cy="25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0</xdr:col>
      <xdr:colOff>95250</xdr:colOff>
      <xdr:row>373</xdr:row>
      <xdr:rowOff>190498</xdr:rowOff>
    </xdr:from>
    <xdr:to>
      <xdr:col>0</xdr:col>
      <xdr:colOff>552450</xdr:colOff>
      <xdr:row>373</xdr:row>
      <xdr:rowOff>190499</xdr:rowOff>
    </xdr:to>
    <xdr:cxnSp macro="">
      <xdr:nvCxnSpPr>
        <xdr:cNvPr id="300" name="Straight Connector 299"/>
        <xdr:cNvCxnSpPr/>
      </xdr:nvCxnSpPr>
      <xdr:spPr bwMode="auto">
        <a:xfrm rot="10800000" flipV="1">
          <a:off x="95250" y="8601073"/>
          <a:ext cx="45720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8731</xdr:colOff>
      <xdr:row>378</xdr:row>
      <xdr:rowOff>125202</xdr:rowOff>
    </xdr:from>
    <xdr:to>
      <xdr:col>9</xdr:col>
      <xdr:colOff>10319</xdr:colOff>
      <xdr:row>379</xdr:row>
      <xdr:rowOff>77577</xdr:rowOff>
    </xdr:to>
    <xdr:cxnSp macro="">
      <xdr:nvCxnSpPr>
        <xdr:cNvPr id="302" name="Straight Connector 301"/>
        <xdr:cNvCxnSpPr/>
      </xdr:nvCxnSpPr>
      <xdr:spPr bwMode="auto">
        <a:xfrm rot="5400000">
          <a:off x="5472112" y="9558921"/>
          <a:ext cx="1428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600075</xdr:colOff>
      <xdr:row>379</xdr:row>
      <xdr:rowOff>114300</xdr:rowOff>
    </xdr:from>
    <xdr:to>
      <xdr:col>4</xdr:col>
      <xdr:colOff>247650</xdr:colOff>
      <xdr:row>381</xdr:row>
      <xdr:rowOff>76200</xdr:rowOff>
    </xdr:to>
    <xdr:sp macro="" textlink="">
      <xdr:nvSpPr>
        <xdr:cNvPr id="303" name="Oval 1019"/>
        <xdr:cNvSpPr>
          <a:spLocks noChangeArrowheads="1"/>
        </xdr:cNvSpPr>
      </xdr:nvSpPr>
      <xdr:spPr bwMode="auto">
        <a:xfrm>
          <a:off x="2438400" y="966787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320743</xdr:colOff>
      <xdr:row>373</xdr:row>
      <xdr:rowOff>184670</xdr:rowOff>
    </xdr:from>
    <xdr:to>
      <xdr:col>2</xdr:col>
      <xdr:colOff>324437</xdr:colOff>
      <xdr:row>375</xdr:row>
      <xdr:rowOff>184671</xdr:rowOff>
    </xdr:to>
    <xdr:cxnSp macro="">
      <xdr:nvCxnSpPr>
        <xdr:cNvPr id="308" name="Straight Arrow Connector 307"/>
        <xdr:cNvCxnSpPr/>
      </xdr:nvCxnSpPr>
      <xdr:spPr bwMode="auto">
        <a:xfrm rot="5400000">
          <a:off x="1360814" y="8783899"/>
          <a:ext cx="381001" cy="36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4</xdr:col>
      <xdr:colOff>288860</xdr:colOff>
      <xdr:row>364</xdr:row>
      <xdr:rowOff>180975</xdr:rowOff>
    </xdr:from>
    <xdr:to>
      <xdr:col>5</xdr:col>
      <xdr:colOff>174560</xdr:colOff>
      <xdr:row>364</xdr:row>
      <xdr:rowOff>182563</xdr:rowOff>
    </xdr:to>
    <xdr:cxnSp macro="">
      <xdr:nvCxnSpPr>
        <xdr:cNvPr id="309" name="Straight Connector 308"/>
        <xdr:cNvCxnSpPr/>
      </xdr:nvCxnSpPr>
      <xdr:spPr bwMode="auto">
        <a:xfrm>
          <a:off x="2746310" y="6362700"/>
          <a:ext cx="495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171450</xdr:colOff>
      <xdr:row>390</xdr:row>
      <xdr:rowOff>85725</xdr:rowOff>
    </xdr:from>
    <xdr:to>
      <xdr:col>2</xdr:col>
      <xdr:colOff>142875</xdr:colOff>
      <xdr:row>392</xdr:row>
      <xdr:rowOff>9525</xdr:rowOff>
    </xdr:to>
    <xdr:sp macro="" textlink="">
      <xdr:nvSpPr>
        <xdr:cNvPr id="310" name="Line 15"/>
        <xdr:cNvSpPr>
          <a:spLocks noChangeShapeType="1"/>
        </xdr:cNvSpPr>
      </xdr:nvSpPr>
      <xdr:spPr bwMode="auto">
        <a:xfrm>
          <a:off x="781050" y="11734800"/>
          <a:ext cx="590550" cy="3048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133350</xdr:colOff>
      <xdr:row>391</xdr:row>
      <xdr:rowOff>95250</xdr:rowOff>
    </xdr:from>
    <xdr:to>
      <xdr:col>8</xdr:col>
      <xdr:colOff>200025</xdr:colOff>
      <xdr:row>392</xdr:row>
      <xdr:rowOff>0</xdr:rowOff>
    </xdr:to>
    <xdr:sp macro="" textlink="">
      <xdr:nvSpPr>
        <xdr:cNvPr id="311" name="Line 17"/>
        <xdr:cNvSpPr>
          <a:spLocks noChangeShapeType="1"/>
        </xdr:cNvSpPr>
      </xdr:nvSpPr>
      <xdr:spPr bwMode="auto">
        <a:xfrm flipV="1">
          <a:off x="1362075" y="11934825"/>
          <a:ext cx="3762375" cy="95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161925</xdr:colOff>
      <xdr:row>390</xdr:row>
      <xdr:rowOff>76200</xdr:rowOff>
    </xdr:from>
    <xdr:to>
      <xdr:col>9</xdr:col>
      <xdr:colOff>0</xdr:colOff>
      <xdr:row>390</xdr:row>
      <xdr:rowOff>85725</xdr:rowOff>
    </xdr:to>
    <xdr:sp macro="" textlink="">
      <xdr:nvSpPr>
        <xdr:cNvPr id="312" name="Line 19"/>
        <xdr:cNvSpPr>
          <a:spLocks noChangeShapeType="1"/>
        </xdr:cNvSpPr>
      </xdr:nvSpPr>
      <xdr:spPr bwMode="auto">
        <a:xfrm flipH="1" flipV="1">
          <a:off x="1390650" y="11725275"/>
          <a:ext cx="41433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180974</xdr:colOff>
      <xdr:row>388</xdr:row>
      <xdr:rowOff>142874</xdr:rowOff>
    </xdr:from>
    <xdr:to>
      <xdr:col>2</xdr:col>
      <xdr:colOff>152399</xdr:colOff>
      <xdr:row>390</xdr:row>
      <xdr:rowOff>76199</xdr:rowOff>
    </xdr:to>
    <xdr:sp macro="" textlink="">
      <xdr:nvSpPr>
        <xdr:cNvPr id="313" name="Line 20"/>
        <xdr:cNvSpPr>
          <a:spLocks noChangeShapeType="1"/>
        </xdr:cNvSpPr>
      </xdr:nvSpPr>
      <xdr:spPr bwMode="auto">
        <a:xfrm flipH="1" flipV="1">
          <a:off x="790574" y="60474224"/>
          <a:ext cx="581025" cy="2571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600075</xdr:colOff>
      <xdr:row>390</xdr:row>
      <xdr:rowOff>76200</xdr:rowOff>
    </xdr:from>
    <xdr:to>
      <xdr:col>8</xdr:col>
      <xdr:colOff>600075</xdr:colOff>
      <xdr:row>393</xdr:row>
      <xdr:rowOff>9525</xdr:rowOff>
    </xdr:to>
    <xdr:sp macro="" textlink="">
      <xdr:nvSpPr>
        <xdr:cNvPr id="314" name="Line 21"/>
        <xdr:cNvSpPr>
          <a:spLocks noChangeShapeType="1"/>
        </xdr:cNvSpPr>
      </xdr:nvSpPr>
      <xdr:spPr bwMode="auto">
        <a:xfrm flipH="1">
          <a:off x="5524500" y="11725275"/>
          <a:ext cx="0" cy="5048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200025</xdr:colOff>
      <xdr:row>391</xdr:row>
      <xdr:rowOff>114300</xdr:rowOff>
    </xdr:from>
    <xdr:to>
      <xdr:col>8</xdr:col>
      <xdr:colOff>409575</xdr:colOff>
      <xdr:row>393</xdr:row>
      <xdr:rowOff>9525</xdr:rowOff>
    </xdr:to>
    <xdr:sp macro="" textlink="">
      <xdr:nvSpPr>
        <xdr:cNvPr id="315" name="Line 22"/>
        <xdr:cNvSpPr>
          <a:spLocks noChangeShapeType="1"/>
        </xdr:cNvSpPr>
      </xdr:nvSpPr>
      <xdr:spPr bwMode="auto">
        <a:xfrm>
          <a:off x="5124450" y="11953875"/>
          <a:ext cx="209550" cy="2762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590550</xdr:colOff>
      <xdr:row>390</xdr:row>
      <xdr:rowOff>85725</xdr:rowOff>
    </xdr:from>
    <xdr:to>
      <xdr:col>1</xdr:col>
      <xdr:colOff>95250</xdr:colOff>
      <xdr:row>390</xdr:row>
      <xdr:rowOff>85725</xdr:rowOff>
    </xdr:to>
    <xdr:sp macro="" textlink="">
      <xdr:nvSpPr>
        <xdr:cNvPr id="316" name="Line 61"/>
        <xdr:cNvSpPr>
          <a:spLocks noChangeShapeType="1"/>
        </xdr:cNvSpPr>
      </xdr:nvSpPr>
      <xdr:spPr bwMode="auto">
        <a:xfrm flipV="1">
          <a:off x="590550" y="1173480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133350</xdr:colOff>
      <xdr:row>389</xdr:row>
      <xdr:rowOff>47625</xdr:rowOff>
    </xdr:from>
    <xdr:to>
      <xdr:col>2</xdr:col>
      <xdr:colOff>133350</xdr:colOff>
      <xdr:row>390</xdr:row>
      <xdr:rowOff>76200</xdr:rowOff>
    </xdr:to>
    <xdr:sp macro="" textlink="">
      <xdr:nvSpPr>
        <xdr:cNvPr id="317" name="Line 64"/>
        <xdr:cNvSpPr>
          <a:spLocks noChangeShapeType="1"/>
        </xdr:cNvSpPr>
      </xdr:nvSpPr>
      <xdr:spPr bwMode="auto">
        <a:xfrm flipH="1">
          <a:off x="1362075" y="11506200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8</xdr:col>
      <xdr:colOff>410369</xdr:colOff>
      <xdr:row>393</xdr:row>
      <xdr:rowOff>8731</xdr:rowOff>
    </xdr:from>
    <xdr:to>
      <xdr:col>8</xdr:col>
      <xdr:colOff>600869</xdr:colOff>
      <xdr:row>393</xdr:row>
      <xdr:rowOff>10319</xdr:rowOff>
    </xdr:to>
    <xdr:cxnSp macro="">
      <xdr:nvCxnSpPr>
        <xdr:cNvPr id="318" name="Straight Connector 317"/>
        <xdr:cNvCxnSpPr>
          <a:stCxn id="315" idx="1"/>
          <a:endCxn id="314" idx="1"/>
        </xdr:cNvCxnSpPr>
      </xdr:nvCxnSpPr>
      <xdr:spPr bwMode="auto">
        <a:xfrm rot="5400000" flipH="1" flipV="1">
          <a:off x="5429250" y="12134850"/>
          <a:ext cx="1588" cy="1905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161925</xdr:colOff>
      <xdr:row>388</xdr:row>
      <xdr:rowOff>133351</xdr:rowOff>
    </xdr:from>
    <xdr:to>
      <xdr:col>1</xdr:col>
      <xdr:colOff>171450</xdr:colOff>
      <xdr:row>390</xdr:row>
      <xdr:rowOff>76201</xdr:rowOff>
    </xdr:to>
    <xdr:cxnSp macro="">
      <xdr:nvCxnSpPr>
        <xdr:cNvPr id="319" name="Straight Connector 318"/>
        <xdr:cNvCxnSpPr/>
      </xdr:nvCxnSpPr>
      <xdr:spPr bwMode="auto">
        <a:xfrm rot="5400000">
          <a:off x="614363" y="11558588"/>
          <a:ext cx="323850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0</xdr:col>
      <xdr:colOff>561975</xdr:colOff>
      <xdr:row>388</xdr:row>
      <xdr:rowOff>114300</xdr:rowOff>
    </xdr:from>
    <xdr:to>
      <xdr:col>1</xdr:col>
      <xdr:colOff>133350</xdr:colOff>
      <xdr:row>388</xdr:row>
      <xdr:rowOff>115888</xdr:rowOff>
    </xdr:to>
    <xdr:cxnSp macro="">
      <xdr:nvCxnSpPr>
        <xdr:cNvPr id="320" name="Straight Connector 319"/>
        <xdr:cNvCxnSpPr/>
      </xdr:nvCxnSpPr>
      <xdr:spPr bwMode="auto">
        <a:xfrm>
          <a:off x="561975" y="11382375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57150</xdr:colOff>
      <xdr:row>388</xdr:row>
      <xdr:rowOff>133350</xdr:rowOff>
    </xdr:from>
    <xdr:to>
      <xdr:col>1</xdr:col>
      <xdr:colOff>57152</xdr:colOff>
      <xdr:row>390</xdr:row>
      <xdr:rowOff>66675</xdr:rowOff>
    </xdr:to>
    <xdr:cxnSp macro="">
      <xdr:nvCxnSpPr>
        <xdr:cNvPr id="321" name="Straight Arrow Connector 320"/>
        <xdr:cNvCxnSpPr/>
      </xdr:nvCxnSpPr>
      <xdr:spPr bwMode="auto">
        <a:xfrm rot="16200000" flipH="1">
          <a:off x="509588" y="11558587"/>
          <a:ext cx="3143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sm"/>
          <a:tailEnd type="triangle" w="med" len="sm"/>
        </a:ln>
        <a:effectLst/>
      </xdr:spPr>
    </xdr:cxnSp>
    <xdr:clientData/>
  </xdr:twoCellAnchor>
  <xdr:twoCellAnchor>
    <xdr:from>
      <xdr:col>2</xdr:col>
      <xdr:colOff>132557</xdr:colOff>
      <xdr:row>392</xdr:row>
      <xdr:rowOff>794</xdr:rowOff>
    </xdr:from>
    <xdr:to>
      <xdr:col>2</xdr:col>
      <xdr:colOff>134145</xdr:colOff>
      <xdr:row>393</xdr:row>
      <xdr:rowOff>76994</xdr:rowOff>
    </xdr:to>
    <xdr:cxnSp macro="">
      <xdr:nvCxnSpPr>
        <xdr:cNvPr id="322" name="Straight Arrow Connector 321"/>
        <xdr:cNvCxnSpPr>
          <a:endCxn id="311" idx="0"/>
        </xdr:cNvCxnSpPr>
      </xdr:nvCxnSpPr>
      <xdr:spPr bwMode="auto">
        <a:xfrm rot="5400000" flipH="1" flipV="1">
          <a:off x="1228726" y="12163425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133350</xdr:colOff>
      <xdr:row>393</xdr:row>
      <xdr:rowOff>66675</xdr:rowOff>
    </xdr:from>
    <xdr:to>
      <xdr:col>2</xdr:col>
      <xdr:colOff>285750</xdr:colOff>
      <xdr:row>393</xdr:row>
      <xdr:rowOff>68263</xdr:rowOff>
    </xdr:to>
    <xdr:cxnSp macro="">
      <xdr:nvCxnSpPr>
        <xdr:cNvPr id="323" name="Straight Connector 322"/>
        <xdr:cNvCxnSpPr/>
      </xdr:nvCxnSpPr>
      <xdr:spPr bwMode="auto">
        <a:xfrm>
          <a:off x="1362075" y="12287250"/>
          <a:ext cx="1524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313531</xdr:colOff>
      <xdr:row>389</xdr:row>
      <xdr:rowOff>1</xdr:rowOff>
    </xdr:from>
    <xdr:to>
      <xdr:col>8</xdr:col>
      <xdr:colOff>323850</xdr:colOff>
      <xdr:row>390</xdr:row>
      <xdr:rowOff>76997</xdr:rowOff>
    </xdr:to>
    <xdr:cxnSp macro="">
      <xdr:nvCxnSpPr>
        <xdr:cNvPr id="324" name="Straight Arrow Connector 323"/>
        <xdr:cNvCxnSpPr/>
      </xdr:nvCxnSpPr>
      <xdr:spPr bwMode="auto">
        <a:xfrm rot="5400000" flipH="1" flipV="1">
          <a:off x="5109368" y="11587164"/>
          <a:ext cx="267496" cy="1031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6</xdr:col>
      <xdr:colOff>57151</xdr:colOff>
      <xdr:row>393</xdr:row>
      <xdr:rowOff>76200</xdr:rowOff>
    </xdr:from>
    <xdr:to>
      <xdr:col>6</xdr:col>
      <xdr:colOff>257176</xdr:colOff>
      <xdr:row>393</xdr:row>
      <xdr:rowOff>77788</xdr:rowOff>
    </xdr:to>
    <xdr:cxnSp macro="">
      <xdr:nvCxnSpPr>
        <xdr:cNvPr id="325" name="Straight Connector 324"/>
        <xdr:cNvCxnSpPr/>
      </xdr:nvCxnSpPr>
      <xdr:spPr bwMode="auto">
        <a:xfrm rot="10800000">
          <a:off x="3762376" y="12296775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46832</xdr:colOff>
      <xdr:row>391</xdr:row>
      <xdr:rowOff>134144</xdr:rowOff>
    </xdr:from>
    <xdr:to>
      <xdr:col>6</xdr:col>
      <xdr:colOff>48420</xdr:colOff>
      <xdr:row>393</xdr:row>
      <xdr:rowOff>86519</xdr:rowOff>
    </xdr:to>
    <xdr:cxnSp macro="">
      <xdr:nvCxnSpPr>
        <xdr:cNvPr id="326" name="Straight Arrow Connector 325"/>
        <xdr:cNvCxnSpPr/>
      </xdr:nvCxnSpPr>
      <xdr:spPr bwMode="auto">
        <a:xfrm rot="5400000" flipH="1" flipV="1">
          <a:off x="3586163" y="12139613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37306</xdr:colOff>
      <xdr:row>389</xdr:row>
      <xdr:rowOff>19844</xdr:rowOff>
    </xdr:from>
    <xdr:to>
      <xdr:col>6</xdr:col>
      <xdr:colOff>38894</xdr:colOff>
      <xdr:row>390</xdr:row>
      <xdr:rowOff>86519</xdr:rowOff>
    </xdr:to>
    <xdr:cxnSp macro="">
      <xdr:nvCxnSpPr>
        <xdr:cNvPr id="327" name="Straight Arrow Connector 326"/>
        <xdr:cNvCxnSpPr/>
      </xdr:nvCxnSpPr>
      <xdr:spPr bwMode="auto">
        <a:xfrm rot="5400000" flipH="1" flipV="1">
          <a:off x="3614737" y="11606213"/>
          <a:ext cx="2571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8</xdr:col>
      <xdr:colOff>199232</xdr:colOff>
      <xdr:row>391</xdr:row>
      <xdr:rowOff>96044</xdr:rowOff>
    </xdr:from>
    <xdr:to>
      <xdr:col>8</xdr:col>
      <xdr:colOff>200820</xdr:colOff>
      <xdr:row>393</xdr:row>
      <xdr:rowOff>10319</xdr:rowOff>
    </xdr:to>
    <xdr:cxnSp macro="">
      <xdr:nvCxnSpPr>
        <xdr:cNvPr id="328" name="Straight Arrow Connector 327"/>
        <xdr:cNvCxnSpPr>
          <a:endCxn id="311" idx="1"/>
        </xdr:cNvCxnSpPr>
      </xdr:nvCxnSpPr>
      <xdr:spPr bwMode="auto">
        <a:xfrm rot="5400000" flipH="1" flipV="1">
          <a:off x="4976813" y="12082463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19051</xdr:colOff>
      <xdr:row>393</xdr:row>
      <xdr:rowOff>57150</xdr:rowOff>
    </xdr:from>
    <xdr:to>
      <xdr:col>4</xdr:col>
      <xdr:colOff>219076</xdr:colOff>
      <xdr:row>393</xdr:row>
      <xdr:rowOff>58738</xdr:rowOff>
    </xdr:to>
    <xdr:cxnSp macro="">
      <xdr:nvCxnSpPr>
        <xdr:cNvPr id="329" name="Straight Connector 328"/>
        <xdr:cNvCxnSpPr/>
      </xdr:nvCxnSpPr>
      <xdr:spPr bwMode="auto">
        <a:xfrm rot="10800000">
          <a:off x="2476501" y="12277725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19050</xdr:colOff>
      <xdr:row>392</xdr:row>
      <xdr:rowOff>0</xdr:rowOff>
    </xdr:from>
    <xdr:to>
      <xdr:col>4</xdr:col>
      <xdr:colOff>20638</xdr:colOff>
      <xdr:row>393</xdr:row>
      <xdr:rowOff>76200</xdr:rowOff>
    </xdr:to>
    <xdr:cxnSp macro="">
      <xdr:nvCxnSpPr>
        <xdr:cNvPr id="330" name="Straight Arrow Connector 329"/>
        <xdr:cNvCxnSpPr/>
      </xdr:nvCxnSpPr>
      <xdr:spPr bwMode="auto">
        <a:xfrm rot="5400000" flipH="1" flipV="1">
          <a:off x="2343944" y="12162631"/>
          <a:ext cx="266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142877</xdr:colOff>
      <xdr:row>390</xdr:row>
      <xdr:rowOff>142875</xdr:rowOff>
    </xdr:from>
    <xdr:to>
      <xdr:col>1</xdr:col>
      <xdr:colOff>144465</xdr:colOff>
      <xdr:row>392</xdr:row>
      <xdr:rowOff>95250</xdr:rowOff>
    </xdr:to>
    <xdr:cxnSp macro="">
      <xdr:nvCxnSpPr>
        <xdr:cNvPr id="331" name="Straight Arrow Connector 330"/>
        <xdr:cNvCxnSpPr/>
      </xdr:nvCxnSpPr>
      <xdr:spPr bwMode="auto">
        <a:xfrm rot="5400000" flipH="1" flipV="1">
          <a:off x="586583" y="11957844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542925</xdr:colOff>
      <xdr:row>392</xdr:row>
      <xdr:rowOff>95250</xdr:rowOff>
    </xdr:from>
    <xdr:to>
      <xdr:col>1</xdr:col>
      <xdr:colOff>133350</xdr:colOff>
      <xdr:row>392</xdr:row>
      <xdr:rowOff>96838</xdr:rowOff>
    </xdr:to>
    <xdr:cxnSp macro="">
      <xdr:nvCxnSpPr>
        <xdr:cNvPr id="332" name="Straight Connector 331"/>
        <xdr:cNvCxnSpPr/>
      </xdr:nvCxnSpPr>
      <xdr:spPr bwMode="auto">
        <a:xfrm rot="10800000">
          <a:off x="542925" y="12125325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9526</xdr:colOff>
      <xdr:row>388</xdr:row>
      <xdr:rowOff>171450</xdr:rowOff>
    </xdr:from>
    <xdr:to>
      <xdr:col>4</xdr:col>
      <xdr:colOff>11114</xdr:colOff>
      <xdr:row>390</xdr:row>
      <xdr:rowOff>47625</xdr:rowOff>
    </xdr:to>
    <xdr:cxnSp macro="">
      <xdr:nvCxnSpPr>
        <xdr:cNvPr id="333" name="Straight Arrow Connector 332"/>
        <xdr:cNvCxnSpPr/>
      </xdr:nvCxnSpPr>
      <xdr:spPr bwMode="auto">
        <a:xfrm rot="5400000" flipH="1" flipV="1">
          <a:off x="2339182" y="11567319"/>
          <a:ext cx="2571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</xdr:cxnSp>
    <xdr:clientData/>
  </xdr:twoCellAnchor>
  <xdr:twoCellAnchor>
    <xdr:from>
      <xdr:col>9</xdr:col>
      <xdr:colOff>103982</xdr:colOff>
      <xdr:row>390</xdr:row>
      <xdr:rowOff>96043</xdr:rowOff>
    </xdr:from>
    <xdr:to>
      <xdr:col>9</xdr:col>
      <xdr:colOff>105570</xdr:colOff>
      <xdr:row>391</xdr:row>
      <xdr:rowOff>143668</xdr:rowOff>
    </xdr:to>
    <xdr:cxnSp macro="">
      <xdr:nvCxnSpPr>
        <xdr:cNvPr id="334" name="Straight Arrow Connector 333"/>
        <xdr:cNvCxnSpPr/>
      </xdr:nvCxnSpPr>
      <xdr:spPr bwMode="auto">
        <a:xfrm rot="5400000">
          <a:off x="5519738" y="11863387"/>
          <a:ext cx="238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9</xdr:col>
      <xdr:colOff>47625</xdr:colOff>
      <xdr:row>390</xdr:row>
      <xdr:rowOff>85725</xdr:rowOff>
    </xdr:from>
    <xdr:to>
      <xdr:col>9</xdr:col>
      <xdr:colOff>247650</xdr:colOff>
      <xdr:row>390</xdr:row>
      <xdr:rowOff>87313</xdr:rowOff>
    </xdr:to>
    <xdr:cxnSp macro="">
      <xdr:nvCxnSpPr>
        <xdr:cNvPr id="335" name="Straight Connector 334"/>
        <xdr:cNvCxnSpPr/>
      </xdr:nvCxnSpPr>
      <xdr:spPr bwMode="auto">
        <a:xfrm>
          <a:off x="5581650" y="11734800"/>
          <a:ext cx="2000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66675</xdr:colOff>
      <xdr:row>391</xdr:row>
      <xdr:rowOff>133350</xdr:rowOff>
    </xdr:from>
    <xdr:to>
      <xdr:col>9</xdr:col>
      <xdr:colOff>247650</xdr:colOff>
      <xdr:row>391</xdr:row>
      <xdr:rowOff>134938</xdr:rowOff>
    </xdr:to>
    <xdr:cxnSp macro="">
      <xdr:nvCxnSpPr>
        <xdr:cNvPr id="336" name="Straight Connector 335"/>
        <xdr:cNvCxnSpPr/>
      </xdr:nvCxnSpPr>
      <xdr:spPr bwMode="auto">
        <a:xfrm>
          <a:off x="5600700" y="11972925"/>
          <a:ext cx="180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608806</xdr:colOff>
      <xdr:row>394</xdr:row>
      <xdr:rowOff>10319</xdr:rowOff>
    </xdr:from>
    <xdr:to>
      <xdr:col>9</xdr:col>
      <xdr:colOff>794</xdr:colOff>
      <xdr:row>395</xdr:row>
      <xdr:rowOff>105569</xdr:rowOff>
    </xdr:to>
    <xdr:cxnSp macro="">
      <xdr:nvCxnSpPr>
        <xdr:cNvPr id="337" name="Straight Connector 336"/>
        <xdr:cNvCxnSpPr/>
      </xdr:nvCxnSpPr>
      <xdr:spPr bwMode="auto">
        <a:xfrm rot="5400000">
          <a:off x="5391150" y="12563475"/>
          <a:ext cx="2857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200025</xdr:colOff>
      <xdr:row>394</xdr:row>
      <xdr:rowOff>19050</xdr:rowOff>
    </xdr:from>
    <xdr:to>
      <xdr:col>8</xdr:col>
      <xdr:colOff>201613</xdr:colOff>
      <xdr:row>395</xdr:row>
      <xdr:rowOff>114300</xdr:rowOff>
    </xdr:to>
    <xdr:cxnSp macro="">
      <xdr:nvCxnSpPr>
        <xdr:cNvPr id="338" name="Straight Connector 337"/>
        <xdr:cNvCxnSpPr/>
      </xdr:nvCxnSpPr>
      <xdr:spPr bwMode="auto">
        <a:xfrm rot="5400000">
          <a:off x="4982369" y="12572206"/>
          <a:ext cx="2857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200025</xdr:colOff>
      <xdr:row>394</xdr:row>
      <xdr:rowOff>133350</xdr:rowOff>
    </xdr:from>
    <xdr:to>
      <xdr:col>9</xdr:col>
      <xdr:colOff>0</xdr:colOff>
      <xdr:row>394</xdr:row>
      <xdr:rowOff>134938</xdr:rowOff>
    </xdr:to>
    <xdr:cxnSp macro="">
      <xdr:nvCxnSpPr>
        <xdr:cNvPr id="339" name="Straight Arrow Connector 338"/>
        <xdr:cNvCxnSpPr/>
      </xdr:nvCxnSpPr>
      <xdr:spPr bwMode="auto">
        <a:xfrm>
          <a:off x="5124450" y="12544425"/>
          <a:ext cx="4095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2</xdr:col>
      <xdr:colOff>123825</xdr:colOff>
      <xdr:row>394</xdr:row>
      <xdr:rowOff>19050</xdr:rowOff>
    </xdr:from>
    <xdr:to>
      <xdr:col>2</xdr:col>
      <xdr:colOff>125413</xdr:colOff>
      <xdr:row>395</xdr:row>
      <xdr:rowOff>114300</xdr:rowOff>
    </xdr:to>
    <xdr:cxnSp macro="">
      <xdr:nvCxnSpPr>
        <xdr:cNvPr id="340" name="Straight Connector 339"/>
        <xdr:cNvCxnSpPr/>
      </xdr:nvCxnSpPr>
      <xdr:spPr bwMode="auto">
        <a:xfrm rot="5400000">
          <a:off x="1210469" y="12572206"/>
          <a:ext cx="2857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123825</xdr:colOff>
      <xdr:row>394</xdr:row>
      <xdr:rowOff>114300</xdr:rowOff>
    </xdr:from>
    <xdr:to>
      <xdr:col>8</xdr:col>
      <xdr:colOff>209550</xdr:colOff>
      <xdr:row>394</xdr:row>
      <xdr:rowOff>144463</xdr:rowOff>
    </xdr:to>
    <xdr:cxnSp macro="">
      <xdr:nvCxnSpPr>
        <xdr:cNvPr id="341" name="Straight Arrow Connector 340"/>
        <xdr:cNvCxnSpPr/>
      </xdr:nvCxnSpPr>
      <xdr:spPr bwMode="auto">
        <a:xfrm>
          <a:off x="1352550" y="12525375"/>
          <a:ext cx="3781425" cy="3016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2</xdr:col>
      <xdr:colOff>200025</xdr:colOff>
      <xdr:row>374</xdr:row>
      <xdr:rowOff>9525</xdr:rowOff>
    </xdr:from>
    <xdr:to>
      <xdr:col>2</xdr:col>
      <xdr:colOff>457200</xdr:colOff>
      <xdr:row>374</xdr:row>
      <xdr:rowOff>11113</xdr:rowOff>
    </xdr:to>
    <xdr:cxnSp macro="">
      <xdr:nvCxnSpPr>
        <xdr:cNvPr id="342" name="Straight Connector 341"/>
        <xdr:cNvCxnSpPr/>
      </xdr:nvCxnSpPr>
      <xdr:spPr bwMode="auto">
        <a:xfrm>
          <a:off x="1428750" y="8610600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123828</xdr:colOff>
      <xdr:row>386</xdr:row>
      <xdr:rowOff>180975</xdr:rowOff>
    </xdr:from>
    <xdr:to>
      <xdr:col>4</xdr:col>
      <xdr:colOff>9526</xdr:colOff>
      <xdr:row>386</xdr:row>
      <xdr:rowOff>190499</xdr:rowOff>
    </xdr:to>
    <xdr:cxnSp macro="">
      <xdr:nvCxnSpPr>
        <xdr:cNvPr id="345" name="Straight Connector 344"/>
        <xdr:cNvCxnSpPr/>
      </xdr:nvCxnSpPr>
      <xdr:spPr bwMode="auto">
        <a:xfrm rot="10800000" flipV="1">
          <a:off x="1352553" y="11068050"/>
          <a:ext cx="1114423" cy="9524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113506</xdr:colOff>
      <xdr:row>386</xdr:row>
      <xdr:rowOff>19844</xdr:rowOff>
    </xdr:from>
    <xdr:to>
      <xdr:col>2</xdr:col>
      <xdr:colOff>115094</xdr:colOff>
      <xdr:row>387</xdr:row>
      <xdr:rowOff>153194</xdr:rowOff>
    </xdr:to>
    <xdr:cxnSp macro="">
      <xdr:nvCxnSpPr>
        <xdr:cNvPr id="346" name="Straight Connector 345"/>
        <xdr:cNvCxnSpPr/>
      </xdr:nvCxnSpPr>
      <xdr:spPr bwMode="auto">
        <a:xfrm rot="5400000">
          <a:off x="1181100" y="11068050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28575</xdr:colOff>
      <xdr:row>386</xdr:row>
      <xdr:rowOff>28575</xdr:rowOff>
    </xdr:from>
    <xdr:to>
      <xdr:col>6</xdr:col>
      <xdr:colOff>30163</xdr:colOff>
      <xdr:row>387</xdr:row>
      <xdr:rowOff>161925</xdr:rowOff>
    </xdr:to>
    <xdr:cxnSp macro="">
      <xdr:nvCxnSpPr>
        <xdr:cNvPr id="347" name="Straight Connector 346"/>
        <xdr:cNvCxnSpPr/>
      </xdr:nvCxnSpPr>
      <xdr:spPr bwMode="auto">
        <a:xfrm rot="5400000">
          <a:off x="3572669" y="1107678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314325</xdr:colOff>
      <xdr:row>386</xdr:row>
      <xdr:rowOff>47625</xdr:rowOff>
    </xdr:from>
    <xdr:to>
      <xdr:col>8</xdr:col>
      <xdr:colOff>315913</xdr:colOff>
      <xdr:row>387</xdr:row>
      <xdr:rowOff>180975</xdr:rowOff>
    </xdr:to>
    <xdr:cxnSp macro="">
      <xdr:nvCxnSpPr>
        <xdr:cNvPr id="348" name="Straight Connector 347"/>
        <xdr:cNvCxnSpPr/>
      </xdr:nvCxnSpPr>
      <xdr:spPr bwMode="auto">
        <a:xfrm rot="5400000">
          <a:off x="5077619" y="1109583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</xdr:colOff>
      <xdr:row>386</xdr:row>
      <xdr:rowOff>47625</xdr:rowOff>
    </xdr:from>
    <xdr:to>
      <xdr:col>4</xdr:col>
      <xdr:colOff>11113</xdr:colOff>
      <xdr:row>387</xdr:row>
      <xdr:rowOff>180975</xdr:rowOff>
    </xdr:to>
    <xdr:cxnSp macro="">
      <xdr:nvCxnSpPr>
        <xdr:cNvPr id="349" name="Straight Connector 348"/>
        <xdr:cNvCxnSpPr/>
      </xdr:nvCxnSpPr>
      <xdr:spPr bwMode="auto">
        <a:xfrm rot="5400000">
          <a:off x="2305844" y="11095831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19052</xdr:colOff>
      <xdr:row>387</xdr:row>
      <xdr:rowOff>0</xdr:rowOff>
    </xdr:from>
    <xdr:to>
      <xdr:col>8</xdr:col>
      <xdr:colOff>304800</xdr:colOff>
      <xdr:row>387</xdr:row>
      <xdr:rowOff>1588</xdr:rowOff>
    </xdr:to>
    <xdr:cxnSp macro="">
      <xdr:nvCxnSpPr>
        <xdr:cNvPr id="350" name="Straight Connector 349"/>
        <xdr:cNvCxnSpPr/>
      </xdr:nvCxnSpPr>
      <xdr:spPr bwMode="auto">
        <a:xfrm rot="10800000">
          <a:off x="3724277" y="11077575"/>
          <a:ext cx="1504948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9526</xdr:colOff>
      <xdr:row>387</xdr:row>
      <xdr:rowOff>1</xdr:rowOff>
    </xdr:from>
    <xdr:to>
      <xdr:col>6</xdr:col>
      <xdr:colOff>28576</xdr:colOff>
      <xdr:row>387</xdr:row>
      <xdr:rowOff>9526</xdr:rowOff>
    </xdr:to>
    <xdr:cxnSp macro="">
      <xdr:nvCxnSpPr>
        <xdr:cNvPr id="351" name="Straight Connector 350"/>
        <xdr:cNvCxnSpPr/>
      </xdr:nvCxnSpPr>
      <xdr:spPr bwMode="auto">
        <a:xfrm rot="10800000">
          <a:off x="2466976" y="11077576"/>
          <a:ext cx="12668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0</xdr:colOff>
      <xdr:row>386</xdr:row>
      <xdr:rowOff>76200</xdr:rowOff>
    </xdr:from>
    <xdr:to>
      <xdr:col>9</xdr:col>
      <xdr:colOff>1588</xdr:colOff>
      <xdr:row>388</xdr:row>
      <xdr:rowOff>19050</xdr:rowOff>
    </xdr:to>
    <xdr:cxnSp macro="">
      <xdr:nvCxnSpPr>
        <xdr:cNvPr id="352" name="Straight Connector 351"/>
        <xdr:cNvCxnSpPr/>
      </xdr:nvCxnSpPr>
      <xdr:spPr bwMode="auto">
        <a:xfrm rot="5400000">
          <a:off x="5372894" y="11124406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196297</xdr:colOff>
      <xdr:row>375</xdr:row>
      <xdr:rowOff>185116</xdr:rowOff>
    </xdr:from>
    <xdr:to>
      <xdr:col>2</xdr:col>
      <xdr:colOff>167722</xdr:colOff>
      <xdr:row>377</xdr:row>
      <xdr:rowOff>108916</xdr:rowOff>
    </xdr:to>
    <xdr:sp macro="" textlink="">
      <xdr:nvSpPr>
        <xdr:cNvPr id="354" name="Line 15"/>
        <xdr:cNvSpPr>
          <a:spLocks noChangeShapeType="1"/>
        </xdr:cNvSpPr>
      </xdr:nvSpPr>
      <xdr:spPr bwMode="auto">
        <a:xfrm>
          <a:off x="805897" y="8976691"/>
          <a:ext cx="590550" cy="3048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158197</xdr:colOff>
      <xdr:row>377</xdr:row>
      <xdr:rowOff>4141</xdr:rowOff>
    </xdr:from>
    <xdr:to>
      <xdr:col>8</xdr:col>
      <xdr:colOff>224872</xdr:colOff>
      <xdr:row>377</xdr:row>
      <xdr:rowOff>99391</xdr:rowOff>
    </xdr:to>
    <xdr:sp macro="" textlink="">
      <xdr:nvSpPr>
        <xdr:cNvPr id="355" name="Line 17"/>
        <xdr:cNvSpPr>
          <a:spLocks noChangeShapeType="1"/>
        </xdr:cNvSpPr>
      </xdr:nvSpPr>
      <xdr:spPr bwMode="auto">
        <a:xfrm flipV="1">
          <a:off x="1386922" y="9176716"/>
          <a:ext cx="3762375" cy="952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186772</xdr:colOff>
      <xdr:row>375</xdr:row>
      <xdr:rowOff>175591</xdr:rowOff>
    </xdr:from>
    <xdr:to>
      <xdr:col>9</xdr:col>
      <xdr:colOff>24847</xdr:colOff>
      <xdr:row>375</xdr:row>
      <xdr:rowOff>185116</xdr:rowOff>
    </xdr:to>
    <xdr:sp macro="" textlink="">
      <xdr:nvSpPr>
        <xdr:cNvPr id="356" name="Line 19"/>
        <xdr:cNvSpPr>
          <a:spLocks noChangeShapeType="1"/>
        </xdr:cNvSpPr>
      </xdr:nvSpPr>
      <xdr:spPr bwMode="auto">
        <a:xfrm flipH="1" flipV="1">
          <a:off x="1415497" y="8967166"/>
          <a:ext cx="41433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196296</xdr:colOff>
      <xdr:row>374</xdr:row>
      <xdr:rowOff>61290</xdr:rowOff>
    </xdr:from>
    <xdr:to>
      <xdr:col>2</xdr:col>
      <xdr:colOff>167721</xdr:colOff>
      <xdr:row>375</xdr:row>
      <xdr:rowOff>185115</xdr:rowOff>
    </xdr:to>
    <xdr:sp macro="" textlink="">
      <xdr:nvSpPr>
        <xdr:cNvPr id="357" name="Line 20"/>
        <xdr:cNvSpPr>
          <a:spLocks noChangeShapeType="1"/>
        </xdr:cNvSpPr>
      </xdr:nvSpPr>
      <xdr:spPr bwMode="auto">
        <a:xfrm flipH="1" flipV="1">
          <a:off x="805896" y="8662365"/>
          <a:ext cx="590550" cy="3143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12009</xdr:colOff>
      <xdr:row>375</xdr:row>
      <xdr:rowOff>175591</xdr:rowOff>
    </xdr:from>
    <xdr:to>
      <xdr:col>9</xdr:col>
      <xdr:colOff>12009</xdr:colOff>
      <xdr:row>378</xdr:row>
      <xdr:rowOff>108916</xdr:rowOff>
    </xdr:to>
    <xdr:sp macro="" textlink="">
      <xdr:nvSpPr>
        <xdr:cNvPr id="358" name="Line 21"/>
        <xdr:cNvSpPr>
          <a:spLocks noChangeShapeType="1"/>
        </xdr:cNvSpPr>
      </xdr:nvSpPr>
      <xdr:spPr bwMode="auto">
        <a:xfrm flipH="1">
          <a:off x="5546034" y="8967166"/>
          <a:ext cx="0" cy="5048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224872</xdr:colOff>
      <xdr:row>377</xdr:row>
      <xdr:rowOff>23191</xdr:rowOff>
    </xdr:from>
    <xdr:to>
      <xdr:col>8</xdr:col>
      <xdr:colOff>349898</xdr:colOff>
      <xdr:row>378</xdr:row>
      <xdr:rowOff>106913</xdr:rowOff>
    </xdr:to>
    <xdr:sp macro="" textlink="">
      <xdr:nvSpPr>
        <xdr:cNvPr id="359" name="Line 22"/>
        <xdr:cNvSpPr>
          <a:spLocks noChangeShapeType="1"/>
        </xdr:cNvSpPr>
      </xdr:nvSpPr>
      <xdr:spPr bwMode="auto">
        <a:xfrm>
          <a:off x="5149297" y="9195766"/>
          <a:ext cx="125026" cy="274222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349897</xdr:colOff>
      <xdr:row>378</xdr:row>
      <xdr:rowOff>106913</xdr:rowOff>
    </xdr:from>
    <xdr:to>
      <xdr:col>9</xdr:col>
      <xdr:colOff>12008</xdr:colOff>
      <xdr:row>378</xdr:row>
      <xdr:rowOff>108916</xdr:rowOff>
    </xdr:to>
    <xdr:cxnSp macro="">
      <xdr:nvCxnSpPr>
        <xdr:cNvPr id="360" name="Straight Connector 359"/>
        <xdr:cNvCxnSpPr>
          <a:stCxn id="359" idx="1"/>
          <a:endCxn id="358" idx="1"/>
        </xdr:cNvCxnSpPr>
      </xdr:nvCxnSpPr>
      <xdr:spPr bwMode="auto">
        <a:xfrm rot="16200000" flipH="1">
          <a:off x="5409176" y="9335134"/>
          <a:ext cx="2003" cy="271711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186772</xdr:colOff>
      <xdr:row>374</xdr:row>
      <xdr:rowOff>42242</xdr:rowOff>
    </xdr:from>
    <xdr:to>
      <xdr:col>1</xdr:col>
      <xdr:colOff>196297</xdr:colOff>
      <xdr:row>375</xdr:row>
      <xdr:rowOff>175592</xdr:rowOff>
    </xdr:to>
    <xdr:cxnSp macro="">
      <xdr:nvCxnSpPr>
        <xdr:cNvPr id="361" name="Straight Connector 360"/>
        <xdr:cNvCxnSpPr/>
      </xdr:nvCxnSpPr>
      <xdr:spPr bwMode="auto">
        <a:xfrm rot="5400000">
          <a:off x="639210" y="8800479"/>
          <a:ext cx="323850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218662</xdr:colOff>
      <xdr:row>361</xdr:row>
      <xdr:rowOff>185944</xdr:rowOff>
    </xdr:from>
    <xdr:to>
      <xdr:col>6</xdr:col>
      <xdr:colOff>0</xdr:colOff>
      <xdr:row>368</xdr:row>
      <xdr:rowOff>25400</xdr:rowOff>
    </xdr:to>
    <xdr:sp macro="" textlink="">
      <xdr:nvSpPr>
        <xdr:cNvPr id="362" name="Line 13"/>
        <xdr:cNvSpPr>
          <a:spLocks noChangeShapeType="1"/>
        </xdr:cNvSpPr>
      </xdr:nvSpPr>
      <xdr:spPr bwMode="auto">
        <a:xfrm>
          <a:off x="828262" y="5824744"/>
          <a:ext cx="2876963" cy="1115806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12701</xdr:colOff>
      <xdr:row>368</xdr:row>
      <xdr:rowOff>20638</xdr:rowOff>
    </xdr:from>
    <xdr:to>
      <xdr:col>8</xdr:col>
      <xdr:colOff>311152</xdr:colOff>
      <xdr:row>368</xdr:row>
      <xdr:rowOff>25400</xdr:rowOff>
    </xdr:to>
    <xdr:cxnSp macro="">
      <xdr:nvCxnSpPr>
        <xdr:cNvPr id="363" name="Straight Connector 362"/>
        <xdr:cNvCxnSpPr/>
      </xdr:nvCxnSpPr>
      <xdr:spPr bwMode="auto">
        <a:xfrm rot="10800000" flipV="1">
          <a:off x="3717926" y="6935788"/>
          <a:ext cx="1517651" cy="4762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209550</xdr:colOff>
      <xdr:row>366</xdr:row>
      <xdr:rowOff>82550</xdr:rowOff>
    </xdr:from>
    <xdr:to>
      <xdr:col>8</xdr:col>
      <xdr:colOff>209550</xdr:colOff>
      <xdr:row>378</xdr:row>
      <xdr:rowOff>130175</xdr:rowOff>
    </xdr:to>
    <xdr:sp macro="" textlink="">
      <xdr:nvSpPr>
        <xdr:cNvPr id="365" name="Line 1017"/>
        <xdr:cNvSpPr>
          <a:spLocks noChangeShapeType="1"/>
        </xdr:cNvSpPr>
      </xdr:nvSpPr>
      <xdr:spPr bwMode="auto">
        <a:xfrm>
          <a:off x="5133975" y="6645275"/>
          <a:ext cx="0" cy="284797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</xdr:col>
      <xdr:colOff>609601</xdr:colOff>
      <xdr:row>362</xdr:row>
      <xdr:rowOff>152405</xdr:rowOff>
    </xdr:from>
    <xdr:to>
      <xdr:col>4</xdr:col>
      <xdr:colOff>25400</xdr:colOff>
      <xdr:row>380</xdr:row>
      <xdr:rowOff>177801</xdr:rowOff>
    </xdr:to>
    <xdr:cxnSp macro="">
      <xdr:nvCxnSpPr>
        <xdr:cNvPr id="366" name="Straight Connector 365"/>
        <xdr:cNvCxnSpPr/>
      </xdr:nvCxnSpPr>
      <xdr:spPr bwMode="auto">
        <a:xfrm rot="5400000">
          <a:off x="495302" y="7934329"/>
          <a:ext cx="3940171" cy="34924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cxnSp>
    <xdr:clientData/>
  </xdr:twoCellAnchor>
  <xdr:twoCellAnchor>
    <xdr:from>
      <xdr:col>6</xdr:col>
      <xdr:colOff>3177</xdr:colOff>
      <xdr:row>363</xdr:row>
      <xdr:rowOff>76203</xdr:rowOff>
    </xdr:from>
    <xdr:to>
      <xdr:col>6</xdr:col>
      <xdr:colOff>9529</xdr:colOff>
      <xdr:row>379</xdr:row>
      <xdr:rowOff>57152</xdr:rowOff>
    </xdr:to>
    <xdr:cxnSp macro="">
      <xdr:nvCxnSpPr>
        <xdr:cNvPr id="367" name="Straight Connector 366"/>
        <xdr:cNvCxnSpPr/>
      </xdr:nvCxnSpPr>
      <xdr:spPr bwMode="auto">
        <a:xfrm rot="16200000" flipH="1">
          <a:off x="1954216" y="7850189"/>
          <a:ext cx="3514724" cy="6352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cxnSp>
    <xdr:clientData/>
  </xdr:twoCellAnchor>
  <xdr:twoCellAnchor>
    <xdr:from>
      <xdr:col>1</xdr:col>
      <xdr:colOff>193675</xdr:colOff>
      <xdr:row>376</xdr:row>
      <xdr:rowOff>50800</xdr:rowOff>
    </xdr:from>
    <xdr:to>
      <xdr:col>1</xdr:col>
      <xdr:colOff>193675</xdr:colOff>
      <xdr:row>379</xdr:row>
      <xdr:rowOff>69850</xdr:rowOff>
    </xdr:to>
    <xdr:sp macro="" textlink="">
      <xdr:nvSpPr>
        <xdr:cNvPr id="368" name="Line 25"/>
        <xdr:cNvSpPr>
          <a:spLocks noChangeShapeType="1"/>
        </xdr:cNvSpPr>
      </xdr:nvSpPr>
      <xdr:spPr bwMode="auto">
        <a:xfrm flipH="1">
          <a:off x="803275" y="9032875"/>
          <a:ext cx="0" cy="59055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1</xdr:col>
      <xdr:colOff>222250</xdr:colOff>
      <xdr:row>360</xdr:row>
      <xdr:rowOff>47625</xdr:rowOff>
    </xdr:from>
    <xdr:to>
      <xdr:col>1</xdr:col>
      <xdr:colOff>222250</xdr:colOff>
      <xdr:row>361</xdr:row>
      <xdr:rowOff>133350</xdr:rowOff>
    </xdr:to>
    <xdr:sp macro="" textlink="">
      <xdr:nvSpPr>
        <xdr:cNvPr id="369" name="Line 26"/>
        <xdr:cNvSpPr>
          <a:spLocks noChangeShapeType="1"/>
        </xdr:cNvSpPr>
      </xdr:nvSpPr>
      <xdr:spPr bwMode="auto">
        <a:xfrm flipV="1">
          <a:off x="831850" y="5495925"/>
          <a:ext cx="0" cy="27622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</xdr:col>
      <xdr:colOff>574675</xdr:colOff>
      <xdr:row>360</xdr:row>
      <xdr:rowOff>127000</xdr:rowOff>
    </xdr:from>
    <xdr:to>
      <xdr:col>4</xdr:col>
      <xdr:colOff>209550</xdr:colOff>
      <xdr:row>362</xdr:row>
      <xdr:rowOff>60325</xdr:rowOff>
    </xdr:to>
    <xdr:sp macro="" textlink="">
      <xdr:nvSpPr>
        <xdr:cNvPr id="370" name="Oval 369"/>
        <xdr:cNvSpPr>
          <a:spLocks noChangeArrowheads="1"/>
        </xdr:cNvSpPr>
      </xdr:nvSpPr>
      <xdr:spPr bwMode="auto">
        <a:xfrm>
          <a:off x="2413000" y="5575300"/>
          <a:ext cx="254000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308365</xdr:colOff>
      <xdr:row>357</xdr:row>
      <xdr:rowOff>48600</xdr:rowOff>
    </xdr:from>
    <xdr:to>
      <xdr:col>8</xdr:col>
      <xdr:colOff>318217</xdr:colOff>
      <xdr:row>361</xdr:row>
      <xdr:rowOff>77206</xdr:rowOff>
    </xdr:to>
    <xdr:cxnSp macro="">
      <xdr:nvCxnSpPr>
        <xdr:cNvPr id="372" name="Straight Connector 371"/>
        <xdr:cNvCxnSpPr/>
      </xdr:nvCxnSpPr>
      <xdr:spPr bwMode="auto">
        <a:xfrm rot="5400000" flipH="1" flipV="1">
          <a:off x="4809075" y="23884765"/>
          <a:ext cx="762031" cy="985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228602</xdr:colOff>
      <xdr:row>356</xdr:row>
      <xdr:rowOff>101799</xdr:rowOff>
    </xdr:from>
    <xdr:to>
      <xdr:col>1</xdr:col>
      <xdr:colOff>237935</xdr:colOff>
      <xdr:row>359</xdr:row>
      <xdr:rowOff>95251</xdr:rowOff>
    </xdr:to>
    <xdr:cxnSp macro="">
      <xdr:nvCxnSpPr>
        <xdr:cNvPr id="374" name="Straight Connector 373"/>
        <xdr:cNvCxnSpPr/>
      </xdr:nvCxnSpPr>
      <xdr:spPr bwMode="auto">
        <a:xfrm rot="5400000" flipH="1" flipV="1">
          <a:off x="588968" y="23649183"/>
          <a:ext cx="507802" cy="933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204108</xdr:colOff>
      <xdr:row>381</xdr:row>
      <xdr:rowOff>4</xdr:rowOff>
    </xdr:from>
    <xdr:to>
      <xdr:col>1</xdr:col>
      <xdr:colOff>213831</xdr:colOff>
      <xdr:row>385</xdr:row>
      <xdr:rowOff>58321</xdr:rowOff>
    </xdr:to>
    <xdr:cxnSp macro="">
      <xdr:nvCxnSpPr>
        <xdr:cNvPr id="375" name="Straight Connector 374"/>
        <xdr:cNvCxnSpPr/>
      </xdr:nvCxnSpPr>
      <xdr:spPr bwMode="auto">
        <a:xfrm rot="5400000">
          <a:off x="408411" y="10339876"/>
          <a:ext cx="820317" cy="972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200609</xdr:colOff>
      <xdr:row>383</xdr:row>
      <xdr:rowOff>0</xdr:rowOff>
    </xdr:from>
    <xdr:to>
      <xdr:col>8</xdr:col>
      <xdr:colOff>320740</xdr:colOff>
      <xdr:row>383</xdr:row>
      <xdr:rowOff>1588</xdr:rowOff>
    </xdr:to>
    <xdr:cxnSp macro="">
      <xdr:nvCxnSpPr>
        <xdr:cNvPr id="376" name="Straight Arrow Connector 375"/>
        <xdr:cNvCxnSpPr/>
      </xdr:nvCxnSpPr>
      <xdr:spPr bwMode="auto">
        <a:xfrm>
          <a:off x="1429334" y="10315575"/>
          <a:ext cx="3815831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324045</xdr:colOff>
      <xdr:row>383</xdr:row>
      <xdr:rowOff>5830</xdr:rowOff>
    </xdr:from>
    <xdr:to>
      <xdr:col>9</xdr:col>
      <xdr:colOff>9719</xdr:colOff>
      <xdr:row>383</xdr:row>
      <xdr:rowOff>9719</xdr:rowOff>
    </xdr:to>
    <xdr:cxnSp macro="">
      <xdr:nvCxnSpPr>
        <xdr:cNvPr id="377" name="Straight Connector 376"/>
        <xdr:cNvCxnSpPr/>
      </xdr:nvCxnSpPr>
      <xdr:spPr bwMode="auto">
        <a:xfrm rot="10800000" flipV="1">
          <a:off x="5248470" y="10321405"/>
          <a:ext cx="295274" cy="388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494522</xdr:colOff>
      <xdr:row>374</xdr:row>
      <xdr:rowOff>0</xdr:rowOff>
    </xdr:from>
    <xdr:to>
      <xdr:col>1</xdr:col>
      <xdr:colOff>46848</xdr:colOff>
      <xdr:row>374</xdr:row>
      <xdr:rowOff>0</xdr:rowOff>
    </xdr:to>
    <xdr:sp macro="" textlink="">
      <xdr:nvSpPr>
        <xdr:cNvPr id="378" name="Line 58"/>
        <xdr:cNvSpPr>
          <a:spLocks noChangeShapeType="1"/>
        </xdr:cNvSpPr>
      </xdr:nvSpPr>
      <xdr:spPr bwMode="auto">
        <a:xfrm>
          <a:off x="494522" y="8601075"/>
          <a:ext cx="16192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605499</xdr:colOff>
      <xdr:row>373</xdr:row>
      <xdr:rowOff>179877</xdr:rowOff>
    </xdr:from>
    <xdr:to>
      <xdr:col>0</xdr:col>
      <xdr:colOff>605499</xdr:colOff>
      <xdr:row>375</xdr:row>
      <xdr:rowOff>103676</xdr:rowOff>
    </xdr:to>
    <xdr:sp macro="" textlink="">
      <xdr:nvSpPr>
        <xdr:cNvPr id="379" name="Line 60"/>
        <xdr:cNvSpPr>
          <a:spLocks noChangeShapeType="1"/>
        </xdr:cNvSpPr>
      </xdr:nvSpPr>
      <xdr:spPr bwMode="auto">
        <a:xfrm>
          <a:off x="605499" y="8590452"/>
          <a:ext cx="0" cy="304799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0</xdr:col>
      <xdr:colOff>532622</xdr:colOff>
      <xdr:row>375</xdr:row>
      <xdr:rowOff>85725</xdr:rowOff>
    </xdr:from>
    <xdr:to>
      <xdr:col>1</xdr:col>
      <xdr:colOff>37323</xdr:colOff>
      <xdr:row>375</xdr:row>
      <xdr:rowOff>85725</xdr:rowOff>
    </xdr:to>
    <xdr:sp macro="" textlink="">
      <xdr:nvSpPr>
        <xdr:cNvPr id="380" name="Line 61"/>
        <xdr:cNvSpPr>
          <a:spLocks noChangeShapeType="1"/>
        </xdr:cNvSpPr>
      </xdr:nvSpPr>
      <xdr:spPr bwMode="auto">
        <a:xfrm flipV="1">
          <a:off x="532622" y="8877300"/>
          <a:ext cx="1143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43736</xdr:colOff>
      <xdr:row>375</xdr:row>
      <xdr:rowOff>192833</xdr:rowOff>
    </xdr:from>
    <xdr:to>
      <xdr:col>9</xdr:col>
      <xdr:colOff>396161</xdr:colOff>
      <xdr:row>375</xdr:row>
      <xdr:rowOff>192833</xdr:rowOff>
    </xdr:to>
    <xdr:sp macro="" textlink="">
      <xdr:nvSpPr>
        <xdr:cNvPr id="382" name="Line 39"/>
        <xdr:cNvSpPr>
          <a:spLocks noChangeShapeType="1"/>
        </xdr:cNvSpPr>
      </xdr:nvSpPr>
      <xdr:spPr bwMode="auto">
        <a:xfrm>
          <a:off x="5577761" y="8984408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470614</xdr:colOff>
      <xdr:row>375</xdr:row>
      <xdr:rowOff>47236</xdr:rowOff>
    </xdr:from>
    <xdr:to>
      <xdr:col>4</xdr:col>
      <xdr:colOff>546814</xdr:colOff>
      <xdr:row>375</xdr:row>
      <xdr:rowOff>174949</xdr:rowOff>
    </xdr:to>
    <xdr:sp macro="" textlink="">
      <xdr:nvSpPr>
        <xdr:cNvPr id="383" name="AutoShape 29"/>
        <xdr:cNvSpPr>
          <a:spLocks noChangeArrowheads="1"/>
        </xdr:cNvSpPr>
      </xdr:nvSpPr>
      <xdr:spPr bwMode="auto">
        <a:xfrm>
          <a:off x="2928064" y="8838811"/>
          <a:ext cx="76200" cy="127713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333376</xdr:colOff>
      <xdr:row>386</xdr:row>
      <xdr:rowOff>181752</xdr:rowOff>
    </xdr:from>
    <xdr:to>
      <xdr:col>9</xdr:col>
      <xdr:colOff>0</xdr:colOff>
      <xdr:row>386</xdr:row>
      <xdr:rowOff>181752</xdr:rowOff>
    </xdr:to>
    <xdr:sp macro="" textlink="">
      <xdr:nvSpPr>
        <xdr:cNvPr id="385" name="Line 4343"/>
        <xdr:cNvSpPr>
          <a:spLocks noChangeShapeType="1"/>
        </xdr:cNvSpPr>
      </xdr:nvSpPr>
      <xdr:spPr bwMode="auto">
        <a:xfrm>
          <a:off x="5257801" y="11068827"/>
          <a:ext cx="276224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200024</xdr:colOff>
      <xdr:row>361</xdr:row>
      <xdr:rowOff>171452</xdr:rowOff>
    </xdr:from>
    <xdr:to>
      <xdr:col>1</xdr:col>
      <xdr:colOff>219866</xdr:colOff>
      <xdr:row>375</xdr:row>
      <xdr:rowOff>10316</xdr:rowOff>
    </xdr:to>
    <xdr:cxnSp macro="">
      <xdr:nvCxnSpPr>
        <xdr:cNvPr id="387" name="Straight Connector 386"/>
        <xdr:cNvCxnSpPr/>
      </xdr:nvCxnSpPr>
      <xdr:spPr bwMode="auto">
        <a:xfrm rot="5400000">
          <a:off x="-590550" y="25765126"/>
          <a:ext cx="2820189" cy="19842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304800</xdr:colOff>
      <xdr:row>368</xdr:row>
      <xdr:rowOff>28574</xdr:rowOff>
    </xdr:from>
    <xdr:to>
      <xdr:col>8</xdr:col>
      <xdr:colOff>314325</xdr:colOff>
      <xdr:row>375</xdr:row>
      <xdr:rowOff>152399</xdr:rowOff>
    </xdr:to>
    <xdr:cxnSp macro="">
      <xdr:nvCxnSpPr>
        <xdr:cNvPr id="388" name="Straight Connector 387"/>
        <xdr:cNvCxnSpPr/>
      </xdr:nvCxnSpPr>
      <xdr:spPr bwMode="auto">
        <a:xfrm rot="16200000" flipH="1">
          <a:off x="4257675" y="26393774"/>
          <a:ext cx="1857375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165102</xdr:colOff>
      <xdr:row>362</xdr:row>
      <xdr:rowOff>66680</xdr:rowOff>
    </xdr:from>
    <xdr:to>
      <xdr:col>2</xdr:col>
      <xdr:colOff>171454</xdr:colOff>
      <xdr:row>378</xdr:row>
      <xdr:rowOff>47629</xdr:rowOff>
    </xdr:to>
    <xdr:cxnSp macro="">
      <xdr:nvCxnSpPr>
        <xdr:cNvPr id="390" name="Straight Connector 389"/>
        <xdr:cNvCxnSpPr/>
      </xdr:nvCxnSpPr>
      <xdr:spPr bwMode="auto">
        <a:xfrm rot="16200000" flipH="1">
          <a:off x="-241297" y="26076279"/>
          <a:ext cx="3257549" cy="6352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cxnSp>
    <xdr:clientData/>
  </xdr:twoCellAnchor>
  <xdr:twoCellAnchor>
    <xdr:from>
      <xdr:col>9</xdr:col>
      <xdr:colOff>133351</xdr:colOff>
      <xdr:row>368</xdr:row>
      <xdr:rowOff>9530</xdr:rowOff>
    </xdr:from>
    <xdr:to>
      <xdr:col>9</xdr:col>
      <xdr:colOff>133352</xdr:colOff>
      <xdr:row>376</xdr:row>
      <xdr:rowOff>3</xdr:rowOff>
    </xdr:to>
    <xdr:cxnSp macro="">
      <xdr:nvCxnSpPr>
        <xdr:cNvPr id="391" name="Straight Connector 390"/>
        <xdr:cNvCxnSpPr/>
      </xdr:nvCxnSpPr>
      <xdr:spPr bwMode="auto">
        <a:xfrm rot="16200000" flipH="1">
          <a:off x="4933953" y="64217553"/>
          <a:ext cx="1371598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485775</xdr:colOff>
      <xdr:row>50</xdr:row>
      <xdr:rowOff>9525</xdr:rowOff>
    </xdr:from>
    <xdr:to>
      <xdr:col>8</xdr:col>
      <xdr:colOff>0</xdr:colOff>
      <xdr:row>52</xdr:row>
      <xdr:rowOff>9525</xdr:rowOff>
    </xdr:to>
    <xdr:sp macro="" textlink="">
      <xdr:nvSpPr>
        <xdr:cNvPr id="353" name="Line 2429"/>
        <xdr:cNvSpPr>
          <a:spLocks noChangeShapeType="1"/>
        </xdr:cNvSpPr>
      </xdr:nvSpPr>
      <xdr:spPr bwMode="auto">
        <a:xfrm>
          <a:off x="3533775" y="981075"/>
          <a:ext cx="13430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514350</xdr:colOff>
      <xdr:row>50</xdr:row>
      <xdr:rowOff>152400</xdr:rowOff>
    </xdr:from>
    <xdr:to>
      <xdr:col>8</xdr:col>
      <xdr:colOff>0</xdr:colOff>
      <xdr:row>50</xdr:row>
      <xdr:rowOff>152400</xdr:rowOff>
    </xdr:to>
    <xdr:sp macro="" textlink="">
      <xdr:nvSpPr>
        <xdr:cNvPr id="371" name="Line 2431"/>
        <xdr:cNvSpPr>
          <a:spLocks noChangeShapeType="1"/>
        </xdr:cNvSpPr>
      </xdr:nvSpPr>
      <xdr:spPr bwMode="auto">
        <a:xfrm>
          <a:off x="4171950" y="1123950"/>
          <a:ext cx="704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50</xdr:row>
      <xdr:rowOff>152400</xdr:rowOff>
    </xdr:from>
    <xdr:to>
      <xdr:col>8</xdr:col>
      <xdr:colOff>0</xdr:colOff>
      <xdr:row>52</xdr:row>
      <xdr:rowOff>0</xdr:rowOff>
    </xdr:to>
    <xdr:sp macro="" textlink="">
      <xdr:nvSpPr>
        <xdr:cNvPr id="373" name="Line 2432"/>
        <xdr:cNvSpPr>
          <a:spLocks noChangeShapeType="1"/>
        </xdr:cNvSpPr>
      </xdr:nvSpPr>
      <xdr:spPr bwMode="auto">
        <a:xfrm>
          <a:off x="4876800" y="112395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53</xdr:row>
      <xdr:rowOff>47625</xdr:rowOff>
    </xdr:from>
    <xdr:to>
      <xdr:col>8</xdr:col>
      <xdr:colOff>0</xdr:colOff>
      <xdr:row>54</xdr:row>
      <xdr:rowOff>28575</xdr:rowOff>
    </xdr:to>
    <xdr:sp macro="" textlink="">
      <xdr:nvSpPr>
        <xdr:cNvPr id="381" name="Line 2444"/>
        <xdr:cNvSpPr>
          <a:spLocks noChangeShapeType="1"/>
        </xdr:cNvSpPr>
      </xdr:nvSpPr>
      <xdr:spPr bwMode="auto">
        <a:xfrm>
          <a:off x="4876800" y="1504950"/>
          <a:ext cx="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50</xdr:row>
      <xdr:rowOff>0</xdr:rowOff>
    </xdr:from>
    <xdr:to>
      <xdr:col>8</xdr:col>
      <xdr:colOff>190500</xdr:colOff>
      <xdr:row>50</xdr:row>
      <xdr:rowOff>142875</xdr:rowOff>
    </xdr:to>
    <xdr:sp macro="" textlink="">
      <xdr:nvSpPr>
        <xdr:cNvPr id="384" name="Line 3289"/>
        <xdr:cNvSpPr>
          <a:spLocks noChangeShapeType="1"/>
        </xdr:cNvSpPr>
      </xdr:nvSpPr>
      <xdr:spPr bwMode="auto">
        <a:xfrm flipV="1">
          <a:off x="4876800" y="971550"/>
          <a:ext cx="190500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200025</xdr:colOff>
      <xdr:row>50</xdr:row>
      <xdr:rowOff>0</xdr:rowOff>
    </xdr:from>
    <xdr:to>
      <xdr:col>8</xdr:col>
      <xdr:colOff>200025</xdr:colOff>
      <xdr:row>51</xdr:row>
      <xdr:rowOff>38100</xdr:rowOff>
    </xdr:to>
    <xdr:sp macro="" textlink="">
      <xdr:nvSpPr>
        <xdr:cNvPr id="389" name="Line 3290"/>
        <xdr:cNvSpPr>
          <a:spLocks noChangeShapeType="1"/>
        </xdr:cNvSpPr>
      </xdr:nvSpPr>
      <xdr:spPr bwMode="auto">
        <a:xfrm flipH="1">
          <a:off x="5076825" y="97155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152400</xdr:colOff>
      <xdr:row>50</xdr:row>
      <xdr:rowOff>0</xdr:rowOff>
    </xdr:from>
    <xdr:to>
      <xdr:col>8</xdr:col>
      <xdr:colOff>180975</xdr:colOff>
      <xdr:row>50</xdr:row>
      <xdr:rowOff>0</xdr:rowOff>
    </xdr:to>
    <xdr:sp macro="" textlink="">
      <xdr:nvSpPr>
        <xdr:cNvPr id="392" name="Line 3291"/>
        <xdr:cNvSpPr>
          <a:spLocks noChangeShapeType="1"/>
        </xdr:cNvSpPr>
      </xdr:nvSpPr>
      <xdr:spPr bwMode="auto">
        <a:xfrm flipH="1">
          <a:off x="4419600" y="971550"/>
          <a:ext cx="638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523875</xdr:colOff>
      <xdr:row>49</xdr:row>
      <xdr:rowOff>142875</xdr:rowOff>
    </xdr:from>
    <xdr:to>
      <xdr:col>7</xdr:col>
      <xdr:colOff>161925</xdr:colOff>
      <xdr:row>50</xdr:row>
      <xdr:rowOff>152400</xdr:rowOff>
    </xdr:to>
    <xdr:sp macro="" textlink="">
      <xdr:nvSpPr>
        <xdr:cNvPr id="393" name="Line 3292"/>
        <xdr:cNvSpPr>
          <a:spLocks noChangeShapeType="1"/>
        </xdr:cNvSpPr>
      </xdr:nvSpPr>
      <xdr:spPr bwMode="auto">
        <a:xfrm flipH="1">
          <a:off x="4181475" y="952500"/>
          <a:ext cx="2476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51</xdr:row>
      <xdr:rowOff>28574</xdr:rowOff>
    </xdr:from>
    <xdr:to>
      <xdr:col>8</xdr:col>
      <xdr:colOff>209550</xdr:colOff>
      <xdr:row>51</xdr:row>
      <xdr:rowOff>161924</xdr:rowOff>
    </xdr:to>
    <xdr:sp macro="" textlink="">
      <xdr:nvSpPr>
        <xdr:cNvPr id="394" name="Line 3293"/>
        <xdr:cNvSpPr>
          <a:spLocks noChangeShapeType="1"/>
        </xdr:cNvSpPr>
      </xdr:nvSpPr>
      <xdr:spPr bwMode="auto">
        <a:xfrm flipV="1">
          <a:off x="4867275" y="1162049"/>
          <a:ext cx="21907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552450</xdr:colOff>
      <xdr:row>51</xdr:row>
      <xdr:rowOff>0</xdr:rowOff>
    </xdr:from>
    <xdr:to>
      <xdr:col>6</xdr:col>
      <xdr:colOff>28575</xdr:colOff>
      <xdr:row>51</xdr:row>
      <xdr:rowOff>0</xdr:rowOff>
    </xdr:to>
    <xdr:sp macro="" textlink="">
      <xdr:nvSpPr>
        <xdr:cNvPr id="395" name="Line 3296"/>
        <xdr:cNvSpPr>
          <a:spLocks noChangeShapeType="1"/>
        </xdr:cNvSpPr>
      </xdr:nvSpPr>
      <xdr:spPr bwMode="auto">
        <a:xfrm>
          <a:off x="3600450" y="1133475"/>
          <a:ext cx="85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533400</xdr:colOff>
      <xdr:row>52</xdr:row>
      <xdr:rowOff>0</xdr:rowOff>
    </xdr:from>
    <xdr:to>
      <xdr:col>6</xdr:col>
      <xdr:colOff>28575</xdr:colOff>
      <xdr:row>52</xdr:row>
      <xdr:rowOff>0</xdr:rowOff>
    </xdr:to>
    <xdr:sp macro="" textlink="">
      <xdr:nvSpPr>
        <xdr:cNvPr id="396" name="Line 3297"/>
        <xdr:cNvSpPr>
          <a:spLocks noChangeShapeType="1"/>
        </xdr:cNvSpPr>
      </xdr:nvSpPr>
      <xdr:spPr bwMode="auto">
        <a:xfrm>
          <a:off x="3581400" y="129540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50</xdr:row>
      <xdr:rowOff>152400</xdr:rowOff>
    </xdr:from>
    <xdr:to>
      <xdr:col>6</xdr:col>
      <xdr:colOff>0</xdr:colOff>
      <xdr:row>52</xdr:row>
      <xdr:rowOff>0</xdr:rowOff>
    </xdr:to>
    <xdr:sp macro="" textlink="">
      <xdr:nvSpPr>
        <xdr:cNvPr id="397" name="Line 3298"/>
        <xdr:cNvSpPr>
          <a:spLocks noChangeShapeType="1"/>
        </xdr:cNvSpPr>
      </xdr:nvSpPr>
      <xdr:spPr bwMode="auto">
        <a:xfrm>
          <a:off x="3657600" y="112395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6</xdr:col>
      <xdr:colOff>266701</xdr:colOff>
      <xdr:row>48</xdr:row>
      <xdr:rowOff>142875</xdr:rowOff>
    </xdr:from>
    <xdr:to>
      <xdr:col>7</xdr:col>
      <xdr:colOff>85728</xdr:colOff>
      <xdr:row>49</xdr:row>
      <xdr:rowOff>95250</xdr:rowOff>
    </xdr:to>
    <xdr:cxnSp macro="">
      <xdr:nvCxnSpPr>
        <xdr:cNvPr id="398" name="Straight Connector 397"/>
        <xdr:cNvCxnSpPr/>
      </xdr:nvCxnSpPr>
      <xdr:spPr bwMode="auto">
        <a:xfrm rot="10800000">
          <a:off x="3924301" y="790575"/>
          <a:ext cx="428627" cy="11430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266701</xdr:colOff>
      <xdr:row>49</xdr:row>
      <xdr:rowOff>38100</xdr:rowOff>
    </xdr:from>
    <xdr:to>
      <xdr:col>6</xdr:col>
      <xdr:colOff>438151</xdr:colOff>
      <xdr:row>50</xdr:row>
      <xdr:rowOff>76202</xdr:rowOff>
    </xdr:to>
    <xdr:cxnSp macro="">
      <xdr:nvCxnSpPr>
        <xdr:cNvPr id="399" name="Straight Arrow Connector 398"/>
        <xdr:cNvCxnSpPr/>
      </xdr:nvCxnSpPr>
      <xdr:spPr bwMode="auto">
        <a:xfrm rot="5400000" flipH="1" flipV="1">
          <a:off x="3910012" y="862014"/>
          <a:ext cx="200027" cy="1714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504031</xdr:colOff>
      <xdr:row>52</xdr:row>
      <xdr:rowOff>794</xdr:rowOff>
    </xdr:from>
    <xdr:to>
      <xdr:col>6</xdr:col>
      <xdr:colOff>505619</xdr:colOff>
      <xdr:row>54</xdr:row>
      <xdr:rowOff>794</xdr:rowOff>
    </xdr:to>
    <xdr:cxnSp macro="">
      <xdr:nvCxnSpPr>
        <xdr:cNvPr id="400" name="Straight Connector 399"/>
        <xdr:cNvCxnSpPr/>
      </xdr:nvCxnSpPr>
      <xdr:spPr bwMode="auto">
        <a:xfrm rot="5400000">
          <a:off x="4000500" y="1457325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504825</xdr:colOff>
      <xdr:row>53</xdr:row>
      <xdr:rowOff>19050</xdr:rowOff>
    </xdr:from>
    <xdr:to>
      <xdr:col>7</xdr:col>
      <xdr:colOff>542925</xdr:colOff>
      <xdr:row>53</xdr:row>
      <xdr:rowOff>20638</xdr:rowOff>
    </xdr:to>
    <xdr:cxnSp macro="">
      <xdr:nvCxnSpPr>
        <xdr:cNvPr id="401" name="Straight Arrow Connector 400"/>
        <xdr:cNvCxnSpPr/>
      </xdr:nvCxnSpPr>
      <xdr:spPr bwMode="auto">
        <a:xfrm>
          <a:off x="4162425" y="1476375"/>
          <a:ext cx="6477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608807</xdr:colOff>
      <xdr:row>52</xdr:row>
      <xdr:rowOff>48418</xdr:rowOff>
    </xdr:from>
    <xdr:to>
      <xdr:col>8</xdr:col>
      <xdr:colOff>795</xdr:colOff>
      <xdr:row>53</xdr:row>
      <xdr:rowOff>48418</xdr:rowOff>
    </xdr:to>
    <xdr:cxnSp macro="">
      <xdr:nvCxnSpPr>
        <xdr:cNvPr id="402" name="Straight Connector 401"/>
        <xdr:cNvCxnSpPr>
          <a:endCxn id="381" idx="0"/>
        </xdr:cNvCxnSpPr>
      </xdr:nvCxnSpPr>
      <xdr:spPr bwMode="auto">
        <a:xfrm rot="5400000">
          <a:off x="4795838" y="1423987"/>
          <a:ext cx="1619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</xdr:colOff>
      <xdr:row>63</xdr:row>
      <xdr:rowOff>48418</xdr:rowOff>
    </xdr:from>
    <xdr:to>
      <xdr:col>6</xdr:col>
      <xdr:colOff>797</xdr:colOff>
      <xdr:row>65</xdr:row>
      <xdr:rowOff>133349</xdr:rowOff>
    </xdr:to>
    <xdr:cxnSp macro="">
      <xdr:nvCxnSpPr>
        <xdr:cNvPr id="403" name="Straight Connector 402"/>
        <xdr:cNvCxnSpPr/>
      </xdr:nvCxnSpPr>
      <xdr:spPr bwMode="auto">
        <a:xfrm rot="5400000">
          <a:off x="3453608" y="3490911"/>
          <a:ext cx="408781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438150</xdr:colOff>
      <xdr:row>58</xdr:row>
      <xdr:rowOff>9525</xdr:rowOff>
    </xdr:from>
    <xdr:to>
      <xdr:col>6</xdr:col>
      <xdr:colOff>95250</xdr:colOff>
      <xdr:row>60</xdr:row>
      <xdr:rowOff>66677</xdr:rowOff>
    </xdr:to>
    <xdr:cxnSp macro="">
      <xdr:nvCxnSpPr>
        <xdr:cNvPr id="404" name="Straight Arrow Connector 403"/>
        <xdr:cNvCxnSpPr/>
      </xdr:nvCxnSpPr>
      <xdr:spPr bwMode="auto">
        <a:xfrm rot="5400000" flipH="1" flipV="1">
          <a:off x="3428999" y="2495551"/>
          <a:ext cx="381002" cy="266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342106</xdr:colOff>
      <xdr:row>63</xdr:row>
      <xdr:rowOff>19844</xdr:rowOff>
    </xdr:from>
    <xdr:to>
      <xdr:col>6</xdr:col>
      <xdr:colOff>343694</xdr:colOff>
      <xdr:row>64</xdr:row>
      <xdr:rowOff>86519</xdr:rowOff>
    </xdr:to>
    <xdr:cxnSp macro="">
      <xdr:nvCxnSpPr>
        <xdr:cNvPr id="405" name="Straight Connector 404"/>
        <xdr:cNvCxnSpPr/>
      </xdr:nvCxnSpPr>
      <xdr:spPr bwMode="auto">
        <a:xfrm rot="5400000">
          <a:off x="3886200" y="3371850"/>
          <a:ext cx="228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494507</xdr:colOff>
      <xdr:row>64</xdr:row>
      <xdr:rowOff>794</xdr:rowOff>
    </xdr:from>
    <xdr:to>
      <xdr:col>7</xdr:col>
      <xdr:colOff>496095</xdr:colOff>
      <xdr:row>65</xdr:row>
      <xdr:rowOff>96044</xdr:rowOff>
    </xdr:to>
    <xdr:cxnSp macro="">
      <xdr:nvCxnSpPr>
        <xdr:cNvPr id="406" name="Straight Connector 405"/>
        <xdr:cNvCxnSpPr/>
      </xdr:nvCxnSpPr>
      <xdr:spPr bwMode="auto">
        <a:xfrm rot="5400000">
          <a:off x="4633913" y="3529013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257969</xdr:colOff>
      <xdr:row>60</xdr:row>
      <xdr:rowOff>67470</xdr:rowOff>
    </xdr:from>
    <xdr:to>
      <xdr:col>5</xdr:col>
      <xdr:colOff>561975</xdr:colOff>
      <xdr:row>60</xdr:row>
      <xdr:rowOff>76201</xdr:rowOff>
    </xdr:to>
    <xdr:cxnSp macro="">
      <xdr:nvCxnSpPr>
        <xdr:cNvPr id="407" name="Straight Connector 406"/>
        <xdr:cNvCxnSpPr/>
      </xdr:nvCxnSpPr>
      <xdr:spPr bwMode="auto">
        <a:xfrm rot="10800000">
          <a:off x="3305969" y="2820195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63</xdr:row>
      <xdr:rowOff>114300</xdr:rowOff>
    </xdr:from>
    <xdr:to>
      <xdr:col>6</xdr:col>
      <xdr:colOff>352425</xdr:colOff>
      <xdr:row>63</xdr:row>
      <xdr:rowOff>123825</xdr:rowOff>
    </xdr:to>
    <xdr:cxnSp macro="">
      <xdr:nvCxnSpPr>
        <xdr:cNvPr id="408" name="Straight Arrow Connector 407"/>
        <xdr:cNvCxnSpPr/>
      </xdr:nvCxnSpPr>
      <xdr:spPr bwMode="auto">
        <a:xfrm>
          <a:off x="3648075" y="3352800"/>
          <a:ext cx="3619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5</xdr:col>
      <xdr:colOff>600075</xdr:colOff>
      <xdr:row>62</xdr:row>
      <xdr:rowOff>152400</xdr:rowOff>
    </xdr:from>
    <xdr:to>
      <xdr:col>7</xdr:col>
      <xdr:colOff>504825</xdr:colOff>
      <xdr:row>63</xdr:row>
      <xdr:rowOff>1</xdr:rowOff>
    </xdr:to>
    <xdr:cxnSp macro="">
      <xdr:nvCxnSpPr>
        <xdr:cNvPr id="409" name="Straight Connector 408"/>
        <xdr:cNvCxnSpPr/>
      </xdr:nvCxnSpPr>
      <xdr:spPr bwMode="auto">
        <a:xfrm flipV="1">
          <a:off x="3648075" y="3228975"/>
          <a:ext cx="112395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599282</xdr:colOff>
      <xdr:row>60</xdr:row>
      <xdr:rowOff>67468</xdr:rowOff>
    </xdr:from>
    <xdr:to>
      <xdr:col>5</xdr:col>
      <xdr:colOff>600870</xdr:colOff>
      <xdr:row>63</xdr:row>
      <xdr:rowOff>10318</xdr:rowOff>
    </xdr:to>
    <xdr:cxnSp macro="">
      <xdr:nvCxnSpPr>
        <xdr:cNvPr id="410" name="Straight Connector 409"/>
        <xdr:cNvCxnSpPr/>
      </xdr:nvCxnSpPr>
      <xdr:spPr bwMode="auto">
        <a:xfrm rot="5400000">
          <a:off x="3433763" y="3033712"/>
          <a:ext cx="428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60</xdr:row>
      <xdr:rowOff>85725</xdr:rowOff>
    </xdr:from>
    <xdr:to>
      <xdr:col>6</xdr:col>
      <xdr:colOff>371475</xdr:colOff>
      <xdr:row>60</xdr:row>
      <xdr:rowOff>95250</xdr:rowOff>
    </xdr:to>
    <xdr:cxnSp macro="">
      <xdr:nvCxnSpPr>
        <xdr:cNvPr id="411" name="Straight Connector 410"/>
        <xdr:cNvCxnSpPr/>
      </xdr:nvCxnSpPr>
      <xdr:spPr bwMode="auto">
        <a:xfrm>
          <a:off x="3648075" y="2838450"/>
          <a:ext cx="3810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371475</xdr:colOff>
      <xdr:row>60</xdr:row>
      <xdr:rowOff>95250</xdr:rowOff>
    </xdr:from>
    <xdr:to>
      <xdr:col>7</xdr:col>
      <xdr:colOff>495300</xdr:colOff>
      <xdr:row>62</xdr:row>
      <xdr:rowOff>142875</xdr:rowOff>
    </xdr:to>
    <xdr:cxnSp macro="">
      <xdr:nvCxnSpPr>
        <xdr:cNvPr id="412" name="Straight Connector 411"/>
        <xdr:cNvCxnSpPr/>
      </xdr:nvCxnSpPr>
      <xdr:spPr bwMode="auto">
        <a:xfrm>
          <a:off x="4029075" y="2847975"/>
          <a:ext cx="733425" cy="3714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58</xdr:row>
      <xdr:rowOff>19051</xdr:rowOff>
    </xdr:from>
    <xdr:to>
      <xdr:col>6</xdr:col>
      <xdr:colOff>285750</xdr:colOff>
      <xdr:row>60</xdr:row>
      <xdr:rowOff>66676</xdr:rowOff>
    </xdr:to>
    <xdr:cxnSp macro="">
      <xdr:nvCxnSpPr>
        <xdr:cNvPr id="413" name="Straight Connector 412"/>
        <xdr:cNvCxnSpPr/>
      </xdr:nvCxnSpPr>
      <xdr:spPr bwMode="auto">
        <a:xfrm rot="5400000" flipH="1" flipV="1">
          <a:off x="3609975" y="2486026"/>
          <a:ext cx="37147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361947</xdr:colOff>
      <xdr:row>58</xdr:row>
      <xdr:rowOff>9526</xdr:rowOff>
    </xdr:from>
    <xdr:to>
      <xdr:col>7</xdr:col>
      <xdr:colOff>38102</xdr:colOff>
      <xdr:row>60</xdr:row>
      <xdr:rowOff>104778</xdr:rowOff>
    </xdr:to>
    <xdr:cxnSp macro="">
      <xdr:nvCxnSpPr>
        <xdr:cNvPr id="414" name="Straight Connector 413"/>
        <xdr:cNvCxnSpPr/>
      </xdr:nvCxnSpPr>
      <xdr:spPr bwMode="auto">
        <a:xfrm rot="5400000" flipH="1" flipV="1">
          <a:off x="3952874" y="2505074"/>
          <a:ext cx="419102" cy="2857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28575</xdr:colOff>
      <xdr:row>58</xdr:row>
      <xdr:rowOff>28575</xdr:rowOff>
    </xdr:from>
    <xdr:to>
      <xdr:col>8</xdr:col>
      <xdr:colOff>161925</xdr:colOff>
      <xdr:row>60</xdr:row>
      <xdr:rowOff>28575</xdr:rowOff>
    </xdr:to>
    <xdr:cxnSp macro="">
      <xdr:nvCxnSpPr>
        <xdr:cNvPr id="415" name="Straight Connector 414"/>
        <xdr:cNvCxnSpPr/>
      </xdr:nvCxnSpPr>
      <xdr:spPr bwMode="auto">
        <a:xfrm>
          <a:off x="4295775" y="2457450"/>
          <a:ext cx="742950" cy="3238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285750</xdr:colOff>
      <xdr:row>58</xdr:row>
      <xdr:rowOff>19050</xdr:rowOff>
    </xdr:from>
    <xdr:to>
      <xdr:col>7</xdr:col>
      <xdr:colOff>0</xdr:colOff>
      <xdr:row>58</xdr:row>
      <xdr:rowOff>19051</xdr:rowOff>
    </xdr:to>
    <xdr:cxnSp macro="">
      <xdr:nvCxnSpPr>
        <xdr:cNvPr id="416" name="Straight Connector 415"/>
        <xdr:cNvCxnSpPr/>
      </xdr:nvCxnSpPr>
      <xdr:spPr bwMode="auto">
        <a:xfrm flipV="1">
          <a:off x="3943350" y="2447925"/>
          <a:ext cx="32385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504824</xdr:colOff>
      <xdr:row>60</xdr:row>
      <xdr:rowOff>38101</xdr:rowOff>
    </xdr:from>
    <xdr:to>
      <xdr:col>8</xdr:col>
      <xdr:colOff>152399</xdr:colOff>
      <xdr:row>62</xdr:row>
      <xdr:rowOff>152401</xdr:rowOff>
    </xdr:to>
    <xdr:cxnSp macro="">
      <xdr:nvCxnSpPr>
        <xdr:cNvPr id="417" name="Straight Connector 416"/>
        <xdr:cNvCxnSpPr/>
      </xdr:nvCxnSpPr>
      <xdr:spPr bwMode="auto">
        <a:xfrm rot="5400000" flipH="1" flipV="1">
          <a:off x="4681537" y="2881313"/>
          <a:ext cx="438150" cy="2571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505619</xdr:colOff>
      <xdr:row>58</xdr:row>
      <xdr:rowOff>795</xdr:rowOff>
    </xdr:from>
    <xdr:to>
      <xdr:col>6</xdr:col>
      <xdr:colOff>200025</xdr:colOff>
      <xdr:row>58</xdr:row>
      <xdr:rowOff>9526</xdr:rowOff>
    </xdr:to>
    <xdr:cxnSp macro="">
      <xdr:nvCxnSpPr>
        <xdr:cNvPr id="418" name="Straight Connector 417"/>
        <xdr:cNvCxnSpPr/>
      </xdr:nvCxnSpPr>
      <xdr:spPr bwMode="auto">
        <a:xfrm rot="10800000">
          <a:off x="3553619" y="2429670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248444</xdr:colOff>
      <xdr:row>62</xdr:row>
      <xdr:rowOff>143670</xdr:rowOff>
    </xdr:from>
    <xdr:to>
      <xdr:col>5</xdr:col>
      <xdr:colOff>552450</xdr:colOff>
      <xdr:row>62</xdr:row>
      <xdr:rowOff>152401</xdr:rowOff>
    </xdr:to>
    <xdr:cxnSp macro="">
      <xdr:nvCxnSpPr>
        <xdr:cNvPr id="419" name="Straight Connector 418"/>
        <xdr:cNvCxnSpPr/>
      </xdr:nvCxnSpPr>
      <xdr:spPr bwMode="auto">
        <a:xfrm rot="10800000">
          <a:off x="3296444" y="3220245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438154</xdr:colOff>
      <xdr:row>60</xdr:row>
      <xdr:rowOff>66675</xdr:rowOff>
    </xdr:from>
    <xdr:to>
      <xdr:col>5</xdr:col>
      <xdr:colOff>447680</xdr:colOff>
      <xdr:row>63</xdr:row>
      <xdr:rowOff>1</xdr:rowOff>
    </xdr:to>
    <xdr:cxnSp macro="">
      <xdr:nvCxnSpPr>
        <xdr:cNvPr id="420" name="Straight Arrow Connector 419"/>
        <xdr:cNvCxnSpPr/>
      </xdr:nvCxnSpPr>
      <xdr:spPr bwMode="auto">
        <a:xfrm rot="5400000" flipH="1" flipV="1">
          <a:off x="3281366" y="3024188"/>
          <a:ext cx="419101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600075</xdr:colOff>
      <xdr:row>64</xdr:row>
      <xdr:rowOff>152400</xdr:rowOff>
    </xdr:from>
    <xdr:to>
      <xdr:col>7</xdr:col>
      <xdr:colOff>495300</xdr:colOff>
      <xdr:row>65</xdr:row>
      <xdr:rowOff>0</xdr:rowOff>
    </xdr:to>
    <xdr:cxnSp macro="">
      <xdr:nvCxnSpPr>
        <xdr:cNvPr id="421" name="Straight Arrow Connector 420"/>
        <xdr:cNvCxnSpPr/>
      </xdr:nvCxnSpPr>
      <xdr:spPr bwMode="auto">
        <a:xfrm flipV="1">
          <a:off x="3648075" y="3552825"/>
          <a:ext cx="1114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med"/>
          <a:tailEnd type="triangle" w="sm" len="med"/>
        </a:ln>
        <a:effectLst/>
      </xdr:spPr>
    </xdr:cxnSp>
    <xdr:clientData/>
  </xdr:twoCellAnchor>
  <xdr:twoCellAnchor>
    <xdr:from>
      <xdr:col>2</xdr:col>
      <xdr:colOff>1</xdr:colOff>
      <xdr:row>64</xdr:row>
      <xdr:rowOff>48418</xdr:rowOff>
    </xdr:from>
    <xdr:to>
      <xdr:col>2</xdr:col>
      <xdr:colOff>797</xdr:colOff>
      <xdr:row>66</xdr:row>
      <xdr:rowOff>133349</xdr:rowOff>
    </xdr:to>
    <xdr:cxnSp macro="">
      <xdr:nvCxnSpPr>
        <xdr:cNvPr id="422" name="Straight Connector 421"/>
        <xdr:cNvCxnSpPr/>
      </xdr:nvCxnSpPr>
      <xdr:spPr bwMode="auto">
        <a:xfrm rot="5400000">
          <a:off x="1015208" y="3652836"/>
          <a:ext cx="408781" cy="79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438150</xdr:colOff>
      <xdr:row>59</xdr:row>
      <xdr:rowOff>9525</xdr:rowOff>
    </xdr:from>
    <xdr:to>
      <xdr:col>2</xdr:col>
      <xdr:colOff>95250</xdr:colOff>
      <xdr:row>61</xdr:row>
      <xdr:rowOff>66677</xdr:rowOff>
    </xdr:to>
    <xdr:cxnSp macro="">
      <xdr:nvCxnSpPr>
        <xdr:cNvPr id="423" name="Straight Arrow Connector 422"/>
        <xdr:cNvCxnSpPr/>
      </xdr:nvCxnSpPr>
      <xdr:spPr bwMode="auto">
        <a:xfrm rot="5400000" flipH="1" flipV="1">
          <a:off x="990599" y="2657476"/>
          <a:ext cx="381002" cy="266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342106</xdr:colOff>
      <xdr:row>64</xdr:row>
      <xdr:rowOff>19844</xdr:rowOff>
    </xdr:from>
    <xdr:to>
      <xdr:col>2</xdr:col>
      <xdr:colOff>343694</xdr:colOff>
      <xdr:row>65</xdr:row>
      <xdr:rowOff>86519</xdr:rowOff>
    </xdr:to>
    <xdr:cxnSp macro="">
      <xdr:nvCxnSpPr>
        <xdr:cNvPr id="424" name="Straight Connector 423"/>
        <xdr:cNvCxnSpPr/>
      </xdr:nvCxnSpPr>
      <xdr:spPr bwMode="auto">
        <a:xfrm rot="5400000">
          <a:off x="1447800" y="3533775"/>
          <a:ext cx="228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494507</xdr:colOff>
      <xdr:row>65</xdr:row>
      <xdr:rowOff>794</xdr:rowOff>
    </xdr:from>
    <xdr:to>
      <xdr:col>3</xdr:col>
      <xdr:colOff>496095</xdr:colOff>
      <xdr:row>66</xdr:row>
      <xdr:rowOff>96044</xdr:rowOff>
    </xdr:to>
    <xdr:cxnSp macro="">
      <xdr:nvCxnSpPr>
        <xdr:cNvPr id="425" name="Straight Connector 424"/>
        <xdr:cNvCxnSpPr/>
      </xdr:nvCxnSpPr>
      <xdr:spPr bwMode="auto">
        <a:xfrm rot="5400000">
          <a:off x="2195513" y="3690938"/>
          <a:ext cx="2571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257969</xdr:colOff>
      <xdr:row>61</xdr:row>
      <xdr:rowOff>67470</xdr:rowOff>
    </xdr:from>
    <xdr:to>
      <xdr:col>1</xdr:col>
      <xdr:colOff>561975</xdr:colOff>
      <xdr:row>61</xdr:row>
      <xdr:rowOff>76201</xdr:rowOff>
    </xdr:to>
    <xdr:cxnSp macro="">
      <xdr:nvCxnSpPr>
        <xdr:cNvPr id="426" name="Straight Connector 425"/>
        <xdr:cNvCxnSpPr/>
      </xdr:nvCxnSpPr>
      <xdr:spPr bwMode="auto">
        <a:xfrm rot="10800000">
          <a:off x="867569" y="2982120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</xdr:colOff>
      <xdr:row>64</xdr:row>
      <xdr:rowOff>114300</xdr:rowOff>
    </xdr:from>
    <xdr:to>
      <xdr:col>2</xdr:col>
      <xdr:colOff>342900</xdr:colOff>
      <xdr:row>64</xdr:row>
      <xdr:rowOff>115888</xdr:rowOff>
    </xdr:to>
    <xdr:cxnSp macro="">
      <xdr:nvCxnSpPr>
        <xdr:cNvPr id="427" name="Straight Arrow Connector 426"/>
        <xdr:cNvCxnSpPr/>
      </xdr:nvCxnSpPr>
      <xdr:spPr bwMode="auto">
        <a:xfrm>
          <a:off x="1228725" y="3514725"/>
          <a:ext cx="3333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600075</xdr:colOff>
      <xdr:row>63</xdr:row>
      <xdr:rowOff>152400</xdr:rowOff>
    </xdr:from>
    <xdr:to>
      <xdr:col>3</xdr:col>
      <xdr:colOff>504825</xdr:colOff>
      <xdr:row>64</xdr:row>
      <xdr:rowOff>1</xdr:rowOff>
    </xdr:to>
    <xdr:cxnSp macro="">
      <xdr:nvCxnSpPr>
        <xdr:cNvPr id="428" name="Straight Connector 427"/>
        <xdr:cNvCxnSpPr/>
      </xdr:nvCxnSpPr>
      <xdr:spPr bwMode="auto">
        <a:xfrm flipV="1">
          <a:off x="1209675" y="3390900"/>
          <a:ext cx="1123950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599282</xdr:colOff>
      <xdr:row>61</xdr:row>
      <xdr:rowOff>67468</xdr:rowOff>
    </xdr:from>
    <xdr:to>
      <xdr:col>1</xdr:col>
      <xdr:colOff>600870</xdr:colOff>
      <xdr:row>64</xdr:row>
      <xdr:rowOff>10318</xdr:rowOff>
    </xdr:to>
    <xdr:cxnSp macro="">
      <xdr:nvCxnSpPr>
        <xdr:cNvPr id="429" name="Straight Connector 428"/>
        <xdr:cNvCxnSpPr/>
      </xdr:nvCxnSpPr>
      <xdr:spPr bwMode="auto">
        <a:xfrm rot="5400000">
          <a:off x="995363" y="3195637"/>
          <a:ext cx="428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600075</xdr:colOff>
      <xdr:row>61</xdr:row>
      <xdr:rowOff>85725</xdr:rowOff>
    </xdr:from>
    <xdr:to>
      <xdr:col>2</xdr:col>
      <xdr:colOff>371475</xdr:colOff>
      <xdr:row>61</xdr:row>
      <xdr:rowOff>95250</xdr:rowOff>
    </xdr:to>
    <xdr:cxnSp macro="">
      <xdr:nvCxnSpPr>
        <xdr:cNvPr id="430" name="Straight Connector 429"/>
        <xdr:cNvCxnSpPr/>
      </xdr:nvCxnSpPr>
      <xdr:spPr bwMode="auto">
        <a:xfrm>
          <a:off x="1209675" y="3000375"/>
          <a:ext cx="38100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371475</xdr:colOff>
      <xdr:row>61</xdr:row>
      <xdr:rowOff>95250</xdr:rowOff>
    </xdr:from>
    <xdr:to>
      <xdr:col>3</xdr:col>
      <xdr:colOff>495300</xdr:colOff>
      <xdr:row>63</xdr:row>
      <xdr:rowOff>142875</xdr:rowOff>
    </xdr:to>
    <xdr:cxnSp macro="">
      <xdr:nvCxnSpPr>
        <xdr:cNvPr id="431" name="Straight Connector 430"/>
        <xdr:cNvCxnSpPr/>
      </xdr:nvCxnSpPr>
      <xdr:spPr bwMode="auto">
        <a:xfrm>
          <a:off x="1590675" y="3009900"/>
          <a:ext cx="733425" cy="3714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600075</xdr:colOff>
      <xdr:row>59</xdr:row>
      <xdr:rowOff>19051</xdr:rowOff>
    </xdr:from>
    <xdr:to>
      <xdr:col>2</xdr:col>
      <xdr:colOff>285750</xdr:colOff>
      <xdr:row>61</xdr:row>
      <xdr:rowOff>66676</xdr:rowOff>
    </xdr:to>
    <xdr:cxnSp macro="">
      <xdr:nvCxnSpPr>
        <xdr:cNvPr id="432" name="Straight Connector 431"/>
        <xdr:cNvCxnSpPr/>
      </xdr:nvCxnSpPr>
      <xdr:spPr bwMode="auto">
        <a:xfrm rot="5400000" flipH="1" flipV="1">
          <a:off x="1171575" y="2647951"/>
          <a:ext cx="371475" cy="2952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361947</xdr:colOff>
      <xdr:row>59</xdr:row>
      <xdr:rowOff>9526</xdr:rowOff>
    </xdr:from>
    <xdr:to>
      <xdr:col>3</xdr:col>
      <xdr:colOff>38102</xdr:colOff>
      <xdr:row>61</xdr:row>
      <xdr:rowOff>104778</xdr:rowOff>
    </xdr:to>
    <xdr:cxnSp macro="">
      <xdr:nvCxnSpPr>
        <xdr:cNvPr id="433" name="Straight Connector 432"/>
        <xdr:cNvCxnSpPr/>
      </xdr:nvCxnSpPr>
      <xdr:spPr bwMode="auto">
        <a:xfrm rot="5400000" flipH="1" flipV="1">
          <a:off x="1514474" y="2666999"/>
          <a:ext cx="419102" cy="2857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28575</xdr:colOff>
      <xdr:row>59</xdr:row>
      <xdr:rowOff>28575</xdr:rowOff>
    </xdr:from>
    <xdr:to>
      <xdr:col>4</xdr:col>
      <xdr:colOff>161925</xdr:colOff>
      <xdr:row>61</xdr:row>
      <xdr:rowOff>28575</xdr:rowOff>
    </xdr:to>
    <xdr:cxnSp macro="">
      <xdr:nvCxnSpPr>
        <xdr:cNvPr id="434" name="Straight Connector 433"/>
        <xdr:cNvCxnSpPr/>
      </xdr:nvCxnSpPr>
      <xdr:spPr bwMode="auto">
        <a:xfrm>
          <a:off x="1857375" y="2619375"/>
          <a:ext cx="742950" cy="3238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285750</xdr:colOff>
      <xdr:row>59</xdr:row>
      <xdr:rowOff>19050</xdr:rowOff>
    </xdr:from>
    <xdr:to>
      <xdr:col>3</xdr:col>
      <xdr:colOff>0</xdr:colOff>
      <xdr:row>59</xdr:row>
      <xdr:rowOff>19051</xdr:rowOff>
    </xdr:to>
    <xdr:cxnSp macro="">
      <xdr:nvCxnSpPr>
        <xdr:cNvPr id="435" name="Straight Connector 434"/>
        <xdr:cNvCxnSpPr/>
      </xdr:nvCxnSpPr>
      <xdr:spPr bwMode="auto">
        <a:xfrm flipV="1">
          <a:off x="1504950" y="2609850"/>
          <a:ext cx="323850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504824</xdr:colOff>
      <xdr:row>61</xdr:row>
      <xdr:rowOff>38101</xdr:rowOff>
    </xdr:from>
    <xdr:to>
      <xdr:col>4</xdr:col>
      <xdr:colOff>152399</xdr:colOff>
      <xdr:row>63</xdr:row>
      <xdr:rowOff>152401</xdr:rowOff>
    </xdr:to>
    <xdr:cxnSp macro="">
      <xdr:nvCxnSpPr>
        <xdr:cNvPr id="436" name="Straight Connector 435"/>
        <xdr:cNvCxnSpPr/>
      </xdr:nvCxnSpPr>
      <xdr:spPr bwMode="auto">
        <a:xfrm rot="5400000" flipH="1" flipV="1">
          <a:off x="2243137" y="3043238"/>
          <a:ext cx="438150" cy="2571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505619</xdr:colOff>
      <xdr:row>59</xdr:row>
      <xdr:rowOff>795</xdr:rowOff>
    </xdr:from>
    <xdr:to>
      <xdr:col>2</xdr:col>
      <xdr:colOff>200025</xdr:colOff>
      <xdr:row>59</xdr:row>
      <xdr:rowOff>9526</xdr:rowOff>
    </xdr:to>
    <xdr:cxnSp macro="">
      <xdr:nvCxnSpPr>
        <xdr:cNvPr id="437" name="Straight Connector 436"/>
        <xdr:cNvCxnSpPr/>
      </xdr:nvCxnSpPr>
      <xdr:spPr bwMode="auto">
        <a:xfrm rot="10800000">
          <a:off x="1115219" y="2591595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248444</xdr:colOff>
      <xdr:row>63</xdr:row>
      <xdr:rowOff>143670</xdr:rowOff>
    </xdr:from>
    <xdr:to>
      <xdr:col>1</xdr:col>
      <xdr:colOff>552450</xdr:colOff>
      <xdr:row>63</xdr:row>
      <xdr:rowOff>152401</xdr:rowOff>
    </xdr:to>
    <xdr:cxnSp macro="">
      <xdr:nvCxnSpPr>
        <xdr:cNvPr id="438" name="Straight Connector 437"/>
        <xdr:cNvCxnSpPr/>
      </xdr:nvCxnSpPr>
      <xdr:spPr bwMode="auto">
        <a:xfrm rot="10800000">
          <a:off x="858044" y="3382170"/>
          <a:ext cx="304006" cy="87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438154</xdr:colOff>
      <xdr:row>61</xdr:row>
      <xdr:rowOff>66675</xdr:rowOff>
    </xdr:from>
    <xdr:to>
      <xdr:col>1</xdr:col>
      <xdr:colOff>447680</xdr:colOff>
      <xdr:row>64</xdr:row>
      <xdr:rowOff>1</xdr:rowOff>
    </xdr:to>
    <xdr:cxnSp macro="">
      <xdr:nvCxnSpPr>
        <xdr:cNvPr id="439" name="Straight Arrow Connector 438"/>
        <xdr:cNvCxnSpPr/>
      </xdr:nvCxnSpPr>
      <xdr:spPr bwMode="auto">
        <a:xfrm rot="5400000" flipH="1" flipV="1">
          <a:off x="842966" y="3186113"/>
          <a:ext cx="419101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600075</xdr:colOff>
      <xdr:row>65</xdr:row>
      <xdr:rowOff>152400</xdr:rowOff>
    </xdr:from>
    <xdr:to>
      <xdr:col>3</xdr:col>
      <xdr:colOff>495300</xdr:colOff>
      <xdr:row>66</xdr:row>
      <xdr:rowOff>0</xdr:rowOff>
    </xdr:to>
    <xdr:cxnSp macro="">
      <xdr:nvCxnSpPr>
        <xdr:cNvPr id="440" name="Straight Arrow Connector 439"/>
        <xdr:cNvCxnSpPr/>
      </xdr:nvCxnSpPr>
      <xdr:spPr bwMode="auto">
        <a:xfrm flipV="1">
          <a:off x="1209675" y="3714750"/>
          <a:ext cx="11144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med"/>
          <a:tailEnd type="triangle" w="sm" len="med"/>
        </a:ln>
        <a:effectLst/>
      </xdr:spPr>
    </xdr:cxnSp>
    <xdr:clientData/>
  </xdr:twoCellAnchor>
  <xdr:twoCellAnchor>
    <xdr:from>
      <xdr:col>0</xdr:col>
      <xdr:colOff>400050</xdr:colOff>
      <xdr:row>48</xdr:row>
      <xdr:rowOff>152400</xdr:rowOff>
    </xdr:from>
    <xdr:to>
      <xdr:col>1</xdr:col>
      <xdr:colOff>0</xdr:colOff>
      <xdr:row>50</xdr:row>
      <xdr:rowOff>0</xdr:rowOff>
    </xdr:to>
    <xdr:sp macro="" textlink="">
      <xdr:nvSpPr>
        <xdr:cNvPr id="441" name="Line 3300"/>
        <xdr:cNvSpPr>
          <a:spLocks noChangeShapeType="1"/>
        </xdr:cNvSpPr>
      </xdr:nvSpPr>
      <xdr:spPr bwMode="auto">
        <a:xfrm>
          <a:off x="400050" y="800100"/>
          <a:ext cx="20955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0</xdr:rowOff>
    </xdr:from>
    <xdr:to>
      <xdr:col>4</xdr:col>
      <xdr:colOff>466725</xdr:colOff>
      <xdr:row>50</xdr:row>
      <xdr:rowOff>0</xdr:rowOff>
    </xdr:to>
    <xdr:sp macro="" textlink="">
      <xdr:nvSpPr>
        <xdr:cNvPr id="442" name="Line 3301"/>
        <xdr:cNvSpPr>
          <a:spLocks noChangeShapeType="1"/>
        </xdr:cNvSpPr>
      </xdr:nvSpPr>
      <xdr:spPr bwMode="auto">
        <a:xfrm>
          <a:off x="609600" y="971550"/>
          <a:ext cx="2295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1</xdr:col>
      <xdr:colOff>0</xdr:colOff>
      <xdr:row>50</xdr:row>
      <xdr:rowOff>0</xdr:rowOff>
    </xdr:to>
    <xdr:sp macro="" textlink="">
      <xdr:nvSpPr>
        <xdr:cNvPr id="443" name="Line 3302"/>
        <xdr:cNvSpPr>
          <a:spLocks noChangeShapeType="1"/>
        </xdr:cNvSpPr>
      </xdr:nvSpPr>
      <xdr:spPr bwMode="auto">
        <a:xfrm>
          <a:off x="609600" y="8096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400050</xdr:colOff>
      <xdr:row>49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444" name="Line 3303"/>
        <xdr:cNvSpPr>
          <a:spLocks noChangeShapeType="1"/>
        </xdr:cNvSpPr>
      </xdr:nvSpPr>
      <xdr:spPr bwMode="auto">
        <a:xfrm flipH="1" flipV="1">
          <a:off x="400050" y="80962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304800</xdr:colOff>
      <xdr:row>49</xdr:row>
      <xdr:rowOff>0</xdr:rowOff>
    </xdr:from>
    <xdr:to>
      <xdr:col>2</xdr:col>
      <xdr:colOff>304800</xdr:colOff>
      <xdr:row>50</xdr:row>
      <xdr:rowOff>0</xdr:rowOff>
    </xdr:to>
    <xdr:sp macro="" textlink="">
      <xdr:nvSpPr>
        <xdr:cNvPr id="445" name="Line 3304"/>
        <xdr:cNvSpPr>
          <a:spLocks noChangeShapeType="1"/>
        </xdr:cNvSpPr>
      </xdr:nvSpPr>
      <xdr:spPr bwMode="auto">
        <a:xfrm>
          <a:off x="1524000" y="8096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419100</xdr:colOff>
      <xdr:row>49</xdr:row>
      <xdr:rowOff>9525</xdr:rowOff>
    </xdr:from>
    <xdr:to>
      <xdr:col>3</xdr:col>
      <xdr:colOff>47625</xdr:colOff>
      <xdr:row>50</xdr:row>
      <xdr:rowOff>9525</xdr:rowOff>
    </xdr:to>
    <xdr:sp macro="" textlink="">
      <xdr:nvSpPr>
        <xdr:cNvPr id="446" name="Line 3305"/>
        <xdr:cNvSpPr>
          <a:spLocks noChangeShapeType="1"/>
        </xdr:cNvSpPr>
      </xdr:nvSpPr>
      <xdr:spPr bwMode="auto">
        <a:xfrm>
          <a:off x="1638300" y="819150"/>
          <a:ext cx="23812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466725</xdr:colOff>
      <xdr:row>49</xdr:row>
      <xdr:rowOff>57150</xdr:rowOff>
    </xdr:from>
    <xdr:to>
      <xdr:col>3</xdr:col>
      <xdr:colOff>466725</xdr:colOff>
      <xdr:row>50</xdr:row>
      <xdr:rowOff>0</xdr:rowOff>
    </xdr:to>
    <xdr:sp macro="" textlink="">
      <xdr:nvSpPr>
        <xdr:cNvPr id="447" name="Line 3306"/>
        <xdr:cNvSpPr>
          <a:spLocks noChangeShapeType="1"/>
        </xdr:cNvSpPr>
      </xdr:nvSpPr>
      <xdr:spPr bwMode="auto">
        <a:xfrm>
          <a:off x="2295525" y="866775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561975</xdr:colOff>
      <xdr:row>49</xdr:row>
      <xdr:rowOff>66675</xdr:rowOff>
    </xdr:from>
    <xdr:to>
      <xdr:col>4</xdr:col>
      <xdr:colOff>238125</xdr:colOff>
      <xdr:row>50</xdr:row>
      <xdr:rowOff>19050</xdr:rowOff>
    </xdr:to>
    <xdr:sp macro="" textlink="">
      <xdr:nvSpPr>
        <xdr:cNvPr id="448" name="Line 3307"/>
        <xdr:cNvSpPr>
          <a:spLocks noChangeShapeType="1"/>
        </xdr:cNvSpPr>
      </xdr:nvSpPr>
      <xdr:spPr bwMode="auto">
        <a:xfrm>
          <a:off x="2390775" y="876300"/>
          <a:ext cx="285750" cy="114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50</xdr:row>
      <xdr:rowOff>104775</xdr:rowOff>
    </xdr:from>
    <xdr:to>
      <xdr:col>1</xdr:col>
      <xdr:colOff>0</xdr:colOff>
      <xdr:row>57</xdr:row>
      <xdr:rowOff>0</xdr:rowOff>
    </xdr:to>
    <xdr:sp macro="" textlink="">
      <xdr:nvSpPr>
        <xdr:cNvPr id="449" name="Line 3308"/>
        <xdr:cNvSpPr>
          <a:spLocks noChangeShapeType="1"/>
        </xdr:cNvSpPr>
      </xdr:nvSpPr>
      <xdr:spPr bwMode="auto">
        <a:xfrm>
          <a:off x="609600" y="1076325"/>
          <a:ext cx="0" cy="1123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304800</xdr:colOff>
      <xdr:row>51</xdr:row>
      <xdr:rowOff>66675</xdr:rowOff>
    </xdr:from>
    <xdr:to>
      <xdr:col>2</xdr:col>
      <xdr:colOff>304800</xdr:colOff>
      <xdr:row>52</xdr:row>
      <xdr:rowOff>95250</xdr:rowOff>
    </xdr:to>
    <xdr:sp macro="" textlink="">
      <xdr:nvSpPr>
        <xdr:cNvPr id="450" name="Line 3309"/>
        <xdr:cNvSpPr>
          <a:spLocks noChangeShapeType="1"/>
        </xdr:cNvSpPr>
      </xdr:nvSpPr>
      <xdr:spPr bwMode="auto">
        <a:xfrm>
          <a:off x="1524000" y="120015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476250</xdr:colOff>
      <xdr:row>53</xdr:row>
      <xdr:rowOff>66675</xdr:rowOff>
    </xdr:from>
    <xdr:to>
      <xdr:col>3</xdr:col>
      <xdr:colOff>476250</xdr:colOff>
      <xdr:row>54</xdr:row>
      <xdr:rowOff>66675</xdr:rowOff>
    </xdr:to>
    <xdr:sp macro="" textlink="">
      <xdr:nvSpPr>
        <xdr:cNvPr id="451" name="Line 3310"/>
        <xdr:cNvSpPr>
          <a:spLocks noChangeShapeType="1"/>
        </xdr:cNvSpPr>
      </xdr:nvSpPr>
      <xdr:spPr bwMode="auto">
        <a:xfrm>
          <a:off x="2305050" y="15240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504825</xdr:colOff>
      <xdr:row>55</xdr:row>
      <xdr:rowOff>76200</xdr:rowOff>
    </xdr:from>
    <xdr:to>
      <xdr:col>4</xdr:col>
      <xdr:colOff>504825</xdr:colOff>
      <xdr:row>56</xdr:row>
      <xdr:rowOff>123825</xdr:rowOff>
    </xdr:to>
    <xdr:sp macro="" textlink="">
      <xdr:nvSpPr>
        <xdr:cNvPr id="452" name="Line 3311"/>
        <xdr:cNvSpPr>
          <a:spLocks noChangeShapeType="1"/>
        </xdr:cNvSpPr>
      </xdr:nvSpPr>
      <xdr:spPr bwMode="auto">
        <a:xfrm>
          <a:off x="2943225" y="185737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52</xdr:row>
      <xdr:rowOff>0</xdr:rowOff>
    </xdr:from>
    <xdr:to>
      <xdr:col>2</xdr:col>
      <xdr:colOff>304800</xdr:colOff>
      <xdr:row>52</xdr:row>
      <xdr:rowOff>0</xdr:rowOff>
    </xdr:to>
    <xdr:sp macro="" textlink="">
      <xdr:nvSpPr>
        <xdr:cNvPr id="453" name="Line 3312"/>
        <xdr:cNvSpPr>
          <a:spLocks noChangeShapeType="1"/>
        </xdr:cNvSpPr>
      </xdr:nvSpPr>
      <xdr:spPr bwMode="auto">
        <a:xfrm>
          <a:off x="609600" y="1295400"/>
          <a:ext cx="914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1</xdr:col>
      <xdr:colOff>0</xdr:colOff>
      <xdr:row>54</xdr:row>
      <xdr:rowOff>0</xdr:rowOff>
    </xdr:from>
    <xdr:to>
      <xdr:col>3</xdr:col>
      <xdr:colOff>476250</xdr:colOff>
      <xdr:row>54</xdr:row>
      <xdr:rowOff>0</xdr:rowOff>
    </xdr:to>
    <xdr:sp macro="" textlink="">
      <xdr:nvSpPr>
        <xdr:cNvPr id="454" name="Line 3313"/>
        <xdr:cNvSpPr>
          <a:spLocks noChangeShapeType="1"/>
        </xdr:cNvSpPr>
      </xdr:nvSpPr>
      <xdr:spPr bwMode="auto">
        <a:xfrm>
          <a:off x="609600" y="1619250"/>
          <a:ext cx="1695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</xdr:col>
      <xdr:colOff>0</xdr:colOff>
      <xdr:row>56</xdr:row>
      <xdr:rowOff>9525</xdr:rowOff>
    </xdr:from>
    <xdr:to>
      <xdr:col>4</xdr:col>
      <xdr:colOff>504825</xdr:colOff>
      <xdr:row>56</xdr:row>
      <xdr:rowOff>9525</xdr:rowOff>
    </xdr:to>
    <xdr:sp macro="" textlink="">
      <xdr:nvSpPr>
        <xdr:cNvPr id="455" name="Line 3314"/>
        <xdr:cNvSpPr>
          <a:spLocks noChangeShapeType="1"/>
        </xdr:cNvSpPr>
      </xdr:nvSpPr>
      <xdr:spPr bwMode="auto">
        <a:xfrm>
          <a:off x="609600" y="1952625"/>
          <a:ext cx="2333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sp>
    <xdr:clientData/>
  </xdr:twoCellAnchor>
  <xdr:twoCellAnchor>
    <xdr:from>
      <xdr:col>2</xdr:col>
      <xdr:colOff>304801</xdr:colOff>
      <xdr:row>48</xdr:row>
      <xdr:rowOff>161924</xdr:rowOff>
    </xdr:from>
    <xdr:to>
      <xdr:col>2</xdr:col>
      <xdr:colOff>419101</xdr:colOff>
      <xdr:row>49</xdr:row>
      <xdr:rowOff>9524</xdr:rowOff>
    </xdr:to>
    <xdr:cxnSp macro="">
      <xdr:nvCxnSpPr>
        <xdr:cNvPr id="456" name="Straight Connector 455"/>
        <xdr:cNvCxnSpPr>
          <a:stCxn id="445" idx="0"/>
          <a:endCxn id="446" idx="0"/>
        </xdr:cNvCxnSpPr>
      </xdr:nvCxnSpPr>
      <xdr:spPr bwMode="auto">
        <a:xfrm rot="16200000" flipH="1">
          <a:off x="1576388" y="757237"/>
          <a:ext cx="9525" cy="1143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466726</xdr:colOff>
      <xdr:row>49</xdr:row>
      <xdr:rowOff>57149</xdr:rowOff>
    </xdr:from>
    <xdr:to>
      <xdr:col>3</xdr:col>
      <xdr:colOff>561976</xdr:colOff>
      <xdr:row>49</xdr:row>
      <xdr:rowOff>66674</xdr:rowOff>
    </xdr:to>
    <xdr:cxnSp macro="">
      <xdr:nvCxnSpPr>
        <xdr:cNvPr id="457" name="Straight Connector 456"/>
        <xdr:cNvCxnSpPr>
          <a:stCxn id="447" idx="0"/>
          <a:endCxn id="448" idx="0"/>
        </xdr:cNvCxnSpPr>
      </xdr:nvCxnSpPr>
      <xdr:spPr bwMode="auto">
        <a:xfrm rot="16200000" flipH="1">
          <a:off x="2338388" y="823912"/>
          <a:ext cx="9525" cy="952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400051</xdr:colOff>
      <xdr:row>47</xdr:row>
      <xdr:rowOff>114300</xdr:rowOff>
    </xdr:from>
    <xdr:to>
      <xdr:col>2</xdr:col>
      <xdr:colOff>600076</xdr:colOff>
      <xdr:row>48</xdr:row>
      <xdr:rowOff>161924</xdr:rowOff>
    </xdr:to>
    <xdr:cxnSp macro="">
      <xdr:nvCxnSpPr>
        <xdr:cNvPr id="458" name="Straight Arrow Connector 457"/>
        <xdr:cNvCxnSpPr/>
      </xdr:nvCxnSpPr>
      <xdr:spPr bwMode="auto">
        <a:xfrm rot="5400000">
          <a:off x="1614489" y="604837"/>
          <a:ext cx="209549" cy="2000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504032</xdr:colOff>
      <xdr:row>47</xdr:row>
      <xdr:rowOff>85728</xdr:rowOff>
    </xdr:from>
    <xdr:to>
      <xdr:col>1</xdr:col>
      <xdr:colOff>0</xdr:colOff>
      <xdr:row>49</xdr:row>
      <xdr:rowOff>796</xdr:rowOff>
    </xdr:to>
    <xdr:cxnSp macro="">
      <xdr:nvCxnSpPr>
        <xdr:cNvPr id="459" name="Straight Arrow Connector 458"/>
        <xdr:cNvCxnSpPr/>
      </xdr:nvCxnSpPr>
      <xdr:spPr bwMode="auto">
        <a:xfrm rot="5400000">
          <a:off x="437357" y="638178"/>
          <a:ext cx="238918" cy="10556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142875</xdr:colOff>
      <xdr:row>47</xdr:row>
      <xdr:rowOff>1</xdr:rowOff>
    </xdr:from>
    <xdr:to>
      <xdr:col>4</xdr:col>
      <xdr:colOff>400050</xdr:colOff>
      <xdr:row>49</xdr:row>
      <xdr:rowOff>95251</xdr:rowOff>
    </xdr:to>
    <xdr:cxnSp macro="">
      <xdr:nvCxnSpPr>
        <xdr:cNvPr id="460" name="Straight Arrow Connector 459"/>
        <xdr:cNvCxnSpPr/>
      </xdr:nvCxnSpPr>
      <xdr:spPr bwMode="auto">
        <a:xfrm rot="5400000">
          <a:off x="2500313" y="566738"/>
          <a:ext cx="419100" cy="2571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190500</xdr:colOff>
      <xdr:row>48</xdr:row>
      <xdr:rowOff>152399</xdr:rowOff>
    </xdr:from>
    <xdr:to>
      <xdr:col>0</xdr:col>
      <xdr:colOff>400050</xdr:colOff>
      <xdr:row>48</xdr:row>
      <xdr:rowOff>161924</xdr:rowOff>
    </xdr:to>
    <xdr:cxnSp macro="">
      <xdr:nvCxnSpPr>
        <xdr:cNvPr id="461" name="Straight Connector 460"/>
        <xdr:cNvCxnSpPr/>
      </xdr:nvCxnSpPr>
      <xdr:spPr bwMode="auto">
        <a:xfrm rot="10800000" flipV="1">
          <a:off x="190500" y="800099"/>
          <a:ext cx="2095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8735</xdr:colOff>
      <xdr:row>400</xdr:row>
      <xdr:rowOff>4</xdr:rowOff>
    </xdr:from>
    <xdr:to>
      <xdr:col>8</xdr:col>
      <xdr:colOff>9528</xdr:colOff>
      <xdr:row>404</xdr:row>
      <xdr:rowOff>10320</xdr:rowOff>
    </xdr:to>
    <xdr:cxnSp macro="">
      <xdr:nvCxnSpPr>
        <xdr:cNvPr id="462" name="Straight Connector 461"/>
        <xdr:cNvCxnSpPr/>
      </xdr:nvCxnSpPr>
      <xdr:spPr bwMode="auto">
        <a:xfrm rot="5400000">
          <a:off x="8833649" y="8224840"/>
          <a:ext cx="772316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333375</xdr:colOff>
      <xdr:row>400</xdr:row>
      <xdr:rowOff>19050</xdr:rowOff>
    </xdr:from>
    <xdr:to>
      <xdr:col>8</xdr:col>
      <xdr:colOff>9525</xdr:colOff>
      <xdr:row>400</xdr:row>
      <xdr:rowOff>19053</xdr:rowOff>
    </xdr:to>
    <xdr:cxnSp macro="">
      <xdr:nvCxnSpPr>
        <xdr:cNvPr id="463" name="Straight Connector 462"/>
        <xdr:cNvCxnSpPr/>
      </xdr:nvCxnSpPr>
      <xdr:spPr bwMode="auto">
        <a:xfrm>
          <a:off x="2162175" y="75361800"/>
          <a:ext cx="1504950" cy="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295275</xdr:colOff>
      <xdr:row>403</xdr:row>
      <xdr:rowOff>161925</xdr:rowOff>
    </xdr:from>
    <xdr:to>
      <xdr:col>8</xdr:col>
      <xdr:colOff>19050</xdr:colOff>
      <xdr:row>403</xdr:row>
      <xdr:rowOff>180978</xdr:rowOff>
    </xdr:to>
    <xdr:cxnSp macro="">
      <xdr:nvCxnSpPr>
        <xdr:cNvPr id="464" name="Straight Connector 463"/>
        <xdr:cNvCxnSpPr/>
      </xdr:nvCxnSpPr>
      <xdr:spPr bwMode="auto">
        <a:xfrm>
          <a:off x="8286750" y="8572500"/>
          <a:ext cx="942975" cy="1905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590550</xdr:colOff>
      <xdr:row>402</xdr:row>
      <xdr:rowOff>19050</xdr:rowOff>
    </xdr:from>
    <xdr:to>
      <xdr:col>6</xdr:col>
      <xdr:colOff>314325</xdr:colOff>
      <xdr:row>404</xdr:row>
      <xdr:rowOff>9525</xdr:rowOff>
    </xdr:to>
    <xdr:cxnSp macro="">
      <xdr:nvCxnSpPr>
        <xdr:cNvPr id="465" name="Straight Connector 464"/>
        <xdr:cNvCxnSpPr/>
      </xdr:nvCxnSpPr>
      <xdr:spPr bwMode="auto">
        <a:xfrm>
          <a:off x="2419350" y="75685650"/>
          <a:ext cx="333375" cy="31432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8737</xdr:colOff>
      <xdr:row>396</xdr:row>
      <xdr:rowOff>161924</xdr:rowOff>
    </xdr:from>
    <xdr:to>
      <xdr:col>7</xdr:col>
      <xdr:colOff>19051</xdr:colOff>
      <xdr:row>400</xdr:row>
      <xdr:rowOff>10321</xdr:rowOff>
    </xdr:to>
    <xdr:cxnSp macro="">
      <xdr:nvCxnSpPr>
        <xdr:cNvPr id="466" name="Straight Connector 465"/>
        <xdr:cNvCxnSpPr/>
      </xdr:nvCxnSpPr>
      <xdr:spPr bwMode="auto">
        <a:xfrm rot="5400000">
          <a:off x="4033045" y="67241741"/>
          <a:ext cx="496097" cy="10314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199235</xdr:colOff>
      <xdr:row>401</xdr:row>
      <xdr:rowOff>142881</xdr:rowOff>
    </xdr:from>
    <xdr:to>
      <xdr:col>7</xdr:col>
      <xdr:colOff>200028</xdr:colOff>
      <xdr:row>405</xdr:row>
      <xdr:rowOff>153197</xdr:rowOff>
    </xdr:to>
    <xdr:cxnSp macro="">
      <xdr:nvCxnSpPr>
        <xdr:cNvPr id="467" name="Straight Connector 466"/>
        <xdr:cNvCxnSpPr/>
      </xdr:nvCxnSpPr>
      <xdr:spPr bwMode="auto">
        <a:xfrm rot="5400000">
          <a:off x="8414549" y="8558217"/>
          <a:ext cx="772316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314325</xdr:colOff>
      <xdr:row>402</xdr:row>
      <xdr:rowOff>9525</xdr:rowOff>
    </xdr:from>
    <xdr:to>
      <xdr:col>5</xdr:col>
      <xdr:colOff>590550</xdr:colOff>
      <xdr:row>402</xdr:row>
      <xdr:rowOff>19053</xdr:rowOff>
    </xdr:to>
    <xdr:cxnSp macro="">
      <xdr:nvCxnSpPr>
        <xdr:cNvPr id="468" name="Straight Connector 467"/>
        <xdr:cNvCxnSpPr/>
      </xdr:nvCxnSpPr>
      <xdr:spPr bwMode="auto">
        <a:xfrm>
          <a:off x="2143125" y="75676125"/>
          <a:ext cx="276225" cy="952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333379</xdr:colOff>
      <xdr:row>406</xdr:row>
      <xdr:rowOff>95257</xdr:rowOff>
    </xdr:from>
    <xdr:to>
      <xdr:col>6</xdr:col>
      <xdr:colOff>333380</xdr:colOff>
      <xdr:row>407</xdr:row>
      <xdr:rowOff>95250</xdr:rowOff>
    </xdr:to>
    <xdr:cxnSp macro="">
      <xdr:nvCxnSpPr>
        <xdr:cNvPr id="469" name="Straight Connector 468"/>
        <xdr:cNvCxnSpPr/>
      </xdr:nvCxnSpPr>
      <xdr:spPr bwMode="auto">
        <a:xfrm rot="5400000">
          <a:off x="3895733" y="67970403"/>
          <a:ext cx="190493" cy="1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91361</xdr:colOff>
      <xdr:row>400</xdr:row>
      <xdr:rowOff>11858</xdr:rowOff>
    </xdr:from>
    <xdr:to>
      <xdr:col>8</xdr:col>
      <xdr:colOff>443786</xdr:colOff>
      <xdr:row>400</xdr:row>
      <xdr:rowOff>11858</xdr:rowOff>
    </xdr:to>
    <xdr:sp macro="" textlink="">
      <xdr:nvSpPr>
        <xdr:cNvPr id="470" name="Line 39"/>
        <xdr:cNvSpPr>
          <a:spLocks noChangeShapeType="1"/>
        </xdr:cNvSpPr>
      </xdr:nvSpPr>
      <xdr:spPr bwMode="auto">
        <a:xfrm>
          <a:off x="9302036" y="785093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53261</xdr:colOff>
      <xdr:row>401</xdr:row>
      <xdr:rowOff>183308</xdr:rowOff>
    </xdr:from>
    <xdr:to>
      <xdr:col>8</xdr:col>
      <xdr:colOff>405686</xdr:colOff>
      <xdr:row>401</xdr:row>
      <xdr:rowOff>183308</xdr:rowOff>
    </xdr:to>
    <xdr:sp macro="" textlink="">
      <xdr:nvSpPr>
        <xdr:cNvPr id="471" name="Line 39"/>
        <xdr:cNvSpPr>
          <a:spLocks noChangeShapeType="1"/>
        </xdr:cNvSpPr>
      </xdr:nvSpPr>
      <xdr:spPr bwMode="auto">
        <a:xfrm>
          <a:off x="9263936" y="821288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81836</xdr:colOff>
      <xdr:row>404</xdr:row>
      <xdr:rowOff>11858</xdr:rowOff>
    </xdr:from>
    <xdr:to>
      <xdr:col>8</xdr:col>
      <xdr:colOff>434261</xdr:colOff>
      <xdr:row>404</xdr:row>
      <xdr:rowOff>11858</xdr:rowOff>
    </xdr:to>
    <xdr:sp macro="" textlink="">
      <xdr:nvSpPr>
        <xdr:cNvPr id="472" name="Line 39"/>
        <xdr:cNvSpPr>
          <a:spLocks noChangeShapeType="1"/>
        </xdr:cNvSpPr>
      </xdr:nvSpPr>
      <xdr:spPr bwMode="auto">
        <a:xfrm>
          <a:off x="9292511" y="861293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571507</xdr:colOff>
      <xdr:row>405</xdr:row>
      <xdr:rowOff>66678</xdr:rowOff>
    </xdr:from>
    <xdr:to>
      <xdr:col>5</xdr:col>
      <xdr:colOff>581025</xdr:colOff>
      <xdr:row>408</xdr:row>
      <xdr:rowOff>123831</xdr:rowOff>
    </xdr:to>
    <xdr:cxnSp macro="">
      <xdr:nvCxnSpPr>
        <xdr:cNvPr id="473" name="Straight Connector 472"/>
        <xdr:cNvCxnSpPr/>
      </xdr:nvCxnSpPr>
      <xdr:spPr bwMode="auto">
        <a:xfrm rot="5400000">
          <a:off x="3324227" y="70246883"/>
          <a:ext cx="600078" cy="951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571501</xdr:colOff>
      <xdr:row>407</xdr:row>
      <xdr:rowOff>0</xdr:rowOff>
    </xdr:from>
    <xdr:to>
      <xdr:col>6</xdr:col>
      <xdr:colOff>314328</xdr:colOff>
      <xdr:row>407</xdr:row>
      <xdr:rowOff>1588</xdr:rowOff>
    </xdr:to>
    <xdr:cxnSp macro="">
      <xdr:nvCxnSpPr>
        <xdr:cNvPr id="474" name="Straight Connector 473"/>
        <xdr:cNvCxnSpPr/>
      </xdr:nvCxnSpPr>
      <xdr:spPr bwMode="auto">
        <a:xfrm rot="10800000">
          <a:off x="3619501" y="67970400"/>
          <a:ext cx="35242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6</xdr:col>
      <xdr:colOff>333382</xdr:colOff>
      <xdr:row>406</xdr:row>
      <xdr:rowOff>190499</xdr:rowOff>
    </xdr:from>
    <xdr:to>
      <xdr:col>8</xdr:col>
      <xdr:colOff>1</xdr:colOff>
      <xdr:row>407</xdr:row>
      <xdr:rowOff>0</xdr:rowOff>
    </xdr:to>
    <xdr:cxnSp macro="">
      <xdr:nvCxnSpPr>
        <xdr:cNvPr id="475" name="Straight Connector 474"/>
        <xdr:cNvCxnSpPr/>
      </xdr:nvCxnSpPr>
      <xdr:spPr bwMode="auto">
        <a:xfrm rot="10800000">
          <a:off x="4600582" y="76533374"/>
          <a:ext cx="885819" cy="9527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571501</xdr:colOff>
      <xdr:row>408</xdr:row>
      <xdr:rowOff>9525</xdr:rowOff>
    </xdr:from>
    <xdr:to>
      <xdr:col>8</xdr:col>
      <xdr:colOff>9526</xdr:colOff>
      <xdr:row>408</xdr:row>
      <xdr:rowOff>9527</xdr:rowOff>
    </xdr:to>
    <xdr:cxnSp macro="">
      <xdr:nvCxnSpPr>
        <xdr:cNvPr id="476" name="Straight Connector 475"/>
        <xdr:cNvCxnSpPr/>
      </xdr:nvCxnSpPr>
      <xdr:spPr bwMode="auto">
        <a:xfrm rot="10800000" flipV="1">
          <a:off x="4229101" y="76923900"/>
          <a:ext cx="1266825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4</xdr:colOff>
      <xdr:row>405</xdr:row>
      <xdr:rowOff>47626</xdr:rowOff>
    </xdr:from>
    <xdr:to>
      <xdr:col>8</xdr:col>
      <xdr:colOff>9525</xdr:colOff>
      <xdr:row>408</xdr:row>
      <xdr:rowOff>142874</xdr:rowOff>
    </xdr:to>
    <xdr:cxnSp macro="">
      <xdr:nvCxnSpPr>
        <xdr:cNvPr id="477" name="Straight Connector 476"/>
        <xdr:cNvCxnSpPr/>
      </xdr:nvCxnSpPr>
      <xdr:spPr bwMode="auto">
        <a:xfrm rot="16200000" flipH="1">
          <a:off x="4562478" y="70246877"/>
          <a:ext cx="638173" cy="9521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419100</xdr:colOff>
      <xdr:row>397</xdr:row>
      <xdr:rowOff>0</xdr:rowOff>
    </xdr:from>
    <xdr:to>
      <xdr:col>7</xdr:col>
      <xdr:colOff>19050</xdr:colOff>
      <xdr:row>397</xdr:row>
      <xdr:rowOff>3</xdr:rowOff>
    </xdr:to>
    <xdr:cxnSp macro="">
      <xdr:nvCxnSpPr>
        <xdr:cNvPr id="478" name="Straight Connector 477"/>
        <xdr:cNvCxnSpPr/>
      </xdr:nvCxnSpPr>
      <xdr:spPr bwMode="auto">
        <a:xfrm>
          <a:off x="3467100" y="66322575"/>
          <a:ext cx="819150" cy="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160175</xdr:colOff>
      <xdr:row>401</xdr:row>
      <xdr:rowOff>172247</xdr:rowOff>
    </xdr:from>
    <xdr:to>
      <xdr:col>8</xdr:col>
      <xdr:colOff>162720</xdr:colOff>
      <xdr:row>403</xdr:row>
      <xdr:rowOff>171453</xdr:rowOff>
    </xdr:to>
    <xdr:cxnSp macro="">
      <xdr:nvCxnSpPr>
        <xdr:cNvPr id="479" name="Straight Arrow Connector 478"/>
        <xdr:cNvCxnSpPr/>
      </xdr:nvCxnSpPr>
      <xdr:spPr bwMode="auto">
        <a:xfrm rot="5400000">
          <a:off x="9182020" y="8390652"/>
          <a:ext cx="380206" cy="25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8</xdr:col>
      <xdr:colOff>160175</xdr:colOff>
      <xdr:row>400</xdr:row>
      <xdr:rowOff>798</xdr:rowOff>
    </xdr:from>
    <xdr:to>
      <xdr:col>8</xdr:col>
      <xdr:colOff>162720</xdr:colOff>
      <xdr:row>402</xdr:row>
      <xdr:rowOff>4</xdr:rowOff>
    </xdr:to>
    <xdr:cxnSp macro="">
      <xdr:nvCxnSpPr>
        <xdr:cNvPr id="480" name="Straight Arrow Connector 479"/>
        <xdr:cNvCxnSpPr/>
      </xdr:nvCxnSpPr>
      <xdr:spPr bwMode="auto">
        <a:xfrm rot="5400000">
          <a:off x="9182020" y="8028703"/>
          <a:ext cx="380206" cy="25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 editAs="oneCell">
    <xdr:from>
      <xdr:col>4</xdr:col>
      <xdr:colOff>600075</xdr:colOff>
      <xdr:row>111</xdr:row>
      <xdr:rowOff>0</xdr:rowOff>
    </xdr:from>
    <xdr:to>
      <xdr:col>5</xdr:col>
      <xdr:colOff>0</xdr:colOff>
      <xdr:row>111</xdr:row>
      <xdr:rowOff>161925</xdr:rowOff>
    </xdr:to>
    <xdr:sp macro="" textlink="">
      <xdr:nvSpPr>
        <xdr:cNvPr id="481" name="Text Box 154"/>
        <xdr:cNvSpPr txBox="1">
          <a:spLocks noChangeArrowheads="1"/>
        </xdr:cNvSpPr>
      </xdr:nvSpPr>
      <xdr:spPr bwMode="auto">
        <a:xfrm>
          <a:off x="3038475" y="51816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112</xdr:row>
      <xdr:rowOff>0</xdr:rowOff>
    </xdr:from>
    <xdr:to>
      <xdr:col>5</xdr:col>
      <xdr:colOff>0</xdr:colOff>
      <xdr:row>112</xdr:row>
      <xdr:rowOff>161925</xdr:rowOff>
    </xdr:to>
    <xdr:sp macro="" textlink="">
      <xdr:nvSpPr>
        <xdr:cNvPr id="482" name="Text Box 154"/>
        <xdr:cNvSpPr txBox="1">
          <a:spLocks noChangeArrowheads="1"/>
        </xdr:cNvSpPr>
      </xdr:nvSpPr>
      <xdr:spPr bwMode="auto">
        <a:xfrm>
          <a:off x="3038475" y="53435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108</xdr:row>
      <xdr:rowOff>0</xdr:rowOff>
    </xdr:from>
    <xdr:to>
      <xdr:col>5</xdr:col>
      <xdr:colOff>0</xdr:colOff>
      <xdr:row>108</xdr:row>
      <xdr:rowOff>161925</xdr:rowOff>
    </xdr:to>
    <xdr:sp macro="" textlink="">
      <xdr:nvSpPr>
        <xdr:cNvPr id="483" name="Text Box 154"/>
        <xdr:cNvSpPr txBox="1">
          <a:spLocks noChangeArrowheads="1"/>
        </xdr:cNvSpPr>
      </xdr:nvSpPr>
      <xdr:spPr bwMode="auto">
        <a:xfrm>
          <a:off x="3038475" y="46958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179</xdr:row>
      <xdr:rowOff>0</xdr:rowOff>
    </xdr:from>
    <xdr:to>
      <xdr:col>5</xdr:col>
      <xdr:colOff>0</xdr:colOff>
      <xdr:row>179</xdr:row>
      <xdr:rowOff>161925</xdr:rowOff>
    </xdr:to>
    <xdr:sp macro="" textlink="">
      <xdr:nvSpPr>
        <xdr:cNvPr id="484" name="Text Box 154"/>
        <xdr:cNvSpPr txBox="1">
          <a:spLocks noChangeArrowheads="1"/>
        </xdr:cNvSpPr>
      </xdr:nvSpPr>
      <xdr:spPr bwMode="auto">
        <a:xfrm>
          <a:off x="3038475" y="64770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181</xdr:row>
      <xdr:rowOff>0</xdr:rowOff>
    </xdr:from>
    <xdr:to>
      <xdr:col>5</xdr:col>
      <xdr:colOff>0</xdr:colOff>
      <xdr:row>181</xdr:row>
      <xdr:rowOff>161925</xdr:rowOff>
    </xdr:to>
    <xdr:sp macro="" textlink="">
      <xdr:nvSpPr>
        <xdr:cNvPr id="485" name="Text Box 154"/>
        <xdr:cNvSpPr txBox="1">
          <a:spLocks noChangeArrowheads="1"/>
        </xdr:cNvSpPr>
      </xdr:nvSpPr>
      <xdr:spPr bwMode="auto">
        <a:xfrm>
          <a:off x="3038475" y="68008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182</xdr:row>
      <xdr:rowOff>0</xdr:rowOff>
    </xdr:from>
    <xdr:to>
      <xdr:col>5</xdr:col>
      <xdr:colOff>0</xdr:colOff>
      <xdr:row>182</xdr:row>
      <xdr:rowOff>161925</xdr:rowOff>
    </xdr:to>
    <xdr:sp macro="" textlink="">
      <xdr:nvSpPr>
        <xdr:cNvPr id="486" name="Text Box 154"/>
        <xdr:cNvSpPr txBox="1">
          <a:spLocks noChangeArrowheads="1"/>
        </xdr:cNvSpPr>
      </xdr:nvSpPr>
      <xdr:spPr bwMode="auto">
        <a:xfrm>
          <a:off x="3038475" y="69627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178</xdr:row>
      <xdr:rowOff>0</xdr:rowOff>
    </xdr:from>
    <xdr:to>
      <xdr:col>5</xdr:col>
      <xdr:colOff>0</xdr:colOff>
      <xdr:row>178</xdr:row>
      <xdr:rowOff>161925</xdr:rowOff>
    </xdr:to>
    <xdr:sp macro="" textlink="">
      <xdr:nvSpPr>
        <xdr:cNvPr id="487" name="Text Box 154"/>
        <xdr:cNvSpPr txBox="1">
          <a:spLocks noChangeArrowheads="1"/>
        </xdr:cNvSpPr>
      </xdr:nvSpPr>
      <xdr:spPr bwMode="auto">
        <a:xfrm>
          <a:off x="3038475" y="63150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190</xdr:row>
      <xdr:rowOff>0</xdr:rowOff>
    </xdr:from>
    <xdr:to>
      <xdr:col>5</xdr:col>
      <xdr:colOff>0</xdr:colOff>
      <xdr:row>190</xdr:row>
      <xdr:rowOff>161925</xdr:rowOff>
    </xdr:to>
    <xdr:sp macro="" textlink="">
      <xdr:nvSpPr>
        <xdr:cNvPr id="488" name="Text Box 154"/>
        <xdr:cNvSpPr txBox="1">
          <a:spLocks noChangeArrowheads="1"/>
        </xdr:cNvSpPr>
      </xdr:nvSpPr>
      <xdr:spPr bwMode="auto">
        <a:xfrm>
          <a:off x="3038475" y="82581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189</xdr:row>
      <xdr:rowOff>0</xdr:rowOff>
    </xdr:from>
    <xdr:to>
      <xdr:col>5</xdr:col>
      <xdr:colOff>0</xdr:colOff>
      <xdr:row>189</xdr:row>
      <xdr:rowOff>161925</xdr:rowOff>
    </xdr:to>
    <xdr:sp macro="" textlink="">
      <xdr:nvSpPr>
        <xdr:cNvPr id="489" name="Text Box 154"/>
        <xdr:cNvSpPr txBox="1">
          <a:spLocks noChangeArrowheads="1"/>
        </xdr:cNvSpPr>
      </xdr:nvSpPr>
      <xdr:spPr bwMode="auto">
        <a:xfrm>
          <a:off x="3038475" y="80962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170</xdr:row>
      <xdr:rowOff>0</xdr:rowOff>
    </xdr:from>
    <xdr:to>
      <xdr:col>5</xdr:col>
      <xdr:colOff>0</xdr:colOff>
      <xdr:row>170</xdr:row>
      <xdr:rowOff>161925</xdr:rowOff>
    </xdr:to>
    <xdr:sp macro="" textlink="">
      <xdr:nvSpPr>
        <xdr:cNvPr id="490" name="Text Box 154"/>
        <xdr:cNvSpPr txBox="1">
          <a:spLocks noChangeArrowheads="1"/>
        </xdr:cNvSpPr>
      </xdr:nvSpPr>
      <xdr:spPr bwMode="auto">
        <a:xfrm>
          <a:off x="3038475" y="95535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172</xdr:row>
      <xdr:rowOff>0</xdr:rowOff>
    </xdr:from>
    <xdr:to>
      <xdr:col>5</xdr:col>
      <xdr:colOff>0</xdr:colOff>
      <xdr:row>172</xdr:row>
      <xdr:rowOff>161925</xdr:rowOff>
    </xdr:to>
    <xdr:sp macro="" textlink="">
      <xdr:nvSpPr>
        <xdr:cNvPr id="491" name="Text Box 154"/>
        <xdr:cNvSpPr txBox="1">
          <a:spLocks noChangeArrowheads="1"/>
        </xdr:cNvSpPr>
      </xdr:nvSpPr>
      <xdr:spPr bwMode="auto">
        <a:xfrm>
          <a:off x="3038475" y="98774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173</xdr:row>
      <xdr:rowOff>0</xdr:rowOff>
    </xdr:from>
    <xdr:to>
      <xdr:col>5</xdr:col>
      <xdr:colOff>0</xdr:colOff>
      <xdr:row>173</xdr:row>
      <xdr:rowOff>161925</xdr:rowOff>
    </xdr:to>
    <xdr:sp macro="" textlink="">
      <xdr:nvSpPr>
        <xdr:cNvPr id="492" name="Text Box 154"/>
        <xdr:cNvSpPr txBox="1">
          <a:spLocks noChangeArrowheads="1"/>
        </xdr:cNvSpPr>
      </xdr:nvSpPr>
      <xdr:spPr bwMode="auto">
        <a:xfrm>
          <a:off x="3038475" y="100393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169</xdr:row>
      <xdr:rowOff>0</xdr:rowOff>
    </xdr:from>
    <xdr:to>
      <xdr:col>5</xdr:col>
      <xdr:colOff>0</xdr:colOff>
      <xdr:row>169</xdr:row>
      <xdr:rowOff>161925</xdr:rowOff>
    </xdr:to>
    <xdr:sp macro="" textlink="">
      <xdr:nvSpPr>
        <xdr:cNvPr id="493" name="Text Box 154"/>
        <xdr:cNvSpPr txBox="1">
          <a:spLocks noChangeArrowheads="1"/>
        </xdr:cNvSpPr>
      </xdr:nvSpPr>
      <xdr:spPr bwMode="auto">
        <a:xfrm>
          <a:off x="3038475" y="93916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198</xdr:row>
      <xdr:rowOff>0</xdr:rowOff>
    </xdr:from>
    <xdr:to>
      <xdr:col>5</xdr:col>
      <xdr:colOff>0</xdr:colOff>
      <xdr:row>198</xdr:row>
      <xdr:rowOff>161925</xdr:rowOff>
    </xdr:to>
    <xdr:sp macro="" textlink="">
      <xdr:nvSpPr>
        <xdr:cNvPr id="494" name="Text Box 154"/>
        <xdr:cNvSpPr txBox="1">
          <a:spLocks noChangeArrowheads="1"/>
        </xdr:cNvSpPr>
      </xdr:nvSpPr>
      <xdr:spPr bwMode="auto">
        <a:xfrm>
          <a:off x="3038475" y="111728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200</xdr:row>
      <xdr:rowOff>0</xdr:rowOff>
    </xdr:from>
    <xdr:to>
      <xdr:col>5</xdr:col>
      <xdr:colOff>0</xdr:colOff>
      <xdr:row>200</xdr:row>
      <xdr:rowOff>161925</xdr:rowOff>
    </xdr:to>
    <xdr:sp macro="" textlink="">
      <xdr:nvSpPr>
        <xdr:cNvPr id="495" name="Text Box 154"/>
        <xdr:cNvSpPr txBox="1">
          <a:spLocks noChangeArrowheads="1"/>
        </xdr:cNvSpPr>
      </xdr:nvSpPr>
      <xdr:spPr bwMode="auto">
        <a:xfrm>
          <a:off x="3038475" y="114966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201</xdr:row>
      <xdr:rowOff>0</xdr:rowOff>
    </xdr:from>
    <xdr:to>
      <xdr:col>5</xdr:col>
      <xdr:colOff>0</xdr:colOff>
      <xdr:row>201</xdr:row>
      <xdr:rowOff>161925</xdr:rowOff>
    </xdr:to>
    <xdr:sp macro="" textlink="">
      <xdr:nvSpPr>
        <xdr:cNvPr id="496" name="Text Box 154"/>
        <xdr:cNvSpPr txBox="1">
          <a:spLocks noChangeArrowheads="1"/>
        </xdr:cNvSpPr>
      </xdr:nvSpPr>
      <xdr:spPr bwMode="auto">
        <a:xfrm>
          <a:off x="3038475" y="116586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197</xdr:row>
      <xdr:rowOff>0</xdr:rowOff>
    </xdr:from>
    <xdr:to>
      <xdr:col>5</xdr:col>
      <xdr:colOff>0</xdr:colOff>
      <xdr:row>197</xdr:row>
      <xdr:rowOff>161925</xdr:rowOff>
    </xdr:to>
    <xdr:sp macro="" textlink="">
      <xdr:nvSpPr>
        <xdr:cNvPr id="497" name="Text Box 154"/>
        <xdr:cNvSpPr txBox="1">
          <a:spLocks noChangeArrowheads="1"/>
        </xdr:cNvSpPr>
      </xdr:nvSpPr>
      <xdr:spPr bwMode="auto">
        <a:xfrm>
          <a:off x="3038475" y="110109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218</xdr:row>
      <xdr:rowOff>0</xdr:rowOff>
    </xdr:from>
    <xdr:to>
      <xdr:col>5</xdr:col>
      <xdr:colOff>0</xdr:colOff>
      <xdr:row>218</xdr:row>
      <xdr:rowOff>161925</xdr:rowOff>
    </xdr:to>
    <xdr:sp macro="" textlink="">
      <xdr:nvSpPr>
        <xdr:cNvPr id="498" name="Text Box 154"/>
        <xdr:cNvSpPr txBox="1">
          <a:spLocks noChangeArrowheads="1"/>
        </xdr:cNvSpPr>
      </xdr:nvSpPr>
      <xdr:spPr bwMode="auto">
        <a:xfrm>
          <a:off x="2428875" y="167830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220</xdr:row>
      <xdr:rowOff>0</xdr:rowOff>
    </xdr:from>
    <xdr:to>
      <xdr:col>5</xdr:col>
      <xdr:colOff>0</xdr:colOff>
      <xdr:row>220</xdr:row>
      <xdr:rowOff>161925</xdr:rowOff>
    </xdr:to>
    <xdr:sp macro="" textlink="">
      <xdr:nvSpPr>
        <xdr:cNvPr id="499" name="Text Box 154"/>
        <xdr:cNvSpPr txBox="1">
          <a:spLocks noChangeArrowheads="1"/>
        </xdr:cNvSpPr>
      </xdr:nvSpPr>
      <xdr:spPr bwMode="auto">
        <a:xfrm>
          <a:off x="2428875" y="171831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221</xdr:row>
      <xdr:rowOff>0</xdr:rowOff>
    </xdr:from>
    <xdr:to>
      <xdr:col>5</xdr:col>
      <xdr:colOff>0</xdr:colOff>
      <xdr:row>221</xdr:row>
      <xdr:rowOff>161925</xdr:rowOff>
    </xdr:to>
    <xdr:sp macro="" textlink="">
      <xdr:nvSpPr>
        <xdr:cNvPr id="500" name="Text Box 154"/>
        <xdr:cNvSpPr txBox="1">
          <a:spLocks noChangeArrowheads="1"/>
        </xdr:cNvSpPr>
      </xdr:nvSpPr>
      <xdr:spPr bwMode="auto">
        <a:xfrm>
          <a:off x="2428875" y="173831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217</xdr:row>
      <xdr:rowOff>0</xdr:rowOff>
    </xdr:from>
    <xdr:to>
      <xdr:col>5</xdr:col>
      <xdr:colOff>0</xdr:colOff>
      <xdr:row>217</xdr:row>
      <xdr:rowOff>161925</xdr:rowOff>
    </xdr:to>
    <xdr:sp macro="" textlink="">
      <xdr:nvSpPr>
        <xdr:cNvPr id="501" name="Text Box 154"/>
        <xdr:cNvSpPr txBox="1">
          <a:spLocks noChangeArrowheads="1"/>
        </xdr:cNvSpPr>
      </xdr:nvSpPr>
      <xdr:spPr bwMode="auto">
        <a:xfrm>
          <a:off x="2428875" y="165830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229</xdr:row>
      <xdr:rowOff>0</xdr:rowOff>
    </xdr:from>
    <xdr:to>
      <xdr:col>5</xdr:col>
      <xdr:colOff>0</xdr:colOff>
      <xdr:row>229</xdr:row>
      <xdr:rowOff>161925</xdr:rowOff>
    </xdr:to>
    <xdr:sp macro="" textlink="">
      <xdr:nvSpPr>
        <xdr:cNvPr id="502" name="Text Box 154"/>
        <xdr:cNvSpPr txBox="1">
          <a:spLocks noChangeArrowheads="1"/>
        </xdr:cNvSpPr>
      </xdr:nvSpPr>
      <xdr:spPr bwMode="auto">
        <a:xfrm>
          <a:off x="2428875" y="187547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228</xdr:row>
      <xdr:rowOff>0</xdr:rowOff>
    </xdr:from>
    <xdr:to>
      <xdr:col>5</xdr:col>
      <xdr:colOff>0</xdr:colOff>
      <xdr:row>228</xdr:row>
      <xdr:rowOff>161925</xdr:rowOff>
    </xdr:to>
    <xdr:sp macro="" textlink="">
      <xdr:nvSpPr>
        <xdr:cNvPr id="503" name="Text Box 154"/>
        <xdr:cNvSpPr txBox="1">
          <a:spLocks noChangeArrowheads="1"/>
        </xdr:cNvSpPr>
      </xdr:nvSpPr>
      <xdr:spPr bwMode="auto">
        <a:xfrm>
          <a:off x="2428875" y="185547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209</xdr:row>
      <xdr:rowOff>0</xdr:rowOff>
    </xdr:from>
    <xdr:to>
      <xdr:col>5</xdr:col>
      <xdr:colOff>0</xdr:colOff>
      <xdr:row>209</xdr:row>
      <xdr:rowOff>161925</xdr:rowOff>
    </xdr:to>
    <xdr:sp macro="" textlink="">
      <xdr:nvSpPr>
        <xdr:cNvPr id="504" name="Text Box 154"/>
        <xdr:cNvSpPr txBox="1">
          <a:spLocks noChangeArrowheads="1"/>
        </xdr:cNvSpPr>
      </xdr:nvSpPr>
      <xdr:spPr bwMode="auto">
        <a:xfrm>
          <a:off x="2428875" y="201263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211</xdr:row>
      <xdr:rowOff>0</xdr:rowOff>
    </xdr:from>
    <xdr:to>
      <xdr:col>5</xdr:col>
      <xdr:colOff>0</xdr:colOff>
      <xdr:row>211</xdr:row>
      <xdr:rowOff>161925</xdr:rowOff>
    </xdr:to>
    <xdr:sp macro="" textlink="">
      <xdr:nvSpPr>
        <xdr:cNvPr id="505" name="Text Box 154"/>
        <xdr:cNvSpPr txBox="1">
          <a:spLocks noChangeArrowheads="1"/>
        </xdr:cNvSpPr>
      </xdr:nvSpPr>
      <xdr:spPr bwMode="auto">
        <a:xfrm>
          <a:off x="2428875" y="205263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212</xdr:row>
      <xdr:rowOff>0</xdr:rowOff>
    </xdr:from>
    <xdr:to>
      <xdr:col>5</xdr:col>
      <xdr:colOff>0</xdr:colOff>
      <xdr:row>212</xdr:row>
      <xdr:rowOff>161925</xdr:rowOff>
    </xdr:to>
    <xdr:sp macro="" textlink="">
      <xdr:nvSpPr>
        <xdr:cNvPr id="506" name="Text Box 154"/>
        <xdr:cNvSpPr txBox="1">
          <a:spLocks noChangeArrowheads="1"/>
        </xdr:cNvSpPr>
      </xdr:nvSpPr>
      <xdr:spPr bwMode="auto">
        <a:xfrm>
          <a:off x="2428875" y="207264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208</xdr:row>
      <xdr:rowOff>0</xdr:rowOff>
    </xdr:from>
    <xdr:to>
      <xdr:col>5</xdr:col>
      <xdr:colOff>0</xdr:colOff>
      <xdr:row>208</xdr:row>
      <xdr:rowOff>161925</xdr:rowOff>
    </xdr:to>
    <xdr:sp macro="" textlink="">
      <xdr:nvSpPr>
        <xdr:cNvPr id="507" name="Text Box 154"/>
        <xdr:cNvSpPr txBox="1">
          <a:spLocks noChangeArrowheads="1"/>
        </xdr:cNvSpPr>
      </xdr:nvSpPr>
      <xdr:spPr bwMode="auto">
        <a:xfrm>
          <a:off x="2428875" y="199263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237</xdr:row>
      <xdr:rowOff>0</xdr:rowOff>
    </xdr:from>
    <xdr:to>
      <xdr:col>5</xdr:col>
      <xdr:colOff>0</xdr:colOff>
      <xdr:row>237</xdr:row>
      <xdr:rowOff>161925</xdr:rowOff>
    </xdr:to>
    <xdr:sp macro="" textlink="">
      <xdr:nvSpPr>
        <xdr:cNvPr id="508" name="Text Box 154"/>
        <xdr:cNvSpPr txBox="1">
          <a:spLocks noChangeArrowheads="1"/>
        </xdr:cNvSpPr>
      </xdr:nvSpPr>
      <xdr:spPr bwMode="auto">
        <a:xfrm>
          <a:off x="2428875" y="219360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239</xdr:row>
      <xdr:rowOff>0</xdr:rowOff>
    </xdr:from>
    <xdr:to>
      <xdr:col>5</xdr:col>
      <xdr:colOff>0</xdr:colOff>
      <xdr:row>239</xdr:row>
      <xdr:rowOff>161925</xdr:rowOff>
    </xdr:to>
    <xdr:sp macro="" textlink="">
      <xdr:nvSpPr>
        <xdr:cNvPr id="509" name="Text Box 154"/>
        <xdr:cNvSpPr txBox="1">
          <a:spLocks noChangeArrowheads="1"/>
        </xdr:cNvSpPr>
      </xdr:nvSpPr>
      <xdr:spPr bwMode="auto">
        <a:xfrm>
          <a:off x="2428875" y="223361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240</xdr:row>
      <xdr:rowOff>0</xdr:rowOff>
    </xdr:from>
    <xdr:to>
      <xdr:col>5</xdr:col>
      <xdr:colOff>0</xdr:colOff>
      <xdr:row>240</xdr:row>
      <xdr:rowOff>161925</xdr:rowOff>
    </xdr:to>
    <xdr:sp macro="" textlink="">
      <xdr:nvSpPr>
        <xdr:cNvPr id="510" name="Text Box 154"/>
        <xdr:cNvSpPr txBox="1">
          <a:spLocks noChangeArrowheads="1"/>
        </xdr:cNvSpPr>
      </xdr:nvSpPr>
      <xdr:spPr bwMode="auto">
        <a:xfrm>
          <a:off x="2428875" y="225361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236</xdr:row>
      <xdr:rowOff>0</xdr:rowOff>
    </xdr:from>
    <xdr:to>
      <xdr:col>5</xdr:col>
      <xdr:colOff>0</xdr:colOff>
      <xdr:row>236</xdr:row>
      <xdr:rowOff>161925</xdr:rowOff>
    </xdr:to>
    <xdr:sp macro="" textlink="">
      <xdr:nvSpPr>
        <xdr:cNvPr id="511" name="Text Box 154"/>
        <xdr:cNvSpPr txBox="1">
          <a:spLocks noChangeArrowheads="1"/>
        </xdr:cNvSpPr>
      </xdr:nvSpPr>
      <xdr:spPr bwMode="auto">
        <a:xfrm>
          <a:off x="2428875" y="217360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120</xdr:row>
      <xdr:rowOff>0</xdr:rowOff>
    </xdr:from>
    <xdr:to>
      <xdr:col>5</xdr:col>
      <xdr:colOff>0</xdr:colOff>
      <xdr:row>120</xdr:row>
      <xdr:rowOff>161925</xdr:rowOff>
    </xdr:to>
    <xdr:sp macro="" textlink="">
      <xdr:nvSpPr>
        <xdr:cNvPr id="512" name="Text Box 154"/>
        <xdr:cNvSpPr txBox="1">
          <a:spLocks noChangeArrowheads="1"/>
        </xdr:cNvSpPr>
      </xdr:nvSpPr>
      <xdr:spPr bwMode="auto">
        <a:xfrm>
          <a:off x="3038475" y="321183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122</xdr:row>
      <xdr:rowOff>0</xdr:rowOff>
    </xdr:from>
    <xdr:to>
      <xdr:col>5</xdr:col>
      <xdr:colOff>0</xdr:colOff>
      <xdr:row>122</xdr:row>
      <xdr:rowOff>161925</xdr:rowOff>
    </xdr:to>
    <xdr:sp macro="" textlink="">
      <xdr:nvSpPr>
        <xdr:cNvPr id="513" name="Text Box 154"/>
        <xdr:cNvSpPr txBox="1">
          <a:spLocks noChangeArrowheads="1"/>
        </xdr:cNvSpPr>
      </xdr:nvSpPr>
      <xdr:spPr bwMode="auto">
        <a:xfrm>
          <a:off x="3038475" y="325088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123</xdr:row>
      <xdr:rowOff>0</xdr:rowOff>
    </xdr:from>
    <xdr:to>
      <xdr:col>5</xdr:col>
      <xdr:colOff>0</xdr:colOff>
      <xdr:row>123</xdr:row>
      <xdr:rowOff>161925</xdr:rowOff>
    </xdr:to>
    <xdr:sp macro="" textlink="">
      <xdr:nvSpPr>
        <xdr:cNvPr id="514" name="Text Box 154"/>
        <xdr:cNvSpPr txBox="1">
          <a:spLocks noChangeArrowheads="1"/>
        </xdr:cNvSpPr>
      </xdr:nvSpPr>
      <xdr:spPr bwMode="auto">
        <a:xfrm>
          <a:off x="3038475" y="327088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119</xdr:row>
      <xdr:rowOff>0</xdr:rowOff>
    </xdr:from>
    <xdr:to>
      <xdr:col>5</xdr:col>
      <xdr:colOff>0</xdr:colOff>
      <xdr:row>119</xdr:row>
      <xdr:rowOff>161925</xdr:rowOff>
    </xdr:to>
    <xdr:sp macro="" textlink="">
      <xdr:nvSpPr>
        <xdr:cNvPr id="515" name="Text Box 154"/>
        <xdr:cNvSpPr txBox="1">
          <a:spLocks noChangeArrowheads="1"/>
        </xdr:cNvSpPr>
      </xdr:nvSpPr>
      <xdr:spPr bwMode="auto">
        <a:xfrm>
          <a:off x="3038475" y="319182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144</xdr:row>
      <xdr:rowOff>0</xdr:rowOff>
    </xdr:from>
    <xdr:to>
      <xdr:col>5</xdr:col>
      <xdr:colOff>0</xdr:colOff>
      <xdr:row>144</xdr:row>
      <xdr:rowOff>161925</xdr:rowOff>
    </xdr:to>
    <xdr:sp macro="" textlink="">
      <xdr:nvSpPr>
        <xdr:cNvPr id="516" name="Text Box 154"/>
        <xdr:cNvSpPr txBox="1">
          <a:spLocks noChangeArrowheads="1"/>
        </xdr:cNvSpPr>
      </xdr:nvSpPr>
      <xdr:spPr bwMode="auto">
        <a:xfrm>
          <a:off x="3038475" y="405098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146</xdr:row>
      <xdr:rowOff>0</xdr:rowOff>
    </xdr:from>
    <xdr:to>
      <xdr:col>5</xdr:col>
      <xdr:colOff>0</xdr:colOff>
      <xdr:row>146</xdr:row>
      <xdr:rowOff>161925</xdr:rowOff>
    </xdr:to>
    <xdr:sp macro="" textlink="">
      <xdr:nvSpPr>
        <xdr:cNvPr id="517" name="Text Box 154"/>
        <xdr:cNvSpPr txBox="1">
          <a:spLocks noChangeArrowheads="1"/>
        </xdr:cNvSpPr>
      </xdr:nvSpPr>
      <xdr:spPr bwMode="auto">
        <a:xfrm>
          <a:off x="3038475" y="409003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147</xdr:row>
      <xdr:rowOff>0</xdr:rowOff>
    </xdr:from>
    <xdr:to>
      <xdr:col>5</xdr:col>
      <xdr:colOff>0</xdr:colOff>
      <xdr:row>147</xdr:row>
      <xdr:rowOff>161925</xdr:rowOff>
    </xdr:to>
    <xdr:sp macro="" textlink="">
      <xdr:nvSpPr>
        <xdr:cNvPr id="518" name="Text Box 154"/>
        <xdr:cNvSpPr txBox="1">
          <a:spLocks noChangeArrowheads="1"/>
        </xdr:cNvSpPr>
      </xdr:nvSpPr>
      <xdr:spPr bwMode="auto">
        <a:xfrm>
          <a:off x="3038475" y="411003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143</xdr:row>
      <xdr:rowOff>0</xdr:rowOff>
    </xdr:from>
    <xdr:to>
      <xdr:col>5</xdr:col>
      <xdr:colOff>0</xdr:colOff>
      <xdr:row>143</xdr:row>
      <xdr:rowOff>161925</xdr:rowOff>
    </xdr:to>
    <xdr:sp macro="" textlink="">
      <xdr:nvSpPr>
        <xdr:cNvPr id="519" name="Text Box 154"/>
        <xdr:cNvSpPr txBox="1">
          <a:spLocks noChangeArrowheads="1"/>
        </xdr:cNvSpPr>
      </xdr:nvSpPr>
      <xdr:spPr bwMode="auto">
        <a:xfrm>
          <a:off x="3038475" y="403098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129</xdr:row>
      <xdr:rowOff>0</xdr:rowOff>
    </xdr:from>
    <xdr:to>
      <xdr:col>5</xdr:col>
      <xdr:colOff>0</xdr:colOff>
      <xdr:row>129</xdr:row>
      <xdr:rowOff>161925</xdr:rowOff>
    </xdr:to>
    <xdr:sp macro="" textlink="">
      <xdr:nvSpPr>
        <xdr:cNvPr id="520" name="Text Box 154"/>
        <xdr:cNvSpPr txBox="1">
          <a:spLocks noChangeArrowheads="1"/>
        </xdr:cNvSpPr>
      </xdr:nvSpPr>
      <xdr:spPr bwMode="auto">
        <a:xfrm>
          <a:off x="3038475" y="492252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131</xdr:row>
      <xdr:rowOff>0</xdr:rowOff>
    </xdr:from>
    <xdr:to>
      <xdr:col>5</xdr:col>
      <xdr:colOff>0</xdr:colOff>
      <xdr:row>131</xdr:row>
      <xdr:rowOff>161925</xdr:rowOff>
    </xdr:to>
    <xdr:sp macro="" textlink="">
      <xdr:nvSpPr>
        <xdr:cNvPr id="521" name="Text Box 154"/>
        <xdr:cNvSpPr txBox="1">
          <a:spLocks noChangeArrowheads="1"/>
        </xdr:cNvSpPr>
      </xdr:nvSpPr>
      <xdr:spPr bwMode="auto">
        <a:xfrm>
          <a:off x="3038475" y="4961572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132</xdr:row>
      <xdr:rowOff>0</xdr:rowOff>
    </xdr:from>
    <xdr:to>
      <xdr:col>5</xdr:col>
      <xdr:colOff>0</xdr:colOff>
      <xdr:row>132</xdr:row>
      <xdr:rowOff>161925</xdr:rowOff>
    </xdr:to>
    <xdr:sp macro="" textlink="">
      <xdr:nvSpPr>
        <xdr:cNvPr id="522" name="Text Box 154"/>
        <xdr:cNvSpPr txBox="1">
          <a:spLocks noChangeArrowheads="1"/>
        </xdr:cNvSpPr>
      </xdr:nvSpPr>
      <xdr:spPr bwMode="auto">
        <a:xfrm>
          <a:off x="3038475" y="4981575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128</xdr:row>
      <xdr:rowOff>0</xdr:rowOff>
    </xdr:from>
    <xdr:to>
      <xdr:col>5</xdr:col>
      <xdr:colOff>0</xdr:colOff>
      <xdr:row>128</xdr:row>
      <xdr:rowOff>161925</xdr:rowOff>
    </xdr:to>
    <xdr:sp macro="" textlink="">
      <xdr:nvSpPr>
        <xdr:cNvPr id="523" name="Text Box 154"/>
        <xdr:cNvSpPr txBox="1">
          <a:spLocks noChangeArrowheads="1"/>
        </xdr:cNvSpPr>
      </xdr:nvSpPr>
      <xdr:spPr bwMode="auto">
        <a:xfrm>
          <a:off x="3038475" y="490251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136</xdr:row>
      <xdr:rowOff>0</xdr:rowOff>
    </xdr:from>
    <xdr:to>
      <xdr:col>5</xdr:col>
      <xdr:colOff>0</xdr:colOff>
      <xdr:row>136</xdr:row>
      <xdr:rowOff>161925</xdr:rowOff>
    </xdr:to>
    <xdr:sp macro="" textlink="">
      <xdr:nvSpPr>
        <xdr:cNvPr id="524" name="Text Box 154"/>
        <xdr:cNvSpPr txBox="1">
          <a:spLocks noChangeArrowheads="1"/>
        </xdr:cNvSpPr>
      </xdr:nvSpPr>
      <xdr:spPr bwMode="auto">
        <a:xfrm>
          <a:off x="3038475" y="539781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137</xdr:row>
      <xdr:rowOff>0</xdr:rowOff>
    </xdr:from>
    <xdr:to>
      <xdr:col>5</xdr:col>
      <xdr:colOff>0</xdr:colOff>
      <xdr:row>137</xdr:row>
      <xdr:rowOff>161925</xdr:rowOff>
    </xdr:to>
    <xdr:sp macro="" textlink="">
      <xdr:nvSpPr>
        <xdr:cNvPr id="525" name="Text Box 154"/>
        <xdr:cNvSpPr txBox="1">
          <a:spLocks noChangeArrowheads="1"/>
        </xdr:cNvSpPr>
      </xdr:nvSpPr>
      <xdr:spPr bwMode="auto">
        <a:xfrm>
          <a:off x="3038475" y="541686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138</xdr:row>
      <xdr:rowOff>0</xdr:rowOff>
    </xdr:from>
    <xdr:to>
      <xdr:col>5</xdr:col>
      <xdr:colOff>0</xdr:colOff>
      <xdr:row>138</xdr:row>
      <xdr:rowOff>161925</xdr:rowOff>
    </xdr:to>
    <xdr:sp macro="" textlink="">
      <xdr:nvSpPr>
        <xdr:cNvPr id="526" name="Text Box 154"/>
        <xdr:cNvSpPr txBox="1">
          <a:spLocks noChangeArrowheads="1"/>
        </xdr:cNvSpPr>
      </xdr:nvSpPr>
      <xdr:spPr bwMode="auto">
        <a:xfrm>
          <a:off x="3038475" y="54368700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4</xdr:col>
      <xdr:colOff>600075</xdr:colOff>
      <xdr:row>136</xdr:row>
      <xdr:rowOff>0</xdr:rowOff>
    </xdr:from>
    <xdr:to>
      <xdr:col>5</xdr:col>
      <xdr:colOff>0</xdr:colOff>
      <xdr:row>136</xdr:row>
      <xdr:rowOff>161925</xdr:rowOff>
    </xdr:to>
    <xdr:sp macro="" textlink="">
      <xdr:nvSpPr>
        <xdr:cNvPr id="527" name="Text Box 154"/>
        <xdr:cNvSpPr txBox="1">
          <a:spLocks noChangeArrowheads="1"/>
        </xdr:cNvSpPr>
      </xdr:nvSpPr>
      <xdr:spPr bwMode="auto">
        <a:xfrm>
          <a:off x="3038475" y="53978175"/>
          <a:ext cx="95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</xdr:col>
      <xdr:colOff>600075</xdr:colOff>
      <xdr:row>350</xdr:row>
      <xdr:rowOff>0</xdr:rowOff>
    </xdr:from>
    <xdr:to>
      <xdr:col>4</xdr:col>
      <xdr:colOff>171450</xdr:colOff>
      <xdr:row>350</xdr:row>
      <xdr:rowOff>161925</xdr:rowOff>
    </xdr:to>
    <xdr:sp macro="" textlink="">
      <xdr:nvSpPr>
        <xdr:cNvPr id="528" name="Text Box 154"/>
        <xdr:cNvSpPr txBox="1">
          <a:spLocks noChangeArrowheads="1"/>
        </xdr:cNvSpPr>
      </xdr:nvSpPr>
      <xdr:spPr bwMode="auto">
        <a:xfrm>
          <a:off x="3038475" y="10465117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</xdr:col>
      <xdr:colOff>600075</xdr:colOff>
      <xdr:row>352</xdr:row>
      <xdr:rowOff>0</xdr:rowOff>
    </xdr:from>
    <xdr:to>
      <xdr:col>4</xdr:col>
      <xdr:colOff>171450</xdr:colOff>
      <xdr:row>352</xdr:row>
      <xdr:rowOff>161925</xdr:rowOff>
    </xdr:to>
    <xdr:sp macro="" textlink="">
      <xdr:nvSpPr>
        <xdr:cNvPr id="529" name="Text Box 154"/>
        <xdr:cNvSpPr txBox="1">
          <a:spLocks noChangeArrowheads="1"/>
        </xdr:cNvSpPr>
      </xdr:nvSpPr>
      <xdr:spPr bwMode="auto">
        <a:xfrm>
          <a:off x="3038475" y="105041700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</xdr:col>
      <xdr:colOff>600075</xdr:colOff>
      <xdr:row>353</xdr:row>
      <xdr:rowOff>0</xdr:rowOff>
    </xdr:from>
    <xdr:to>
      <xdr:col>4</xdr:col>
      <xdr:colOff>171450</xdr:colOff>
      <xdr:row>353</xdr:row>
      <xdr:rowOff>161925</xdr:rowOff>
    </xdr:to>
    <xdr:sp macro="" textlink="">
      <xdr:nvSpPr>
        <xdr:cNvPr id="530" name="Text Box 154"/>
        <xdr:cNvSpPr txBox="1">
          <a:spLocks noChangeArrowheads="1"/>
        </xdr:cNvSpPr>
      </xdr:nvSpPr>
      <xdr:spPr bwMode="auto">
        <a:xfrm>
          <a:off x="3038475" y="10524172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</xdr:col>
      <xdr:colOff>600075</xdr:colOff>
      <xdr:row>349</xdr:row>
      <xdr:rowOff>0</xdr:rowOff>
    </xdr:from>
    <xdr:to>
      <xdr:col>4</xdr:col>
      <xdr:colOff>171450</xdr:colOff>
      <xdr:row>349</xdr:row>
      <xdr:rowOff>161925</xdr:rowOff>
    </xdr:to>
    <xdr:sp macro="" textlink="">
      <xdr:nvSpPr>
        <xdr:cNvPr id="531" name="Text Box 154"/>
        <xdr:cNvSpPr txBox="1">
          <a:spLocks noChangeArrowheads="1"/>
        </xdr:cNvSpPr>
      </xdr:nvSpPr>
      <xdr:spPr bwMode="auto">
        <a:xfrm>
          <a:off x="3038475" y="104451150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184668</xdr:colOff>
      <xdr:row>72</xdr:row>
      <xdr:rowOff>1588</xdr:rowOff>
    </xdr:from>
    <xdr:to>
      <xdr:col>8</xdr:col>
      <xdr:colOff>600075</xdr:colOff>
      <xdr:row>72</xdr:row>
      <xdr:rowOff>9719</xdr:rowOff>
    </xdr:to>
    <xdr:cxnSp macro="">
      <xdr:nvCxnSpPr>
        <xdr:cNvPr id="710" name="Straight Connector 709"/>
        <xdr:cNvCxnSpPr/>
      </xdr:nvCxnSpPr>
      <xdr:spPr bwMode="auto">
        <a:xfrm flipV="1">
          <a:off x="794268" y="192088"/>
          <a:ext cx="5292207" cy="813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0</xdr:colOff>
      <xdr:row>79</xdr:row>
      <xdr:rowOff>0</xdr:rowOff>
    </xdr:from>
    <xdr:to>
      <xdr:col>6</xdr:col>
      <xdr:colOff>28575</xdr:colOff>
      <xdr:row>79</xdr:row>
      <xdr:rowOff>9525</xdr:rowOff>
    </xdr:to>
    <xdr:cxnSp macro="">
      <xdr:nvCxnSpPr>
        <xdr:cNvPr id="711" name="Straight Connector 710"/>
        <xdr:cNvCxnSpPr/>
      </xdr:nvCxnSpPr>
      <xdr:spPr bwMode="auto">
        <a:xfrm flipV="1">
          <a:off x="2438400" y="1524000"/>
          <a:ext cx="18573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304578</xdr:colOff>
      <xdr:row>77</xdr:row>
      <xdr:rowOff>177210</xdr:rowOff>
    </xdr:from>
    <xdr:to>
      <xdr:col>2</xdr:col>
      <xdr:colOff>600078</xdr:colOff>
      <xdr:row>79</xdr:row>
      <xdr:rowOff>5</xdr:rowOff>
    </xdr:to>
    <xdr:cxnSp macro="">
      <xdr:nvCxnSpPr>
        <xdr:cNvPr id="712" name="Straight Connector 711"/>
        <xdr:cNvCxnSpPr/>
      </xdr:nvCxnSpPr>
      <xdr:spPr bwMode="auto">
        <a:xfrm rot="10800000">
          <a:off x="2133378" y="1320210"/>
          <a:ext cx="295500" cy="20379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</xdr:colOff>
      <xdr:row>80</xdr:row>
      <xdr:rowOff>0</xdr:rowOff>
    </xdr:from>
    <xdr:to>
      <xdr:col>6</xdr:col>
      <xdr:colOff>9525</xdr:colOff>
      <xdr:row>80</xdr:row>
      <xdr:rowOff>19050</xdr:rowOff>
    </xdr:to>
    <xdr:cxnSp macro="">
      <xdr:nvCxnSpPr>
        <xdr:cNvPr id="713" name="Straight Connector 712"/>
        <xdr:cNvCxnSpPr/>
      </xdr:nvCxnSpPr>
      <xdr:spPr bwMode="auto">
        <a:xfrm flipV="1">
          <a:off x="2447925" y="1714500"/>
          <a:ext cx="18288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333375</xdr:colOff>
      <xdr:row>80</xdr:row>
      <xdr:rowOff>19049</xdr:rowOff>
    </xdr:from>
    <xdr:to>
      <xdr:col>2</xdr:col>
      <xdr:colOff>600075</xdr:colOff>
      <xdr:row>80</xdr:row>
      <xdr:rowOff>161924</xdr:rowOff>
    </xdr:to>
    <xdr:cxnSp macro="">
      <xdr:nvCxnSpPr>
        <xdr:cNvPr id="714" name="Straight Connector 713"/>
        <xdr:cNvCxnSpPr/>
      </xdr:nvCxnSpPr>
      <xdr:spPr bwMode="auto">
        <a:xfrm rot="10800000" flipV="1">
          <a:off x="2162175" y="1733549"/>
          <a:ext cx="266700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266704</xdr:colOff>
      <xdr:row>75</xdr:row>
      <xdr:rowOff>1</xdr:rowOff>
    </xdr:from>
    <xdr:to>
      <xdr:col>6</xdr:col>
      <xdr:colOff>285753</xdr:colOff>
      <xdr:row>99</xdr:row>
      <xdr:rowOff>152402</xdr:rowOff>
    </xdr:to>
    <xdr:cxnSp macro="">
      <xdr:nvCxnSpPr>
        <xdr:cNvPr id="715" name="Straight Connector 714"/>
        <xdr:cNvCxnSpPr/>
      </xdr:nvCxnSpPr>
      <xdr:spPr bwMode="auto">
        <a:xfrm rot="16200000" flipH="1">
          <a:off x="2181228" y="3114677"/>
          <a:ext cx="4724401" cy="19049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78</xdr:row>
      <xdr:rowOff>9525</xdr:rowOff>
    </xdr:from>
    <xdr:to>
      <xdr:col>6</xdr:col>
      <xdr:colOff>285750</xdr:colOff>
      <xdr:row>79</xdr:row>
      <xdr:rowOff>9526</xdr:rowOff>
    </xdr:to>
    <xdr:cxnSp macro="">
      <xdr:nvCxnSpPr>
        <xdr:cNvPr id="716" name="Straight Connector 715"/>
        <xdr:cNvCxnSpPr/>
      </xdr:nvCxnSpPr>
      <xdr:spPr bwMode="auto">
        <a:xfrm flipV="1">
          <a:off x="4267200" y="1343025"/>
          <a:ext cx="285750" cy="19050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80</xdr:row>
      <xdr:rowOff>9524</xdr:rowOff>
    </xdr:from>
    <xdr:to>
      <xdr:col>6</xdr:col>
      <xdr:colOff>257175</xdr:colOff>
      <xdr:row>81</xdr:row>
      <xdr:rowOff>19050</xdr:rowOff>
    </xdr:to>
    <xdr:cxnSp macro="">
      <xdr:nvCxnSpPr>
        <xdr:cNvPr id="717" name="Straight Connector 716"/>
        <xdr:cNvCxnSpPr/>
      </xdr:nvCxnSpPr>
      <xdr:spPr bwMode="auto">
        <a:xfrm>
          <a:off x="4257675" y="1724024"/>
          <a:ext cx="266700" cy="2000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285750</xdr:colOff>
      <xdr:row>78</xdr:row>
      <xdr:rowOff>0</xdr:rowOff>
    </xdr:from>
    <xdr:to>
      <xdr:col>8</xdr:col>
      <xdr:colOff>476250</xdr:colOff>
      <xdr:row>78</xdr:row>
      <xdr:rowOff>9720</xdr:rowOff>
    </xdr:to>
    <xdr:cxnSp macro="">
      <xdr:nvCxnSpPr>
        <xdr:cNvPr id="718" name="Straight Connector 717"/>
        <xdr:cNvCxnSpPr>
          <a:endCxn id="770" idx="0"/>
        </xdr:cNvCxnSpPr>
      </xdr:nvCxnSpPr>
      <xdr:spPr bwMode="auto">
        <a:xfrm>
          <a:off x="4552950" y="1333500"/>
          <a:ext cx="1409700" cy="972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285750</xdr:colOff>
      <xdr:row>81</xdr:row>
      <xdr:rowOff>28575</xdr:rowOff>
    </xdr:from>
    <xdr:to>
      <xdr:col>8</xdr:col>
      <xdr:colOff>476250</xdr:colOff>
      <xdr:row>81</xdr:row>
      <xdr:rowOff>29937</xdr:rowOff>
    </xdr:to>
    <xdr:cxnSp macro="">
      <xdr:nvCxnSpPr>
        <xdr:cNvPr id="719" name="Straight Connector 718"/>
        <xdr:cNvCxnSpPr>
          <a:endCxn id="770" idx="2"/>
        </xdr:cNvCxnSpPr>
      </xdr:nvCxnSpPr>
      <xdr:spPr bwMode="auto">
        <a:xfrm>
          <a:off x="4552950" y="1933575"/>
          <a:ext cx="1409700" cy="136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600075</xdr:colOff>
      <xdr:row>74</xdr:row>
      <xdr:rowOff>0</xdr:rowOff>
    </xdr:from>
    <xdr:to>
      <xdr:col>5</xdr:col>
      <xdr:colOff>590550</xdr:colOff>
      <xdr:row>74</xdr:row>
      <xdr:rowOff>11113</xdr:rowOff>
    </xdr:to>
    <xdr:cxnSp macro="">
      <xdr:nvCxnSpPr>
        <xdr:cNvPr id="720" name="Straight Arrow Connector 719"/>
        <xdr:cNvCxnSpPr/>
      </xdr:nvCxnSpPr>
      <xdr:spPr bwMode="auto">
        <a:xfrm>
          <a:off x="2428875" y="571500"/>
          <a:ext cx="1819275" cy="1111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74</xdr:row>
      <xdr:rowOff>0</xdr:rowOff>
    </xdr:from>
    <xdr:to>
      <xdr:col>6</xdr:col>
      <xdr:colOff>257175</xdr:colOff>
      <xdr:row>74</xdr:row>
      <xdr:rowOff>152400</xdr:rowOff>
    </xdr:to>
    <xdr:cxnSp macro="">
      <xdr:nvCxnSpPr>
        <xdr:cNvPr id="721" name="Straight Connector 720"/>
        <xdr:cNvCxnSpPr/>
      </xdr:nvCxnSpPr>
      <xdr:spPr bwMode="auto">
        <a:xfrm>
          <a:off x="4257675" y="571500"/>
          <a:ext cx="266700" cy="1524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590550</xdr:colOff>
      <xdr:row>74</xdr:row>
      <xdr:rowOff>152400</xdr:rowOff>
    </xdr:from>
    <xdr:to>
      <xdr:col>2</xdr:col>
      <xdr:colOff>304800</xdr:colOff>
      <xdr:row>74</xdr:row>
      <xdr:rowOff>153988</xdr:rowOff>
    </xdr:to>
    <xdr:cxnSp macro="">
      <xdr:nvCxnSpPr>
        <xdr:cNvPr id="722" name="Straight Connector 721"/>
        <xdr:cNvCxnSpPr/>
      </xdr:nvCxnSpPr>
      <xdr:spPr bwMode="auto">
        <a:xfrm>
          <a:off x="1809750" y="723900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323851</xdr:colOff>
      <xdr:row>74</xdr:row>
      <xdr:rowOff>9524</xdr:rowOff>
    </xdr:from>
    <xdr:to>
      <xdr:col>2</xdr:col>
      <xdr:colOff>600078</xdr:colOff>
      <xdr:row>74</xdr:row>
      <xdr:rowOff>152399</xdr:rowOff>
    </xdr:to>
    <xdr:cxnSp macro="">
      <xdr:nvCxnSpPr>
        <xdr:cNvPr id="724" name="Straight Connector 723"/>
        <xdr:cNvCxnSpPr/>
      </xdr:nvCxnSpPr>
      <xdr:spPr bwMode="auto">
        <a:xfrm rot="10800000" flipV="1">
          <a:off x="2152651" y="581024"/>
          <a:ext cx="276227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276227</xdr:colOff>
      <xdr:row>74</xdr:row>
      <xdr:rowOff>152400</xdr:rowOff>
    </xdr:from>
    <xdr:to>
      <xdr:col>9</xdr:col>
      <xdr:colOff>9525</xdr:colOff>
      <xdr:row>74</xdr:row>
      <xdr:rowOff>152401</xdr:rowOff>
    </xdr:to>
    <xdr:cxnSp macro="">
      <xdr:nvCxnSpPr>
        <xdr:cNvPr id="725" name="Straight Connector 724"/>
        <xdr:cNvCxnSpPr/>
      </xdr:nvCxnSpPr>
      <xdr:spPr bwMode="auto">
        <a:xfrm rot="10800000">
          <a:off x="3933827" y="75447525"/>
          <a:ext cx="1562098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194387</xdr:colOff>
      <xdr:row>74</xdr:row>
      <xdr:rowOff>153988</xdr:rowOff>
    </xdr:from>
    <xdr:to>
      <xdr:col>1</xdr:col>
      <xdr:colOff>581026</xdr:colOff>
      <xdr:row>74</xdr:row>
      <xdr:rowOff>155510</xdr:rowOff>
    </xdr:to>
    <xdr:cxnSp macro="">
      <xdr:nvCxnSpPr>
        <xdr:cNvPr id="727" name="Straight Connector 726"/>
        <xdr:cNvCxnSpPr/>
      </xdr:nvCxnSpPr>
      <xdr:spPr bwMode="auto">
        <a:xfrm rot="10800000" flipV="1">
          <a:off x="803987" y="725488"/>
          <a:ext cx="996239" cy="152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1</xdr:colOff>
      <xdr:row>72</xdr:row>
      <xdr:rowOff>1</xdr:rowOff>
    </xdr:from>
    <xdr:to>
      <xdr:col>9</xdr:col>
      <xdr:colOff>9528</xdr:colOff>
      <xdr:row>75</xdr:row>
      <xdr:rowOff>9527</xdr:rowOff>
    </xdr:to>
    <xdr:cxnSp macro="">
      <xdr:nvCxnSpPr>
        <xdr:cNvPr id="728" name="Straight Connector 727"/>
        <xdr:cNvCxnSpPr/>
      </xdr:nvCxnSpPr>
      <xdr:spPr bwMode="auto">
        <a:xfrm rot="16200000" flipH="1">
          <a:off x="5243514" y="75214163"/>
          <a:ext cx="495301" cy="952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0</xdr:colOff>
      <xdr:row>86</xdr:row>
      <xdr:rowOff>0</xdr:rowOff>
    </xdr:from>
    <xdr:to>
      <xdr:col>6</xdr:col>
      <xdr:colOff>28575</xdr:colOff>
      <xdr:row>86</xdr:row>
      <xdr:rowOff>9525</xdr:rowOff>
    </xdr:to>
    <xdr:cxnSp macro="">
      <xdr:nvCxnSpPr>
        <xdr:cNvPr id="730" name="Straight Connector 729"/>
        <xdr:cNvCxnSpPr/>
      </xdr:nvCxnSpPr>
      <xdr:spPr bwMode="auto">
        <a:xfrm flipV="1">
          <a:off x="2438400" y="2857500"/>
          <a:ext cx="18573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323850</xdr:colOff>
      <xdr:row>84</xdr:row>
      <xdr:rowOff>142876</xdr:rowOff>
    </xdr:from>
    <xdr:to>
      <xdr:col>2</xdr:col>
      <xdr:colOff>600076</xdr:colOff>
      <xdr:row>86</xdr:row>
      <xdr:rowOff>1</xdr:rowOff>
    </xdr:to>
    <xdr:cxnSp macro="">
      <xdr:nvCxnSpPr>
        <xdr:cNvPr id="731" name="Straight Connector 730"/>
        <xdr:cNvCxnSpPr/>
      </xdr:nvCxnSpPr>
      <xdr:spPr bwMode="auto">
        <a:xfrm rot="10800000">
          <a:off x="2152650" y="2619376"/>
          <a:ext cx="276226" cy="2381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369337</xdr:colOff>
      <xdr:row>84</xdr:row>
      <xdr:rowOff>142873</xdr:rowOff>
    </xdr:from>
    <xdr:to>
      <xdr:col>2</xdr:col>
      <xdr:colOff>314328</xdr:colOff>
      <xdr:row>84</xdr:row>
      <xdr:rowOff>165228</xdr:rowOff>
    </xdr:to>
    <xdr:cxnSp macro="">
      <xdr:nvCxnSpPr>
        <xdr:cNvPr id="732" name="Straight Connector 731"/>
        <xdr:cNvCxnSpPr/>
      </xdr:nvCxnSpPr>
      <xdr:spPr bwMode="auto">
        <a:xfrm rot="10800000" flipV="1">
          <a:off x="978937" y="2619373"/>
          <a:ext cx="1164191" cy="223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</xdr:colOff>
      <xdr:row>87</xdr:row>
      <xdr:rowOff>0</xdr:rowOff>
    </xdr:from>
    <xdr:to>
      <xdr:col>6</xdr:col>
      <xdr:colOff>9525</xdr:colOff>
      <xdr:row>87</xdr:row>
      <xdr:rowOff>19050</xdr:rowOff>
    </xdr:to>
    <xdr:cxnSp macro="">
      <xdr:nvCxnSpPr>
        <xdr:cNvPr id="733" name="Straight Connector 732"/>
        <xdr:cNvCxnSpPr/>
      </xdr:nvCxnSpPr>
      <xdr:spPr bwMode="auto">
        <a:xfrm flipV="1">
          <a:off x="2447925" y="3048000"/>
          <a:ext cx="18288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333375</xdr:colOff>
      <xdr:row>87</xdr:row>
      <xdr:rowOff>19049</xdr:rowOff>
    </xdr:from>
    <xdr:to>
      <xdr:col>2</xdr:col>
      <xdr:colOff>600075</xdr:colOff>
      <xdr:row>87</xdr:row>
      <xdr:rowOff>161924</xdr:rowOff>
    </xdr:to>
    <xdr:cxnSp macro="">
      <xdr:nvCxnSpPr>
        <xdr:cNvPr id="734" name="Straight Connector 733"/>
        <xdr:cNvCxnSpPr/>
      </xdr:nvCxnSpPr>
      <xdr:spPr bwMode="auto">
        <a:xfrm rot="10800000" flipV="1">
          <a:off x="2162175" y="3067049"/>
          <a:ext cx="266700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456811</xdr:colOff>
      <xdr:row>87</xdr:row>
      <xdr:rowOff>161922</xdr:rowOff>
    </xdr:from>
    <xdr:to>
      <xdr:col>2</xdr:col>
      <xdr:colOff>333377</xdr:colOff>
      <xdr:row>88</xdr:row>
      <xdr:rowOff>19438</xdr:rowOff>
    </xdr:to>
    <xdr:cxnSp macro="">
      <xdr:nvCxnSpPr>
        <xdr:cNvPr id="735" name="Straight Connector 734"/>
        <xdr:cNvCxnSpPr>
          <a:endCxn id="771" idx="2"/>
        </xdr:cNvCxnSpPr>
      </xdr:nvCxnSpPr>
      <xdr:spPr bwMode="auto">
        <a:xfrm rot="10800000" flipV="1">
          <a:off x="1066411" y="3209922"/>
          <a:ext cx="1095766" cy="4801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84</xdr:row>
      <xdr:rowOff>155510</xdr:rowOff>
    </xdr:from>
    <xdr:to>
      <xdr:col>6</xdr:col>
      <xdr:colOff>281862</xdr:colOff>
      <xdr:row>86</xdr:row>
      <xdr:rowOff>9527</xdr:rowOff>
    </xdr:to>
    <xdr:cxnSp macro="">
      <xdr:nvCxnSpPr>
        <xdr:cNvPr id="736" name="Straight Connector 735"/>
        <xdr:cNvCxnSpPr/>
      </xdr:nvCxnSpPr>
      <xdr:spPr bwMode="auto">
        <a:xfrm flipV="1">
          <a:off x="4267200" y="2632010"/>
          <a:ext cx="281862" cy="23501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7193</xdr:colOff>
      <xdr:row>86</xdr:row>
      <xdr:rowOff>165034</xdr:rowOff>
    </xdr:from>
    <xdr:to>
      <xdr:col>6</xdr:col>
      <xdr:colOff>276614</xdr:colOff>
      <xdr:row>88</xdr:row>
      <xdr:rowOff>9330</xdr:rowOff>
    </xdr:to>
    <xdr:cxnSp macro="">
      <xdr:nvCxnSpPr>
        <xdr:cNvPr id="737" name="Straight Connector 736"/>
        <xdr:cNvCxnSpPr/>
      </xdr:nvCxnSpPr>
      <xdr:spPr bwMode="auto">
        <a:xfrm>
          <a:off x="4274393" y="3022534"/>
          <a:ext cx="269421" cy="22529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0</xdr:colOff>
      <xdr:row>94</xdr:row>
      <xdr:rowOff>0</xdr:rowOff>
    </xdr:from>
    <xdr:to>
      <xdr:col>6</xdr:col>
      <xdr:colOff>28575</xdr:colOff>
      <xdr:row>94</xdr:row>
      <xdr:rowOff>9525</xdr:rowOff>
    </xdr:to>
    <xdr:cxnSp macro="">
      <xdr:nvCxnSpPr>
        <xdr:cNvPr id="738" name="Straight Connector 737"/>
        <xdr:cNvCxnSpPr/>
      </xdr:nvCxnSpPr>
      <xdr:spPr bwMode="auto">
        <a:xfrm flipV="1">
          <a:off x="2438400" y="4381500"/>
          <a:ext cx="18573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323850</xdr:colOff>
      <xdr:row>92</xdr:row>
      <xdr:rowOff>142876</xdr:rowOff>
    </xdr:from>
    <xdr:to>
      <xdr:col>2</xdr:col>
      <xdr:colOff>600076</xdr:colOff>
      <xdr:row>94</xdr:row>
      <xdr:rowOff>1</xdr:rowOff>
    </xdr:to>
    <xdr:cxnSp macro="">
      <xdr:nvCxnSpPr>
        <xdr:cNvPr id="739" name="Straight Connector 738"/>
        <xdr:cNvCxnSpPr/>
      </xdr:nvCxnSpPr>
      <xdr:spPr bwMode="auto">
        <a:xfrm rot="10800000">
          <a:off x="2152650" y="4143376"/>
          <a:ext cx="276226" cy="2381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</xdr:colOff>
      <xdr:row>95</xdr:row>
      <xdr:rowOff>0</xdr:rowOff>
    </xdr:from>
    <xdr:to>
      <xdr:col>6</xdr:col>
      <xdr:colOff>9525</xdr:colOff>
      <xdr:row>95</xdr:row>
      <xdr:rowOff>19050</xdr:rowOff>
    </xdr:to>
    <xdr:cxnSp macro="">
      <xdr:nvCxnSpPr>
        <xdr:cNvPr id="740" name="Straight Connector 739"/>
        <xdr:cNvCxnSpPr/>
      </xdr:nvCxnSpPr>
      <xdr:spPr bwMode="auto">
        <a:xfrm flipV="1">
          <a:off x="2447925" y="4572000"/>
          <a:ext cx="182880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333375</xdr:colOff>
      <xdr:row>95</xdr:row>
      <xdr:rowOff>19049</xdr:rowOff>
    </xdr:from>
    <xdr:to>
      <xdr:col>2</xdr:col>
      <xdr:colOff>600075</xdr:colOff>
      <xdr:row>95</xdr:row>
      <xdr:rowOff>161924</xdr:rowOff>
    </xdr:to>
    <xdr:cxnSp macro="">
      <xdr:nvCxnSpPr>
        <xdr:cNvPr id="741" name="Straight Connector 740"/>
        <xdr:cNvCxnSpPr/>
      </xdr:nvCxnSpPr>
      <xdr:spPr bwMode="auto">
        <a:xfrm rot="10800000" flipV="1">
          <a:off x="2162175" y="4591049"/>
          <a:ext cx="266700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93</xdr:row>
      <xdr:rowOff>9525</xdr:rowOff>
    </xdr:from>
    <xdr:to>
      <xdr:col>6</xdr:col>
      <xdr:colOff>285750</xdr:colOff>
      <xdr:row>94</xdr:row>
      <xdr:rowOff>9526</xdr:rowOff>
    </xdr:to>
    <xdr:cxnSp macro="">
      <xdr:nvCxnSpPr>
        <xdr:cNvPr id="742" name="Straight Connector 741"/>
        <xdr:cNvCxnSpPr/>
      </xdr:nvCxnSpPr>
      <xdr:spPr bwMode="auto">
        <a:xfrm flipV="1">
          <a:off x="4267200" y="4200525"/>
          <a:ext cx="285750" cy="19050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95</xdr:row>
      <xdr:rowOff>9524</xdr:rowOff>
    </xdr:from>
    <xdr:to>
      <xdr:col>6</xdr:col>
      <xdr:colOff>257175</xdr:colOff>
      <xdr:row>96</xdr:row>
      <xdr:rowOff>19050</xdr:rowOff>
    </xdr:to>
    <xdr:cxnSp macro="">
      <xdr:nvCxnSpPr>
        <xdr:cNvPr id="743" name="Straight Connector 742"/>
        <xdr:cNvCxnSpPr/>
      </xdr:nvCxnSpPr>
      <xdr:spPr bwMode="auto">
        <a:xfrm>
          <a:off x="4257675" y="4581524"/>
          <a:ext cx="266700" cy="20002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155510</xdr:colOff>
      <xdr:row>103</xdr:row>
      <xdr:rowOff>0</xdr:rowOff>
    </xdr:from>
    <xdr:to>
      <xdr:col>9</xdr:col>
      <xdr:colOff>9525</xdr:colOff>
      <xdr:row>103</xdr:row>
      <xdr:rowOff>19050</xdr:rowOff>
    </xdr:to>
    <xdr:cxnSp macro="">
      <xdr:nvCxnSpPr>
        <xdr:cNvPr id="744" name="Straight Connector 743"/>
        <xdr:cNvCxnSpPr/>
      </xdr:nvCxnSpPr>
      <xdr:spPr bwMode="auto">
        <a:xfrm>
          <a:off x="765110" y="6096000"/>
          <a:ext cx="5340415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600075</xdr:colOff>
      <xdr:row>101</xdr:row>
      <xdr:rowOff>1</xdr:rowOff>
    </xdr:from>
    <xdr:to>
      <xdr:col>6</xdr:col>
      <xdr:colOff>0</xdr:colOff>
      <xdr:row>101</xdr:row>
      <xdr:rowOff>19050</xdr:rowOff>
    </xdr:to>
    <xdr:cxnSp macro="">
      <xdr:nvCxnSpPr>
        <xdr:cNvPr id="745" name="Straight Arrow Connector 744"/>
        <xdr:cNvCxnSpPr/>
      </xdr:nvCxnSpPr>
      <xdr:spPr bwMode="auto">
        <a:xfrm flipV="1">
          <a:off x="2428875" y="5715001"/>
          <a:ext cx="1838325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600075</xdr:colOff>
      <xdr:row>99</xdr:row>
      <xdr:rowOff>152400</xdr:rowOff>
    </xdr:from>
    <xdr:to>
      <xdr:col>6</xdr:col>
      <xdr:colOff>276225</xdr:colOff>
      <xdr:row>101</xdr:row>
      <xdr:rowOff>0</xdr:rowOff>
    </xdr:to>
    <xdr:cxnSp macro="">
      <xdr:nvCxnSpPr>
        <xdr:cNvPr id="746" name="Straight Connector 745"/>
        <xdr:cNvCxnSpPr/>
      </xdr:nvCxnSpPr>
      <xdr:spPr bwMode="auto">
        <a:xfrm flipV="1">
          <a:off x="4257675" y="5486400"/>
          <a:ext cx="285750" cy="2286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</xdr:colOff>
      <xdr:row>100</xdr:row>
      <xdr:rowOff>9525</xdr:rowOff>
    </xdr:from>
    <xdr:to>
      <xdr:col>2</xdr:col>
      <xdr:colOff>333375</xdr:colOff>
      <xdr:row>100</xdr:row>
      <xdr:rowOff>11113</xdr:rowOff>
    </xdr:to>
    <xdr:cxnSp macro="">
      <xdr:nvCxnSpPr>
        <xdr:cNvPr id="747" name="Straight Connector 746"/>
        <xdr:cNvCxnSpPr/>
      </xdr:nvCxnSpPr>
      <xdr:spPr bwMode="auto">
        <a:xfrm>
          <a:off x="1838325" y="5534025"/>
          <a:ext cx="32385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257175</xdr:colOff>
      <xdr:row>100</xdr:row>
      <xdr:rowOff>0</xdr:rowOff>
    </xdr:from>
    <xdr:to>
      <xdr:col>9</xdr:col>
      <xdr:colOff>19050</xdr:colOff>
      <xdr:row>100</xdr:row>
      <xdr:rowOff>20638</xdr:rowOff>
    </xdr:to>
    <xdr:cxnSp macro="">
      <xdr:nvCxnSpPr>
        <xdr:cNvPr id="748" name="Straight Connector 747"/>
        <xdr:cNvCxnSpPr/>
      </xdr:nvCxnSpPr>
      <xdr:spPr bwMode="auto">
        <a:xfrm>
          <a:off x="4524375" y="79505175"/>
          <a:ext cx="981075" cy="2063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333376</xdr:colOff>
      <xdr:row>100</xdr:row>
      <xdr:rowOff>1</xdr:rowOff>
    </xdr:from>
    <xdr:to>
      <xdr:col>3</xdr:col>
      <xdr:colOff>3</xdr:colOff>
      <xdr:row>101</xdr:row>
      <xdr:rowOff>38103</xdr:rowOff>
    </xdr:to>
    <xdr:cxnSp macro="">
      <xdr:nvCxnSpPr>
        <xdr:cNvPr id="749" name="Straight Connector 748"/>
        <xdr:cNvCxnSpPr/>
      </xdr:nvCxnSpPr>
      <xdr:spPr bwMode="auto">
        <a:xfrm rot="10800000">
          <a:off x="2162176" y="5524501"/>
          <a:ext cx="276227" cy="22860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304800</xdr:colOff>
      <xdr:row>99</xdr:row>
      <xdr:rowOff>152401</xdr:rowOff>
    </xdr:from>
    <xdr:to>
      <xdr:col>7</xdr:col>
      <xdr:colOff>285750</xdr:colOff>
      <xdr:row>100</xdr:row>
      <xdr:rowOff>1</xdr:rowOff>
    </xdr:to>
    <xdr:cxnSp macro="">
      <xdr:nvCxnSpPr>
        <xdr:cNvPr id="750" name="Straight Connector 749"/>
        <xdr:cNvCxnSpPr/>
      </xdr:nvCxnSpPr>
      <xdr:spPr bwMode="auto">
        <a:xfrm rot="10800000">
          <a:off x="4572000" y="5486401"/>
          <a:ext cx="590550" cy="381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155511</xdr:colOff>
      <xdr:row>100</xdr:row>
      <xdr:rowOff>6606</xdr:rowOff>
    </xdr:from>
    <xdr:to>
      <xdr:col>2</xdr:col>
      <xdr:colOff>38686</xdr:colOff>
      <xdr:row>100</xdr:row>
      <xdr:rowOff>9719</xdr:rowOff>
    </xdr:to>
    <xdr:cxnSp macro="">
      <xdr:nvCxnSpPr>
        <xdr:cNvPr id="752" name="Straight Connector 751"/>
        <xdr:cNvCxnSpPr/>
      </xdr:nvCxnSpPr>
      <xdr:spPr bwMode="auto">
        <a:xfrm rot="10800000" flipV="1">
          <a:off x="765111" y="5531106"/>
          <a:ext cx="1102375" cy="311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8733</xdr:colOff>
      <xdr:row>100</xdr:row>
      <xdr:rowOff>9527</xdr:rowOff>
    </xdr:from>
    <xdr:to>
      <xdr:col>9</xdr:col>
      <xdr:colOff>19051</xdr:colOff>
      <xdr:row>103</xdr:row>
      <xdr:rowOff>29367</xdr:rowOff>
    </xdr:to>
    <xdr:cxnSp macro="">
      <xdr:nvCxnSpPr>
        <xdr:cNvPr id="753" name="Straight Connector 752"/>
        <xdr:cNvCxnSpPr/>
      </xdr:nvCxnSpPr>
      <xdr:spPr bwMode="auto">
        <a:xfrm rot="5400000">
          <a:off x="5247484" y="79762351"/>
          <a:ext cx="505615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76200</xdr:colOff>
      <xdr:row>72</xdr:row>
      <xdr:rowOff>14447</xdr:rowOff>
    </xdr:from>
    <xdr:to>
      <xdr:col>9</xdr:col>
      <xdr:colOff>419100</xdr:colOff>
      <xdr:row>72</xdr:row>
      <xdr:rowOff>16035</xdr:rowOff>
    </xdr:to>
    <xdr:cxnSp macro="">
      <xdr:nvCxnSpPr>
        <xdr:cNvPr id="755" name="Straight Connector 754"/>
        <xdr:cNvCxnSpPr/>
      </xdr:nvCxnSpPr>
      <xdr:spPr bwMode="auto">
        <a:xfrm>
          <a:off x="6172200" y="204947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47625</xdr:colOff>
      <xdr:row>75</xdr:row>
      <xdr:rowOff>19050</xdr:rowOff>
    </xdr:from>
    <xdr:to>
      <xdr:col>9</xdr:col>
      <xdr:colOff>390525</xdr:colOff>
      <xdr:row>75</xdr:row>
      <xdr:rowOff>20638</xdr:rowOff>
    </xdr:to>
    <xdr:cxnSp macro="">
      <xdr:nvCxnSpPr>
        <xdr:cNvPr id="756" name="Straight Connector 755"/>
        <xdr:cNvCxnSpPr/>
      </xdr:nvCxnSpPr>
      <xdr:spPr bwMode="auto">
        <a:xfrm>
          <a:off x="5534025" y="754761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171450</xdr:colOff>
      <xdr:row>78</xdr:row>
      <xdr:rowOff>9525</xdr:rowOff>
    </xdr:from>
    <xdr:to>
      <xdr:col>9</xdr:col>
      <xdr:colOff>514350</xdr:colOff>
      <xdr:row>78</xdr:row>
      <xdr:rowOff>11113</xdr:rowOff>
    </xdr:to>
    <xdr:cxnSp macro="">
      <xdr:nvCxnSpPr>
        <xdr:cNvPr id="757" name="Straight Connector 756"/>
        <xdr:cNvCxnSpPr/>
      </xdr:nvCxnSpPr>
      <xdr:spPr bwMode="auto">
        <a:xfrm>
          <a:off x="6267450" y="13430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171450</xdr:colOff>
      <xdr:row>81</xdr:row>
      <xdr:rowOff>9525</xdr:rowOff>
    </xdr:from>
    <xdr:to>
      <xdr:col>9</xdr:col>
      <xdr:colOff>514350</xdr:colOff>
      <xdr:row>81</xdr:row>
      <xdr:rowOff>11113</xdr:rowOff>
    </xdr:to>
    <xdr:cxnSp macro="">
      <xdr:nvCxnSpPr>
        <xdr:cNvPr id="758" name="Straight Connector 757"/>
        <xdr:cNvCxnSpPr/>
      </xdr:nvCxnSpPr>
      <xdr:spPr bwMode="auto">
        <a:xfrm>
          <a:off x="6267450" y="19145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171450</xdr:colOff>
      <xdr:row>85</xdr:row>
      <xdr:rowOff>0</xdr:rowOff>
    </xdr:from>
    <xdr:to>
      <xdr:col>9</xdr:col>
      <xdr:colOff>514350</xdr:colOff>
      <xdr:row>85</xdr:row>
      <xdr:rowOff>1588</xdr:rowOff>
    </xdr:to>
    <xdr:cxnSp macro="">
      <xdr:nvCxnSpPr>
        <xdr:cNvPr id="759" name="Straight Connector 758"/>
        <xdr:cNvCxnSpPr/>
      </xdr:nvCxnSpPr>
      <xdr:spPr bwMode="auto">
        <a:xfrm>
          <a:off x="6267450" y="26670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190500</xdr:colOff>
      <xdr:row>96</xdr:row>
      <xdr:rowOff>19050</xdr:rowOff>
    </xdr:from>
    <xdr:to>
      <xdr:col>9</xdr:col>
      <xdr:colOff>533400</xdr:colOff>
      <xdr:row>96</xdr:row>
      <xdr:rowOff>20638</xdr:rowOff>
    </xdr:to>
    <xdr:cxnSp macro="">
      <xdr:nvCxnSpPr>
        <xdr:cNvPr id="760" name="Straight Connector 759"/>
        <xdr:cNvCxnSpPr/>
      </xdr:nvCxnSpPr>
      <xdr:spPr bwMode="auto">
        <a:xfrm>
          <a:off x="6286500" y="478155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161925</xdr:colOff>
      <xdr:row>93</xdr:row>
      <xdr:rowOff>0</xdr:rowOff>
    </xdr:from>
    <xdr:to>
      <xdr:col>9</xdr:col>
      <xdr:colOff>504825</xdr:colOff>
      <xdr:row>93</xdr:row>
      <xdr:rowOff>1588</xdr:rowOff>
    </xdr:to>
    <xdr:cxnSp macro="">
      <xdr:nvCxnSpPr>
        <xdr:cNvPr id="761" name="Straight Connector 760"/>
        <xdr:cNvCxnSpPr/>
      </xdr:nvCxnSpPr>
      <xdr:spPr bwMode="auto">
        <a:xfrm>
          <a:off x="6257925" y="4191000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114300</xdr:colOff>
      <xdr:row>100</xdr:row>
      <xdr:rowOff>0</xdr:rowOff>
    </xdr:from>
    <xdr:to>
      <xdr:col>9</xdr:col>
      <xdr:colOff>457200</xdr:colOff>
      <xdr:row>100</xdr:row>
      <xdr:rowOff>1588</xdr:rowOff>
    </xdr:to>
    <xdr:cxnSp macro="">
      <xdr:nvCxnSpPr>
        <xdr:cNvPr id="762" name="Straight Connector 761"/>
        <xdr:cNvCxnSpPr/>
      </xdr:nvCxnSpPr>
      <xdr:spPr bwMode="auto">
        <a:xfrm>
          <a:off x="5600700" y="7950517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95250</xdr:colOff>
      <xdr:row>103</xdr:row>
      <xdr:rowOff>9525</xdr:rowOff>
    </xdr:from>
    <xdr:to>
      <xdr:col>9</xdr:col>
      <xdr:colOff>438150</xdr:colOff>
      <xdr:row>103</xdr:row>
      <xdr:rowOff>11113</xdr:rowOff>
    </xdr:to>
    <xdr:cxnSp macro="">
      <xdr:nvCxnSpPr>
        <xdr:cNvPr id="763" name="Straight Connector 762"/>
        <xdr:cNvCxnSpPr/>
      </xdr:nvCxnSpPr>
      <xdr:spPr bwMode="auto">
        <a:xfrm>
          <a:off x="6191250" y="61055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</xdr:col>
      <xdr:colOff>180975</xdr:colOff>
      <xdr:row>88</xdr:row>
      <xdr:rowOff>9525</xdr:rowOff>
    </xdr:from>
    <xdr:to>
      <xdr:col>9</xdr:col>
      <xdr:colOff>523875</xdr:colOff>
      <xdr:row>88</xdr:row>
      <xdr:rowOff>11113</xdr:rowOff>
    </xdr:to>
    <xdr:cxnSp macro="">
      <xdr:nvCxnSpPr>
        <xdr:cNvPr id="764" name="Straight Connector 763"/>
        <xdr:cNvCxnSpPr/>
      </xdr:nvCxnSpPr>
      <xdr:spPr bwMode="auto">
        <a:xfrm>
          <a:off x="6276975" y="3248025"/>
          <a:ext cx="3429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276224</xdr:colOff>
      <xdr:row>74</xdr:row>
      <xdr:rowOff>19050</xdr:rowOff>
    </xdr:from>
    <xdr:to>
      <xdr:col>4</xdr:col>
      <xdr:colOff>276225</xdr:colOff>
      <xdr:row>79</xdr:row>
      <xdr:rowOff>19051</xdr:rowOff>
    </xdr:to>
    <xdr:cxnSp macro="">
      <xdr:nvCxnSpPr>
        <xdr:cNvPr id="765" name="Straight Arrow Connector 764"/>
        <xdr:cNvCxnSpPr/>
      </xdr:nvCxnSpPr>
      <xdr:spPr bwMode="auto">
        <a:xfrm rot="16200000" flipH="1">
          <a:off x="2847974" y="1066800"/>
          <a:ext cx="952501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247651</xdr:colOff>
      <xdr:row>80</xdr:row>
      <xdr:rowOff>19052</xdr:rowOff>
    </xdr:from>
    <xdr:to>
      <xdr:col>4</xdr:col>
      <xdr:colOff>257177</xdr:colOff>
      <xdr:row>86</xdr:row>
      <xdr:rowOff>19053</xdr:rowOff>
    </xdr:to>
    <xdr:cxnSp macro="">
      <xdr:nvCxnSpPr>
        <xdr:cNvPr id="766" name="Straight Arrow Connector 765"/>
        <xdr:cNvCxnSpPr/>
      </xdr:nvCxnSpPr>
      <xdr:spPr bwMode="auto">
        <a:xfrm rot="16200000" flipH="1">
          <a:off x="2728913" y="2300290"/>
          <a:ext cx="1143001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276225</xdr:colOff>
      <xdr:row>87</xdr:row>
      <xdr:rowOff>19050</xdr:rowOff>
    </xdr:from>
    <xdr:to>
      <xdr:col>4</xdr:col>
      <xdr:colOff>295275</xdr:colOff>
      <xdr:row>94</xdr:row>
      <xdr:rowOff>19053</xdr:rowOff>
    </xdr:to>
    <xdr:cxnSp macro="">
      <xdr:nvCxnSpPr>
        <xdr:cNvPr id="767" name="Straight Arrow Connector 766"/>
        <xdr:cNvCxnSpPr/>
      </xdr:nvCxnSpPr>
      <xdr:spPr bwMode="auto">
        <a:xfrm rot="16200000" flipH="1">
          <a:off x="2666998" y="3724277"/>
          <a:ext cx="1333503" cy="190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276225</xdr:colOff>
      <xdr:row>95</xdr:row>
      <xdr:rowOff>9529</xdr:rowOff>
    </xdr:from>
    <xdr:to>
      <xdr:col>4</xdr:col>
      <xdr:colOff>276226</xdr:colOff>
      <xdr:row>101</xdr:row>
      <xdr:rowOff>19057</xdr:rowOff>
    </xdr:to>
    <xdr:cxnSp macro="">
      <xdr:nvCxnSpPr>
        <xdr:cNvPr id="768" name="Straight Arrow Connector 767"/>
        <xdr:cNvCxnSpPr/>
      </xdr:nvCxnSpPr>
      <xdr:spPr bwMode="auto">
        <a:xfrm rot="16200000" flipH="1">
          <a:off x="2224087" y="79195617"/>
          <a:ext cx="981078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4</xdr:colOff>
      <xdr:row>74</xdr:row>
      <xdr:rowOff>142876</xdr:rowOff>
    </xdr:from>
    <xdr:to>
      <xdr:col>7</xdr:col>
      <xdr:colOff>9526</xdr:colOff>
      <xdr:row>99</xdr:row>
      <xdr:rowOff>161924</xdr:rowOff>
    </xdr:to>
    <xdr:cxnSp macro="">
      <xdr:nvCxnSpPr>
        <xdr:cNvPr id="769" name="Straight Connector 768"/>
        <xdr:cNvCxnSpPr/>
      </xdr:nvCxnSpPr>
      <xdr:spPr bwMode="auto">
        <a:xfrm rot="16200000" flipH="1">
          <a:off x="2490791" y="3100389"/>
          <a:ext cx="4781548" cy="9522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476250</xdr:colOff>
      <xdr:row>78</xdr:row>
      <xdr:rowOff>9720</xdr:rowOff>
    </xdr:from>
    <xdr:to>
      <xdr:col>9</xdr:col>
      <xdr:colOff>272142</xdr:colOff>
      <xdr:row>81</xdr:row>
      <xdr:rowOff>29937</xdr:rowOff>
    </xdr:to>
    <xdr:sp macro="" textlink="">
      <xdr:nvSpPr>
        <xdr:cNvPr id="770" name="Moon 769"/>
        <xdr:cNvSpPr/>
      </xdr:nvSpPr>
      <xdr:spPr bwMode="auto">
        <a:xfrm flipH="1">
          <a:off x="5962650" y="1343220"/>
          <a:ext cx="405492" cy="591717"/>
        </a:xfrm>
        <a:prstGeom prst="moon">
          <a:avLst>
            <a:gd name="adj" fmla="val 249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97193</xdr:colOff>
      <xdr:row>85</xdr:row>
      <xdr:rowOff>1</xdr:rowOff>
    </xdr:from>
    <xdr:to>
      <xdr:col>0</xdr:col>
      <xdr:colOff>456811</xdr:colOff>
      <xdr:row>88</xdr:row>
      <xdr:rowOff>19439</xdr:rowOff>
    </xdr:to>
    <xdr:sp macro="" textlink="">
      <xdr:nvSpPr>
        <xdr:cNvPr id="771" name="Moon 770"/>
        <xdr:cNvSpPr/>
      </xdr:nvSpPr>
      <xdr:spPr bwMode="auto">
        <a:xfrm>
          <a:off x="706793" y="2667001"/>
          <a:ext cx="359618" cy="590938"/>
        </a:xfrm>
        <a:prstGeom prst="moon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379057</xdr:colOff>
      <xdr:row>92</xdr:row>
      <xdr:rowOff>142873</xdr:rowOff>
    </xdr:from>
    <xdr:to>
      <xdr:col>2</xdr:col>
      <xdr:colOff>324048</xdr:colOff>
      <xdr:row>92</xdr:row>
      <xdr:rowOff>165228</xdr:rowOff>
    </xdr:to>
    <xdr:cxnSp macro="">
      <xdr:nvCxnSpPr>
        <xdr:cNvPr id="772" name="Straight Connector 771"/>
        <xdr:cNvCxnSpPr/>
      </xdr:nvCxnSpPr>
      <xdr:spPr bwMode="auto">
        <a:xfrm rot="10800000" flipV="1">
          <a:off x="988657" y="4143373"/>
          <a:ext cx="1164191" cy="2235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466531</xdr:colOff>
      <xdr:row>95</xdr:row>
      <xdr:rowOff>161923</xdr:rowOff>
    </xdr:from>
    <xdr:to>
      <xdr:col>2</xdr:col>
      <xdr:colOff>343097</xdr:colOff>
      <xdr:row>96</xdr:row>
      <xdr:rowOff>19438</xdr:rowOff>
    </xdr:to>
    <xdr:cxnSp macro="">
      <xdr:nvCxnSpPr>
        <xdr:cNvPr id="773" name="Straight Connector 772"/>
        <xdr:cNvCxnSpPr>
          <a:endCxn id="774" idx="2"/>
        </xdr:cNvCxnSpPr>
      </xdr:nvCxnSpPr>
      <xdr:spPr bwMode="auto">
        <a:xfrm rot="10800000" flipV="1">
          <a:off x="1076131" y="4733923"/>
          <a:ext cx="1095766" cy="4801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106913</xdr:colOff>
      <xdr:row>93</xdr:row>
      <xdr:rowOff>1</xdr:rowOff>
    </xdr:from>
    <xdr:to>
      <xdr:col>0</xdr:col>
      <xdr:colOff>466531</xdr:colOff>
      <xdr:row>96</xdr:row>
      <xdr:rowOff>19439</xdr:rowOff>
    </xdr:to>
    <xdr:sp macro="" textlink="">
      <xdr:nvSpPr>
        <xdr:cNvPr id="774" name="Moon 773"/>
        <xdr:cNvSpPr/>
      </xdr:nvSpPr>
      <xdr:spPr bwMode="auto">
        <a:xfrm>
          <a:off x="716513" y="4191001"/>
          <a:ext cx="359618" cy="590938"/>
        </a:xfrm>
        <a:prstGeom prst="moon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379059</xdr:colOff>
      <xdr:row>77</xdr:row>
      <xdr:rowOff>155508</xdr:rowOff>
    </xdr:from>
    <xdr:to>
      <xdr:col>2</xdr:col>
      <xdr:colOff>314325</xdr:colOff>
      <xdr:row>77</xdr:row>
      <xdr:rowOff>171450</xdr:rowOff>
    </xdr:to>
    <xdr:cxnSp macro="">
      <xdr:nvCxnSpPr>
        <xdr:cNvPr id="775" name="Straight Connector 774"/>
        <xdr:cNvCxnSpPr/>
      </xdr:nvCxnSpPr>
      <xdr:spPr bwMode="auto">
        <a:xfrm rot="10800000">
          <a:off x="988659" y="1298508"/>
          <a:ext cx="1154466" cy="1594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466530</xdr:colOff>
      <xdr:row>80</xdr:row>
      <xdr:rowOff>152203</xdr:rowOff>
    </xdr:from>
    <xdr:to>
      <xdr:col>2</xdr:col>
      <xdr:colOff>343096</xdr:colOff>
      <xdr:row>81</xdr:row>
      <xdr:rowOff>9719</xdr:rowOff>
    </xdr:to>
    <xdr:cxnSp macro="">
      <xdr:nvCxnSpPr>
        <xdr:cNvPr id="776" name="Straight Connector 775"/>
        <xdr:cNvCxnSpPr>
          <a:endCxn id="777" idx="2"/>
        </xdr:cNvCxnSpPr>
      </xdr:nvCxnSpPr>
      <xdr:spPr bwMode="auto">
        <a:xfrm rot="10800000" flipV="1">
          <a:off x="1076130" y="1866703"/>
          <a:ext cx="1095766" cy="4801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106912</xdr:colOff>
      <xdr:row>77</xdr:row>
      <xdr:rowOff>155510</xdr:rowOff>
    </xdr:from>
    <xdr:to>
      <xdr:col>0</xdr:col>
      <xdr:colOff>466530</xdr:colOff>
      <xdr:row>81</xdr:row>
      <xdr:rowOff>9719</xdr:rowOff>
    </xdr:to>
    <xdr:sp macro="" textlink="">
      <xdr:nvSpPr>
        <xdr:cNvPr id="777" name="Moon 776"/>
        <xdr:cNvSpPr/>
      </xdr:nvSpPr>
      <xdr:spPr bwMode="auto">
        <a:xfrm>
          <a:off x="716512" y="1298510"/>
          <a:ext cx="359618" cy="616209"/>
        </a:xfrm>
        <a:prstGeom prst="moon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285750</xdr:colOff>
      <xdr:row>84</xdr:row>
      <xdr:rowOff>145790</xdr:rowOff>
    </xdr:from>
    <xdr:to>
      <xdr:col>8</xdr:col>
      <xdr:colOff>476250</xdr:colOff>
      <xdr:row>84</xdr:row>
      <xdr:rowOff>155510</xdr:rowOff>
    </xdr:to>
    <xdr:cxnSp macro="">
      <xdr:nvCxnSpPr>
        <xdr:cNvPr id="778" name="Straight Connector 777"/>
        <xdr:cNvCxnSpPr>
          <a:endCxn id="780" idx="0"/>
        </xdr:cNvCxnSpPr>
      </xdr:nvCxnSpPr>
      <xdr:spPr bwMode="auto">
        <a:xfrm>
          <a:off x="4552950" y="2622290"/>
          <a:ext cx="1409700" cy="972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285750</xdr:colOff>
      <xdr:row>88</xdr:row>
      <xdr:rowOff>9136</xdr:rowOff>
    </xdr:from>
    <xdr:to>
      <xdr:col>8</xdr:col>
      <xdr:colOff>476250</xdr:colOff>
      <xdr:row>88</xdr:row>
      <xdr:rowOff>10498</xdr:rowOff>
    </xdr:to>
    <xdr:cxnSp macro="">
      <xdr:nvCxnSpPr>
        <xdr:cNvPr id="779" name="Straight Connector 778"/>
        <xdr:cNvCxnSpPr>
          <a:endCxn id="780" idx="2"/>
        </xdr:cNvCxnSpPr>
      </xdr:nvCxnSpPr>
      <xdr:spPr bwMode="auto">
        <a:xfrm>
          <a:off x="4552950" y="3247636"/>
          <a:ext cx="1409700" cy="136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476250</xdr:colOff>
      <xdr:row>84</xdr:row>
      <xdr:rowOff>155510</xdr:rowOff>
    </xdr:from>
    <xdr:to>
      <xdr:col>9</xdr:col>
      <xdr:colOff>272142</xdr:colOff>
      <xdr:row>88</xdr:row>
      <xdr:rowOff>10498</xdr:rowOff>
    </xdr:to>
    <xdr:sp macro="" textlink="">
      <xdr:nvSpPr>
        <xdr:cNvPr id="780" name="Moon 779"/>
        <xdr:cNvSpPr/>
      </xdr:nvSpPr>
      <xdr:spPr bwMode="auto">
        <a:xfrm flipH="1">
          <a:off x="5962650" y="2632010"/>
          <a:ext cx="405492" cy="616988"/>
        </a:xfrm>
        <a:prstGeom prst="moon">
          <a:avLst>
            <a:gd name="adj" fmla="val 249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276030</xdr:colOff>
      <xdr:row>93</xdr:row>
      <xdr:rowOff>9719</xdr:rowOff>
    </xdr:from>
    <xdr:to>
      <xdr:col>8</xdr:col>
      <xdr:colOff>466530</xdr:colOff>
      <xdr:row>93</xdr:row>
      <xdr:rowOff>19439</xdr:rowOff>
    </xdr:to>
    <xdr:cxnSp macro="">
      <xdr:nvCxnSpPr>
        <xdr:cNvPr id="781" name="Straight Connector 780"/>
        <xdr:cNvCxnSpPr>
          <a:endCxn id="783" idx="0"/>
        </xdr:cNvCxnSpPr>
      </xdr:nvCxnSpPr>
      <xdr:spPr bwMode="auto">
        <a:xfrm>
          <a:off x="4543230" y="4200719"/>
          <a:ext cx="1409700" cy="972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276030</xdr:colOff>
      <xdr:row>96</xdr:row>
      <xdr:rowOff>38294</xdr:rowOff>
    </xdr:from>
    <xdr:to>
      <xdr:col>8</xdr:col>
      <xdr:colOff>466530</xdr:colOff>
      <xdr:row>96</xdr:row>
      <xdr:rowOff>39656</xdr:rowOff>
    </xdr:to>
    <xdr:cxnSp macro="">
      <xdr:nvCxnSpPr>
        <xdr:cNvPr id="782" name="Straight Connector 781"/>
        <xdr:cNvCxnSpPr>
          <a:endCxn id="783" idx="2"/>
        </xdr:cNvCxnSpPr>
      </xdr:nvCxnSpPr>
      <xdr:spPr bwMode="auto">
        <a:xfrm>
          <a:off x="4543230" y="4800794"/>
          <a:ext cx="1409700" cy="136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466530</xdr:colOff>
      <xdr:row>93</xdr:row>
      <xdr:rowOff>19439</xdr:rowOff>
    </xdr:from>
    <xdr:to>
      <xdr:col>9</xdr:col>
      <xdr:colOff>262422</xdr:colOff>
      <xdr:row>96</xdr:row>
      <xdr:rowOff>39656</xdr:rowOff>
    </xdr:to>
    <xdr:sp macro="" textlink="">
      <xdr:nvSpPr>
        <xdr:cNvPr id="783" name="Moon 782"/>
        <xdr:cNvSpPr/>
      </xdr:nvSpPr>
      <xdr:spPr bwMode="auto">
        <a:xfrm flipH="1">
          <a:off x="5952930" y="4210439"/>
          <a:ext cx="405492" cy="591717"/>
        </a:xfrm>
        <a:prstGeom prst="moon">
          <a:avLst>
            <a:gd name="adj" fmla="val 249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608806</xdr:colOff>
      <xdr:row>72</xdr:row>
      <xdr:rowOff>10319</xdr:rowOff>
    </xdr:from>
    <xdr:to>
      <xdr:col>1</xdr:col>
      <xdr:colOff>794</xdr:colOff>
      <xdr:row>75</xdr:row>
      <xdr:rowOff>794</xdr:rowOff>
    </xdr:to>
    <xdr:cxnSp macro="">
      <xdr:nvCxnSpPr>
        <xdr:cNvPr id="787" name="Straight Arrow Connector 786"/>
        <xdr:cNvCxnSpPr/>
      </xdr:nvCxnSpPr>
      <xdr:spPr bwMode="auto">
        <a:xfrm rot="5400000">
          <a:off x="371475" y="75218925"/>
          <a:ext cx="4762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608806</xdr:colOff>
      <xdr:row>78</xdr:row>
      <xdr:rowOff>794</xdr:rowOff>
    </xdr:from>
    <xdr:to>
      <xdr:col>1</xdr:col>
      <xdr:colOff>794</xdr:colOff>
      <xdr:row>80</xdr:row>
      <xdr:rowOff>153194</xdr:rowOff>
    </xdr:to>
    <xdr:cxnSp macro="">
      <xdr:nvCxnSpPr>
        <xdr:cNvPr id="788" name="Straight Arrow Connector 787"/>
        <xdr:cNvCxnSpPr/>
      </xdr:nvCxnSpPr>
      <xdr:spPr bwMode="auto">
        <a:xfrm rot="5400000">
          <a:off x="371475" y="76180950"/>
          <a:ext cx="4762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608806</xdr:colOff>
      <xdr:row>85</xdr:row>
      <xdr:rowOff>19844</xdr:rowOff>
    </xdr:from>
    <xdr:to>
      <xdr:col>1</xdr:col>
      <xdr:colOff>794</xdr:colOff>
      <xdr:row>88</xdr:row>
      <xdr:rowOff>10319</xdr:rowOff>
    </xdr:to>
    <xdr:cxnSp macro="">
      <xdr:nvCxnSpPr>
        <xdr:cNvPr id="789" name="Straight Arrow Connector 788"/>
        <xdr:cNvCxnSpPr/>
      </xdr:nvCxnSpPr>
      <xdr:spPr bwMode="auto">
        <a:xfrm rot="5400000">
          <a:off x="371475" y="77333475"/>
          <a:ext cx="4762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608806</xdr:colOff>
      <xdr:row>93</xdr:row>
      <xdr:rowOff>19844</xdr:rowOff>
    </xdr:from>
    <xdr:to>
      <xdr:col>1</xdr:col>
      <xdr:colOff>794</xdr:colOff>
      <xdr:row>96</xdr:row>
      <xdr:rowOff>10319</xdr:rowOff>
    </xdr:to>
    <xdr:cxnSp macro="">
      <xdr:nvCxnSpPr>
        <xdr:cNvPr id="790" name="Straight Arrow Connector 789"/>
        <xdr:cNvCxnSpPr/>
      </xdr:nvCxnSpPr>
      <xdr:spPr bwMode="auto">
        <a:xfrm rot="5400000">
          <a:off x="371475" y="78628875"/>
          <a:ext cx="4762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608806</xdr:colOff>
      <xdr:row>75</xdr:row>
      <xdr:rowOff>794</xdr:rowOff>
    </xdr:from>
    <xdr:to>
      <xdr:col>2</xdr:col>
      <xdr:colOff>794</xdr:colOff>
      <xdr:row>77</xdr:row>
      <xdr:rowOff>153194</xdr:rowOff>
    </xdr:to>
    <xdr:cxnSp macro="">
      <xdr:nvCxnSpPr>
        <xdr:cNvPr id="791" name="Straight Arrow Connector 790"/>
        <xdr:cNvCxnSpPr/>
      </xdr:nvCxnSpPr>
      <xdr:spPr bwMode="auto">
        <a:xfrm rot="5400000">
          <a:off x="981075" y="75695175"/>
          <a:ext cx="4762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9525</xdr:colOff>
      <xdr:row>81</xdr:row>
      <xdr:rowOff>794</xdr:rowOff>
    </xdr:from>
    <xdr:to>
      <xdr:col>2</xdr:col>
      <xdr:colOff>10319</xdr:colOff>
      <xdr:row>84</xdr:row>
      <xdr:rowOff>142875</xdr:rowOff>
    </xdr:to>
    <xdr:cxnSp macro="">
      <xdr:nvCxnSpPr>
        <xdr:cNvPr id="792" name="Straight Arrow Connector 791"/>
        <xdr:cNvCxnSpPr/>
      </xdr:nvCxnSpPr>
      <xdr:spPr bwMode="auto">
        <a:xfrm rot="5400000">
          <a:off x="915194" y="76742925"/>
          <a:ext cx="627856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591344</xdr:colOff>
      <xdr:row>87</xdr:row>
      <xdr:rowOff>153193</xdr:rowOff>
    </xdr:from>
    <xdr:to>
      <xdr:col>1</xdr:col>
      <xdr:colOff>600075</xdr:colOff>
      <xdr:row>92</xdr:row>
      <xdr:rowOff>152399</xdr:rowOff>
    </xdr:to>
    <xdr:cxnSp macro="">
      <xdr:nvCxnSpPr>
        <xdr:cNvPr id="794" name="Straight Arrow Connector 793"/>
        <xdr:cNvCxnSpPr/>
      </xdr:nvCxnSpPr>
      <xdr:spPr bwMode="auto">
        <a:xfrm rot="16200000" flipH="1">
          <a:off x="800894" y="77953393"/>
          <a:ext cx="808831" cy="87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600076</xdr:colOff>
      <xdr:row>95</xdr:row>
      <xdr:rowOff>143668</xdr:rowOff>
    </xdr:from>
    <xdr:to>
      <xdr:col>2</xdr:col>
      <xdr:colOff>10320</xdr:colOff>
      <xdr:row>100</xdr:row>
      <xdr:rowOff>9524</xdr:rowOff>
    </xdr:to>
    <xdr:cxnSp macro="">
      <xdr:nvCxnSpPr>
        <xdr:cNvPr id="795" name="Straight Arrow Connector 794"/>
        <xdr:cNvCxnSpPr/>
      </xdr:nvCxnSpPr>
      <xdr:spPr bwMode="auto">
        <a:xfrm rot="5400000">
          <a:off x="881857" y="79167037"/>
          <a:ext cx="675481" cy="1984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351631</xdr:colOff>
      <xdr:row>78</xdr:row>
      <xdr:rowOff>794</xdr:rowOff>
    </xdr:from>
    <xdr:to>
      <xdr:col>9</xdr:col>
      <xdr:colOff>353219</xdr:colOff>
      <xdr:row>80</xdr:row>
      <xdr:rowOff>153194</xdr:rowOff>
    </xdr:to>
    <xdr:cxnSp macro="">
      <xdr:nvCxnSpPr>
        <xdr:cNvPr id="798" name="Straight Arrow Connector 797"/>
        <xdr:cNvCxnSpPr/>
      </xdr:nvCxnSpPr>
      <xdr:spPr bwMode="auto">
        <a:xfrm rot="5400000">
          <a:off x="5600700" y="76180950"/>
          <a:ext cx="4762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370681</xdr:colOff>
      <xdr:row>85</xdr:row>
      <xdr:rowOff>10319</xdr:rowOff>
    </xdr:from>
    <xdr:to>
      <xdr:col>9</xdr:col>
      <xdr:colOff>372269</xdr:colOff>
      <xdr:row>88</xdr:row>
      <xdr:rowOff>794</xdr:rowOff>
    </xdr:to>
    <xdr:cxnSp macro="">
      <xdr:nvCxnSpPr>
        <xdr:cNvPr id="799" name="Straight Arrow Connector 798"/>
        <xdr:cNvCxnSpPr/>
      </xdr:nvCxnSpPr>
      <xdr:spPr bwMode="auto">
        <a:xfrm rot="5400000">
          <a:off x="5619750" y="77323950"/>
          <a:ext cx="4762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332581</xdr:colOff>
      <xdr:row>93</xdr:row>
      <xdr:rowOff>794</xdr:rowOff>
    </xdr:from>
    <xdr:to>
      <xdr:col>9</xdr:col>
      <xdr:colOff>334169</xdr:colOff>
      <xdr:row>95</xdr:row>
      <xdr:rowOff>153194</xdr:rowOff>
    </xdr:to>
    <xdr:cxnSp macro="">
      <xdr:nvCxnSpPr>
        <xdr:cNvPr id="800" name="Straight Arrow Connector 799"/>
        <xdr:cNvCxnSpPr/>
      </xdr:nvCxnSpPr>
      <xdr:spPr bwMode="auto">
        <a:xfrm rot="5400000">
          <a:off x="5581650" y="78609825"/>
          <a:ext cx="4762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246856</xdr:colOff>
      <xdr:row>72</xdr:row>
      <xdr:rowOff>48419</xdr:rowOff>
    </xdr:from>
    <xdr:to>
      <xdr:col>9</xdr:col>
      <xdr:colOff>248444</xdr:colOff>
      <xdr:row>75</xdr:row>
      <xdr:rowOff>38894</xdr:rowOff>
    </xdr:to>
    <xdr:cxnSp macro="">
      <xdr:nvCxnSpPr>
        <xdr:cNvPr id="801" name="Straight Arrow Connector 800"/>
        <xdr:cNvCxnSpPr/>
      </xdr:nvCxnSpPr>
      <xdr:spPr bwMode="auto">
        <a:xfrm rot="5400000">
          <a:off x="5495925" y="75257025"/>
          <a:ext cx="4762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246856</xdr:colOff>
      <xdr:row>75</xdr:row>
      <xdr:rowOff>29369</xdr:rowOff>
    </xdr:from>
    <xdr:to>
      <xdr:col>9</xdr:col>
      <xdr:colOff>248444</xdr:colOff>
      <xdr:row>78</xdr:row>
      <xdr:rowOff>19844</xdr:rowOff>
    </xdr:to>
    <xdr:cxnSp macro="">
      <xdr:nvCxnSpPr>
        <xdr:cNvPr id="803" name="Straight Arrow Connector 802"/>
        <xdr:cNvCxnSpPr/>
      </xdr:nvCxnSpPr>
      <xdr:spPr bwMode="auto">
        <a:xfrm rot="5400000">
          <a:off x="5495925" y="75723750"/>
          <a:ext cx="4762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285750</xdr:colOff>
      <xdr:row>81</xdr:row>
      <xdr:rowOff>10319</xdr:rowOff>
    </xdr:from>
    <xdr:to>
      <xdr:col>9</xdr:col>
      <xdr:colOff>286544</xdr:colOff>
      <xdr:row>84</xdr:row>
      <xdr:rowOff>152400</xdr:rowOff>
    </xdr:to>
    <xdr:cxnSp macro="">
      <xdr:nvCxnSpPr>
        <xdr:cNvPr id="804" name="Straight Arrow Connector 803"/>
        <xdr:cNvCxnSpPr/>
      </xdr:nvCxnSpPr>
      <xdr:spPr bwMode="auto">
        <a:xfrm rot="5400000">
          <a:off x="5458619" y="76752450"/>
          <a:ext cx="627856" cy="79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257969</xdr:colOff>
      <xdr:row>88</xdr:row>
      <xdr:rowOff>793</xdr:rowOff>
    </xdr:from>
    <xdr:to>
      <xdr:col>9</xdr:col>
      <xdr:colOff>266700</xdr:colOff>
      <xdr:row>92</xdr:row>
      <xdr:rowOff>161924</xdr:rowOff>
    </xdr:to>
    <xdr:cxnSp macro="">
      <xdr:nvCxnSpPr>
        <xdr:cNvPr id="805" name="Straight Arrow Connector 804"/>
        <xdr:cNvCxnSpPr/>
      </xdr:nvCxnSpPr>
      <xdr:spPr bwMode="auto">
        <a:xfrm rot="16200000" flipH="1">
          <a:off x="5344319" y="77962918"/>
          <a:ext cx="808831" cy="87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276226</xdr:colOff>
      <xdr:row>96</xdr:row>
      <xdr:rowOff>38895</xdr:rowOff>
    </xdr:from>
    <xdr:to>
      <xdr:col>9</xdr:col>
      <xdr:colOff>286547</xdr:colOff>
      <xdr:row>100</xdr:row>
      <xdr:rowOff>9528</xdr:rowOff>
    </xdr:to>
    <xdr:cxnSp macro="">
      <xdr:nvCxnSpPr>
        <xdr:cNvPr id="806" name="Straight Arrow Connector 805"/>
        <xdr:cNvCxnSpPr/>
      </xdr:nvCxnSpPr>
      <xdr:spPr bwMode="auto">
        <a:xfrm rot="5400000">
          <a:off x="5458620" y="79200376"/>
          <a:ext cx="618333" cy="103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599281</xdr:colOff>
      <xdr:row>100</xdr:row>
      <xdr:rowOff>10319</xdr:rowOff>
    </xdr:from>
    <xdr:to>
      <xdr:col>0</xdr:col>
      <xdr:colOff>600869</xdr:colOff>
      <xdr:row>103</xdr:row>
      <xdr:rowOff>794</xdr:rowOff>
    </xdr:to>
    <xdr:cxnSp macro="">
      <xdr:nvCxnSpPr>
        <xdr:cNvPr id="808" name="Straight Arrow Connector 807"/>
        <xdr:cNvCxnSpPr/>
      </xdr:nvCxnSpPr>
      <xdr:spPr bwMode="auto">
        <a:xfrm rot="5400000">
          <a:off x="361950" y="79752825"/>
          <a:ext cx="4762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9</xdr:col>
      <xdr:colOff>284956</xdr:colOff>
      <xdr:row>100</xdr:row>
      <xdr:rowOff>10319</xdr:rowOff>
    </xdr:from>
    <xdr:to>
      <xdr:col>9</xdr:col>
      <xdr:colOff>286544</xdr:colOff>
      <xdr:row>103</xdr:row>
      <xdr:rowOff>19844</xdr:rowOff>
    </xdr:to>
    <xdr:cxnSp macro="">
      <xdr:nvCxnSpPr>
        <xdr:cNvPr id="809" name="Straight Arrow Connector 808"/>
        <xdr:cNvCxnSpPr/>
      </xdr:nvCxnSpPr>
      <xdr:spPr bwMode="auto">
        <a:xfrm rot="5400000">
          <a:off x="5524500" y="79762350"/>
          <a:ext cx="49530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171451</xdr:colOff>
      <xdr:row>72</xdr:row>
      <xdr:rowOff>9526</xdr:rowOff>
    </xdr:from>
    <xdr:to>
      <xdr:col>0</xdr:col>
      <xdr:colOff>180978</xdr:colOff>
      <xdr:row>75</xdr:row>
      <xdr:rowOff>19052</xdr:rowOff>
    </xdr:to>
    <xdr:cxnSp macro="">
      <xdr:nvCxnSpPr>
        <xdr:cNvPr id="577" name="Straight Connector 576"/>
        <xdr:cNvCxnSpPr/>
      </xdr:nvCxnSpPr>
      <xdr:spPr bwMode="auto">
        <a:xfrm rot="16200000" flipH="1">
          <a:off x="-71436" y="6757988"/>
          <a:ext cx="495301" cy="952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142083</xdr:colOff>
      <xdr:row>100</xdr:row>
      <xdr:rowOff>9528</xdr:rowOff>
    </xdr:from>
    <xdr:to>
      <xdr:col>0</xdr:col>
      <xdr:colOff>152401</xdr:colOff>
      <xdr:row>103</xdr:row>
      <xdr:rowOff>29368</xdr:rowOff>
    </xdr:to>
    <xdr:cxnSp macro="">
      <xdr:nvCxnSpPr>
        <xdr:cNvPr id="578" name="Straight Connector 577"/>
        <xdr:cNvCxnSpPr/>
      </xdr:nvCxnSpPr>
      <xdr:spPr bwMode="auto">
        <a:xfrm rot="5400000">
          <a:off x="-105566" y="11296652"/>
          <a:ext cx="505615" cy="1031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247651</xdr:colOff>
      <xdr:row>396</xdr:row>
      <xdr:rowOff>57150</xdr:rowOff>
    </xdr:from>
    <xdr:to>
      <xdr:col>5</xdr:col>
      <xdr:colOff>400050</xdr:colOff>
      <xdr:row>402</xdr:row>
      <xdr:rowOff>66675</xdr:rowOff>
    </xdr:to>
    <xdr:sp macro="" textlink="">
      <xdr:nvSpPr>
        <xdr:cNvPr id="586" name="Freeform 585"/>
        <xdr:cNvSpPr/>
      </xdr:nvSpPr>
      <xdr:spPr bwMode="auto">
        <a:xfrm>
          <a:off x="3295651" y="66217800"/>
          <a:ext cx="152399" cy="981075"/>
        </a:xfrm>
        <a:custGeom>
          <a:avLst/>
          <a:gdLst>
            <a:gd name="connsiteX0" fmla="*/ 114300 w 180975"/>
            <a:gd name="connsiteY0" fmla="*/ 1428750 h 1428750"/>
            <a:gd name="connsiteX1" fmla="*/ 104775 w 180975"/>
            <a:gd name="connsiteY1" fmla="*/ 1390650 h 1428750"/>
            <a:gd name="connsiteX2" fmla="*/ 85725 w 180975"/>
            <a:gd name="connsiteY2" fmla="*/ 1276350 h 1428750"/>
            <a:gd name="connsiteX3" fmla="*/ 95250 w 180975"/>
            <a:gd name="connsiteY3" fmla="*/ 1066800 h 1428750"/>
            <a:gd name="connsiteX4" fmla="*/ 171450 w 180975"/>
            <a:gd name="connsiteY4" fmla="*/ 1057275 h 1428750"/>
            <a:gd name="connsiteX5" fmla="*/ 180975 w 180975"/>
            <a:gd name="connsiteY5" fmla="*/ 1028700 h 1428750"/>
            <a:gd name="connsiteX6" fmla="*/ 133350 w 180975"/>
            <a:gd name="connsiteY6" fmla="*/ 971550 h 1428750"/>
            <a:gd name="connsiteX7" fmla="*/ 57150 w 180975"/>
            <a:gd name="connsiteY7" fmla="*/ 952500 h 1428750"/>
            <a:gd name="connsiteX8" fmla="*/ 0 w 180975"/>
            <a:gd name="connsiteY8" fmla="*/ 933450 h 1428750"/>
            <a:gd name="connsiteX9" fmla="*/ 9525 w 180975"/>
            <a:gd name="connsiteY9" fmla="*/ 904875 h 1428750"/>
            <a:gd name="connsiteX10" fmla="*/ 38100 w 180975"/>
            <a:gd name="connsiteY10" fmla="*/ 885825 h 1428750"/>
            <a:gd name="connsiteX11" fmla="*/ 104775 w 180975"/>
            <a:gd name="connsiteY11" fmla="*/ 847725 h 1428750"/>
            <a:gd name="connsiteX12" fmla="*/ 133350 w 180975"/>
            <a:gd name="connsiteY12" fmla="*/ 790575 h 1428750"/>
            <a:gd name="connsiteX13" fmla="*/ 142875 w 180975"/>
            <a:gd name="connsiteY13" fmla="*/ 762000 h 1428750"/>
            <a:gd name="connsiteX14" fmla="*/ 152400 w 180975"/>
            <a:gd name="connsiteY14" fmla="*/ 590550 h 1428750"/>
            <a:gd name="connsiteX15" fmla="*/ 161925 w 180975"/>
            <a:gd name="connsiteY15" fmla="*/ 57150 h 1428750"/>
            <a:gd name="connsiteX16" fmla="*/ 171450 w 180975"/>
            <a:gd name="connsiteY16" fmla="*/ 28575 h 1428750"/>
            <a:gd name="connsiteX17" fmla="*/ 171450 w 180975"/>
            <a:gd name="connsiteY17" fmla="*/ 0 h 14287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180975" h="1428750">
              <a:moveTo>
                <a:pt x="114300" y="1428750"/>
              </a:moveTo>
              <a:cubicBezTo>
                <a:pt x="111125" y="1416050"/>
                <a:pt x="106766" y="1403589"/>
                <a:pt x="104775" y="1390650"/>
              </a:cubicBezTo>
              <a:cubicBezTo>
                <a:pt x="86546" y="1272160"/>
                <a:pt x="106994" y="1340158"/>
                <a:pt x="85725" y="1276350"/>
              </a:cubicBezTo>
              <a:cubicBezTo>
                <a:pt x="88900" y="1206500"/>
                <a:pt x="69770" y="1131914"/>
                <a:pt x="95250" y="1066800"/>
              </a:cubicBezTo>
              <a:cubicBezTo>
                <a:pt x="104578" y="1042962"/>
                <a:pt x="148059" y="1067671"/>
                <a:pt x="171450" y="1057275"/>
              </a:cubicBezTo>
              <a:cubicBezTo>
                <a:pt x="180625" y="1053197"/>
                <a:pt x="177800" y="1038225"/>
                <a:pt x="180975" y="1028700"/>
              </a:cubicBezTo>
              <a:cubicBezTo>
                <a:pt x="166918" y="1007615"/>
                <a:pt x="155352" y="986218"/>
                <a:pt x="133350" y="971550"/>
              </a:cubicBezTo>
              <a:cubicBezTo>
                <a:pt x="120011" y="962657"/>
                <a:pt x="65288" y="954719"/>
                <a:pt x="57150" y="952500"/>
              </a:cubicBezTo>
              <a:cubicBezTo>
                <a:pt x="37777" y="947216"/>
                <a:pt x="0" y="933450"/>
                <a:pt x="0" y="933450"/>
              </a:cubicBezTo>
              <a:cubicBezTo>
                <a:pt x="3175" y="923925"/>
                <a:pt x="3253" y="912715"/>
                <a:pt x="9525" y="904875"/>
              </a:cubicBezTo>
              <a:cubicBezTo>
                <a:pt x="16676" y="895936"/>
                <a:pt x="28161" y="891505"/>
                <a:pt x="38100" y="885825"/>
              </a:cubicBezTo>
              <a:cubicBezTo>
                <a:pt x="122693" y="837486"/>
                <a:pt x="35157" y="894137"/>
                <a:pt x="104775" y="847725"/>
              </a:cubicBezTo>
              <a:cubicBezTo>
                <a:pt x="128716" y="775901"/>
                <a:pt x="96421" y="864433"/>
                <a:pt x="133350" y="790575"/>
              </a:cubicBezTo>
              <a:cubicBezTo>
                <a:pt x="137840" y="781595"/>
                <a:pt x="139700" y="771525"/>
                <a:pt x="142875" y="762000"/>
              </a:cubicBezTo>
              <a:cubicBezTo>
                <a:pt x="146050" y="704850"/>
                <a:pt x="150854" y="647767"/>
                <a:pt x="152400" y="590550"/>
              </a:cubicBezTo>
              <a:cubicBezTo>
                <a:pt x="157204" y="412787"/>
                <a:pt x="155900" y="234876"/>
                <a:pt x="161925" y="57150"/>
              </a:cubicBezTo>
              <a:cubicBezTo>
                <a:pt x="162265" y="47116"/>
                <a:pt x="169799" y="38479"/>
                <a:pt x="171450" y="28575"/>
              </a:cubicBezTo>
              <a:cubicBezTo>
                <a:pt x="173016" y="19180"/>
                <a:pt x="171450" y="9525"/>
                <a:pt x="171450" y="0"/>
              </a:cubicBezTo>
            </a:path>
          </a:pathLst>
        </a:cu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608810</xdr:colOff>
      <xdr:row>287</xdr:row>
      <xdr:rowOff>9529</xdr:rowOff>
    </xdr:from>
    <xdr:to>
      <xdr:col>2</xdr:col>
      <xdr:colOff>3</xdr:colOff>
      <xdr:row>291</xdr:row>
      <xdr:rowOff>19845</xdr:rowOff>
    </xdr:to>
    <xdr:cxnSp macro="">
      <xdr:nvCxnSpPr>
        <xdr:cNvPr id="588" name="Straight Connector 587"/>
        <xdr:cNvCxnSpPr/>
      </xdr:nvCxnSpPr>
      <xdr:spPr bwMode="auto">
        <a:xfrm rot="5400000">
          <a:off x="6971511" y="8953503"/>
          <a:ext cx="686591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600075</xdr:colOff>
      <xdr:row>287</xdr:row>
      <xdr:rowOff>9525</xdr:rowOff>
    </xdr:from>
    <xdr:to>
      <xdr:col>5</xdr:col>
      <xdr:colOff>9525</xdr:colOff>
      <xdr:row>287</xdr:row>
      <xdr:rowOff>19050</xdr:rowOff>
    </xdr:to>
    <xdr:cxnSp macro="">
      <xdr:nvCxnSpPr>
        <xdr:cNvPr id="589" name="Straight Connector 588"/>
        <xdr:cNvCxnSpPr/>
      </xdr:nvCxnSpPr>
      <xdr:spPr bwMode="auto">
        <a:xfrm>
          <a:off x="7305675" y="8610600"/>
          <a:ext cx="1847850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19050</xdr:colOff>
      <xdr:row>291</xdr:row>
      <xdr:rowOff>9525</xdr:rowOff>
    </xdr:from>
    <xdr:to>
      <xdr:col>3</xdr:col>
      <xdr:colOff>352425</xdr:colOff>
      <xdr:row>291</xdr:row>
      <xdr:rowOff>28578</xdr:rowOff>
    </xdr:to>
    <xdr:cxnSp macro="">
      <xdr:nvCxnSpPr>
        <xdr:cNvPr id="590" name="Straight Connector 589"/>
        <xdr:cNvCxnSpPr/>
      </xdr:nvCxnSpPr>
      <xdr:spPr bwMode="auto">
        <a:xfrm>
          <a:off x="7334250" y="9286875"/>
          <a:ext cx="942975" cy="1905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333375</xdr:colOff>
      <xdr:row>289</xdr:row>
      <xdr:rowOff>9525</xdr:rowOff>
    </xdr:from>
    <xdr:to>
      <xdr:col>4</xdr:col>
      <xdr:colOff>190500</xdr:colOff>
      <xdr:row>291</xdr:row>
      <xdr:rowOff>38100</xdr:rowOff>
    </xdr:to>
    <xdr:cxnSp macro="">
      <xdr:nvCxnSpPr>
        <xdr:cNvPr id="591" name="Straight Connector 590"/>
        <xdr:cNvCxnSpPr/>
      </xdr:nvCxnSpPr>
      <xdr:spPr bwMode="auto">
        <a:xfrm flipV="1">
          <a:off x="8258175" y="8934450"/>
          <a:ext cx="466725" cy="381000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208760</xdr:colOff>
      <xdr:row>284</xdr:row>
      <xdr:rowOff>19055</xdr:rowOff>
    </xdr:from>
    <xdr:to>
      <xdr:col>3</xdr:col>
      <xdr:colOff>209553</xdr:colOff>
      <xdr:row>287</xdr:row>
      <xdr:rowOff>19846</xdr:rowOff>
    </xdr:to>
    <xdr:cxnSp macro="">
      <xdr:nvCxnSpPr>
        <xdr:cNvPr id="592" name="Straight Connector 591"/>
        <xdr:cNvCxnSpPr/>
      </xdr:nvCxnSpPr>
      <xdr:spPr bwMode="auto">
        <a:xfrm rot="5400000">
          <a:off x="7809711" y="8296279"/>
          <a:ext cx="648491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532610</xdr:colOff>
      <xdr:row>289</xdr:row>
      <xdr:rowOff>66682</xdr:rowOff>
    </xdr:from>
    <xdr:to>
      <xdr:col>2</xdr:col>
      <xdr:colOff>533403</xdr:colOff>
      <xdr:row>293</xdr:row>
      <xdr:rowOff>48423</xdr:rowOff>
    </xdr:to>
    <xdr:cxnSp macro="">
      <xdr:nvCxnSpPr>
        <xdr:cNvPr id="593" name="Straight Connector 592"/>
        <xdr:cNvCxnSpPr/>
      </xdr:nvCxnSpPr>
      <xdr:spPr bwMode="auto">
        <a:xfrm rot="5400000">
          <a:off x="7490624" y="9348793"/>
          <a:ext cx="715166" cy="793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171450</xdr:colOff>
      <xdr:row>289</xdr:row>
      <xdr:rowOff>19050</xdr:rowOff>
    </xdr:from>
    <xdr:to>
      <xdr:col>4</xdr:col>
      <xdr:colOff>600075</xdr:colOff>
      <xdr:row>289</xdr:row>
      <xdr:rowOff>20638</xdr:rowOff>
    </xdr:to>
    <xdr:cxnSp macro="">
      <xdr:nvCxnSpPr>
        <xdr:cNvPr id="594" name="Straight Connector 593"/>
        <xdr:cNvCxnSpPr/>
      </xdr:nvCxnSpPr>
      <xdr:spPr bwMode="auto">
        <a:xfrm>
          <a:off x="8705850" y="8943975"/>
          <a:ext cx="428625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266704</xdr:colOff>
      <xdr:row>292</xdr:row>
      <xdr:rowOff>161932</xdr:rowOff>
    </xdr:from>
    <xdr:to>
      <xdr:col>3</xdr:col>
      <xdr:colOff>276225</xdr:colOff>
      <xdr:row>295</xdr:row>
      <xdr:rowOff>28577</xdr:rowOff>
    </xdr:to>
    <xdr:cxnSp macro="">
      <xdr:nvCxnSpPr>
        <xdr:cNvPr id="595" name="Straight Connector 594"/>
        <xdr:cNvCxnSpPr/>
      </xdr:nvCxnSpPr>
      <xdr:spPr bwMode="auto">
        <a:xfrm rot="16200000" flipH="1">
          <a:off x="7977192" y="9844094"/>
          <a:ext cx="438145" cy="9521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91361</xdr:colOff>
      <xdr:row>287</xdr:row>
      <xdr:rowOff>11858</xdr:rowOff>
    </xdr:from>
    <xdr:to>
      <xdr:col>1</xdr:col>
      <xdr:colOff>443786</xdr:colOff>
      <xdr:row>287</xdr:row>
      <xdr:rowOff>11858</xdr:rowOff>
    </xdr:to>
    <xdr:sp macro="" textlink="">
      <xdr:nvSpPr>
        <xdr:cNvPr id="596" name="Line 39"/>
        <xdr:cNvSpPr>
          <a:spLocks noChangeShapeType="1"/>
        </xdr:cNvSpPr>
      </xdr:nvSpPr>
      <xdr:spPr bwMode="auto">
        <a:xfrm>
          <a:off x="6796961" y="8612933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53261</xdr:colOff>
      <xdr:row>288</xdr:row>
      <xdr:rowOff>183308</xdr:rowOff>
    </xdr:from>
    <xdr:to>
      <xdr:col>1</xdr:col>
      <xdr:colOff>405686</xdr:colOff>
      <xdr:row>288</xdr:row>
      <xdr:rowOff>183308</xdr:rowOff>
    </xdr:to>
    <xdr:sp macro="" textlink="">
      <xdr:nvSpPr>
        <xdr:cNvPr id="597" name="Line 39"/>
        <xdr:cNvSpPr>
          <a:spLocks noChangeShapeType="1"/>
        </xdr:cNvSpPr>
      </xdr:nvSpPr>
      <xdr:spPr bwMode="auto">
        <a:xfrm>
          <a:off x="6758861" y="8927258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81836</xdr:colOff>
      <xdr:row>291</xdr:row>
      <xdr:rowOff>11858</xdr:rowOff>
    </xdr:from>
    <xdr:to>
      <xdr:col>1</xdr:col>
      <xdr:colOff>434261</xdr:colOff>
      <xdr:row>291</xdr:row>
      <xdr:rowOff>11858</xdr:rowOff>
    </xdr:to>
    <xdr:sp macro="" textlink="">
      <xdr:nvSpPr>
        <xdr:cNvPr id="598" name="Line 39"/>
        <xdr:cNvSpPr>
          <a:spLocks noChangeShapeType="1"/>
        </xdr:cNvSpPr>
      </xdr:nvSpPr>
      <xdr:spPr bwMode="auto">
        <a:xfrm>
          <a:off x="6787436" y="9289208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209548</xdr:colOff>
      <xdr:row>290</xdr:row>
      <xdr:rowOff>114300</xdr:rowOff>
    </xdr:from>
    <xdr:to>
      <xdr:col>4</xdr:col>
      <xdr:colOff>219077</xdr:colOff>
      <xdr:row>297</xdr:row>
      <xdr:rowOff>3</xdr:rowOff>
    </xdr:to>
    <xdr:cxnSp macro="">
      <xdr:nvCxnSpPr>
        <xdr:cNvPr id="599" name="Straight Connector 598"/>
        <xdr:cNvCxnSpPr/>
      </xdr:nvCxnSpPr>
      <xdr:spPr bwMode="auto">
        <a:xfrm rot="16200000" flipH="1">
          <a:off x="8139111" y="9805987"/>
          <a:ext cx="1219203" cy="9529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266707</xdr:colOff>
      <xdr:row>293</xdr:row>
      <xdr:rowOff>180974</xdr:rowOff>
    </xdr:from>
    <xdr:to>
      <xdr:col>4</xdr:col>
      <xdr:colOff>219076</xdr:colOff>
      <xdr:row>294</xdr:row>
      <xdr:rowOff>0</xdr:rowOff>
    </xdr:to>
    <xdr:cxnSp macro="">
      <xdr:nvCxnSpPr>
        <xdr:cNvPr id="600" name="Straight Connector 599"/>
        <xdr:cNvCxnSpPr/>
      </xdr:nvCxnSpPr>
      <xdr:spPr bwMode="auto">
        <a:xfrm rot="10800000">
          <a:off x="8191507" y="9839324"/>
          <a:ext cx="561969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</xdr:col>
      <xdr:colOff>1</xdr:colOff>
      <xdr:row>293</xdr:row>
      <xdr:rowOff>190498</xdr:rowOff>
    </xdr:from>
    <xdr:to>
      <xdr:col>3</xdr:col>
      <xdr:colOff>295276</xdr:colOff>
      <xdr:row>293</xdr:row>
      <xdr:rowOff>190499</xdr:rowOff>
    </xdr:to>
    <xdr:cxnSp macro="">
      <xdr:nvCxnSpPr>
        <xdr:cNvPr id="601" name="Straight Connector 600"/>
        <xdr:cNvCxnSpPr/>
      </xdr:nvCxnSpPr>
      <xdr:spPr bwMode="auto">
        <a:xfrm rot="10800000" flipV="1">
          <a:off x="7315201" y="9848848"/>
          <a:ext cx="904875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590550</xdr:colOff>
      <xdr:row>296</xdr:row>
      <xdr:rowOff>9524</xdr:rowOff>
    </xdr:from>
    <xdr:to>
      <xdr:col>4</xdr:col>
      <xdr:colOff>228600</xdr:colOff>
      <xdr:row>296</xdr:row>
      <xdr:rowOff>19049</xdr:rowOff>
    </xdr:to>
    <xdr:cxnSp macro="">
      <xdr:nvCxnSpPr>
        <xdr:cNvPr id="602" name="Straight Connector 601"/>
        <xdr:cNvCxnSpPr/>
      </xdr:nvCxnSpPr>
      <xdr:spPr bwMode="auto">
        <a:xfrm rot="10800000" flipV="1">
          <a:off x="7296150" y="10239374"/>
          <a:ext cx="14668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600074</xdr:colOff>
      <xdr:row>291</xdr:row>
      <xdr:rowOff>57152</xdr:rowOff>
    </xdr:from>
    <xdr:to>
      <xdr:col>2</xdr:col>
      <xdr:colOff>3</xdr:colOff>
      <xdr:row>297</xdr:row>
      <xdr:rowOff>38104</xdr:rowOff>
    </xdr:to>
    <xdr:cxnSp macro="">
      <xdr:nvCxnSpPr>
        <xdr:cNvPr id="603" name="Straight Connector 602"/>
        <xdr:cNvCxnSpPr/>
      </xdr:nvCxnSpPr>
      <xdr:spPr bwMode="auto">
        <a:xfrm rot="16200000" flipH="1">
          <a:off x="6748463" y="9891713"/>
          <a:ext cx="1123952" cy="9529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200025</xdr:colOff>
      <xdr:row>284</xdr:row>
      <xdr:rowOff>9525</xdr:rowOff>
    </xdr:from>
    <xdr:to>
      <xdr:col>4</xdr:col>
      <xdr:colOff>600075</xdr:colOff>
      <xdr:row>284</xdr:row>
      <xdr:rowOff>19050</xdr:rowOff>
    </xdr:to>
    <xdr:cxnSp macro="">
      <xdr:nvCxnSpPr>
        <xdr:cNvPr id="604" name="Straight Connector 603"/>
        <xdr:cNvCxnSpPr/>
      </xdr:nvCxnSpPr>
      <xdr:spPr bwMode="auto">
        <a:xfrm>
          <a:off x="8124825" y="7962900"/>
          <a:ext cx="1009650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322100</xdr:colOff>
      <xdr:row>288</xdr:row>
      <xdr:rowOff>153197</xdr:rowOff>
    </xdr:from>
    <xdr:to>
      <xdr:col>1</xdr:col>
      <xdr:colOff>324645</xdr:colOff>
      <xdr:row>290</xdr:row>
      <xdr:rowOff>161928</xdr:rowOff>
    </xdr:to>
    <xdr:cxnSp macro="">
      <xdr:nvCxnSpPr>
        <xdr:cNvPr id="605" name="Straight Arrow Connector 604"/>
        <xdr:cNvCxnSpPr/>
      </xdr:nvCxnSpPr>
      <xdr:spPr bwMode="auto">
        <a:xfrm rot="5400000">
          <a:off x="6862682" y="9081215"/>
          <a:ext cx="332581" cy="25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1</xdr:col>
      <xdr:colOff>331625</xdr:colOff>
      <xdr:row>287</xdr:row>
      <xdr:rowOff>799</xdr:rowOff>
    </xdr:from>
    <xdr:to>
      <xdr:col>1</xdr:col>
      <xdr:colOff>334170</xdr:colOff>
      <xdr:row>289</xdr:row>
      <xdr:rowOff>5</xdr:rowOff>
    </xdr:to>
    <xdr:cxnSp macro="">
      <xdr:nvCxnSpPr>
        <xdr:cNvPr id="606" name="Straight Arrow Connector 605"/>
        <xdr:cNvCxnSpPr/>
      </xdr:nvCxnSpPr>
      <xdr:spPr bwMode="auto">
        <a:xfrm rot="5400000">
          <a:off x="6876970" y="8762129"/>
          <a:ext cx="323056" cy="25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4</xdr:col>
      <xdr:colOff>460223</xdr:colOff>
      <xdr:row>284</xdr:row>
      <xdr:rowOff>0</xdr:rowOff>
    </xdr:from>
    <xdr:to>
      <xdr:col>5</xdr:col>
      <xdr:colOff>171450</xdr:colOff>
      <xdr:row>291</xdr:row>
      <xdr:rowOff>123825</xdr:rowOff>
    </xdr:to>
    <xdr:sp macro="" textlink="">
      <xdr:nvSpPr>
        <xdr:cNvPr id="607" name="Freeform 606"/>
        <xdr:cNvSpPr/>
      </xdr:nvSpPr>
      <xdr:spPr bwMode="auto">
        <a:xfrm>
          <a:off x="8994623" y="7733846"/>
          <a:ext cx="320827" cy="1667329"/>
        </a:xfrm>
        <a:custGeom>
          <a:avLst/>
          <a:gdLst>
            <a:gd name="connsiteX0" fmla="*/ 158902 w 320827"/>
            <a:gd name="connsiteY0" fmla="*/ 454 h 1667329"/>
            <a:gd name="connsiteX1" fmla="*/ 130327 w 320827"/>
            <a:gd name="connsiteY1" fmla="*/ 9979 h 1667329"/>
            <a:gd name="connsiteX2" fmla="*/ 158902 w 320827"/>
            <a:gd name="connsiteY2" fmla="*/ 200479 h 1667329"/>
            <a:gd name="connsiteX3" fmla="*/ 168427 w 320827"/>
            <a:gd name="connsiteY3" fmla="*/ 419554 h 1667329"/>
            <a:gd name="connsiteX4" fmla="*/ 158902 w 320827"/>
            <a:gd name="connsiteY4" fmla="*/ 610054 h 1667329"/>
            <a:gd name="connsiteX5" fmla="*/ 139852 w 320827"/>
            <a:gd name="connsiteY5" fmla="*/ 638629 h 1667329"/>
            <a:gd name="connsiteX6" fmla="*/ 111277 w 320827"/>
            <a:gd name="connsiteY6" fmla="*/ 648154 h 1667329"/>
            <a:gd name="connsiteX7" fmla="*/ 82702 w 320827"/>
            <a:gd name="connsiteY7" fmla="*/ 667204 h 1667329"/>
            <a:gd name="connsiteX8" fmla="*/ 16027 w 320827"/>
            <a:gd name="connsiteY8" fmla="*/ 714829 h 1667329"/>
            <a:gd name="connsiteX9" fmla="*/ 25552 w 320827"/>
            <a:gd name="connsiteY9" fmla="*/ 752929 h 1667329"/>
            <a:gd name="connsiteX10" fmla="*/ 63652 w 320827"/>
            <a:gd name="connsiteY10" fmla="*/ 771979 h 1667329"/>
            <a:gd name="connsiteX11" fmla="*/ 235102 w 320827"/>
            <a:gd name="connsiteY11" fmla="*/ 781504 h 1667329"/>
            <a:gd name="connsiteX12" fmla="*/ 320827 w 320827"/>
            <a:gd name="connsiteY12" fmla="*/ 791029 h 1667329"/>
            <a:gd name="connsiteX13" fmla="*/ 292252 w 320827"/>
            <a:gd name="connsiteY13" fmla="*/ 810079 h 1667329"/>
            <a:gd name="connsiteX14" fmla="*/ 263677 w 320827"/>
            <a:gd name="connsiteY14" fmla="*/ 819604 h 1667329"/>
            <a:gd name="connsiteX15" fmla="*/ 254152 w 320827"/>
            <a:gd name="connsiteY15" fmla="*/ 848179 h 1667329"/>
            <a:gd name="connsiteX16" fmla="*/ 225577 w 320827"/>
            <a:gd name="connsiteY16" fmla="*/ 867229 h 1667329"/>
            <a:gd name="connsiteX17" fmla="*/ 206527 w 320827"/>
            <a:gd name="connsiteY17" fmla="*/ 895804 h 1667329"/>
            <a:gd name="connsiteX18" fmla="*/ 197002 w 320827"/>
            <a:gd name="connsiteY18" fmla="*/ 924379 h 1667329"/>
            <a:gd name="connsiteX19" fmla="*/ 168427 w 320827"/>
            <a:gd name="connsiteY19" fmla="*/ 943429 h 1667329"/>
            <a:gd name="connsiteX20" fmla="*/ 92227 w 320827"/>
            <a:gd name="connsiteY20" fmla="*/ 1010104 h 1667329"/>
            <a:gd name="connsiteX21" fmla="*/ 63652 w 320827"/>
            <a:gd name="connsiteY21" fmla="*/ 1029154 h 1667329"/>
            <a:gd name="connsiteX22" fmla="*/ 44602 w 320827"/>
            <a:gd name="connsiteY22" fmla="*/ 1057729 h 1667329"/>
            <a:gd name="connsiteX23" fmla="*/ 63652 w 320827"/>
            <a:gd name="connsiteY23" fmla="*/ 1086304 h 1667329"/>
            <a:gd name="connsiteX24" fmla="*/ 130327 w 320827"/>
            <a:gd name="connsiteY24" fmla="*/ 1105354 h 1667329"/>
            <a:gd name="connsiteX25" fmla="*/ 139852 w 320827"/>
            <a:gd name="connsiteY25" fmla="*/ 1133929 h 1667329"/>
            <a:gd name="connsiteX26" fmla="*/ 158902 w 320827"/>
            <a:gd name="connsiteY26" fmla="*/ 1172029 h 1667329"/>
            <a:gd name="connsiteX27" fmla="*/ 168427 w 320827"/>
            <a:gd name="connsiteY27" fmla="*/ 1238704 h 1667329"/>
            <a:gd name="connsiteX28" fmla="*/ 187477 w 320827"/>
            <a:gd name="connsiteY28" fmla="*/ 1667329 h 16673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320827" h="1667329">
              <a:moveTo>
                <a:pt x="158902" y="454"/>
              </a:moveTo>
              <a:cubicBezTo>
                <a:pt x="149377" y="3629"/>
                <a:pt x="131436" y="0"/>
                <a:pt x="130327" y="9979"/>
              </a:cubicBezTo>
              <a:cubicBezTo>
                <a:pt x="115274" y="145456"/>
                <a:pt x="115206" y="134936"/>
                <a:pt x="158902" y="200479"/>
              </a:cubicBezTo>
              <a:cubicBezTo>
                <a:pt x="162077" y="273504"/>
                <a:pt x="168427" y="346460"/>
                <a:pt x="168427" y="419554"/>
              </a:cubicBezTo>
              <a:cubicBezTo>
                <a:pt x="168427" y="483133"/>
                <a:pt x="167125" y="547009"/>
                <a:pt x="158902" y="610054"/>
              </a:cubicBezTo>
              <a:cubicBezTo>
                <a:pt x="157421" y="621405"/>
                <a:pt x="148791" y="631478"/>
                <a:pt x="139852" y="638629"/>
              </a:cubicBezTo>
              <a:cubicBezTo>
                <a:pt x="132012" y="644901"/>
                <a:pt x="120802" y="644979"/>
                <a:pt x="111277" y="648154"/>
              </a:cubicBezTo>
              <a:cubicBezTo>
                <a:pt x="101752" y="654504"/>
                <a:pt x="92017" y="660550"/>
                <a:pt x="82702" y="667204"/>
              </a:cubicBezTo>
              <a:cubicBezTo>
                <a:pt x="0" y="726277"/>
                <a:pt x="83370" y="669934"/>
                <a:pt x="16027" y="714829"/>
              </a:cubicBezTo>
              <a:cubicBezTo>
                <a:pt x="19202" y="727529"/>
                <a:pt x="17171" y="742872"/>
                <a:pt x="25552" y="752929"/>
              </a:cubicBezTo>
              <a:cubicBezTo>
                <a:pt x="34642" y="763837"/>
                <a:pt x="49583" y="770061"/>
                <a:pt x="63652" y="771979"/>
              </a:cubicBezTo>
              <a:cubicBezTo>
                <a:pt x="120365" y="779713"/>
                <a:pt x="178020" y="777276"/>
                <a:pt x="235102" y="781504"/>
              </a:cubicBezTo>
              <a:cubicBezTo>
                <a:pt x="263774" y="783628"/>
                <a:pt x="292252" y="787854"/>
                <a:pt x="320827" y="791029"/>
              </a:cubicBezTo>
              <a:cubicBezTo>
                <a:pt x="311302" y="797379"/>
                <a:pt x="302491" y="804959"/>
                <a:pt x="292252" y="810079"/>
              </a:cubicBezTo>
              <a:cubicBezTo>
                <a:pt x="283272" y="814569"/>
                <a:pt x="270777" y="812504"/>
                <a:pt x="263677" y="819604"/>
              </a:cubicBezTo>
              <a:cubicBezTo>
                <a:pt x="256577" y="826704"/>
                <a:pt x="260424" y="840339"/>
                <a:pt x="254152" y="848179"/>
              </a:cubicBezTo>
              <a:cubicBezTo>
                <a:pt x="247001" y="857118"/>
                <a:pt x="235102" y="860879"/>
                <a:pt x="225577" y="867229"/>
              </a:cubicBezTo>
              <a:cubicBezTo>
                <a:pt x="219227" y="876754"/>
                <a:pt x="211647" y="885565"/>
                <a:pt x="206527" y="895804"/>
              </a:cubicBezTo>
              <a:cubicBezTo>
                <a:pt x="202037" y="904784"/>
                <a:pt x="203274" y="916539"/>
                <a:pt x="197002" y="924379"/>
              </a:cubicBezTo>
              <a:cubicBezTo>
                <a:pt x="189851" y="933318"/>
                <a:pt x="177952" y="937079"/>
                <a:pt x="168427" y="943429"/>
              </a:cubicBezTo>
              <a:cubicBezTo>
                <a:pt x="136677" y="991054"/>
                <a:pt x="158902" y="965654"/>
                <a:pt x="92227" y="1010104"/>
              </a:cubicBezTo>
              <a:lnTo>
                <a:pt x="63652" y="1029154"/>
              </a:lnTo>
              <a:cubicBezTo>
                <a:pt x="57302" y="1038679"/>
                <a:pt x="44602" y="1046281"/>
                <a:pt x="44602" y="1057729"/>
              </a:cubicBezTo>
              <a:cubicBezTo>
                <a:pt x="44602" y="1069177"/>
                <a:pt x="54713" y="1079153"/>
                <a:pt x="63652" y="1086304"/>
              </a:cubicBezTo>
              <a:cubicBezTo>
                <a:pt x="69863" y="1091273"/>
                <a:pt x="127838" y="1104732"/>
                <a:pt x="130327" y="1105354"/>
              </a:cubicBezTo>
              <a:cubicBezTo>
                <a:pt x="133502" y="1114879"/>
                <a:pt x="135897" y="1124701"/>
                <a:pt x="139852" y="1133929"/>
              </a:cubicBezTo>
              <a:cubicBezTo>
                <a:pt x="145445" y="1146980"/>
                <a:pt x="155166" y="1158330"/>
                <a:pt x="158902" y="1172029"/>
              </a:cubicBezTo>
              <a:cubicBezTo>
                <a:pt x="164809" y="1193689"/>
                <a:pt x="164926" y="1216528"/>
                <a:pt x="168427" y="1238704"/>
              </a:cubicBezTo>
              <a:cubicBezTo>
                <a:pt x="204702" y="1468445"/>
                <a:pt x="187477" y="1281579"/>
                <a:pt x="187477" y="1667329"/>
              </a:cubicBez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oneCellAnchor>
    <xdr:from>
      <xdr:col>0</xdr:col>
      <xdr:colOff>85725</xdr:colOff>
      <xdr:row>373</xdr:row>
      <xdr:rowOff>0</xdr:rowOff>
    </xdr:from>
    <xdr:ext cx="238125" cy="170560"/>
    <xdr:sp macro="" textlink="">
      <xdr:nvSpPr>
        <xdr:cNvPr id="614" name="Text Box 59"/>
        <xdr:cNvSpPr txBox="1">
          <a:spLocks noChangeArrowheads="1"/>
        </xdr:cNvSpPr>
      </xdr:nvSpPr>
      <xdr:spPr bwMode="auto">
        <a:xfrm>
          <a:off x="85725" y="62150625"/>
          <a:ext cx="238125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1</xdr:col>
      <xdr:colOff>0</xdr:colOff>
      <xdr:row>362</xdr:row>
      <xdr:rowOff>9524</xdr:rowOff>
    </xdr:from>
    <xdr:to>
      <xdr:col>1</xdr:col>
      <xdr:colOff>8747</xdr:colOff>
      <xdr:row>373</xdr:row>
      <xdr:rowOff>142874</xdr:rowOff>
    </xdr:to>
    <xdr:cxnSp macro="">
      <xdr:nvCxnSpPr>
        <xdr:cNvPr id="615" name="Straight Connector 614"/>
        <xdr:cNvCxnSpPr/>
      </xdr:nvCxnSpPr>
      <xdr:spPr bwMode="auto">
        <a:xfrm rot="16200000" flipH="1">
          <a:off x="-429014" y="61246138"/>
          <a:ext cx="2085975" cy="8747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29</xdr:row>
      <xdr:rowOff>9525</xdr:rowOff>
    </xdr:from>
    <xdr:to>
      <xdr:col>81</xdr:col>
      <xdr:colOff>19050</xdr:colOff>
      <xdr:row>29</xdr:row>
      <xdr:rowOff>11113</xdr:rowOff>
    </xdr:to>
    <xdr:cxnSp macro="">
      <xdr:nvCxnSpPr>
        <xdr:cNvPr id="2" name="Straight Connector 1"/>
        <xdr:cNvCxnSpPr/>
      </xdr:nvCxnSpPr>
      <xdr:spPr bwMode="auto">
        <a:xfrm>
          <a:off x="609600" y="4743450"/>
          <a:ext cx="48787050" cy="1588"/>
        </a:xfrm>
        <a:prstGeom prst="line">
          <a:avLst/>
        </a:prstGeom>
        <a:solidFill>
          <a:srgbClr val="FFFFFF"/>
        </a:solidFill>
        <a:ln w="2857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3</xdr:colOff>
      <xdr:row>29</xdr:row>
      <xdr:rowOff>9527</xdr:rowOff>
    </xdr:from>
    <xdr:to>
      <xdr:col>1</xdr:col>
      <xdr:colOff>9529</xdr:colOff>
      <xdr:row>55</xdr:row>
      <xdr:rowOff>3</xdr:rowOff>
    </xdr:to>
    <xdr:cxnSp macro="">
      <xdr:nvCxnSpPr>
        <xdr:cNvPr id="3" name="Straight Arrow Connector 2"/>
        <xdr:cNvCxnSpPr/>
      </xdr:nvCxnSpPr>
      <xdr:spPr bwMode="auto">
        <a:xfrm rot="5400000" flipH="1" flipV="1">
          <a:off x="-1485897" y="6838952"/>
          <a:ext cx="4200526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</xdr:col>
      <xdr:colOff>609599</xdr:colOff>
      <xdr:row>28</xdr:row>
      <xdr:rowOff>152404</xdr:rowOff>
    </xdr:from>
    <xdr:to>
      <xdr:col>9</xdr:col>
      <xdr:colOff>6</xdr:colOff>
      <xdr:row>55</xdr:row>
      <xdr:rowOff>1</xdr:rowOff>
    </xdr:to>
    <xdr:cxnSp macro="">
      <xdr:nvCxnSpPr>
        <xdr:cNvPr id="4" name="Straight Arrow Connector 3"/>
        <xdr:cNvCxnSpPr/>
      </xdr:nvCxnSpPr>
      <xdr:spPr bwMode="auto">
        <a:xfrm rot="5400000" flipH="1" flipV="1">
          <a:off x="3376617" y="6853236"/>
          <a:ext cx="4219572" cy="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</xdr:col>
      <xdr:colOff>4</xdr:colOff>
      <xdr:row>28</xdr:row>
      <xdr:rowOff>152405</xdr:rowOff>
    </xdr:from>
    <xdr:to>
      <xdr:col>3</xdr:col>
      <xdr:colOff>9526</xdr:colOff>
      <xdr:row>55</xdr:row>
      <xdr:rowOff>3</xdr:rowOff>
    </xdr:to>
    <xdr:cxnSp macro="">
      <xdr:nvCxnSpPr>
        <xdr:cNvPr id="5" name="Straight Arrow Connector 4"/>
        <xdr:cNvCxnSpPr/>
      </xdr:nvCxnSpPr>
      <xdr:spPr bwMode="auto">
        <a:xfrm rot="5400000" flipH="1" flipV="1">
          <a:off x="-276222" y="6848481"/>
          <a:ext cx="4219573" cy="95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</xdr:col>
      <xdr:colOff>600080</xdr:colOff>
      <xdr:row>29</xdr:row>
      <xdr:rowOff>9528</xdr:rowOff>
    </xdr:from>
    <xdr:to>
      <xdr:col>5</xdr:col>
      <xdr:colOff>1</xdr:colOff>
      <xdr:row>55</xdr:row>
      <xdr:rowOff>3</xdr:rowOff>
    </xdr:to>
    <xdr:cxnSp macro="">
      <xdr:nvCxnSpPr>
        <xdr:cNvPr id="6" name="Straight Arrow Connector 5"/>
        <xdr:cNvCxnSpPr/>
      </xdr:nvCxnSpPr>
      <xdr:spPr bwMode="auto">
        <a:xfrm rot="16200000" flipV="1">
          <a:off x="942978" y="6858005"/>
          <a:ext cx="4200525" cy="952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</xdr:col>
      <xdr:colOff>4</xdr:colOff>
      <xdr:row>29</xdr:row>
      <xdr:rowOff>9528</xdr:rowOff>
    </xdr:from>
    <xdr:to>
      <xdr:col>7</xdr:col>
      <xdr:colOff>9526</xdr:colOff>
      <xdr:row>55</xdr:row>
      <xdr:rowOff>3</xdr:rowOff>
    </xdr:to>
    <xdr:cxnSp macro="">
      <xdr:nvCxnSpPr>
        <xdr:cNvPr id="7" name="Straight Arrow Connector 6"/>
        <xdr:cNvCxnSpPr/>
      </xdr:nvCxnSpPr>
      <xdr:spPr bwMode="auto">
        <a:xfrm rot="5400000" flipH="1" flipV="1">
          <a:off x="2171702" y="6858005"/>
          <a:ext cx="4200525" cy="952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0</xdr:col>
      <xdr:colOff>64767</xdr:colOff>
      <xdr:row>28</xdr:row>
      <xdr:rowOff>19050</xdr:rowOff>
    </xdr:from>
    <xdr:to>
      <xdr:col>0</xdr:col>
      <xdr:colOff>381000</xdr:colOff>
      <xdr:row>30</xdr:row>
      <xdr:rowOff>123825</xdr:rowOff>
    </xdr:to>
    <xdr:sp macro="" textlink="">
      <xdr:nvSpPr>
        <xdr:cNvPr id="8" name="Arc 7"/>
        <xdr:cNvSpPr/>
      </xdr:nvSpPr>
      <xdr:spPr bwMode="auto">
        <a:xfrm flipH="1">
          <a:off x="64767" y="80257650"/>
          <a:ext cx="316233" cy="428625"/>
        </a:xfrm>
        <a:prstGeom prst="arc">
          <a:avLst>
            <a:gd name="adj1" fmla="val 16200000"/>
            <a:gd name="adj2" fmla="val 444663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81</xdr:col>
      <xdr:colOff>66675</xdr:colOff>
      <xdr:row>27</xdr:row>
      <xdr:rowOff>152400</xdr:rowOff>
    </xdr:from>
    <xdr:to>
      <xdr:col>81</xdr:col>
      <xdr:colOff>381000</xdr:colOff>
      <xdr:row>29</xdr:row>
      <xdr:rowOff>152400</xdr:rowOff>
    </xdr:to>
    <xdr:sp macro="" textlink="">
      <xdr:nvSpPr>
        <xdr:cNvPr id="9" name="Arc 8"/>
        <xdr:cNvSpPr/>
      </xdr:nvSpPr>
      <xdr:spPr bwMode="auto">
        <a:xfrm>
          <a:off x="49444275" y="4562475"/>
          <a:ext cx="314325" cy="323850"/>
        </a:xfrm>
        <a:prstGeom prst="arc">
          <a:avLst>
            <a:gd name="adj1" fmla="val 16200000"/>
            <a:gd name="adj2" fmla="val 362767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17</xdr:col>
      <xdr:colOff>0</xdr:colOff>
      <xdr:row>28</xdr:row>
      <xdr:rowOff>152401</xdr:rowOff>
    </xdr:from>
    <xdr:to>
      <xdr:col>17</xdr:col>
      <xdr:colOff>19056</xdr:colOff>
      <xdr:row>55</xdr:row>
      <xdr:rowOff>0</xdr:rowOff>
    </xdr:to>
    <xdr:cxnSp macro="">
      <xdr:nvCxnSpPr>
        <xdr:cNvPr id="17" name="Straight Arrow Connector 16"/>
        <xdr:cNvCxnSpPr/>
      </xdr:nvCxnSpPr>
      <xdr:spPr bwMode="auto">
        <a:xfrm rot="5400000" flipH="1" flipV="1">
          <a:off x="8262941" y="6824660"/>
          <a:ext cx="4219574" cy="1905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11</xdr:col>
      <xdr:colOff>0</xdr:colOff>
      <xdr:row>28</xdr:row>
      <xdr:rowOff>152403</xdr:rowOff>
    </xdr:from>
    <xdr:to>
      <xdr:col>11</xdr:col>
      <xdr:colOff>1</xdr:colOff>
      <xdr:row>55</xdr:row>
      <xdr:rowOff>1</xdr:rowOff>
    </xdr:to>
    <xdr:cxnSp macro="">
      <xdr:nvCxnSpPr>
        <xdr:cNvPr id="18" name="Straight Arrow Connector 17"/>
        <xdr:cNvCxnSpPr/>
      </xdr:nvCxnSpPr>
      <xdr:spPr bwMode="auto">
        <a:xfrm rot="5400000" flipH="1" flipV="1">
          <a:off x="4595814" y="6834189"/>
          <a:ext cx="4219573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13</xdr:col>
      <xdr:colOff>0</xdr:colOff>
      <xdr:row>28</xdr:row>
      <xdr:rowOff>152401</xdr:rowOff>
    </xdr:from>
    <xdr:to>
      <xdr:col>13</xdr:col>
      <xdr:colOff>2</xdr:colOff>
      <xdr:row>55</xdr:row>
      <xdr:rowOff>0</xdr:rowOff>
    </xdr:to>
    <xdr:cxnSp macro="">
      <xdr:nvCxnSpPr>
        <xdr:cNvPr id="19" name="Straight Arrow Connector 18"/>
        <xdr:cNvCxnSpPr/>
      </xdr:nvCxnSpPr>
      <xdr:spPr bwMode="auto">
        <a:xfrm rot="5400000" flipH="1" flipV="1">
          <a:off x="5815014" y="6853237"/>
          <a:ext cx="4219574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15</xdr:col>
      <xdr:colOff>1</xdr:colOff>
      <xdr:row>28</xdr:row>
      <xdr:rowOff>142876</xdr:rowOff>
    </xdr:from>
    <xdr:to>
      <xdr:col>15</xdr:col>
      <xdr:colOff>3</xdr:colOff>
      <xdr:row>55</xdr:row>
      <xdr:rowOff>0</xdr:rowOff>
    </xdr:to>
    <xdr:cxnSp macro="">
      <xdr:nvCxnSpPr>
        <xdr:cNvPr id="20" name="Straight Arrow Connector 19"/>
        <xdr:cNvCxnSpPr/>
      </xdr:nvCxnSpPr>
      <xdr:spPr bwMode="auto">
        <a:xfrm rot="5400000" flipH="1" flipV="1">
          <a:off x="7029452" y="6848475"/>
          <a:ext cx="422909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25</xdr:col>
      <xdr:colOff>7</xdr:colOff>
      <xdr:row>29</xdr:row>
      <xdr:rowOff>1</xdr:rowOff>
    </xdr:from>
    <xdr:to>
      <xdr:col>25</xdr:col>
      <xdr:colOff>9526</xdr:colOff>
      <xdr:row>55</xdr:row>
      <xdr:rowOff>0</xdr:rowOff>
    </xdr:to>
    <xdr:cxnSp macro="">
      <xdr:nvCxnSpPr>
        <xdr:cNvPr id="21" name="Straight Arrow Connector 20"/>
        <xdr:cNvCxnSpPr/>
      </xdr:nvCxnSpPr>
      <xdr:spPr bwMode="auto">
        <a:xfrm rot="16200000" flipV="1">
          <a:off x="13139742" y="6834191"/>
          <a:ext cx="4210049" cy="951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18</xdr:col>
      <xdr:colOff>609599</xdr:colOff>
      <xdr:row>29</xdr:row>
      <xdr:rowOff>3</xdr:rowOff>
    </xdr:from>
    <xdr:to>
      <xdr:col>19</xdr:col>
      <xdr:colOff>0</xdr:colOff>
      <xdr:row>55</xdr:row>
      <xdr:rowOff>1</xdr:rowOff>
    </xdr:to>
    <xdr:cxnSp macro="">
      <xdr:nvCxnSpPr>
        <xdr:cNvPr id="22" name="Straight Arrow Connector 21"/>
        <xdr:cNvCxnSpPr/>
      </xdr:nvCxnSpPr>
      <xdr:spPr bwMode="auto">
        <a:xfrm rot="5400000" flipH="1" flipV="1">
          <a:off x="9477376" y="6838951"/>
          <a:ext cx="4210048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21</xdr:col>
      <xdr:colOff>2</xdr:colOff>
      <xdr:row>28</xdr:row>
      <xdr:rowOff>152400</xdr:rowOff>
    </xdr:from>
    <xdr:to>
      <xdr:col>21</xdr:col>
      <xdr:colOff>9526</xdr:colOff>
      <xdr:row>55</xdr:row>
      <xdr:rowOff>0</xdr:rowOff>
    </xdr:to>
    <xdr:cxnSp macro="">
      <xdr:nvCxnSpPr>
        <xdr:cNvPr id="23" name="Straight Arrow Connector 22"/>
        <xdr:cNvCxnSpPr/>
      </xdr:nvCxnSpPr>
      <xdr:spPr bwMode="auto">
        <a:xfrm rot="16200000" flipV="1">
          <a:off x="10696576" y="6829426"/>
          <a:ext cx="4219575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23</xdr:col>
      <xdr:colOff>9525</xdr:colOff>
      <xdr:row>28</xdr:row>
      <xdr:rowOff>152401</xdr:rowOff>
    </xdr:from>
    <xdr:to>
      <xdr:col>23</xdr:col>
      <xdr:colOff>9526</xdr:colOff>
      <xdr:row>55</xdr:row>
      <xdr:rowOff>1</xdr:rowOff>
    </xdr:to>
    <xdr:cxnSp macro="">
      <xdr:nvCxnSpPr>
        <xdr:cNvPr id="24" name="Straight Arrow Connector 23"/>
        <xdr:cNvCxnSpPr/>
      </xdr:nvCxnSpPr>
      <xdr:spPr bwMode="auto">
        <a:xfrm rot="5400000" flipH="1" flipV="1">
          <a:off x="11920538" y="6834188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32</xdr:col>
      <xdr:colOff>600082</xdr:colOff>
      <xdr:row>29</xdr:row>
      <xdr:rowOff>1</xdr:rowOff>
    </xdr:from>
    <xdr:to>
      <xdr:col>33</xdr:col>
      <xdr:colOff>9526</xdr:colOff>
      <xdr:row>54</xdr:row>
      <xdr:rowOff>142875</xdr:rowOff>
    </xdr:to>
    <xdr:cxnSp macro="">
      <xdr:nvCxnSpPr>
        <xdr:cNvPr id="25" name="Straight Arrow Connector 24"/>
        <xdr:cNvCxnSpPr/>
      </xdr:nvCxnSpPr>
      <xdr:spPr bwMode="auto">
        <a:xfrm rot="16200000" flipV="1">
          <a:off x="18021304" y="6819904"/>
          <a:ext cx="4190999" cy="1904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27</xdr:col>
      <xdr:colOff>1</xdr:colOff>
      <xdr:row>28</xdr:row>
      <xdr:rowOff>133352</xdr:rowOff>
    </xdr:from>
    <xdr:to>
      <xdr:col>27</xdr:col>
      <xdr:colOff>9525</xdr:colOff>
      <xdr:row>54</xdr:row>
      <xdr:rowOff>152400</xdr:rowOff>
    </xdr:to>
    <xdr:cxnSp macro="">
      <xdr:nvCxnSpPr>
        <xdr:cNvPr id="26" name="Straight Arrow Connector 25"/>
        <xdr:cNvCxnSpPr/>
      </xdr:nvCxnSpPr>
      <xdr:spPr bwMode="auto">
        <a:xfrm rot="16200000" flipV="1">
          <a:off x="14349414" y="6815139"/>
          <a:ext cx="4229098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29</xdr:col>
      <xdr:colOff>0</xdr:colOff>
      <xdr:row>28</xdr:row>
      <xdr:rowOff>152400</xdr:rowOff>
    </xdr:from>
    <xdr:to>
      <xdr:col>29</xdr:col>
      <xdr:colOff>2</xdr:colOff>
      <xdr:row>54</xdr:row>
      <xdr:rowOff>152400</xdr:rowOff>
    </xdr:to>
    <xdr:cxnSp macro="">
      <xdr:nvCxnSpPr>
        <xdr:cNvPr id="27" name="Straight Arrow Connector 26"/>
        <xdr:cNvCxnSpPr/>
      </xdr:nvCxnSpPr>
      <xdr:spPr bwMode="auto">
        <a:xfrm rot="5400000" flipH="1" flipV="1">
          <a:off x="15573376" y="6829424"/>
          <a:ext cx="42100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30</xdr:col>
      <xdr:colOff>600074</xdr:colOff>
      <xdr:row>29</xdr:row>
      <xdr:rowOff>1</xdr:rowOff>
    </xdr:from>
    <xdr:to>
      <xdr:col>30</xdr:col>
      <xdr:colOff>600075</xdr:colOff>
      <xdr:row>55</xdr:row>
      <xdr:rowOff>1</xdr:rowOff>
    </xdr:to>
    <xdr:cxnSp macro="">
      <xdr:nvCxnSpPr>
        <xdr:cNvPr id="28" name="Straight Arrow Connector 27"/>
        <xdr:cNvCxnSpPr/>
      </xdr:nvCxnSpPr>
      <xdr:spPr bwMode="auto">
        <a:xfrm rot="5400000" flipH="1" flipV="1">
          <a:off x="16783050" y="6838950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41</xdr:col>
      <xdr:colOff>0</xdr:colOff>
      <xdr:row>28</xdr:row>
      <xdr:rowOff>142877</xdr:rowOff>
    </xdr:from>
    <xdr:to>
      <xdr:col>41</xdr:col>
      <xdr:colOff>9531</xdr:colOff>
      <xdr:row>55</xdr:row>
      <xdr:rowOff>1</xdr:rowOff>
    </xdr:to>
    <xdr:cxnSp macro="">
      <xdr:nvCxnSpPr>
        <xdr:cNvPr id="29" name="Straight Arrow Connector 28"/>
        <xdr:cNvCxnSpPr/>
      </xdr:nvCxnSpPr>
      <xdr:spPr bwMode="auto">
        <a:xfrm rot="5400000" flipH="1" flipV="1">
          <a:off x="22883816" y="6824661"/>
          <a:ext cx="4229099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35</xdr:col>
      <xdr:colOff>0</xdr:colOff>
      <xdr:row>29</xdr:row>
      <xdr:rowOff>3</xdr:rowOff>
    </xdr:from>
    <xdr:to>
      <xdr:col>35</xdr:col>
      <xdr:colOff>1</xdr:colOff>
      <xdr:row>54</xdr:row>
      <xdr:rowOff>152401</xdr:rowOff>
    </xdr:to>
    <xdr:cxnSp macro="">
      <xdr:nvCxnSpPr>
        <xdr:cNvPr id="30" name="Straight Arrow Connector 29"/>
        <xdr:cNvCxnSpPr/>
      </xdr:nvCxnSpPr>
      <xdr:spPr bwMode="auto">
        <a:xfrm rot="5400000" flipH="1" flipV="1">
          <a:off x="19235739" y="6834189"/>
          <a:ext cx="4200523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36</xdr:col>
      <xdr:colOff>609599</xdr:colOff>
      <xdr:row>29</xdr:row>
      <xdr:rowOff>1</xdr:rowOff>
    </xdr:from>
    <xdr:to>
      <xdr:col>37</xdr:col>
      <xdr:colOff>0</xdr:colOff>
      <xdr:row>55</xdr:row>
      <xdr:rowOff>1</xdr:rowOff>
    </xdr:to>
    <xdr:cxnSp macro="">
      <xdr:nvCxnSpPr>
        <xdr:cNvPr id="31" name="Straight Arrow Connector 30"/>
        <xdr:cNvCxnSpPr/>
      </xdr:nvCxnSpPr>
      <xdr:spPr bwMode="auto">
        <a:xfrm rot="5400000" flipH="1" flipV="1">
          <a:off x="20450175" y="6838950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38</xdr:col>
      <xdr:colOff>609599</xdr:colOff>
      <xdr:row>29</xdr:row>
      <xdr:rowOff>1</xdr:rowOff>
    </xdr:from>
    <xdr:to>
      <xdr:col>39</xdr:col>
      <xdr:colOff>19050</xdr:colOff>
      <xdr:row>55</xdr:row>
      <xdr:rowOff>1</xdr:rowOff>
    </xdr:to>
    <xdr:cxnSp macro="">
      <xdr:nvCxnSpPr>
        <xdr:cNvPr id="32" name="Straight Arrow Connector 31"/>
        <xdr:cNvCxnSpPr/>
      </xdr:nvCxnSpPr>
      <xdr:spPr bwMode="auto">
        <a:xfrm rot="5400000" flipH="1" flipV="1">
          <a:off x="21678900" y="6829425"/>
          <a:ext cx="4210050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48</xdr:col>
      <xdr:colOff>609599</xdr:colOff>
      <xdr:row>28</xdr:row>
      <xdr:rowOff>133352</xdr:rowOff>
    </xdr:from>
    <xdr:to>
      <xdr:col>49</xdr:col>
      <xdr:colOff>9530</xdr:colOff>
      <xdr:row>55</xdr:row>
      <xdr:rowOff>1</xdr:rowOff>
    </xdr:to>
    <xdr:cxnSp macro="">
      <xdr:nvCxnSpPr>
        <xdr:cNvPr id="33" name="Straight Arrow Connector 32"/>
        <xdr:cNvCxnSpPr/>
      </xdr:nvCxnSpPr>
      <xdr:spPr bwMode="auto">
        <a:xfrm rot="5400000" flipH="1" flipV="1">
          <a:off x="27755853" y="6819898"/>
          <a:ext cx="4238624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43</xdr:col>
      <xdr:colOff>9525</xdr:colOff>
      <xdr:row>28</xdr:row>
      <xdr:rowOff>142877</xdr:rowOff>
    </xdr:from>
    <xdr:to>
      <xdr:col>43</xdr:col>
      <xdr:colOff>19051</xdr:colOff>
      <xdr:row>55</xdr:row>
      <xdr:rowOff>0</xdr:rowOff>
    </xdr:to>
    <xdr:cxnSp macro="">
      <xdr:nvCxnSpPr>
        <xdr:cNvPr id="34" name="Straight Arrow Connector 33"/>
        <xdr:cNvCxnSpPr/>
      </xdr:nvCxnSpPr>
      <xdr:spPr bwMode="auto">
        <a:xfrm rot="5400000" flipH="1" flipV="1">
          <a:off x="24112539" y="6824663"/>
          <a:ext cx="4229098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44</xdr:col>
      <xdr:colOff>600076</xdr:colOff>
      <xdr:row>28</xdr:row>
      <xdr:rowOff>152400</xdr:rowOff>
    </xdr:from>
    <xdr:to>
      <xdr:col>45</xdr:col>
      <xdr:colOff>2</xdr:colOff>
      <xdr:row>55</xdr:row>
      <xdr:rowOff>0</xdr:rowOff>
    </xdr:to>
    <xdr:cxnSp macro="">
      <xdr:nvCxnSpPr>
        <xdr:cNvPr id="35" name="Straight Arrow Connector 34"/>
        <xdr:cNvCxnSpPr/>
      </xdr:nvCxnSpPr>
      <xdr:spPr bwMode="auto">
        <a:xfrm rot="5400000" flipH="1" flipV="1">
          <a:off x="25317451" y="6829425"/>
          <a:ext cx="4219575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46</xdr:col>
      <xdr:colOff>600076</xdr:colOff>
      <xdr:row>28</xdr:row>
      <xdr:rowOff>152400</xdr:rowOff>
    </xdr:from>
    <xdr:to>
      <xdr:col>47</xdr:col>
      <xdr:colOff>19052</xdr:colOff>
      <xdr:row>55</xdr:row>
      <xdr:rowOff>0</xdr:rowOff>
    </xdr:to>
    <xdr:cxnSp macro="">
      <xdr:nvCxnSpPr>
        <xdr:cNvPr id="36" name="Straight Arrow Connector 35"/>
        <xdr:cNvCxnSpPr/>
      </xdr:nvCxnSpPr>
      <xdr:spPr bwMode="auto">
        <a:xfrm rot="5400000" flipH="1" flipV="1">
          <a:off x="26546176" y="6819900"/>
          <a:ext cx="4219575" cy="2857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57</xdr:col>
      <xdr:colOff>9525</xdr:colOff>
      <xdr:row>28</xdr:row>
      <xdr:rowOff>133351</xdr:rowOff>
    </xdr:from>
    <xdr:to>
      <xdr:col>57</xdr:col>
      <xdr:colOff>9531</xdr:colOff>
      <xdr:row>55</xdr:row>
      <xdr:rowOff>0</xdr:rowOff>
    </xdr:to>
    <xdr:cxnSp macro="">
      <xdr:nvCxnSpPr>
        <xdr:cNvPr id="37" name="Straight Arrow Connector 36"/>
        <xdr:cNvCxnSpPr/>
      </xdr:nvCxnSpPr>
      <xdr:spPr bwMode="auto">
        <a:xfrm rot="5400000" flipH="1" flipV="1">
          <a:off x="32637416" y="6824660"/>
          <a:ext cx="4238624" cy="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51</xdr:col>
      <xdr:colOff>0</xdr:colOff>
      <xdr:row>28</xdr:row>
      <xdr:rowOff>133353</xdr:rowOff>
    </xdr:from>
    <xdr:to>
      <xdr:col>51</xdr:col>
      <xdr:colOff>19051</xdr:colOff>
      <xdr:row>55</xdr:row>
      <xdr:rowOff>1</xdr:rowOff>
    </xdr:to>
    <xdr:cxnSp macro="">
      <xdr:nvCxnSpPr>
        <xdr:cNvPr id="38" name="Straight Arrow Connector 37"/>
        <xdr:cNvCxnSpPr/>
      </xdr:nvCxnSpPr>
      <xdr:spPr bwMode="auto">
        <a:xfrm rot="5400000" flipH="1" flipV="1">
          <a:off x="28979814" y="6815139"/>
          <a:ext cx="4238623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53</xdr:col>
      <xdr:colOff>0</xdr:colOff>
      <xdr:row>28</xdr:row>
      <xdr:rowOff>152401</xdr:rowOff>
    </xdr:from>
    <xdr:to>
      <xdr:col>53</xdr:col>
      <xdr:colOff>1</xdr:colOff>
      <xdr:row>55</xdr:row>
      <xdr:rowOff>1</xdr:rowOff>
    </xdr:to>
    <xdr:cxnSp macro="">
      <xdr:nvCxnSpPr>
        <xdr:cNvPr id="39" name="Straight Arrow Connector 38"/>
        <xdr:cNvCxnSpPr/>
      </xdr:nvCxnSpPr>
      <xdr:spPr bwMode="auto">
        <a:xfrm rot="5400000" flipH="1" flipV="1">
          <a:off x="30199013" y="6834188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55</xdr:col>
      <xdr:colOff>0</xdr:colOff>
      <xdr:row>28</xdr:row>
      <xdr:rowOff>152401</xdr:rowOff>
    </xdr:from>
    <xdr:to>
      <xdr:col>55</xdr:col>
      <xdr:colOff>19051</xdr:colOff>
      <xdr:row>55</xdr:row>
      <xdr:rowOff>1</xdr:rowOff>
    </xdr:to>
    <xdr:cxnSp macro="">
      <xdr:nvCxnSpPr>
        <xdr:cNvPr id="40" name="Straight Arrow Connector 39"/>
        <xdr:cNvCxnSpPr/>
      </xdr:nvCxnSpPr>
      <xdr:spPr bwMode="auto">
        <a:xfrm rot="5400000" flipH="1" flipV="1">
          <a:off x="31427738" y="6824663"/>
          <a:ext cx="4219575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64</xdr:col>
      <xdr:colOff>600074</xdr:colOff>
      <xdr:row>28</xdr:row>
      <xdr:rowOff>152402</xdr:rowOff>
    </xdr:from>
    <xdr:to>
      <xdr:col>65</xdr:col>
      <xdr:colOff>5</xdr:colOff>
      <xdr:row>55</xdr:row>
      <xdr:rowOff>1</xdr:rowOff>
    </xdr:to>
    <xdr:cxnSp macro="">
      <xdr:nvCxnSpPr>
        <xdr:cNvPr id="41" name="Straight Arrow Connector 40"/>
        <xdr:cNvCxnSpPr/>
      </xdr:nvCxnSpPr>
      <xdr:spPr bwMode="auto">
        <a:xfrm rot="5400000" flipH="1" flipV="1">
          <a:off x="37509453" y="6829423"/>
          <a:ext cx="4219574" cy="953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58</xdr:col>
      <xdr:colOff>600075</xdr:colOff>
      <xdr:row>28</xdr:row>
      <xdr:rowOff>152403</xdr:rowOff>
    </xdr:from>
    <xdr:to>
      <xdr:col>59</xdr:col>
      <xdr:colOff>9526</xdr:colOff>
      <xdr:row>55</xdr:row>
      <xdr:rowOff>1</xdr:rowOff>
    </xdr:to>
    <xdr:cxnSp macro="">
      <xdr:nvCxnSpPr>
        <xdr:cNvPr id="42" name="Straight Arrow Connector 41"/>
        <xdr:cNvCxnSpPr/>
      </xdr:nvCxnSpPr>
      <xdr:spPr bwMode="auto">
        <a:xfrm rot="5400000" flipH="1" flipV="1">
          <a:off x="33856614" y="6824664"/>
          <a:ext cx="4219573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60</xdr:col>
      <xdr:colOff>600077</xdr:colOff>
      <xdr:row>29</xdr:row>
      <xdr:rowOff>9525</xdr:rowOff>
    </xdr:from>
    <xdr:to>
      <xdr:col>61</xdr:col>
      <xdr:colOff>9526</xdr:colOff>
      <xdr:row>55</xdr:row>
      <xdr:rowOff>0</xdr:rowOff>
    </xdr:to>
    <xdr:cxnSp macro="">
      <xdr:nvCxnSpPr>
        <xdr:cNvPr id="43" name="Straight Arrow Connector 42"/>
        <xdr:cNvCxnSpPr/>
      </xdr:nvCxnSpPr>
      <xdr:spPr bwMode="auto">
        <a:xfrm rot="16200000" flipV="1">
          <a:off x="35085339" y="6834188"/>
          <a:ext cx="4200525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63</xdr:col>
      <xdr:colOff>9524</xdr:colOff>
      <xdr:row>29</xdr:row>
      <xdr:rowOff>9526</xdr:rowOff>
    </xdr:from>
    <xdr:to>
      <xdr:col>63</xdr:col>
      <xdr:colOff>9525</xdr:colOff>
      <xdr:row>55</xdr:row>
      <xdr:rowOff>9526</xdr:rowOff>
    </xdr:to>
    <xdr:cxnSp macro="">
      <xdr:nvCxnSpPr>
        <xdr:cNvPr id="44" name="Straight Arrow Connector 43"/>
        <xdr:cNvCxnSpPr/>
      </xdr:nvCxnSpPr>
      <xdr:spPr bwMode="auto">
        <a:xfrm rot="5400000" flipH="1" flipV="1">
          <a:off x="36309300" y="6848475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73</xdr:col>
      <xdr:colOff>0</xdr:colOff>
      <xdr:row>28</xdr:row>
      <xdr:rowOff>133351</xdr:rowOff>
    </xdr:from>
    <xdr:to>
      <xdr:col>73</xdr:col>
      <xdr:colOff>9532</xdr:colOff>
      <xdr:row>55</xdr:row>
      <xdr:rowOff>0</xdr:rowOff>
    </xdr:to>
    <xdr:cxnSp macro="">
      <xdr:nvCxnSpPr>
        <xdr:cNvPr id="45" name="Straight Arrow Connector 44"/>
        <xdr:cNvCxnSpPr/>
      </xdr:nvCxnSpPr>
      <xdr:spPr bwMode="auto">
        <a:xfrm rot="5400000" flipH="1" flipV="1">
          <a:off x="42386254" y="6819897"/>
          <a:ext cx="4238624" cy="953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67</xdr:col>
      <xdr:colOff>1</xdr:colOff>
      <xdr:row>28</xdr:row>
      <xdr:rowOff>152402</xdr:rowOff>
    </xdr:from>
    <xdr:to>
      <xdr:col>67</xdr:col>
      <xdr:colOff>9527</xdr:colOff>
      <xdr:row>55</xdr:row>
      <xdr:rowOff>0</xdr:rowOff>
    </xdr:to>
    <xdr:cxnSp macro="">
      <xdr:nvCxnSpPr>
        <xdr:cNvPr id="46" name="Straight Arrow Connector 45"/>
        <xdr:cNvCxnSpPr/>
      </xdr:nvCxnSpPr>
      <xdr:spPr bwMode="auto">
        <a:xfrm rot="5400000" flipH="1" flipV="1">
          <a:off x="38738177" y="6829426"/>
          <a:ext cx="4219573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69</xdr:col>
      <xdr:colOff>0</xdr:colOff>
      <xdr:row>28</xdr:row>
      <xdr:rowOff>152401</xdr:rowOff>
    </xdr:from>
    <xdr:to>
      <xdr:col>69</xdr:col>
      <xdr:colOff>1</xdr:colOff>
      <xdr:row>55</xdr:row>
      <xdr:rowOff>1</xdr:rowOff>
    </xdr:to>
    <xdr:cxnSp macro="">
      <xdr:nvCxnSpPr>
        <xdr:cNvPr id="47" name="Straight Arrow Connector 46"/>
        <xdr:cNvCxnSpPr/>
      </xdr:nvCxnSpPr>
      <xdr:spPr bwMode="auto">
        <a:xfrm rot="5400000" flipH="1" flipV="1">
          <a:off x="39952613" y="6834188"/>
          <a:ext cx="421957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70</xdr:col>
      <xdr:colOff>600076</xdr:colOff>
      <xdr:row>28</xdr:row>
      <xdr:rowOff>152400</xdr:rowOff>
    </xdr:from>
    <xdr:to>
      <xdr:col>71</xdr:col>
      <xdr:colOff>19052</xdr:colOff>
      <xdr:row>55</xdr:row>
      <xdr:rowOff>0</xdr:rowOff>
    </xdr:to>
    <xdr:cxnSp macro="">
      <xdr:nvCxnSpPr>
        <xdr:cNvPr id="48" name="Straight Arrow Connector 47"/>
        <xdr:cNvCxnSpPr/>
      </xdr:nvCxnSpPr>
      <xdr:spPr bwMode="auto">
        <a:xfrm rot="5400000" flipH="1" flipV="1">
          <a:off x="41176576" y="6819900"/>
          <a:ext cx="4219575" cy="2857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75</xdr:col>
      <xdr:colOff>0</xdr:colOff>
      <xdr:row>28</xdr:row>
      <xdr:rowOff>133353</xdr:rowOff>
    </xdr:from>
    <xdr:to>
      <xdr:col>75</xdr:col>
      <xdr:colOff>19051</xdr:colOff>
      <xdr:row>55</xdr:row>
      <xdr:rowOff>1</xdr:rowOff>
    </xdr:to>
    <xdr:cxnSp macro="">
      <xdr:nvCxnSpPr>
        <xdr:cNvPr id="50" name="Straight Arrow Connector 49"/>
        <xdr:cNvCxnSpPr/>
      </xdr:nvCxnSpPr>
      <xdr:spPr bwMode="auto">
        <a:xfrm rot="5400000" flipH="1" flipV="1">
          <a:off x="43610214" y="6815139"/>
          <a:ext cx="4238623" cy="1905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76</xdr:col>
      <xdr:colOff>609599</xdr:colOff>
      <xdr:row>28</xdr:row>
      <xdr:rowOff>152401</xdr:rowOff>
    </xdr:from>
    <xdr:to>
      <xdr:col>77</xdr:col>
      <xdr:colOff>0</xdr:colOff>
      <xdr:row>54</xdr:row>
      <xdr:rowOff>152401</xdr:rowOff>
    </xdr:to>
    <xdr:cxnSp macro="">
      <xdr:nvCxnSpPr>
        <xdr:cNvPr id="51" name="Straight Arrow Connector 50"/>
        <xdr:cNvCxnSpPr/>
      </xdr:nvCxnSpPr>
      <xdr:spPr bwMode="auto">
        <a:xfrm rot="5400000" flipH="1" flipV="1">
          <a:off x="44834175" y="6829425"/>
          <a:ext cx="4210050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79</xdr:col>
      <xdr:colOff>9524</xdr:colOff>
      <xdr:row>28</xdr:row>
      <xdr:rowOff>152402</xdr:rowOff>
    </xdr:from>
    <xdr:to>
      <xdr:col>79</xdr:col>
      <xdr:colOff>19051</xdr:colOff>
      <xdr:row>55</xdr:row>
      <xdr:rowOff>1</xdr:rowOff>
    </xdr:to>
    <xdr:cxnSp macro="">
      <xdr:nvCxnSpPr>
        <xdr:cNvPr id="52" name="Straight Arrow Connector 51"/>
        <xdr:cNvCxnSpPr/>
      </xdr:nvCxnSpPr>
      <xdr:spPr bwMode="auto">
        <a:xfrm rot="5400000" flipH="1" flipV="1">
          <a:off x="46062901" y="6829425"/>
          <a:ext cx="4219574" cy="952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81</xdr:col>
      <xdr:colOff>0</xdr:colOff>
      <xdr:row>28</xdr:row>
      <xdr:rowOff>142876</xdr:rowOff>
    </xdr:from>
    <xdr:to>
      <xdr:col>81</xdr:col>
      <xdr:colOff>9526</xdr:colOff>
      <xdr:row>54</xdr:row>
      <xdr:rowOff>152400</xdr:rowOff>
    </xdr:to>
    <xdr:cxnSp macro="">
      <xdr:nvCxnSpPr>
        <xdr:cNvPr id="60" name="Straight Arrow Connector 59"/>
        <xdr:cNvCxnSpPr/>
      </xdr:nvCxnSpPr>
      <xdr:spPr bwMode="auto">
        <a:xfrm rot="5400000" flipH="1" flipV="1">
          <a:off x="47272576" y="6819900"/>
          <a:ext cx="4219574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5</xdr:col>
      <xdr:colOff>0</xdr:colOff>
      <xdr:row>70</xdr:row>
      <xdr:rowOff>0</xdr:rowOff>
    </xdr:from>
    <xdr:to>
      <xdr:col>5</xdr:col>
      <xdr:colOff>0</xdr:colOff>
      <xdr:row>71</xdr:row>
      <xdr:rowOff>142875</xdr:rowOff>
    </xdr:to>
    <xdr:sp macro="" textlink="">
      <xdr:nvSpPr>
        <xdr:cNvPr id="49" name="Line 274"/>
        <xdr:cNvSpPr>
          <a:spLocks noChangeShapeType="1"/>
        </xdr:cNvSpPr>
      </xdr:nvSpPr>
      <xdr:spPr bwMode="auto">
        <a:xfrm>
          <a:off x="3048000" y="25317450"/>
          <a:ext cx="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4</xdr:col>
      <xdr:colOff>295275</xdr:colOff>
      <xdr:row>70</xdr:row>
      <xdr:rowOff>0</xdr:rowOff>
    </xdr:from>
    <xdr:to>
      <xdr:col>4</xdr:col>
      <xdr:colOff>295275</xdr:colOff>
      <xdr:row>71</xdr:row>
      <xdr:rowOff>152400</xdr:rowOff>
    </xdr:to>
    <xdr:sp macro="" textlink="">
      <xdr:nvSpPr>
        <xdr:cNvPr id="53" name="Line 275"/>
        <xdr:cNvSpPr>
          <a:spLocks noChangeShapeType="1"/>
        </xdr:cNvSpPr>
      </xdr:nvSpPr>
      <xdr:spPr bwMode="auto">
        <a:xfrm>
          <a:off x="2733675" y="253174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295275</xdr:colOff>
      <xdr:row>70</xdr:row>
      <xdr:rowOff>0</xdr:rowOff>
    </xdr:from>
    <xdr:to>
      <xdr:col>5</xdr:col>
      <xdr:colOff>295275</xdr:colOff>
      <xdr:row>71</xdr:row>
      <xdr:rowOff>152400</xdr:rowOff>
    </xdr:to>
    <xdr:sp macro="" textlink="">
      <xdr:nvSpPr>
        <xdr:cNvPr id="54" name="Line 276"/>
        <xdr:cNvSpPr>
          <a:spLocks noChangeShapeType="1"/>
        </xdr:cNvSpPr>
      </xdr:nvSpPr>
      <xdr:spPr bwMode="auto">
        <a:xfrm>
          <a:off x="3343275" y="253174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</xdr:col>
      <xdr:colOff>542925</xdr:colOff>
      <xdr:row>70</xdr:row>
      <xdr:rowOff>9525</xdr:rowOff>
    </xdr:from>
    <xdr:to>
      <xdr:col>5</xdr:col>
      <xdr:colOff>542925</xdr:colOff>
      <xdr:row>72</xdr:row>
      <xdr:rowOff>0</xdr:rowOff>
    </xdr:to>
    <xdr:sp macro="" textlink="">
      <xdr:nvSpPr>
        <xdr:cNvPr id="55" name="Line 277"/>
        <xdr:cNvSpPr>
          <a:spLocks noChangeShapeType="1"/>
        </xdr:cNvSpPr>
      </xdr:nvSpPr>
      <xdr:spPr bwMode="auto">
        <a:xfrm>
          <a:off x="3590925" y="253269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28575</xdr:colOff>
      <xdr:row>70</xdr:row>
      <xdr:rowOff>19050</xdr:rowOff>
    </xdr:from>
    <xdr:to>
      <xdr:col>7</xdr:col>
      <xdr:colOff>28575</xdr:colOff>
      <xdr:row>72</xdr:row>
      <xdr:rowOff>9525</xdr:rowOff>
    </xdr:to>
    <xdr:sp macro="" textlink="">
      <xdr:nvSpPr>
        <xdr:cNvPr id="56" name="Line 278"/>
        <xdr:cNvSpPr>
          <a:spLocks noChangeShapeType="1"/>
        </xdr:cNvSpPr>
      </xdr:nvSpPr>
      <xdr:spPr bwMode="auto">
        <a:xfrm>
          <a:off x="4295775" y="2533650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219075</xdr:colOff>
      <xdr:row>70</xdr:row>
      <xdr:rowOff>9525</xdr:rowOff>
    </xdr:from>
    <xdr:to>
      <xdr:col>6</xdr:col>
      <xdr:colOff>219075</xdr:colOff>
      <xdr:row>72</xdr:row>
      <xdr:rowOff>0</xdr:rowOff>
    </xdr:to>
    <xdr:sp macro="" textlink="">
      <xdr:nvSpPr>
        <xdr:cNvPr id="57" name="Line 279"/>
        <xdr:cNvSpPr>
          <a:spLocks noChangeShapeType="1"/>
        </xdr:cNvSpPr>
      </xdr:nvSpPr>
      <xdr:spPr bwMode="auto">
        <a:xfrm>
          <a:off x="3876675" y="253269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419100</xdr:colOff>
      <xdr:row>69</xdr:row>
      <xdr:rowOff>152400</xdr:rowOff>
    </xdr:from>
    <xdr:to>
      <xdr:col>6</xdr:col>
      <xdr:colOff>419100</xdr:colOff>
      <xdr:row>71</xdr:row>
      <xdr:rowOff>142875</xdr:rowOff>
    </xdr:to>
    <xdr:sp macro="" textlink="">
      <xdr:nvSpPr>
        <xdr:cNvPr id="58" name="Line 280"/>
        <xdr:cNvSpPr>
          <a:spLocks noChangeShapeType="1"/>
        </xdr:cNvSpPr>
      </xdr:nvSpPr>
      <xdr:spPr bwMode="auto">
        <a:xfrm>
          <a:off x="4076700" y="253079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7</xdr:col>
      <xdr:colOff>581025</xdr:colOff>
      <xdr:row>70</xdr:row>
      <xdr:rowOff>0</xdr:rowOff>
    </xdr:from>
    <xdr:to>
      <xdr:col>7</xdr:col>
      <xdr:colOff>581025</xdr:colOff>
      <xdr:row>71</xdr:row>
      <xdr:rowOff>152400</xdr:rowOff>
    </xdr:to>
    <xdr:sp macro="" textlink="">
      <xdr:nvSpPr>
        <xdr:cNvPr id="59" name="Line 282"/>
        <xdr:cNvSpPr>
          <a:spLocks noChangeShapeType="1"/>
        </xdr:cNvSpPr>
      </xdr:nvSpPr>
      <xdr:spPr bwMode="auto">
        <a:xfrm>
          <a:off x="4848225" y="25317450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6</xdr:col>
      <xdr:colOff>228600</xdr:colOff>
      <xdr:row>68</xdr:row>
      <xdr:rowOff>95250</xdr:rowOff>
    </xdr:from>
    <xdr:to>
      <xdr:col>6</xdr:col>
      <xdr:colOff>600075</xdr:colOff>
      <xdr:row>70</xdr:row>
      <xdr:rowOff>0</xdr:rowOff>
    </xdr:to>
    <xdr:sp macro="" textlink="">
      <xdr:nvSpPr>
        <xdr:cNvPr id="61" name="Line 307"/>
        <xdr:cNvSpPr>
          <a:spLocks noChangeShapeType="1"/>
        </xdr:cNvSpPr>
      </xdr:nvSpPr>
      <xdr:spPr bwMode="auto">
        <a:xfrm flipH="1">
          <a:off x="3886200" y="25088850"/>
          <a:ext cx="371475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285750</xdr:colOff>
      <xdr:row>71</xdr:row>
      <xdr:rowOff>152400</xdr:rowOff>
    </xdr:from>
    <xdr:to>
      <xdr:col>7</xdr:col>
      <xdr:colOff>581025</xdr:colOff>
      <xdr:row>72</xdr:row>
      <xdr:rowOff>0</xdr:rowOff>
    </xdr:to>
    <xdr:cxnSp macro="">
      <xdr:nvCxnSpPr>
        <xdr:cNvPr id="62" name="Straight Connector 61"/>
        <xdr:cNvCxnSpPr>
          <a:endCxn id="59" idx="1"/>
        </xdr:cNvCxnSpPr>
      </xdr:nvCxnSpPr>
      <xdr:spPr bwMode="auto">
        <a:xfrm flipV="1">
          <a:off x="2724150" y="25631775"/>
          <a:ext cx="2124075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313532</xdr:colOff>
      <xdr:row>72</xdr:row>
      <xdr:rowOff>29369</xdr:rowOff>
    </xdr:from>
    <xdr:to>
      <xdr:col>4</xdr:col>
      <xdr:colOff>315120</xdr:colOff>
      <xdr:row>74</xdr:row>
      <xdr:rowOff>794</xdr:rowOff>
    </xdr:to>
    <xdr:cxnSp macro="">
      <xdr:nvCxnSpPr>
        <xdr:cNvPr id="63" name="Straight Arrow Connector 62"/>
        <xdr:cNvCxnSpPr/>
      </xdr:nvCxnSpPr>
      <xdr:spPr bwMode="auto">
        <a:xfrm rot="5400000" flipH="1" flipV="1">
          <a:off x="2605088" y="25817513"/>
          <a:ext cx="29527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580232</xdr:colOff>
      <xdr:row>72</xdr:row>
      <xdr:rowOff>794</xdr:rowOff>
    </xdr:from>
    <xdr:to>
      <xdr:col>7</xdr:col>
      <xdr:colOff>581820</xdr:colOff>
      <xdr:row>73</xdr:row>
      <xdr:rowOff>115094</xdr:rowOff>
    </xdr:to>
    <xdr:cxnSp macro="">
      <xdr:nvCxnSpPr>
        <xdr:cNvPr id="64" name="Straight Arrow Connector 63"/>
        <xdr:cNvCxnSpPr/>
      </xdr:nvCxnSpPr>
      <xdr:spPr bwMode="auto">
        <a:xfrm rot="5400000" flipH="1" flipV="1">
          <a:off x="4710113" y="25779413"/>
          <a:ext cx="2762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0</xdr:colOff>
      <xdr:row>70</xdr:row>
      <xdr:rowOff>133350</xdr:rowOff>
    </xdr:from>
    <xdr:to>
      <xdr:col>4</xdr:col>
      <xdr:colOff>316233</xdr:colOff>
      <xdr:row>73</xdr:row>
      <xdr:rowOff>76200</xdr:rowOff>
    </xdr:to>
    <xdr:sp macro="" textlink="">
      <xdr:nvSpPr>
        <xdr:cNvPr id="65" name="Arc 64"/>
        <xdr:cNvSpPr/>
      </xdr:nvSpPr>
      <xdr:spPr bwMode="auto">
        <a:xfrm flipH="1">
          <a:off x="2438400" y="25450800"/>
          <a:ext cx="316233" cy="428625"/>
        </a:xfrm>
        <a:prstGeom prst="arc">
          <a:avLst>
            <a:gd name="adj1" fmla="val 16200008"/>
            <a:gd name="adj2" fmla="val 4446631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523875</xdr:colOff>
      <xdr:row>70</xdr:row>
      <xdr:rowOff>0</xdr:rowOff>
    </xdr:from>
    <xdr:to>
      <xdr:col>8</xdr:col>
      <xdr:colOff>230508</xdr:colOff>
      <xdr:row>72</xdr:row>
      <xdr:rowOff>104775</xdr:rowOff>
    </xdr:to>
    <xdr:sp macro="" textlink="">
      <xdr:nvSpPr>
        <xdr:cNvPr id="66" name="Arc 65"/>
        <xdr:cNvSpPr/>
      </xdr:nvSpPr>
      <xdr:spPr bwMode="auto">
        <a:xfrm flipH="1">
          <a:off x="4791075" y="25317450"/>
          <a:ext cx="316233" cy="428625"/>
        </a:xfrm>
        <a:prstGeom prst="arc">
          <a:avLst>
            <a:gd name="adj1" fmla="val 5163276"/>
            <a:gd name="adj2" fmla="val 15825823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295275</xdr:colOff>
      <xdr:row>70</xdr:row>
      <xdr:rowOff>0</xdr:rowOff>
    </xdr:from>
    <xdr:to>
      <xdr:col>7</xdr:col>
      <xdr:colOff>600075</xdr:colOff>
      <xdr:row>70</xdr:row>
      <xdr:rowOff>1588</xdr:rowOff>
    </xdr:to>
    <xdr:cxnSp macro="">
      <xdr:nvCxnSpPr>
        <xdr:cNvPr id="67" name="Straight Connector 66"/>
        <xdr:cNvCxnSpPr/>
      </xdr:nvCxnSpPr>
      <xdr:spPr bwMode="auto">
        <a:xfrm>
          <a:off x="2733675" y="25317450"/>
          <a:ext cx="21336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0</xdr:colOff>
      <xdr:row>17</xdr:row>
      <xdr:rowOff>0</xdr:rowOff>
    </xdr:from>
    <xdr:to>
      <xdr:col>81</xdr:col>
      <xdr:colOff>19050</xdr:colOff>
      <xdr:row>17</xdr:row>
      <xdr:rowOff>1588</xdr:rowOff>
    </xdr:to>
    <xdr:cxnSp macro="">
      <xdr:nvCxnSpPr>
        <xdr:cNvPr id="68" name="Straight Connector 67"/>
        <xdr:cNvCxnSpPr/>
      </xdr:nvCxnSpPr>
      <xdr:spPr bwMode="auto">
        <a:xfrm>
          <a:off x="609600" y="2809875"/>
          <a:ext cx="48787050" cy="1588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75</xdr:row>
      <xdr:rowOff>85725</xdr:rowOff>
    </xdr:from>
    <xdr:to>
      <xdr:col>7</xdr:col>
      <xdr:colOff>571500</xdr:colOff>
      <xdr:row>84</xdr:row>
      <xdr:rowOff>0</xdr:rowOff>
    </xdr:to>
    <xdr:cxnSp macro="">
      <xdr:nvCxnSpPr>
        <xdr:cNvPr id="70" name="Straight Connector 69"/>
        <xdr:cNvCxnSpPr/>
      </xdr:nvCxnSpPr>
      <xdr:spPr bwMode="auto">
        <a:xfrm>
          <a:off x="209550" y="12353925"/>
          <a:ext cx="4629150" cy="13716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1</xdr:col>
      <xdr:colOff>533401</xdr:colOff>
      <xdr:row>75</xdr:row>
      <xdr:rowOff>152400</xdr:rowOff>
    </xdr:from>
    <xdr:to>
      <xdr:col>6</xdr:col>
      <xdr:colOff>504826</xdr:colOff>
      <xdr:row>84</xdr:row>
      <xdr:rowOff>47625</xdr:rowOff>
    </xdr:to>
    <xdr:cxnSp macro="">
      <xdr:nvCxnSpPr>
        <xdr:cNvPr id="72" name="Straight Connector 71"/>
        <xdr:cNvCxnSpPr/>
      </xdr:nvCxnSpPr>
      <xdr:spPr bwMode="auto">
        <a:xfrm rot="10800000" flipV="1">
          <a:off x="1143001" y="12420600"/>
          <a:ext cx="3019425" cy="135255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15</xdr:row>
      <xdr:rowOff>47625</xdr:rowOff>
    </xdr:from>
    <xdr:ext cx="171450" cy="180975"/>
    <xdr:sp macro="" textlink="">
      <xdr:nvSpPr>
        <xdr:cNvPr id="2" name="Text Box 344"/>
        <xdr:cNvSpPr txBox="1">
          <a:spLocks noChangeArrowheads="1"/>
        </xdr:cNvSpPr>
      </xdr:nvSpPr>
      <xdr:spPr bwMode="auto">
        <a:xfrm>
          <a:off x="11439525" y="6800850"/>
          <a:ext cx="171450" cy="180975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28</xdr:col>
      <xdr:colOff>200025</xdr:colOff>
      <xdr:row>14</xdr:row>
      <xdr:rowOff>9525</xdr:rowOff>
    </xdr:from>
    <xdr:to>
      <xdr:col>28</xdr:col>
      <xdr:colOff>200025</xdr:colOff>
      <xdr:row>16</xdr:row>
      <xdr:rowOff>57150</xdr:rowOff>
    </xdr:to>
    <xdr:sp macro="" textlink="">
      <xdr:nvSpPr>
        <xdr:cNvPr id="3" name="Line 92"/>
        <xdr:cNvSpPr>
          <a:spLocks noChangeShapeType="1"/>
        </xdr:cNvSpPr>
      </xdr:nvSpPr>
      <xdr:spPr bwMode="auto">
        <a:xfrm>
          <a:off x="11172825" y="14154150"/>
          <a:ext cx="0" cy="428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161925</xdr:colOff>
      <xdr:row>16</xdr:row>
      <xdr:rowOff>47625</xdr:rowOff>
    </xdr:from>
    <xdr:to>
      <xdr:col>28</xdr:col>
      <xdr:colOff>190499</xdr:colOff>
      <xdr:row>18</xdr:row>
      <xdr:rowOff>66675</xdr:rowOff>
    </xdr:to>
    <xdr:sp macro="" textlink="">
      <xdr:nvSpPr>
        <xdr:cNvPr id="4" name="Line 93"/>
        <xdr:cNvSpPr>
          <a:spLocks noChangeShapeType="1"/>
        </xdr:cNvSpPr>
      </xdr:nvSpPr>
      <xdr:spPr bwMode="auto">
        <a:xfrm flipH="1">
          <a:off x="7477125" y="14573250"/>
          <a:ext cx="3686174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47625</xdr:colOff>
      <xdr:row>14</xdr:row>
      <xdr:rowOff>0</xdr:rowOff>
    </xdr:from>
    <xdr:to>
      <xdr:col>28</xdr:col>
      <xdr:colOff>47625</xdr:colOff>
      <xdr:row>15</xdr:row>
      <xdr:rowOff>57150</xdr:rowOff>
    </xdr:to>
    <xdr:sp macro="" textlink="">
      <xdr:nvSpPr>
        <xdr:cNvPr id="5" name="Line 94"/>
        <xdr:cNvSpPr>
          <a:spLocks noChangeShapeType="1"/>
        </xdr:cNvSpPr>
      </xdr:nvSpPr>
      <xdr:spPr bwMode="auto">
        <a:xfrm flipV="1">
          <a:off x="11020425" y="1414462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95250</xdr:colOff>
      <xdr:row>14</xdr:row>
      <xdr:rowOff>0</xdr:rowOff>
    </xdr:from>
    <xdr:to>
      <xdr:col>27</xdr:col>
      <xdr:colOff>323850</xdr:colOff>
      <xdr:row>14</xdr:row>
      <xdr:rowOff>0</xdr:rowOff>
    </xdr:to>
    <xdr:sp macro="" textlink="">
      <xdr:nvSpPr>
        <xdr:cNvPr id="6" name="Line 95"/>
        <xdr:cNvSpPr>
          <a:spLocks noChangeShapeType="1"/>
        </xdr:cNvSpPr>
      </xdr:nvSpPr>
      <xdr:spPr bwMode="auto">
        <a:xfrm>
          <a:off x="10458450" y="1414462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323850</xdr:colOff>
      <xdr:row>13</xdr:row>
      <xdr:rowOff>95250</xdr:rowOff>
    </xdr:from>
    <xdr:to>
      <xdr:col>27</xdr:col>
      <xdr:colOff>323850</xdr:colOff>
      <xdr:row>14</xdr:row>
      <xdr:rowOff>0</xdr:rowOff>
    </xdr:to>
    <xdr:sp macro="" textlink="">
      <xdr:nvSpPr>
        <xdr:cNvPr id="7" name="Line 96"/>
        <xdr:cNvSpPr>
          <a:spLocks noChangeShapeType="1"/>
        </xdr:cNvSpPr>
      </xdr:nvSpPr>
      <xdr:spPr bwMode="auto">
        <a:xfrm flipV="1">
          <a:off x="10687050" y="140493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323850</xdr:colOff>
      <xdr:row>13</xdr:row>
      <xdr:rowOff>104775</xdr:rowOff>
    </xdr:from>
    <xdr:to>
      <xdr:col>27</xdr:col>
      <xdr:colOff>409575</xdr:colOff>
      <xdr:row>14</xdr:row>
      <xdr:rowOff>76200</xdr:rowOff>
    </xdr:to>
    <xdr:sp macro="" textlink="">
      <xdr:nvSpPr>
        <xdr:cNvPr id="8" name="Line 97"/>
        <xdr:cNvSpPr>
          <a:spLocks noChangeShapeType="1"/>
        </xdr:cNvSpPr>
      </xdr:nvSpPr>
      <xdr:spPr bwMode="auto">
        <a:xfrm>
          <a:off x="10687050" y="14058900"/>
          <a:ext cx="8572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409575</xdr:colOff>
      <xdr:row>14</xdr:row>
      <xdr:rowOff>19050</xdr:rowOff>
    </xdr:from>
    <xdr:to>
      <xdr:col>27</xdr:col>
      <xdr:colOff>428625</xdr:colOff>
      <xdr:row>14</xdr:row>
      <xdr:rowOff>85725</xdr:rowOff>
    </xdr:to>
    <xdr:sp macro="" textlink="">
      <xdr:nvSpPr>
        <xdr:cNvPr id="9" name="Line 98"/>
        <xdr:cNvSpPr>
          <a:spLocks noChangeShapeType="1"/>
        </xdr:cNvSpPr>
      </xdr:nvSpPr>
      <xdr:spPr bwMode="auto">
        <a:xfrm flipV="1">
          <a:off x="10772775" y="14163675"/>
          <a:ext cx="1905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447675</xdr:colOff>
      <xdr:row>13</xdr:row>
      <xdr:rowOff>152400</xdr:rowOff>
    </xdr:from>
    <xdr:to>
      <xdr:col>28</xdr:col>
      <xdr:colOff>333375</xdr:colOff>
      <xdr:row>13</xdr:row>
      <xdr:rowOff>152400</xdr:rowOff>
    </xdr:to>
    <xdr:sp macro="" textlink="">
      <xdr:nvSpPr>
        <xdr:cNvPr id="10" name="Line 99"/>
        <xdr:cNvSpPr>
          <a:spLocks noChangeShapeType="1"/>
        </xdr:cNvSpPr>
      </xdr:nvSpPr>
      <xdr:spPr bwMode="auto">
        <a:xfrm>
          <a:off x="10810875" y="14106525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180974</xdr:colOff>
      <xdr:row>15</xdr:row>
      <xdr:rowOff>66675</xdr:rowOff>
    </xdr:from>
    <xdr:to>
      <xdr:col>28</xdr:col>
      <xdr:colOff>38099</xdr:colOff>
      <xdr:row>17</xdr:row>
      <xdr:rowOff>28575</xdr:rowOff>
    </xdr:to>
    <xdr:sp macro="" textlink="">
      <xdr:nvSpPr>
        <xdr:cNvPr id="11" name="Line 100"/>
        <xdr:cNvSpPr>
          <a:spLocks noChangeShapeType="1"/>
        </xdr:cNvSpPr>
      </xdr:nvSpPr>
      <xdr:spPr bwMode="auto">
        <a:xfrm flipH="1">
          <a:off x="7496174" y="14401800"/>
          <a:ext cx="3514725" cy="342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171450</xdr:colOff>
      <xdr:row>17</xdr:row>
      <xdr:rowOff>19050</xdr:rowOff>
    </xdr:from>
    <xdr:to>
      <xdr:col>22</xdr:col>
      <xdr:colOff>171450</xdr:colOff>
      <xdr:row>26</xdr:row>
      <xdr:rowOff>19050</xdr:rowOff>
    </xdr:to>
    <xdr:sp macro="" textlink="">
      <xdr:nvSpPr>
        <xdr:cNvPr id="12" name="Line 101"/>
        <xdr:cNvSpPr>
          <a:spLocks noChangeShapeType="1"/>
        </xdr:cNvSpPr>
      </xdr:nvSpPr>
      <xdr:spPr bwMode="auto">
        <a:xfrm flipH="1">
          <a:off x="7486650" y="14735175"/>
          <a:ext cx="0" cy="1714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171451</xdr:colOff>
      <xdr:row>24</xdr:row>
      <xdr:rowOff>133350</xdr:rowOff>
    </xdr:from>
    <xdr:to>
      <xdr:col>28</xdr:col>
      <xdr:colOff>209551</xdr:colOff>
      <xdr:row>26</xdr:row>
      <xdr:rowOff>152400</xdr:rowOff>
    </xdr:to>
    <xdr:sp macro="" textlink="">
      <xdr:nvSpPr>
        <xdr:cNvPr id="13" name="Line 102"/>
        <xdr:cNvSpPr>
          <a:spLocks noChangeShapeType="1"/>
        </xdr:cNvSpPr>
      </xdr:nvSpPr>
      <xdr:spPr bwMode="auto">
        <a:xfrm>
          <a:off x="7486651" y="16182975"/>
          <a:ext cx="369570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200025</xdr:colOff>
      <xdr:row>26</xdr:row>
      <xdr:rowOff>152400</xdr:rowOff>
    </xdr:from>
    <xdr:to>
      <xdr:col>28</xdr:col>
      <xdr:colOff>200025</xdr:colOff>
      <xdr:row>29</xdr:row>
      <xdr:rowOff>57150</xdr:rowOff>
    </xdr:to>
    <xdr:sp macro="" textlink="">
      <xdr:nvSpPr>
        <xdr:cNvPr id="14" name="Line 103"/>
        <xdr:cNvSpPr>
          <a:spLocks noChangeShapeType="1"/>
        </xdr:cNvSpPr>
      </xdr:nvSpPr>
      <xdr:spPr bwMode="auto">
        <a:xfrm>
          <a:off x="11172825" y="16583025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38100</xdr:colOff>
      <xdr:row>27</xdr:row>
      <xdr:rowOff>114300</xdr:rowOff>
    </xdr:from>
    <xdr:to>
      <xdr:col>28</xdr:col>
      <xdr:colOff>38100</xdr:colOff>
      <xdr:row>29</xdr:row>
      <xdr:rowOff>104775</xdr:rowOff>
    </xdr:to>
    <xdr:sp macro="" textlink="">
      <xdr:nvSpPr>
        <xdr:cNvPr id="15" name="Line 104"/>
        <xdr:cNvSpPr>
          <a:spLocks noChangeShapeType="1"/>
        </xdr:cNvSpPr>
      </xdr:nvSpPr>
      <xdr:spPr bwMode="auto">
        <a:xfrm>
          <a:off x="11010900" y="16735425"/>
          <a:ext cx="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171450</xdr:colOff>
      <xdr:row>25</xdr:row>
      <xdr:rowOff>171449</xdr:rowOff>
    </xdr:from>
    <xdr:to>
      <xdr:col>28</xdr:col>
      <xdr:colOff>47625</xdr:colOff>
      <xdr:row>27</xdr:row>
      <xdr:rowOff>104774</xdr:rowOff>
    </xdr:to>
    <xdr:sp macro="" textlink="">
      <xdr:nvSpPr>
        <xdr:cNvPr id="16" name="Line 105"/>
        <xdr:cNvSpPr>
          <a:spLocks noChangeShapeType="1"/>
        </xdr:cNvSpPr>
      </xdr:nvSpPr>
      <xdr:spPr bwMode="auto">
        <a:xfrm flipH="1" flipV="1">
          <a:off x="7486650" y="16411574"/>
          <a:ext cx="353377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190500</xdr:colOff>
      <xdr:row>29</xdr:row>
      <xdr:rowOff>9525</xdr:rowOff>
    </xdr:from>
    <xdr:to>
      <xdr:col>27</xdr:col>
      <xdr:colOff>190500</xdr:colOff>
      <xdr:row>29</xdr:row>
      <xdr:rowOff>104775</xdr:rowOff>
    </xdr:to>
    <xdr:sp macro="" textlink="">
      <xdr:nvSpPr>
        <xdr:cNvPr id="17" name="Line 107"/>
        <xdr:cNvSpPr>
          <a:spLocks noChangeShapeType="1"/>
        </xdr:cNvSpPr>
      </xdr:nvSpPr>
      <xdr:spPr bwMode="auto">
        <a:xfrm flipV="1">
          <a:off x="10553700" y="1701165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285750</xdr:colOff>
      <xdr:row>29</xdr:row>
      <xdr:rowOff>95250</xdr:rowOff>
    </xdr:from>
    <xdr:to>
      <xdr:col>28</xdr:col>
      <xdr:colOff>304800</xdr:colOff>
      <xdr:row>29</xdr:row>
      <xdr:rowOff>95250</xdr:rowOff>
    </xdr:to>
    <xdr:sp macro="" textlink="">
      <xdr:nvSpPr>
        <xdr:cNvPr id="18" name="Line 108"/>
        <xdr:cNvSpPr>
          <a:spLocks noChangeShapeType="1"/>
        </xdr:cNvSpPr>
      </xdr:nvSpPr>
      <xdr:spPr bwMode="auto">
        <a:xfrm>
          <a:off x="10648950" y="17097375"/>
          <a:ext cx="6286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561975</xdr:colOff>
      <xdr:row>10</xdr:row>
      <xdr:rowOff>85725</xdr:rowOff>
    </xdr:from>
    <xdr:to>
      <xdr:col>22</xdr:col>
      <xdr:colOff>219075</xdr:colOff>
      <xdr:row>12</xdr:row>
      <xdr:rowOff>47625</xdr:rowOff>
    </xdr:to>
    <xdr:sp macro="" textlink="">
      <xdr:nvSpPr>
        <xdr:cNvPr id="19" name="Oval 112"/>
        <xdr:cNvSpPr>
          <a:spLocks noChangeArrowheads="1"/>
        </xdr:cNvSpPr>
      </xdr:nvSpPr>
      <xdr:spPr bwMode="auto">
        <a:xfrm>
          <a:off x="7267575" y="134683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314325</xdr:colOff>
      <xdr:row>27</xdr:row>
      <xdr:rowOff>76200</xdr:rowOff>
    </xdr:from>
    <xdr:to>
      <xdr:col>20</xdr:col>
      <xdr:colOff>581025</xdr:colOff>
      <xdr:row>29</xdr:row>
      <xdr:rowOff>38100</xdr:rowOff>
    </xdr:to>
    <xdr:sp macro="" textlink="">
      <xdr:nvSpPr>
        <xdr:cNvPr id="20" name="Oval 114"/>
        <xdr:cNvSpPr>
          <a:spLocks noChangeArrowheads="1"/>
        </xdr:cNvSpPr>
      </xdr:nvSpPr>
      <xdr:spPr bwMode="auto">
        <a:xfrm>
          <a:off x="6410325" y="1669732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22</xdr:col>
      <xdr:colOff>200025</xdr:colOff>
      <xdr:row>26</xdr:row>
      <xdr:rowOff>38100</xdr:rowOff>
    </xdr:from>
    <xdr:to>
      <xdr:col>22</xdr:col>
      <xdr:colOff>200025</xdr:colOff>
      <xdr:row>27</xdr:row>
      <xdr:rowOff>114300</xdr:rowOff>
    </xdr:to>
    <xdr:sp macro="" textlink="">
      <xdr:nvSpPr>
        <xdr:cNvPr id="21" name="Line 115"/>
        <xdr:cNvSpPr>
          <a:spLocks noChangeShapeType="1"/>
        </xdr:cNvSpPr>
      </xdr:nvSpPr>
      <xdr:spPr bwMode="auto">
        <a:xfrm>
          <a:off x="7515225" y="1646872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23</xdr:col>
      <xdr:colOff>276225</xdr:colOff>
      <xdr:row>15</xdr:row>
      <xdr:rowOff>9525</xdr:rowOff>
    </xdr:from>
    <xdr:to>
      <xdr:col>23</xdr:col>
      <xdr:colOff>276225</xdr:colOff>
      <xdr:row>17</xdr:row>
      <xdr:rowOff>95250</xdr:rowOff>
    </xdr:to>
    <xdr:sp macro="" textlink="">
      <xdr:nvSpPr>
        <xdr:cNvPr id="22" name="Line 116"/>
        <xdr:cNvSpPr>
          <a:spLocks noChangeShapeType="1"/>
        </xdr:cNvSpPr>
      </xdr:nvSpPr>
      <xdr:spPr bwMode="auto">
        <a:xfrm flipV="1">
          <a:off x="8201025" y="14344650"/>
          <a:ext cx="0" cy="4667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23</xdr:col>
      <xdr:colOff>257175</xdr:colOff>
      <xdr:row>25</xdr:row>
      <xdr:rowOff>104775</xdr:rowOff>
    </xdr:from>
    <xdr:to>
      <xdr:col>23</xdr:col>
      <xdr:colOff>257175</xdr:colOff>
      <xdr:row>28</xdr:row>
      <xdr:rowOff>28575</xdr:rowOff>
    </xdr:to>
    <xdr:sp macro="" textlink="">
      <xdr:nvSpPr>
        <xdr:cNvPr id="23" name="Line 117"/>
        <xdr:cNvSpPr>
          <a:spLocks noChangeShapeType="1"/>
        </xdr:cNvSpPr>
      </xdr:nvSpPr>
      <xdr:spPr bwMode="auto">
        <a:xfrm flipH="1">
          <a:off x="8181975" y="16344900"/>
          <a:ext cx="0" cy="4953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22</xdr:col>
      <xdr:colOff>419100</xdr:colOff>
      <xdr:row>9</xdr:row>
      <xdr:rowOff>114300</xdr:rowOff>
    </xdr:from>
    <xdr:to>
      <xdr:col>23</xdr:col>
      <xdr:colOff>76200</xdr:colOff>
      <xdr:row>11</xdr:row>
      <xdr:rowOff>104775</xdr:rowOff>
    </xdr:to>
    <xdr:sp macro="" textlink="">
      <xdr:nvSpPr>
        <xdr:cNvPr id="24" name="Oval 118"/>
        <xdr:cNvSpPr>
          <a:spLocks noChangeArrowheads="1"/>
        </xdr:cNvSpPr>
      </xdr:nvSpPr>
      <xdr:spPr bwMode="auto">
        <a:xfrm>
          <a:off x="7734300" y="13306425"/>
          <a:ext cx="266700" cy="3714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21</xdr:col>
      <xdr:colOff>428625</xdr:colOff>
      <xdr:row>28</xdr:row>
      <xdr:rowOff>133350</xdr:rowOff>
    </xdr:from>
    <xdr:to>
      <xdr:col>22</xdr:col>
      <xdr:colOff>85725</xdr:colOff>
      <xdr:row>30</xdr:row>
      <xdr:rowOff>95250</xdr:rowOff>
    </xdr:to>
    <xdr:sp macro="" textlink="">
      <xdr:nvSpPr>
        <xdr:cNvPr id="25" name="Oval 119"/>
        <xdr:cNvSpPr>
          <a:spLocks noChangeArrowheads="1"/>
        </xdr:cNvSpPr>
      </xdr:nvSpPr>
      <xdr:spPr bwMode="auto">
        <a:xfrm>
          <a:off x="7134225" y="1694497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27</xdr:col>
      <xdr:colOff>190500</xdr:colOff>
      <xdr:row>29</xdr:row>
      <xdr:rowOff>0</xdr:rowOff>
    </xdr:from>
    <xdr:to>
      <xdr:col>27</xdr:col>
      <xdr:colOff>276225</xdr:colOff>
      <xdr:row>32</xdr:row>
      <xdr:rowOff>9525</xdr:rowOff>
    </xdr:to>
    <xdr:sp macro="" textlink="">
      <xdr:nvSpPr>
        <xdr:cNvPr id="26" name="Line 120"/>
        <xdr:cNvSpPr>
          <a:spLocks noChangeShapeType="1"/>
        </xdr:cNvSpPr>
      </xdr:nvSpPr>
      <xdr:spPr bwMode="auto">
        <a:xfrm>
          <a:off x="10553700" y="17002125"/>
          <a:ext cx="85725" cy="581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276225</xdr:colOff>
      <xdr:row>29</xdr:row>
      <xdr:rowOff>104775</xdr:rowOff>
    </xdr:from>
    <xdr:to>
      <xdr:col>27</xdr:col>
      <xdr:colOff>285750</xdr:colOff>
      <xdr:row>32</xdr:row>
      <xdr:rowOff>9525</xdr:rowOff>
    </xdr:to>
    <xdr:sp macro="" textlink="">
      <xdr:nvSpPr>
        <xdr:cNvPr id="27" name="Line 121"/>
        <xdr:cNvSpPr>
          <a:spLocks noChangeShapeType="1"/>
        </xdr:cNvSpPr>
      </xdr:nvSpPr>
      <xdr:spPr bwMode="auto">
        <a:xfrm flipV="1">
          <a:off x="10639425" y="17106900"/>
          <a:ext cx="9525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22</xdr:col>
      <xdr:colOff>9525</xdr:colOff>
      <xdr:row>21</xdr:row>
      <xdr:rowOff>9525</xdr:rowOff>
    </xdr:from>
    <xdr:ext cx="123825" cy="180975"/>
    <xdr:sp macro="" textlink="">
      <xdr:nvSpPr>
        <xdr:cNvPr id="28" name="Text Box 132"/>
        <xdr:cNvSpPr txBox="1">
          <a:spLocks noChangeArrowheads="1"/>
        </xdr:cNvSpPr>
      </xdr:nvSpPr>
      <xdr:spPr bwMode="auto">
        <a:xfrm>
          <a:off x="7324725" y="154876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21</xdr:col>
      <xdr:colOff>581025</xdr:colOff>
      <xdr:row>18</xdr:row>
      <xdr:rowOff>0</xdr:rowOff>
    </xdr:from>
    <xdr:to>
      <xdr:col>21</xdr:col>
      <xdr:colOff>581025</xdr:colOff>
      <xdr:row>25</xdr:row>
      <xdr:rowOff>0</xdr:rowOff>
    </xdr:to>
    <xdr:sp macro="" textlink="">
      <xdr:nvSpPr>
        <xdr:cNvPr id="29" name="Line 134"/>
        <xdr:cNvSpPr>
          <a:spLocks noChangeShapeType="1"/>
        </xdr:cNvSpPr>
      </xdr:nvSpPr>
      <xdr:spPr bwMode="auto">
        <a:xfrm>
          <a:off x="7286625" y="14906625"/>
          <a:ext cx="0" cy="1333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21</xdr:col>
      <xdr:colOff>161925</xdr:colOff>
      <xdr:row>23</xdr:row>
      <xdr:rowOff>180975</xdr:rowOff>
    </xdr:from>
    <xdr:to>
      <xdr:col>21</xdr:col>
      <xdr:colOff>161925</xdr:colOff>
      <xdr:row>24</xdr:row>
      <xdr:rowOff>180975</xdr:rowOff>
    </xdr:to>
    <xdr:sp macro="" textlink="">
      <xdr:nvSpPr>
        <xdr:cNvPr id="30" name="Line 135"/>
        <xdr:cNvSpPr>
          <a:spLocks noChangeShapeType="1"/>
        </xdr:cNvSpPr>
      </xdr:nvSpPr>
      <xdr:spPr bwMode="auto">
        <a:xfrm>
          <a:off x="6867525" y="1604010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20</xdr:col>
      <xdr:colOff>238125</xdr:colOff>
      <xdr:row>16</xdr:row>
      <xdr:rowOff>38100</xdr:rowOff>
    </xdr:from>
    <xdr:to>
      <xdr:col>20</xdr:col>
      <xdr:colOff>238125</xdr:colOff>
      <xdr:row>17</xdr:row>
      <xdr:rowOff>38100</xdr:rowOff>
    </xdr:to>
    <xdr:sp macro="" textlink="">
      <xdr:nvSpPr>
        <xdr:cNvPr id="31" name="Line 136"/>
        <xdr:cNvSpPr>
          <a:spLocks noChangeShapeType="1"/>
        </xdr:cNvSpPr>
      </xdr:nvSpPr>
      <xdr:spPr bwMode="auto">
        <a:xfrm flipV="1">
          <a:off x="6334125" y="1456372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21</xdr:col>
      <xdr:colOff>514350</xdr:colOff>
      <xdr:row>17</xdr:row>
      <xdr:rowOff>0</xdr:rowOff>
    </xdr:from>
    <xdr:to>
      <xdr:col>22</xdr:col>
      <xdr:colOff>47625</xdr:colOff>
      <xdr:row>17</xdr:row>
      <xdr:rowOff>0</xdr:rowOff>
    </xdr:to>
    <xdr:sp macro="" textlink="">
      <xdr:nvSpPr>
        <xdr:cNvPr id="32" name="Line 137"/>
        <xdr:cNvSpPr>
          <a:spLocks noChangeShapeType="1"/>
        </xdr:cNvSpPr>
      </xdr:nvSpPr>
      <xdr:spPr bwMode="auto">
        <a:xfrm>
          <a:off x="7219950" y="147161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504825</xdr:colOff>
      <xdr:row>18</xdr:row>
      <xdr:rowOff>0</xdr:rowOff>
    </xdr:from>
    <xdr:to>
      <xdr:col>22</xdr:col>
      <xdr:colOff>9525</xdr:colOff>
      <xdr:row>18</xdr:row>
      <xdr:rowOff>0</xdr:rowOff>
    </xdr:to>
    <xdr:sp macro="" textlink="">
      <xdr:nvSpPr>
        <xdr:cNvPr id="33" name="Line 138"/>
        <xdr:cNvSpPr>
          <a:spLocks noChangeShapeType="1"/>
        </xdr:cNvSpPr>
      </xdr:nvSpPr>
      <xdr:spPr bwMode="auto">
        <a:xfrm>
          <a:off x="7210425" y="149066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514350</xdr:colOff>
      <xdr:row>26</xdr:row>
      <xdr:rowOff>0</xdr:rowOff>
    </xdr:from>
    <xdr:to>
      <xdr:col>22</xdr:col>
      <xdr:colOff>28575</xdr:colOff>
      <xdr:row>26</xdr:row>
      <xdr:rowOff>0</xdr:rowOff>
    </xdr:to>
    <xdr:sp macro="" textlink="">
      <xdr:nvSpPr>
        <xdr:cNvPr id="34" name="Line 139"/>
        <xdr:cNvSpPr>
          <a:spLocks noChangeShapeType="1"/>
        </xdr:cNvSpPr>
      </xdr:nvSpPr>
      <xdr:spPr bwMode="auto">
        <a:xfrm>
          <a:off x="7219950" y="16430625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533400</xdr:colOff>
      <xdr:row>25</xdr:row>
      <xdr:rowOff>0</xdr:rowOff>
    </xdr:from>
    <xdr:to>
      <xdr:col>22</xdr:col>
      <xdr:colOff>28575</xdr:colOff>
      <xdr:row>25</xdr:row>
      <xdr:rowOff>0</xdr:rowOff>
    </xdr:to>
    <xdr:sp macro="" textlink="">
      <xdr:nvSpPr>
        <xdr:cNvPr id="35" name="Line 140"/>
        <xdr:cNvSpPr>
          <a:spLocks noChangeShapeType="1"/>
        </xdr:cNvSpPr>
      </xdr:nvSpPr>
      <xdr:spPr bwMode="auto">
        <a:xfrm>
          <a:off x="7239000" y="162401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533400</xdr:colOff>
      <xdr:row>14</xdr:row>
      <xdr:rowOff>19050</xdr:rowOff>
    </xdr:from>
    <xdr:to>
      <xdr:col>26</xdr:col>
      <xdr:colOff>533400</xdr:colOff>
      <xdr:row>15</xdr:row>
      <xdr:rowOff>142875</xdr:rowOff>
    </xdr:to>
    <xdr:sp macro="" textlink="">
      <xdr:nvSpPr>
        <xdr:cNvPr id="36" name="Line 1024"/>
        <xdr:cNvSpPr>
          <a:spLocks noChangeShapeType="1"/>
        </xdr:cNvSpPr>
      </xdr:nvSpPr>
      <xdr:spPr bwMode="auto">
        <a:xfrm>
          <a:off x="10287000" y="1416367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26</xdr:col>
      <xdr:colOff>590550</xdr:colOff>
      <xdr:row>26</xdr:row>
      <xdr:rowOff>142875</xdr:rowOff>
    </xdr:from>
    <xdr:to>
      <xdr:col>26</xdr:col>
      <xdr:colOff>590550</xdr:colOff>
      <xdr:row>28</xdr:row>
      <xdr:rowOff>85725</xdr:rowOff>
    </xdr:to>
    <xdr:sp macro="" textlink="">
      <xdr:nvSpPr>
        <xdr:cNvPr id="37" name="Line 1025"/>
        <xdr:cNvSpPr>
          <a:spLocks noChangeShapeType="1"/>
        </xdr:cNvSpPr>
      </xdr:nvSpPr>
      <xdr:spPr bwMode="auto">
        <a:xfrm>
          <a:off x="10344150" y="16573500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28</xdr:col>
      <xdr:colOff>0</xdr:colOff>
      <xdr:row>12</xdr:row>
      <xdr:rowOff>133350</xdr:rowOff>
    </xdr:from>
    <xdr:to>
      <xdr:col>28</xdr:col>
      <xdr:colOff>0</xdr:colOff>
      <xdr:row>15</xdr:row>
      <xdr:rowOff>9525</xdr:rowOff>
    </xdr:to>
    <xdr:sp macro="" textlink="">
      <xdr:nvSpPr>
        <xdr:cNvPr id="38" name="Line 1026"/>
        <xdr:cNvSpPr>
          <a:spLocks noChangeShapeType="1"/>
        </xdr:cNvSpPr>
      </xdr:nvSpPr>
      <xdr:spPr bwMode="auto">
        <a:xfrm flipV="1">
          <a:off x="10972800" y="13896975"/>
          <a:ext cx="0" cy="44767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28</xdr:col>
      <xdr:colOff>9525</xdr:colOff>
      <xdr:row>27</xdr:row>
      <xdr:rowOff>114300</xdr:rowOff>
    </xdr:from>
    <xdr:to>
      <xdr:col>28</xdr:col>
      <xdr:colOff>9525</xdr:colOff>
      <xdr:row>32</xdr:row>
      <xdr:rowOff>85725</xdr:rowOff>
    </xdr:to>
    <xdr:sp macro="" textlink="">
      <xdr:nvSpPr>
        <xdr:cNvPr id="39" name="Line 1027"/>
        <xdr:cNvSpPr>
          <a:spLocks noChangeShapeType="1"/>
        </xdr:cNvSpPr>
      </xdr:nvSpPr>
      <xdr:spPr bwMode="auto">
        <a:xfrm>
          <a:off x="10982325" y="16735425"/>
          <a:ext cx="0" cy="9239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24</xdr:col>
      <xdr:colOff>190500</xdr:colOff>
      <xdr:row>10</xdr:row>
      <xdr:rowOff>123825</xdr:rowOff>
    </xdr:from>
    <xdr:to>
      <xdr:col>24</xdr:col>
      <xdr:colOff>457200</xdr:colOff>
      <xdr:row>12</xdr:row>
      <xdr:rowOff>85725</xdr:rowOff>
    </xdr:to>
    <xdr:sp macro="" textlink="">
      <xdr:nvSpPr>
        <xdr:cNvPr id="40" name="Oval 1028"/>
        <xdr:cNvSpPr>
          <a:spLocks noChangeArrowheads="1"/>
        </xdr:cNvSpPr>
      </xdr:nvSpPr>
      <xdr:spPr bwMode="auto">
        <a:xfrm>
          <a:off x="8724900" y="135064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581025</xdr:colOff>
      <xdr:row>28</xdr:row>
      <xdr:rowOff>180975</xdr:rowOff>
    </xdr:from>
    <xdr:to>
      <xdr:col>21</xdr:col>
      <xdr:colOff>238125</xdr:colOff>
      <xdr:row>30</xdr:row>
      <xdr:rowOff>142875</xdr:rowOff>
    </xdr:to>
    <xdr:sp macro="" textlink="">
      <xdr:nvSpPr>
        <xdr:cNvPr id="41" name="Oval 1029"/>
        <xdr:cNvSpPr>
          <a:spLocks noChangeArrowheads="1"/>
        </xdr:cNvSpPr>
      </xdr:nvSpPr>
      <xdr:spPr bwMode="auto">
        <a:xfrm>
          <a:off x="6677025" y="1699260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23</xdr:col>
      <xdr:colOff>485775</xdr:colOff>
      <xdr:row>9</xdr:row>
      <xdr:rowOff>104774</xdr:rowOff>
    </xdr:from>
    <xdr:to>
      <xdr:col>24</xdr:col>
      <xdr:colOff>142875</xdr:colOff>
      <xdr:row>11</xdr:row>
      <xdr:rowOff>66674</xdr:rowOff>
    </xdr:to>
    <xdr:sp macro="" textlink="">
      <xdr:nvSpPr>
        <xdr:cNvPr id="42" name="Oval 1030"/>
        <xdr:cNvSpPr>
          <a:spLocks noChangeArrowheads="1"/>
        </xdr:cNvSpPr>
      </xdr:nvSpPr>
      <xdr:spPr bwMode="auto">
        <a:xfrm>
          <a:off x="8410575" y="13296899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485775</xdr:colOff>
      <xdr:row>29</xdr:row>
      <xdr:rowOff>95250</xdr:rowOff>
    </xdr:from>
    <xdr:to>
      <xdr:col>28</xdr:col>
      <xdr:colOff>142875</xdr:colOff>
      <xdr:row>33</xdr:row>
      <xdr:rowOff>57150</xdr:rowOff>
    </xdr:to>
    <xdr:sp macro="" textlink="">
      <xdr:nvSpPr>
        <xdr:cNvPr id="43" name="Oval 1031"/>
        <xdr:cNvSpPr>
          <a:spLocks noChangeArrowheads="1"/>
        </xdr:cNvSpPr>
      </xdr:nvSpPr>
      <xdr:spPr bwMode="auto">
        <a:xfrm>
          <a:off x="10848975" y="17097375"/>
          <a:ext cx="266700" cy="723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28</xdr:col>
      <xdr:colOff>238125</xdr:colOff>
      <xdr:row>16</xdr:row>
      <xdr:rowOff>76200</xdr:rowOff>
    </xdr:from>
    <xdr:to>
      <xdr:col>29</xdr:col>
      <xdr:colOff>0</xdr:colOff>
      <xdr:row>16</xdr:row>
      <xdr:rowOff>76200</xdr:rowOff>
    </xdr:to>
    <xdr:sp macro="" textlink="">
      <xdr:nvSpPr>
        <xdr:cNvPr id="44" name="Line 1045"/>
        <xdr:cNvSpPr>
          <a:spLocks noChangeShapeType="1"/>
        </xdr:cNvSpPr>
      </xdr:nvSpPr>
      <xdr:spPr bwMode="auto">
        <a:xfrm flipV="1">
          <a:off x="11210925" y="14601825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238125</xdr:colOff>
      <xdr:row>26</xdr:row>
      <xdr:rowOff>142875</xdr:rowOff>
    </xdr:from>
    <xdr:to>
      <xdr:col>28</xdr:col>
      <xdr:colOff>400050</xdr:colOff>
      <xdr:row>26</xdr:row>
      <xdr:rowOff>142875</xdr:rowOff>
    </xdr:to>
    <xdr:sp macro="" textlink="">
      <xdr:nvSpPr>
        <xdr:cNvPr id="45" name="Line 1046"/>
        <xdr:cNvSpPr>
          <a:spLocks noChangeShapeType="1"/>
        </xdr:cNvSpPr>
      </xdr:nvSpPr>
      <xdr:spPr bwMode="auto">
        <a:xfrm>
          <a:off x="11210925" y="1657350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600075</xdr:colOff>
      <xdr:row>17</xdr:row>
      <xdr:rowOff>19050</xdr:rowOff>
    </xdr:from>
    <xdr:to>
      <xdr:col>26</xdr:col>
      <xdr:colOff>600075</xdr:colOff>
      <xdr:row>26</xdr:row>
      <xdr:rowOff>28575</xdr:rowOff>
    </xdr:to>
    <xdr:sp macro="" textlink="">
      <xdr:nvSpPr>
        <xdr:cNvPr id="46" name="Line 1050"/>
        <xdr:cNvSpPr>
          <a:spLocks noChangeShapeType="1"/>
        </xdr:cNvSpPr>
      </xdr:nvSpPr>
      <xdr:spPr bwMode="auto">
        <a:xfrm>
          <a:off x="10353675" y="14735175"/>
          <a:ext cx="0" cy="1724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22</xdr:col>
      <xdr:colOff>133350</xdr:colOff>
      <xdr:row>22</xdr:row>
      <xdr:rowOff>28575</xdr:rowOff>
    </xdr:from>
    <xdr:to>
      <xdr:col>22</xdr:col>
      <xdr:colOff>133350</xdr:colOff>
      <xdr:row>32</xdr:row>
      <xdr:rowOff>85725</xdr:rowOff>
    </xdr:to>
    <xdr:sp macro="" textlink="">
      <xdr:nvSpPr>
        <xdr:cNvPr id="47" name="Line 4301"/>
        <xdr:cNvSpPr>
          <a:spLocks noChangeShapeType="1"/>
        </xdr:cNvSpPr>
      </xdr:nvSpPr>
      <xdr:spPr bwMode="auto">
        <a:xfrm>
          <a:off x="7448550" y="15697200"/>
          <a:ext cx="0" cy="1962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22</xdr:col>
      <xdr:colOff>76200</xdr:colOff>
      <xdr:row>33</xdr:row>
      <xdr:rowOff>28575</xdr:rowOff>
    </xdr:from>
    <xdr:to>
      <xdr:col>23</xdr:col>
      <xdr:colOff>76200</xdr:colOff>
      <xdr:row>33</xdr:row>
      <xdr:rowOff>38101</xdr:rowOff>
    </xdr:to>
    <xdr:cxnSp macro="">
      <xdr:nvCxnSpPr>
        <xdr:cNvPr id="48" name="Straight Arrow Connector 47"/>
        <xdr:cNvCxnSpPr/>
      </xdr:nvCxnSpPr>
      <xdr:spPr bwMode="auto">
        <a:xfrm flipV="1">
          <a:off x="7391400" y="17792700"/>
          <a:ext cx="609600" cy="952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22</xdr:col>
      <xdr:colOff>190501</xdr:colOff>
      <xdr:row>32</xdr:row>
      <xdr:rowOff>9527</xdr:rowOff>
    </xdr:from>
    <xdr:to>
      <xdr:col>22</xdr:col>
      <xdr:colOff>200029</xdr:colOff>
      <xdr:row>35</xdr:row>
      <xdr:rowOff>133348</xdr:rowOff>
    </xdr:to>
    <xdr:cxnSp macro="">
      <xdr:nvCxnSpPr>
        <xdr:cNvPr id="49" name="Straight Connector 48"/>
        <xdr:cNvCxnSpPr/>
      </xdr:nvCxnSpPr>
      <xdr:spPr bwMode="auto">
        <a:xfrm rot="16200000" flipH="1">
          <a:off x="7162804" y="17926049"/>
          <a:ext cx="695321" cy="952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28</xdr:col>
      <xdr:colOff>219075</xdr:colOff>
      <xdr:row>32</xdr:row>
      <xdr:rowOff>134145</xdr:rowOff>
    </xdr:from>
    <xdr:to>
      <xdr:col>28</xdr:col>
      <xdr:colOff>219870</xdr:colOff>
      <xdr:row>35</xdr:row>
      <xdr:rowOff>142879</xdr:rowOff>
    </xdr:to>
    <xdr:cxnSp macro="">
      <xdr:nvCxnSpPr>
        <xdr:cNvPr id="50" name="Straight Connector 49"/>
        <xdr:cNvCxnSpPr/>
      </xdr:nvCxnSpPr>
      <xdr:spPr bwMode="auto">
        <a:xfrm rot="5400000">
          <a:off x="10902156" y="17997489"/>
          <a:ext cx="580234" cy="79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22</xdr:col>
      <xdr:colOff>190500</xdr:colOff>
      <xdr:row>35</xdr:row>
      <xdr:rowOff>0</xdr:rowOff>
    </xdr:from>
    <xdr:to>
      <xdr:col>28</xdr:col>
      <xdr:colOff>209550</xdr:colOff>
      <xdr:row>35</xdr:row>
      <xdr:rowOff>2</xdr:rowOff>
    </xdr:to>
    <xdr:cxnSp macro="">
      <xdr:nvCxnSpPr>
        <xdr:cNvPr id="51" name="Straight Arrow Connector 50"/>
        <xdr:cNvCxnSpPr/>
      </xdr:nvCxnSpPr>
      <xdr:spPr bwMode="auto">
        <a:xfrm>
          <a:off x="7505700" y="18145125"/>
          <a:ext cx="367665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22</xdr:col>
      <xdr:colOff>200025</xdr:colOff>
      <xdr:row>34</xdr:row>
      <xdr:rowOff>0</xdr:rowOff>
    </xdr:from>
    <xdr:to>
      <xdr:col>26</xdr:col>
      <xdr:colOff>590550</xdr:colOff>
      <xdr:row>34</xdr:row>
      <xdr:rowOff>1588</xdr:rowOff>
    </xdr:to>
    <xdr:cxnSp macro="">
      <xdr:nvCxnSpPr>
        <xdr:cNvPr id="52" name="Straight Arrow Connector 51"/>
        <xdr:cNvCxnSpPr/>
      </xdr:nvCxnSpPr>
      <xdr:spPr bwMode="auto">
        <a:xfrm>
          <a:off x="7515225" y="17954625"/>
          <a:ext cx="2828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26</xdr:col>
      <xdr:colOff>571500</xdr:colOff>
      <xdr:row>34</xdr:row>
      <xdr:rowOff>9525</xdr:rowOff>
    </xdr:from>
    <xdr:to>
      <xdr:col>28</xdr:col>
      <xdr:colOff>200025</xdr:colOff>
      <xdr:row>34</xdr:row>
      <xdr:rowOff>11113</xdr:rowOff>
    </xdr:to>
    <xdr:cxnSp macro="">
      <xdr:nvCxnSpPr>
        <xdr:cNvPr id="53" name="Straight Arrow Connector 52"/>
        <xdr:cNvCxnSpPr/>
      </xdr:nvCxnSpPr>
      <xdr:spPr bwMode="auto">
        <a:xfrm>
          <a:off x="10325100" y="17964150"/>
          <a:ext cx="8477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21</xdr:col>
      <xdr:colOff>523875</xdr:colOff>
      <xdr:row>28</xdr:row>
      <xdr:rowOff>85725</xdr:rowOff>
    </xdr:from>
    <xdr:to>
      <xdr:col>22</xdr:col>
      <xdr:colOff>180975</xdr:colOff>
      <xdr:row>30</xdr:row>
      <xdr:rowOff>47625</xdr:rowOff>
    </xdr:to>
    <xdr:sp macro="" textlink="">
      <xdr:nvSpPr>
        <xdr:cNvPr id="54" name="Oval 1028"/>
        <xdr:cNvSpPr>
          <a:spLocks noChangeArrowheads="1"/>
        </xdr:cNvSpPr>
      </xdr:nvSpPr>
      <xdr:spPr bwMode="auto">
        <a:xfrm>
          <a:off x="7229475" y="168973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24</xdr:col>
      <xdr:colOff>600075</xdr:colOff>
      <xdr:row>17</xdr:row>
      <xdr:rowOff>104778</xdr:rowOff>
    </xdr:from>
    <xdr:to>
      <xdr:col>25</xdr:col>
      <xdr:colOff>0</xdr:colOff>
      <xdr:row>25</xdr:row>
      <xdr:rowOff>85728</xdr:rowOff>
    </xdr:to>
    <xdr:cxnSp macro="">
      <xdr:nvCxnSpPr>
        <xdr:cNvPr id="55" name="Straight Arrow Connector 54"/>
        <xdr:cNvCxnSpPr/>
      </xdr:nvCxnSpPr>
      <xdr:spPr bwMode="auto">
        <a:xfrm rot="5400000">
          <a:off x="8386763" y="15568615"/>
          <a:ext cx="150495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24</xdr:col>
      <xdr:colOff>608806</xdr:colOff>
      <xdr:row>15</xdr:row>
      <xdr:rowOff>48419</xdr:rowOff>
    </xdr:from>
    <xdr:to>
      <xdr:col>25</xdr:col>
      <xdr:colOff>794</xdr:colOff>
      <xdr:row>16</xdr:row>
      <xdr:rowOff>48419</xdr:rowOff>
    </xdr:to>
    <xdr:cxnSp macro="">
      <xdr:nvCxnSpPr>
        <xdr:cNvPr id="56" name="Straight Connector 55"/>
        <xdr:cNvCxnSpPr/>
      </xdr:nvCxnSpPr>
      <xdr:spPr bwMode="auto">
        <a:xfrm rot="5400000" flipH="1" flipV="1">
          <a:off x="9048750" y="14478000"/>
          <a:ext cx="1905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600076</xdr:colOff>
      <xdr:row>26</xdr:row>
      <xdr:rowOff>104775</xdr:rowOff>
    </xdr:from>
    <xdr:to>
      <xdr:col>25</xdr:col>
      <xdr:colOff>1</xdr:colOff>
      <xdr:row>28</xdr:row>
      <xdr:rowOff>0</xdr:rowOff>
    </xdr:to>
    <xdr:cxnSp macro="">
      <xdr:nvCxnSpPr>
        <xdr:cNvPr id="57" name="Straight Connector 56"/>
        <xdr:cNvCxnSpPr/>
      </xdr:nvCxnSpPr>
      <xdr:spPr bwMode="auto">
        <a:xfrm rot="16200000" flipV="1">
          <a:off x="9001126" y="16668750"/>
          <a:ext cx="27622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104775</xdr:colOff>
      <xdr:row>31</xdr:row>
      <xdr:rowOff>19050</xdr:rowOff>
    </xdr:from>
    <xdr:to>
      <xdr:col>23</xdr:col>
      <xdr:colOff>114301</xdr:colOff>
      <xdr:row>32</xdr:row>
      <xdr:rowOff>123826</xdr:rowOff>
    </xdr:to>
    <xdr:cxnSp macro="">
      <xdr:nvCxnSpPr>
        <xdr:cNvPr id="58" name="Straight Connector 57"/>
        <xdr:cNvCxnSpPr/>
      </xdr:nvCxnSpPr>
      <xdr:spPr bwMode="auto">
        <a:xfrm rot="16200000" flipH="1">
          <a:off x="7886700" y="17545050"/>
          <a:ext cx="295276" cy="9526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22</xdr:col>
      <xdr:colOff>208757</xdr:colOff>
      <xdr:row>15</xdr:row>
      <xdr:rowOff>48419</xdr:rowOff>
    </xdr:from>
    <xdr:to>
      <xdr:col>22</xdr:col>
      <xdr:colOff>210345</xdr:colOff>
      <xdr:row>17</xdr:row>
      <xdr:rowOff>57944</xdr:rowOff>
    </xdr:to>
    <xdr:cxnSp macro="">
      <xdr:nvCxnSpPr>
        <xdr:cNvPr id="59" name="Straight Connector 58"/>
        <xdr:cNvCxnSpPr/>
      </xdr:nvCxnSpPr>
      <xdr:spPr bwMode="auto">
        <a:xfrm rot="5400000">
          <a:off x="7329488" y="14578013"/>
          <a:ext cx="3905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lg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275431</xdr:colOff>
      <xdr:row>22</xdr:row>
      <xdr:rowOff>29369</xdr:rowOff>
    </xdr:from>
    <xdr:to>
      <xdr:col>23</xdr:col>
      <xdr:colOff>277019</xdr:colOff>
      <xdr:row>25</xdr:row>
      <xdr:rowOff>10319</xdr:rowOff>
    </xdr:to>
    <xdr:cxnSp macro="">
      <xdr:nvCxnSpPr>
        <xdr:cNvPr id="60" name="Straight Arrow Connector 59"/>
        <xdr:cNvCxnSpPr/>
      </xdr:nvCxnSpPr>
      <xdr:spPr bwMode="auto">
        <a:xfrm rot="5400000">
          <a:off x="7924800" y="15973425"/>
          <a:ext cx="5524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23</xdr:col>
      <xdr:colOff>304007</xdr:colOff>
      <xdr:row>18</xdr:row>
      <xdr:rowOff>10319</xdr:rowOff>
    </xdr:from>
    <xdr:to>
      <xdr:col>23</xdr:col>
      <xdr:colOff>305595</xdr:colOff>
      <xdr:row>20</xdr:row>
      <xdr:rowOff>172244</xdr:rowOff>
    </xdr:to>
    <xdr:cxnSp macro="">
      <xdr:nvCxnSpPr>
        <xdr:cNvPr id="61" name="Straight Arrow Connector 60"/>
        <xdr:cNvCxnSpPr/>
      </xdr:nvCxnSpPr>
      <xdr:spPr bwMode="auto">
        <a:xfrm rot="5400000" flipH="1" flipV="1">
          <a:off x="7958138" y="15187613"/>
          <a:ext cx="542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21</xdr:col>
      <xdr:colOff>552450</xdr:colOff>
      <xdr:row>13</xdr:row>
      <xdr:rowOff>171450</xdr:rowOff>
    </xdr:from>
    <xdr:to>
      <xdr:col>22</xdr:col>
      <xdr:colOff>314325</xdr:colOff>
      <xdr:row>13</xdr:row>
      <xdr:rowOff>171450</xdr:rowOff>
    </xdr:to>
    <xdr:sp macro="" textlink="">
      <xdr:nvSpPr>
        <xdr:cNvPr id="62" name="Line 1045"/>
        <xdr:cNvSpPr>
          <a:spLocks noChangeShapeType="1"/>
        </xdr:cNvSpPr>
      </xdr:nvSpPr>
      <xdr:spPr bwMode="auto">
        <a:xfrm flipV="1">
          <a:off x="7258050" y="14125575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219075</xdr:colOff>
      <xdr:row>26</xdr:row>
      <xdr:rowOff>133350</xdr:rowOff>
    </xdr:from>
    <xdr:to>
      <xdr:col>22</xdr:col>
      <xdr:colOff>381000</xdr:colOff>
      <xdr:row>26</xdr:row>
      <xdr:rowOff>133350</xdr:rowOff>
    </xdr:to>
    <xdr:sp macro="" textlink="">
      <xdr:nvSpPr>
        <xdr:cNvPr id="63" name="Line 1046"/>
        <xdr:cNvSpPr>
          <a:spLocks noChangeShapeType="1"/>
        </xdr:cNvSpPr>
      </xdr:nvSpPr>
      <xdr:spPr bwMode="auto">
        <a:xfrm>
          <a:off x="7534275" y="165639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601980</xdr:colOff>
      <xdr:row>11</xdr:row>
      <xdr:rowOff>171450</xdr:rowOff>
    </xdr:from>
    <xdr:to>
      <xdr:col>22</xdr:col>
      <xdr:colOff>38099</xdr:colOff>
      <xdr:row>22</xdr:row>
      <xdr:rowOff>104775</xdr:rowOff>
    </xdr:to>
    <xdr:sp macro="" textlink="">
      <xdr:nvSpPr>
        <xdr:cNvPr id="64" name="Line 1050"/>
        <xdr:cNvSpPr>
          <a:spLocks noChangeShapeType="1"/>
        </xdr:cNvSpPr>
      </xdr:nvSpPr>
      <xdr:spPr bwMode="auto">
        <a:xfrm flipH="1">
          <a:off x="7307580" y="13744575"/>
          <a:ext cx="45719" cy="20288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23</xdr:col>
      <xdr:colOff>552450</xdr:colOff>
      <xdr:row>11</xdr:row>
      <xdr:rowOff>85725</xdr:rowOff>
    </xdr:from>
    <xdr:to>
      <xdr:col>24</xdr:col>
      <xdr:colOff>209550</xdr:colOff>
      <xdr:row>13</xdr:row>
      <xdr:rowOff>76200</xdr:rowOff>
    </xdr:to>
    <xdr:sp macro="" textlink="">
      <xdr:nvSpPr>
        <xdr:cNvPr id="65" name="Oval 1028"/>
        <xdr:cNvSpPr>
          <a:spLocks noChangeArrowheads="1"/>
        </xdr:cNvSpPr>
      </xdr:nvSpPr>
      <xdr:spPr bwMode="auto">
        <a:xfrm>
          <a:off x="8477250" y="13658850"/>
          <a:ext cx="266700" cy="3714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25</xdr:col>
      <xdr:colOff>8731</xdr:colOff>
      <xdr:row>12</xdr:row>
      <xdr:rowOff>48419</xdr:rowOff>
    </xdr:from>
    <xdr:to>
      <xdr:col>25</xdr:col>
      <xdr:colOff>10319</xdr:colOff>
      <xdr:row>15</xdr:row>
      <xdr:rowOff>29369</xdr:rowOff>
    </xdr:to>
    <xdr:cxnSp macro="">
      <xdr:nvCxnSpPr>
        <xdr:cNvPr id="66" name="Straight Arrow Connector 65"/>
        <xdr:cNvCxnSpPr/>
      </xdr:nvCxnSpPr>
      <xdr:spPr bwMode="auto">
        <a:xfrm rot="5400000">
          <a:off x="8877300" y="14087475"/>
          <a:ext cx="5524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22</xdr:col>
      <xdr:colOff>94461</xdr:colOff>
      <xdr:row>16</xdr:row>
      <xdr:rowOff>124620</xdr:rowOff>
    </xdr:from>
    <xdr:to>
      <xdr:col>22</xdr:col>
      <xdr:colOff>96049</xdr:colOff>
      <xdr:row>19</xdr:row>
      <xdr:rowOff>96045</xdr:rowOff>
    </xdr:to>
    <xdr:cxnSp macro="">
      <xdr:nvCxnSpPr>
        <xdr:cNvPr id="67" name="Straight Arrow Connector 66"/>
        <xdr:cNvCxnSpPr/>
      </xdr:nvCxnSpPr>
      <xdr:spPr bwMode="auto">
        <a:xfrm rot="5400000" flipH="1" flipV="1">
          <a:off x="7138992" y="14920914"/>
          <a:ext cx="542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21</xdr:col>
      <xdr:colOff>95250</xdr:colOff>
      <xdr:row>13</xdr:row>
      <xdr:rowOff>104775</xdr:rowOff>
    </xdr:from>
    <xdr:to>
      <xdr:col>21</xdr:col>
      <xdr:colOff>466725</xdr:colOff>
      <xdr:row>13</xdr:row>
      <xdr:rowOff>104775</xdr:rowOff>
    </xdr:to>
    <xdr:sp macro="" textlink="">
      <xdr:nvSpPr>
        <xdr:cNvPr id="68" name="Line 1045"/>
        <xdr:cNvSpPr>
          <a:spLocks noChangeShapeType="1"/>
        </xdr:cNvSpPr>
      </xdr:nvSpPr>
      <xdr:spPr bwMode="auto">
        <a:xfrm flipV="1">
          <a:off x="6800850" y="14058900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152400</xdr:colOff>
      <xdr:row>50</xdr:row>
      <xdr:rowOff>180975</xdr:rowOff>
    </xdr:from>
    <xdr:to>
      <xdr:col>29</xdr:col>
      <xdr:colOff>171450</xdr:colOff>
      <xdr:row>54</xdr:row>
      <xdr:rowOff>9525</xdr:rowOff>
    </xdr:to>
    <xdr:sp macro="" textlink="">
      <xdr:nvSpPr>
        <xdr:cNvPr id="69" name="Line 13"/>
        <xdr:cNvSpPr>
          <a:spLocks noChangeShapeType="1"/>
        </xdr:cNvSpPr>
      </xdr:nvSpPr>
      <xdr:spPr bwMode="auto">
        <a:xfrm>
          <a:off x="12954000" y="5667375"/>
          <a:ext cx="1847850" cy="5619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171450</xdr:colOff>
      <xdr:row>50</xdr:row>
      <xdr:rowOff>152400</xdr:rowOff>
    </xdr:from>
    <xdr:to>
      <xdr:col>26</xdr:col>
      <xdr:colOff>171450</xdr:colOff>
      <xdr:row>62</xdr:row>
      <xdr:rowOff>85725</xdr:rowOff>
    </xdr:to>
    <xdr:sp macro="" textlink="">
      <xdr:nvSpPr>
        <xdr:cNvPr id="70" name="Line 14"/>
        <xdr:cNvSpPr>
          <a:spLocks noChangeShapeType="1"/>
        </xdr:cNvSpPr>
      </xdr:nvSpPr>
      <xdr:spPr bwMode="auto">
        <a:xfrm flipH="1">
          <a:off x="12973050" y="5638800"/>
          <a:ext cx="0" cy="21050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171450</xdr:colOff>
      <xdr:row>62</xdr:row>
      <xdr:rowOff>85725</xdr:rowOff>
    </xdr:from>
    <xdr:to>
      <xdr:col>27</xdr:col>
      <xdr:colOff>142875</xdr:colOff>
      <xdr:row>64</xdr:row>
      <xdr:rowOff>9525</xdr:rowOff>
    </xdr:to>
    <xdr:sp macro="" textlink="">
      <xdr:nvSpPr>
        <xdr:cNvPr id="71" name="Line 15"/>
        <xdr:cNvSpPr>
          <a:spLocks noChangeShapeType="1"/>
        </xdr:cNvSpPr>
      </xdr:nvSpPr>
      <xdr:spPr bwMode="auto">
        <a:xfrm>
          <a:off x="12973050" y="7743825"/>
          <a:ext cx="581025" cy="2476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114300</xdr:colOff>
      <xdr:row>51</xdr:row>
      <xdr:rowOff>0</xdr:rowOff>
    </xdr:from>
    <xdr:to>
      <xdr:col>27</xdr:col>
      <xdr:colOff>123825</xdr:colOff>
      <xdr:row>65</xdr:row>
      <xdr:rowOff>152400</xdr:rowOff>
    </xdr:to>
    <xdr:sp macro="" textlink="">
      <xdr:nvSpPr>
        <xdr:cNvPr id="72" name="Line 16"/>
        <xdr:cNvSpPr>
          <a:spLocks noChangeShapeType="1"/>
        </xdr:cNvSpPr>
      </xdr:nvSpPr>
      <xdr:spPr bwMode="auto">
        <a:xfrm>
          <a:off x="13525500" y="5676900"/>
          <a:ext cx="9525" cy="261937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64</xdr:row>
      <xdr:rowOff>0</xdr:rowOff>
    </xdr:from>
    <xdr:to>
      <xdr:col>31</xdr:col>
      <xdr:colOff>219075</xdr:colOff>
      <xdr:row>64</xdr:row>
      <xdr:rowOff>0</xdr:rowOff>
    </xdr:to>
    <xdr:sp macro="" textlink="">
      <xdr:nvSpPr>
        <xdr:cNvPr id="73" name="Line 17"/>
        <xdr:cNvSpPr>
          <a:spLocks noChangeShapeType="1"/>
        </xdr:cNvSpPr>
      </xdr:nvSpPr>
      <xdr:spPr bwMode="auto">
        <a:xfrm flipV="1">
          <a:off x="13563600" y="7981950"/>
          <a:ext cx="25050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123825</xdr:colOff>
      <xdr:row>62</xdr:row>
      <xdr:rowOff>76200</xdr:rowOff>
    </xdr:from>
    <xdr:to>
      <xdr:col>31</xdr:col>
      <xdr:colOff>571500</xdr:colOff>
      <xdr:row>62</xdr:row>
      <xdr:rowOff>85725</xdr:rowOff>
    </xdr:to>
    <xdr:sp macro="" textlink="">
      <xdr:nvSpPr>
        <xdr:cNvPr id="74" name="Line 19"/>
        <xdr:cNvSpPr>
          <a:spLocks noChangeShapeType="1"/>
        </xdr:cNvSpPr>
      </xdr:nvSpPr>
      <xdr:spPr bwMode="auto">
        <a:xfrm flipH="1" flipV="1">
          <a:off x="13535025" y="7734300"/>
          <a:ext cx="28860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152011</xdr:colOff>
      <xdr:row>60</xdr:row>
      <xdr:rowOff>162120</xdr:rowOff>
    </xdr:from>
    <xdr:to>
      <xdr:col>27</xdr:col>
      <xdr:colOff>104386</xdr:colOff>
      <xdr:row>62</xdr:row>
      <xdr:rowOff>85920</xdr:rowOff>
    </xdr:to>
    <xdr:sp macro="" textlink="">
      <xdr:nvSpPr>
        <xdr:cNvPr id="75" name="Line 20"/>
        <xdr:cNvSpPr>
          <a:spLocks noChangeShapeType="1"/>
        </xdr:cNvSpPr>
      </xdr:nvSpPr>
      <xdr:spPr bwMode="auto">
        <a:xfrm flipH="1" flipV="1">
          <a:off x="12953611" y="7467795"/>
          <a:ext cx="561975" cy="2762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600075</xdr:colOff>
      <xdr:row>62</xdr:row>
      <xdr:rowOff>76200</xdr:rowOff>
    </xdr:from>
    <xdr:to>
      <xdr:col>31</xdr:col>
      <xdr:colOff>600075</xdr:colOff>
      <xdr:row>65</xdr:row>
      <xdr:rowOff>9525</xdr:rowOff>
    </xdr:to>
    <xdr:sp macro="" textlink="">
      <xdr:nvSpPr>
        <xdr:cNvPr id="76" name="Line 21"/>
        <xdr:cNvSpPr>
          <a:spLocks noChangeShapeType="1"/>
        </xdr:cNvSpPr>
      </xdr:nvSpPr>
      <xdr:spPr bwMode="auto">
        <a:xfrm flipH="1">
          <a:off x="16449675" y="7734300"/>
          <a:ext cx="0" cy="4191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209550</xdr:colOff>
      <xdr:row>64</xdr:row>
      <xdr:rowOff>9525</xdr:rowOff>
    </xdr:from>
    <xdr:to>
      <xdr:col>31</xdr:col>
      <xdr:colOff>371475</xdr:colOff>
      <xdr:row>65</xdr:row>
      <xdr:rowOff>9525</xdr:rowOff>
    </xdr:to>
    <xdr:sp macro="" textlink="">
      <xdr:nvSpPr>
        <xdr:cNvPr id="77" name="Line 22"/>
        <xdr:cNvSpPr>
          <a:spLocks noChangeShapeType="1"/>
        </xdr:cNvSpPr>
      </xdr:nvSpPr>
      <xdr:spPr bwMode="auto">
        <a:xfrm>
          <a:off x="16059150" y="7991475"/>
          <a:ext cx="161925" cy="1619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581025</xdr:colOff>
      <xdr:row>65</xdr:row>
      <xdr:rowOff>0</xdr:rowOff>
    </xdr:from>
    <xdr:to>
      <xdr:col>31</xdr:col>
      <xdr:colOff>581025</xdr:colOff>
      <xdr:row>65</xdr:row>
      <xdr:rowOff>0</xdr:rowOff>
    </xdr:to>
    <xdr:sp macro="" textlink="">
      <xdr:nvSpPr>
        <xdr:cNvPr id="78" name="Line 23"/>
        <xdr:cNvSpPr>
          <a:spLocks noChangeShapeType="1"/>
        </xdr:cNvSpPr>
      </xdr:nvSpPr>
      <xdr:spPr bwMode="auto">
        <a:xfrm>
          <a:off x="16430625" y="81438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180975</xdr:colOff>
      <xdr:row>56</xdr:row>
      <xdr:rowOff>19050</xdr:rowOff>
    </xdr:from>
    <xdr:to>
      <xdr:col>31</xdr:col>
      <xdr:colOff>190500</xdr:colOff>
      <xdr:row>57</xdr:row>
      <xdr:rowOff>74294</xdr:rowOff>
    </xdr:to>
    <xdr:sp macro="" textlink="">
      <xdr:nvSpPr>
        <xdr:cNvPr id="79" name="Line 24"/>
        <xdr:cNvSpPr>
          <a:spLocks noChangeShapeType="1"/>
        </xdr:cNvSpPr>
      </xdr:nvSpPr>
      <xdr:spPr bwMode="auto">
        <a:xfrm flipV="1">
          <a:off x="12982575" y="6619875"/>
          <a:ext cx="3057525" cy="217169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26</xdr:col>
      <xdr:colOff>180975</xdr:colOff>
      <xdr:row>63</xdr:row>
      <xdr:rowOff>0</xdr:rowOff>
    </xdr:from>
    <xdr:to>
      <xdr:col>26</xdr:col>
      <xdr:colOff>180975</xdr:colOff>
      <xdr:row>66</xdr:row>
      <xdr:rowOff>19050</xdr:rowOff>
    </xdr:to>
    <xdr:sp macro="" textlink="">
      <xdr:nvSpPr>
        <xdr:cNvPr id="80" name="Line 25"/>
        <xdr:cNvSpPr>
          <a:spLocks noChangeShapeType="1"/>
        </xdr:cNvSpPr>
      </xdr:nvSpPr>
      <xdr:spPr bwMode="auto">
        <a:xfrm flipH="1">
          <a:off x="12982575" y="7820025"/>
          <a:ext cx="0" cy="50482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26</xdr:col>
      <xdr:colOff>171450</xdr:colOff>
      <xdr:row>48</xdr:row>
      <xdr:rowOff>9525</xdr:rowOff>
    </xdr:from>
    <xdr:to>
      <xdr:col>26</xdr:col>
      <xdr:colOff>171450</xdr:colOff>
      <xdr:row>50</xdr:row>
      <xdr:rowOff>95250</xdr:rowOff>
    </xdr:to>
    <xdr:sp macro="" textlink="">
      <xdr:nvSpPr>
        <xdr:cNvPr id="81" name="Line 26"/>
        <xdr:cNvSpPr>
          <a:spLocks noChangeShapeType="1"/>
        </xdr:cNvSpPr>
      </xdr:nvSpPr>
      <xdr:spPr bwMode="auto">
        <a:xfrm flipV="1">
          <a:off x="12973050" y="5172075"/>
          <a:ext cx="0" cy="40957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28</xdr:col>
      <xdr:colOff>333375</xdr:colOff>
      <xdr:row>59</xdr:row>
      <xdr:rowOff>0</xdr:rowOff>
    </xdr:from>
    <xdr:to>
      <xdr:col>29</xdr:col>
      <xdr:colOff>409575</xdr:colOff>
      <xdr:row>59</xdr:row>
      <xdr:rowOff>0</xdr:rowOff>
    </xdr:to>
    <xdr:sp macro="" textlink="">
      <xdr:nvSpPr>
        <xdr:cNvPr id="82" name="Line 28"/>
        <xdr:cNvSpPr>
          <a:spLocks noChangeShapeType="1"/>
        </xdr:cNvSpPr>
      </xdr:nvSpPr>
      <xdr:spPr bwMode="auto">
        <a:xfrm>
          <a:off x="14354175" y="7115175"/>
          <a:ext cx="685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276225</xdr:colOff>
      <xdr:row>58</xdr:row>
      <xdr:rowOff>66675</xdr:rowOff>
    </xdr:from>
    <xdr:to>
      <xdr:col>28</xdr:col>
      <xdr:colOff>352425</xdr:colOff>
      <xdr:row>59</xdr:row>
      <xdr:rowOff>0</xdr:rowOff>
    </xdr:to>
    <xdr:sp macro="" textlink="">
      <xdr:nvSpPr>
        <xdr:cNvPr id="83" name="AutoShape 29"/>
        <xdr:cNvSpPr>
          <a:spLocks noChangeArrowheads="1"/>
        </xdr:cNvSpPr>
      </xdr:nvSpPr>
      <xdr:spPr bwMode="auto">
        <a:xfrm>
          <a:off x="14297025" y="6991350"/>
          <a:ext cx="76200" cy="123825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247650</xdr:colOff>
      <xdr:row>59</xdr:row>
      <xdr:rowOff>28575</xdr:rowOff>
    </xdr:from>
    <xdr:to>
      <xdr:col>28</xdr:col>
      <xdr:colOff>409575</xdr:colOff>
      <xdr:row>59</xdr:row>
      <xdr:rowOff>28575</xdr:rowOff>
    </xdr:to>
    <xdr:sp macro="" textlink="">
      <xdr:nvSpPr>
        <xdr:cNvPr id="84" name="Line 30"/>
        <xdr:cNvSpPr>
          <a:spLocks noChangeShapeType="1"/>
        </xdr:cNvSpPr>
      </xdr:nvSpPr>
      <xdr:spPr bwMode="auto">
        <a:xfrm>
          <a:off x="14268450" y="714375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295275</xdr:colOff>
      <xdr:row>59</xdr:row>
      <xdr:rowOff>76200</xdr:rowOff>
    </xdr:from>
    <xdr:to>
      <xdr:col>28</xdr:col>
      <xdr:colOff>361950</xdr:colOff>
      <xdr:row>59</xdr:row>
      <xdr:rowOff>76200</xdr:rowOff>
    </xdr:to>
    <xdr:sp macro="" textlink="">
      <xdr:nvSpPr>
        <xdr:cNvPr id="85" name="Line 31"/>
        <xdr:cNvSpPr>
          <a:spLocks noChangeShapeType="1"/>
        </xdr:cNvSpPr>
      </xdr:nvSpPr>
      <xdr:spPr bwMode="auto">
        <a:xfrm>
          <a:off x="14316075" y="7191375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381000</xdr:colOff>
      <xdr:row>65</xdr:row>
      <xdr:rowOff>9525</xdr:rowOff>
    </xdr:from>
    <xdr:to>
      <xdr:col>31</xdr:col>
      <xdr:colOff>600075</xdr:colOff>
      <xdr:row>65</xdr:row>
      <xdr:rowOff>9525</xdr:rowOff>
    </xdr:to>
    <xdr:sp macro="" textlink="">
      <xdr:nvSpPr>
        <xdr:cNvPr id="86" name="Line 37"/>
        <xdr:cNvSpPr>
          <a:spLocks noChangeShapeType="1"/>
        </xdr:cNvSpPr>
      </xdr:nvSpPr>
      <xdr:spPr bwMode="auto">
        <a:xfrm>
          <a:off x="16230600" y="8153400"/>
          <a:ext cx="2190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238125</xdr:colOff>
      <xdr:row>62</xdr:row>
      <xdr:rowOff>76200</xdr:rowOff>
    </xdr:from>
    <xdr:to>
      <xdr:col>32</xdr:col>
      <xdr:colOff>590550</xdr:colOff>
      <xdr:row>62</xdr:row>
      <xdr:rowOff>76200</xdr:rowOff>
    </xdr:to>
    <xdr:sp macro="" textlink="">
      <xdr:nvSpPr>
        <xdr:cNvPr id="87" name="Line 39"/>
        <xdr:cNvSpPr>
          <a:spLocks noChangeShapeType="1"/>
        </xdr:cNvSpPr>
      </xdr:nvSpPr>
      <xdr:spPr bwMode="auto">
        <a:xfrm>
          <a:off x="16697325" y="7734300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314325</xdr:colOff>
      <xdr:row>65</xdr:row>
      <xdr:rowOff>0</xdr:rowOff>
    </xdr:from>
    <xdr:to>
      <xdr:col>32</xdr:col>
      <xdr:colOff>571500</xdr:colOff>
      <xdr:row>65</xdr:row>
      <xdr:rowOff>0</xdr:rowOff>
    </xdr:to>
    <xdr:sp macro="" textlink="">
      <xdr:nvSpPr>
        <xdr:cNvPr id="88" name="Line 41"/>
        <xdr:cNvSpPr>
          <a:spLocks noChangeShapeType="1"/>
        </xdr:cNvSpPr>
      </xdr:nvSpPr>
      <xdr:spPr bwMode="auto">
        <a:xfrm>
          <a:off x="16773525" y="8143875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25</xdr:col>
      <xdr:colOff>265339</xdr:colOff>
      <xdr:row>64</xdr:row>
      <xdr:rowOff>34018</xdr:rowOff>
    </xdr:from>
    <xdr:ext cx="123825" cy="180975"/>
    <xdr:sp macro="" textlink="">
      <xdr:nvSpPr>
        <xdr:cNvPr id="89" name="Text Box 50"/>
        <xdr:cNvSpPr txBox="1">
          <a:spLocks noChangeArrowheads="1"/>
        </xdr:cNvSpPr>
      </xdr:nvSpPr>
      <xdr:spPr bwMode="auto">
        <a:xfrm>
          <a:off x="12457339" y="8015968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24</xdr:col>
      <xdr:colOff>437243</xdr:colOff>
      <xdr:row>67</xdr:row>
      <xdr:rowOff>77560</xdr:rowOff>
    </xdr:from>
    <xdr:ext cx="123825" cy="180975"/>
    <xdr:sp macro="" textlink="">
      <xdr:nvSpPr>
        <xdr:cNvPr id="90" name="Text Box 52"/>
        <xdr:cNvSpPr txBox="1">
          <a:spLocks noChangeArrowheads="1"/>
        </xdr:cNvSpPr>
      </xdr:nvSpPr>
      <xdr:spPr bwMode="auto">
        <a:xfrm>
          <a:off x="12019643" y="854528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25</xdr:col>
      <xdr:colOff>482599</xdr:colOff>
      <xdr:row>69</xdr:row>
      <xdr:rowOff>54882</xdr:rowOff>
    </xdr:from>
    <xdr:ext cx="18531" cy="170560"/>
    <xdr:sp macro="" textlink="">
      <xdr:nvSpPr>
        <xdr:cNvPr id="91" name="Text Box 53"/>
        <xdr:cNvSpPr txBox="1">
          <a:spLocks noChangeArrowheads="1"/>
        </xdr:cNvSpPr>
      </xdr:nvSpPr>
      <xdr:spPr bwMode="auto">
        <a:xfrm>
          <a:off x="12674599" y="8846457"/>
          <a:ext cx="1853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26</xdr:col>
      <xdr:colOff>0</xdr:colOff>
      <xdr:row>51</xdr:row>
      <xdr:rowOff>0</xdr:rowOff>
    </xdr:from>
    <xdr:to>
      <xdr:col>26</xdr:col>
      <xdr:colOff>0</xdr:colOff>
      <xdr:row>61</xdr:row>
      <xdr:rowOff>0</xdr:rowOff>
    </xdr:to>
    <xdr:sp macro="" textlink="">
      <xdr:nvSpPr>
        <xdr:cNvPr id="92" name="Line 56"/>
        <xdr:cNvSpPr>
          <a:spLocks noChangeShapeType="1"/>
        </xdr:cNvSpPr>
      </xdr:nvSpPr>
      <xdr:spPr bwMode="auto">
        <a:xfrm>
          <a:off x="12801600" y="5676900"/>
          <a:ext cx="0" cy="1819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25</xdr:col>
      <xdr:colOff>514350</xdr:colOff>
      <xdr:row>51</xdr:row>
      <xdr:rowOff>0</xdr:rowOff>
    </xdr:from>
    <xdr:to>
      <xdr:col>26</xdr:col>
      <xdr:colOff>47625</xdr:colOff>
      <xdr:row>51</xdr:row>
      <xdr:rowOff>0</xdr:rowOff>
    </xdr:to>
    <xdr:sp macro="" textlink="">
      <xdr:nvSpPr>
        <xdr:cNvPr id="93" name="Line 57"/>
        <xdr:cNvSpPr>
          <a:spLocks noChangeShapeType="1"/>
        </xdr:cNvSpPr>
      </xdr:nvSpPr>
      <xdr:spPr bwMode="auto">
        <a:xfrm>
          <a:off x="12706350" y="56769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533400</xdr:colOff>
      <xdr:row>61</xdr:row>
      <xdr:rowOff>0</xdr:rowOff>
    </xdr:from>
    <xdr:to>
      <xdr:col>26</xdr:col>
      <xdr:colOff>85725</xdr:colOff>
      <xdr:row>61</xdr:row>
      <xdr:rowOff>0</xdr:rowOff>
    </xdr:to>
    <xdr:sp macro="" textlink="">
      <xdr:nvSpPr>
        <xdr:cNvPr id="94" name="Line 58"/>
        <xdr:cNvSpPr>
          <a:spLocks noChangeShapeType="1"/>
        </xdr:cNvSpPr>
      </xdr:nvSpPr>
      <xdr:spPr bwMode="auto">
        <a:xfrm>
          <a:off x="12725400" y="74961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0</xdr:colOff>
      <xdr:row>60</xdr:row>
      <xdr:rowOff>152400</xdr:rowOff>
    </xdr:from>
    <xdr:to>
      <xdr:col>26</xdr:col>
      <xdr:colOff>0</xdr:colOff>
      <xdr:row>62</xdr:row>
      <xdr:rowOff>76200</xdr:rowOff>
    </xdr:to>
    <xdr:sp macro="" textlink="">
      <xdr:nvSpPr>
        <xdr:cNvPr id="95" name="Line 60"/>
        <xdr:cNvSpPr>
          <a:spLocks noChangeShapeType="1"/>
        </xdr:cNvSpPr>
      </xdr:nvSpPr>
      <xdr:spPr bwMode="auto">
        <a:xfrm>
          <a:off x="12801600" y="7458075"/>
          <a:ext cx="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25</xdr:col>
      <xdr:colOff>571500</xdr:colOff>
      <xdr:row>62</xdr:row>
      <xdr:rowOff>85725</xdr:rowOff>
    </xdr:from>
    <xdr:to>
      <xdr:col>26</xdr:col>
      <xdr:colOff>76200</xdr:colOff>
      <xdr:row>62</xdr:row>
      <xdr:rowOff>85725</xdr:rowOff>
    </xdr:to>
    <xdr:sp macro="" textlink="">
      <xdr:nvSpPr>
        <xdr:cNvPr id="96" name="Line 61"/>
        <xdr:cNvSpPr>
          <a:spLocks noChangeShapeType="1"/>
        </xdr:cNvSpPr>
      </xdr:nvSpPr>
      <xdr:spPr bwMode="auto">
        <a:xfrm flipV="1">
          <a:off x="12763500" y="77438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180975</xdr:colOff>
      <xdr:row>61</xdr:row>
      <xdr:rowOff>0</xdr:rowOff>
    </xdr:from>
    <xdr:to>
      <xdr:col>27</xdr:col>
      <xdr:colOff>285750</xdr:colOff>
      <xdr:row>61</xdr:row>
      <xdr:rowOff>0</xdr:rowOff>
    </xdr:to>
    <xdr:sp macro="" textlink="">
      <xdr:nvSpPr>
        <xdr:cNvPr id="97" name="Line 66"/>
        <xdr:cNvSpPr>
          <a:spLocks noChangeShapeType="1"/>
        </xdr:cNvSpPr>
      </xdr:nvSpPr>
      <xdr:spPr bwMode="auto">
        <a:xfrm>
          <a:off x="13592175" y="749617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28</xdr:col>
      <xdr:colOff>0</xdr:colOff>
      <xdr:row>61</xdr:row>
      <xdr:rowOff>0</xdr:rowOff>
    </xdr:from>
    <xdr:ext cx="123825" cy="180975"/>
    <xdr:sp macro="" textlink="">
      <xdr:nvSpPr>
        <xdr:cNvPr id="98" name="Text Box 68"/>
        <xdr:cNvSpPr txBox="1">
          <a:spLocks noChangeArrowheads="1"/>
        </xdr:cNvSpPr>
      </xdr:nvSpPr>
      <xdr:spPr bwMode="auto">
        <a:xfrm>
          <a:off x="14020800" y="74961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25</xdr:col>
      <xdr:colOff>207217</xdr:colOff>
      <xdr:row>65</xdr:row>
      <xdr:rowOff>19244</xdr:rowOff>
    </xdr:from>
    <xdr:ext cx="123825" cy="180975"/>
    <xdr:sp macro="" textlink="">
      <xdr:nvSpPr>
        <xdr:cNvPr id="99" name="Text Box 70"/>
        <xdr:cNvSpPr txBox="1">
          <a:spLocks noChangeArrowheads="1"/>
        </xdr:cNvSpPr>
      </xdr:nvSpPr>
      <xdr:spPr bwMode="auto">
        <a:xfrm>
          <a:off x="12399217" y="8163119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24</xdr:col>
      <xdr:colOff>417934</xdr:colOff>
      <xdr:row>55</xdr:row>
      <xdr:rowOff>19439</xdr:rowOff>
    </xdr:from>
    <xdr:to>
      <xdr:col>26</xdr:col>
      <xdr:colOff>93888</xdr:colOff>
      <xdr:row>57</xdr:row>
      <xdr:rowOff>18272</xdr:rowOff>
    </xdr:to>
    <xdr:sp macro="" textlink="">
      <xdr:nvSpPr>
        <xdr:cNvPr id="100" name="Line 73"/>
        <xdr:cNvSpPr>
          <a:spLocks noChangeShapeType="1"/>
        </xdr:cNvSpPr>
      </xdr:nvSpPr>
      <xdr:spPr bwMode="auto">
        <a:xfrm>
          <a:off x="12000334" y="6429764"/>
          <a:ext cx="895154" cy="3512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24</xdr:col>
      <xdr:colOff>357285</xdr:colOff>
      <xdr:row>69</xdr:row>
      <xdr:rowOff>123825</xdr:rowOff>
    </xdr:from>
    <xdr:to>
      <xdr:col>25</xdr:col>
      <xdr:colOff>14385</xdr:colOff>
      <xdr:row>71</xdr:row>
      <xdr:rowOff>85725</xdr:rowOff>
    </xdr:to>
    <xdr:sp macro="" textlink="">
      <xdr:nvSpPr>
        <xdr:cNvPr id="101" name="Oval 100"/>
        <xdr:cNvSpPr>
          <a:spLocks noChangeArrowheads="1"/>
        </xdr:cNvSpPr>
      </xdr:nvSpPr>
      <xdr:spPr bwMode="auto">
        <a:xfrm>
          <a:off x="11939685" y="8915400"/>
          <a:ext cx="266700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142875</xdr:colOff>
      <xdr:row>68</xdr:row>
      <xdr:rowOff>85725</xdr:rowOff>
    </xdr:from>
    <xdr:to>
      <xdr:col>27</xdr:col>
      <xdr:colOff>142875</xdr:colOff>
      <xdr:row>69</xdr:row>
      <xdr:rowOff>76200</xdr:rowOff>
    </xdr:to>
    <xdr:sp macro="" textlink="">
      <xdr:nvSpPr>
        <xdr:cNvPr id="102" name="Line 80"/>
        <xdr:cNvSpPr>
          <a:spLocks noChangeShapeType="1"/>
        </xdr:cNvSpPr>
      </xdr:nvSpPr>
      <xdr:spPr bwMode="auto">
        <a:xfrm>
          <a:off x="13554075" y="871537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171450</xdr:colOff>
      <xdr:row>69</xdr:row>
      <xdr:rowOff>19050</xdr:rowOff>
    </xdr:from>
    <xdr:to>
      <xdr:col>27</xdr:col>
      <xdr:colOff>142875</xdr:colOff>
      <xdr:row>69</xdr:row>
      <xdr:rowOff>19050</xdr:rowOff>
    </xdr:to>
    <xdr:sp macro="" textlink="">
      <xdr:nvSpPr>
        <xdr:cNvPr id="103" name="Line 83"/>
        <xdr:cNvSpPr>
          <a:spLocks noChangeShapeType="1"/>
        </xdr:cNvSpPr>
      </xdr:nvSpPr>
      <xdr:spPr bwMode="auto">
        <a:xfrm>
          <a:off x="12973050" y="881062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27</xdr:col>
      <xdr:colOff>142875</xdr:colOff>
      <xdr:row>69</xdr:row>
      <xdr:rowOff>19050</xdr:rowOff>
    </xdr:from>
    <xdr:to>
      <xdr:col>31</xdr:col>
      <xdr:colOff>200025</xdr:colOff>
      <xdr:row>69</xdr:row>
      <xdr:rowOff>19050</xdr:rowOff>
    </xdr:to>
    <xdr:sp macro="" textlink="">
      <xdr:nvSpPr>
        <xdr:cNvPr id="104" name="Line 84"/>
        <xdr:cNvSpPr>
          <a:spLocks noChangeShapeType="1"/>
        </xdr:cNvSpPr>
      </xdr:nvSpPr>
      <xdr:spPr bwMode="auto">
        <a:xfrm>
          <a:off x="13554075" y="8810625"/>
          <a:ext cx="2495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31</xdr:col>
      <xdr:colOff>200025</xdr:colOff>
      <xdr:row>69</xdr:row>
      <xdr:rowOff>19050</xdr:rowOff>
    </xdr:from>
    <xdr:to>
      <xdr:col>31</xdr:col>
      <xdr:colOff>571500</xdr:colOff>
      <xdr:row>69</xdr:row>
      <xdr:rowOff>19050</xdr:rowOff>
    </xdr:to>
    <xdr:sp macro="" textlink="">
      <xdr:nvSpPr>
        <xdr:cNvPr id="105" name="Line 85"/>
        <xdr:cNvSpPr>
          <a:spLocks noChangeShapeType="1"/>
        </xdr:cNvSpPr>
      </xdr:nvSpPr>
      <xdr:spPr bwMode="auto">
        <a:xfrm>
          <a:off x="16049625" y="8810625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27</xdr:col>
      <xdr:colOff>133350</xdr:colOff>
      <xdr:row>45</xdr:row>
      <xdr:rowOff>114300</xdr:rowOff>
    </xdr:from>
    <xdr:to>
      <xdr:col>27</xdr:col>
      <xdr:colOff>133350</xdr:colOff>
      <xdr:row>46</xdr:row>
      <xdr:rowOff>85725</xdr:rowOff>
    </xdr:to>
    <xdr:sp macro="" textlink="">
      <xdr:nvSpPr>
        <xdr:cNvPr id="106" name="Line 90"/>
        <xdr:cNvSpPr>
          <a:spLocks noChangeShapeType="1"/>
        </xdr:cNvSpPr>
      </xdr:nvSpPr>
      <xdr:spPr bwMode="auto">
        <a:xfrm flipV="1">
          <a:off x="13544550" y="479107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161925</xdr:colOff>
      <xdr:row>46</xdr:row>
      <xdr:rowOff>19050</xdr:rowOff>
    </xdr:from>
    <xdr:to>
      <xdr:col>27</xdr:col>
      <xdr:colOff>133350</xdr:colOff>
      <xdr:row>46</xdr:row>
      <xdr:rowOff>19050</xdr:rowOff>
    </xdr:to>
    <xdr:sp macro="" textlink="">
      <xdr:nvSpPr>
        <xdr:cNvPr id="107" name="Line 91"/>
        <xdr:cNvSpPr>
          <a:spLocks noChangeShapeType="1"/>
        </xdr:cNvSpPr>
      </xdr:nvSpPr>
      <xdr:spPr bwMode="auto">
        <a:xfrm>
          <a:off x="12963525" y="48577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29</xdr:col>
      <xdr:colOff>171450</xdr:colOff>
      <xdr:row>54</xdr:row>
      <xdr:rowOff>19050</xdr:rowOff>
    </xdr:from>
    <xdr:to>
      <xdr:col>31</xdr:col>
      <xdr:colOff>190500</xdr:colOff>
      <xdr:row>54</xdr:row>
      <xdr:rowOff>19050</xdr:rowOff>
    </xdr:to>
    <xdr:sp macro="" textlink="">
      <xdr:nvSpPr>
        <xdr:cNvPr id="108" name="Line 1011"/>
        <xdr:cNvSpPr>
          <a:spLocks noChangeShapeType="1"/>
        </xdr:cNvSpPr>
      </xdr:nvSpPr>
      <xdr:spPr bwMode="auto">
        <a:xfrm>
          <a:off x="14801850" y="6238875"/>
          <a:ext cx="1238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171450</xdr:colOff>
      <xdr:row>50</xdr:row>
      <xdr:rowOff>133350</xdr:rowOff>
    </xdr:from>
    <xdr:to>
      <xdr:col>29</xdr:col>
      <xdr:colOff>180975</xdr:colOff>
      <xdr:row>65</xdr:row>
      <xdr:rowOff>114300</xdr:rowOff>
    </xdr:to>
    <xdr:sp macro="" textlink="">
      <xdr:nvSpPr>
        <xdr:cNvPr id="109" name="Line 1016"/>
        <xdr:cNvSpPr>
          <a:spLocks noChangeShapeType="1"/>
        </xdr:cNvSpPr>
      </xdr:nvSpPr>
      <xdr:spPr bwMode="auto">
        <a:xfrm>
          <a:off x="14801850" y="5619750"/>
          <a:ext cx="9525" cy="26384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31</xdr:col>
      <xdr:colOff>19050</xdr:colOff>
      <xdr:row>51</xdr:row>
      <xdr:rowOff>19050</xdr:rowOff>
    </xdr:from>
    <xdr:to>
      <xdr:col>31</xdr:col>
      <xdr:colOff>19050</xdr:colOff>
      <xdr:row>66</xdr:row>
      <xdr:rowOff>66675</xdr:rowOff>
    </xdr:to>
    <xdr:sp macro="" textlink="">
      <xdr:nvSpPr>
        <xdr:cNvPr id="110" name="Line 1017"/>
        <xdr:cNvSpPr>
          <a:spLocks noChangeShapeType="1"/>
        </xdr:cNvSpPr>
      </xdr:nvSpPr>
      <xdr:spPr bwMode="auto">
        <a:xfrm>
          <a:off x="15868650" y="5695950"/>
          <a:ext cx="0" cy="26765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32</xdr:col>
      <xdr:colOff>447675</xdr:colOff>
      <xdr:row>53</xdr:row>
      <xdr:rowOff>152400</xdr:rowOff>
    </xdr:from>
    <xdr:to>
      <xdr:col>32</xdr:col>
      <xdr:colOff>447675</xdr:colOff>
      <xdr:row>62</xdr:row>
      <xdr:rowOff>85725</xdr:rowOff>
    </xdr:to>
    <xdr:sp macro="" textlink="">
      <xdr:nvSpPr>
        <xdr:cNvPr id="111" name="Line 1022"/>
        <xdr:cNvSpPr>
          <a:spLocks noChangeShapeType="1"/>
        </xdr:cNvSpPr>
      </xdr:nvSpPr>
      <xdr:spPr bwMode="auto">
        <a:xfrm>
          <a:off x="16906875" y="6181725"/>
          <a:ext cx="0" cy="15621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30</xdr:col>
      <xdr:colOff>9525</xdr:colOff>
      <xdr:row>45</xdr:row>
      <xdr:rowOff>9525</xdr:rowOff>
    </xdr:from>
    <xdr:ext cx="123825" cy="180975"/>
    <xdr:sp macro="" textlink="">
      <xdr:nvSpPr>
        <xdr:cNvPr id="112" name="Text Box 1043"/>
        <xdr:cNvSpPr txBox="1">
          <a:spLocks noChangeArrowheads="1"/>
        </xdr:cNvSpPr>
      </xdr:nvSpPr>
      <xdr:spPr bwMode="auto">
        <a:xfrm>
          <a:off x="15249525" y="4686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31</xdr:col>
      <xdr:colOff>333375</xdr:colOff>
      <xdr:row>65</xdr:row>
      <xdr:rowOff>161925</xdr:rowOff>
    </xdr:from>
    <xdr:to>
      <xdr:col>32</xdr:col>
      <xdr:colOff>0</xdr:colOff>
      <xdr:row>65</xdr:row>
      <xdr:rowOff>161925</xdr:rowOff>
    </xdr:to>
    <xdr:sp macro="" textlink="">
      <xdr:nvSpPr>
        <xdr:cNvPr id="114" name="Line 4343"/>
        <xdr:cNvSpPr>
          <a:spLocks noChangeShapeType="1"/>
        </xdr:cNvSpPr>
      </xdr:nvSpPr>
      <xdr:spPr bwMode="auto">
        <a:xfrm>
          <a:off x="16182975" y="830580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26</xdr:col>
      <xdr:colOff>55594</xdr:colOff>
      <xdr:row>58</xdr:row>
      <xdr:rowOff>136072</xdr:rowOff>
    </xdr:from>
    <xdr:to>
      <xdr:col>26</xdr:col>
      <xdr:colOff>101313</xdr:colOff>
      <xdr:row>60</xdr:row>
      <xdr:rowOff>87086</xdr:rowOff>
    </xdr:to>
    <xdr:sp macro="" textlink="">
      <xdr:nvSpPr>
        <xdr:cNvPr id="115" name="Line 4346"/>
        <xdr:cNvSpPr>
          <a:spLocks noChangeShapeType="1"/>
        </xdr:cNvSpPr>
      </xdr:nvSpPr>
      <xdr:spPr bwMode="auto">
        <a:xfrm flipH="1">
          <a:off x="12857194" y="7060747"/>
          <a:ext cx="45719" cy="3320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29</xdr:col>
      <xdr:colOff>171450</xdr:colOff>
      <xdr:row>46</xdr:row>
      <xdr:rowOff>1</xdr:rowOff>
    </xdr:from>
    <xdr:to>
      <xdr:col>31</xdr:col>
      <xdr:colOff>180978</xdr:colOff>
      <xdr:row>46</xdr:row>
      <xdr:rowOff>9525</xdr:rowOff>
    </xdr:to>
    <xdr:cxnSp macro="">
      <xdr:nvCxnSpPr>
        <xdr:cNvPr id="116" name="Straight Arrow Connector 115"/>
        <xdr:cNvCxnSpPr/>
      </xdr:nvCxnSpPr>
      <xdr:spPr bwMode="auto">
        <a:xfrm flipV="1">
          <a:off x="14801850" y="4838701"/>
          <a:ext cx="1228728" cy="952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31</xdr:col>
      <xdr:colOff>371475</xdr:colOff>
      <xdr:row>54</xdr:row>
      <xdr:rowOff>0</xdr:rowOff>
    </xdr:from>
    <xdr:to>
      <xdr:col>32</xdr:col>
      <xdr:colOff>571500</xdr:colOff>
      <xdr:row>54</xdr:row>
      <xdr:rowOff>1588</xdr:rowOff>
    </xdr:to>
    <xdr:cxnSp macro="">
      <xdr:nvCxnSpPr>
        <xdr:cNvPr id="117" name="Straight Connector 116"/>
        <xdr:cNvCxnSpPr/>
      </xdr:nvCxnSpPr>
      <xdr:spPr bwMode="auto">
        <a:xfrm>
          <a:off x="16221075" y="6219825"/>
          <a:ext cx="809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161132</xdr:colOff>
      <xdr:row>68</xdr:row>
      <xdr:rowOff>48419</xdr:rowOff>
    </xdr:from>
    <xdr:to>
      <xdr:col>26</xdr:col>
      <xdr:colOff>162720</xdr:colOff>
      <xdr:row>70</xdr:row>
      <xdr:rowOff>104776</xdr:rowOff>
    </xdr:to>
    <xdr:cxnSp macro="">
      <xdr:nvCxnSpPr>
        <xdr:cNvPr id="118" name="Straight Connector 117"/>
        <xdr:cNvCxnSpPr/>
      </xdr:nvCxnSpPr>
      <xdr:spPr bwMode="auto">
        <a:xfrm rot="5400000">
          <a:off x="12773422" y="8867379"/>
          <a:ext cx="380207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8732</xdr:colOff>
      <xdr:row>68</xdr:row>
      <xdr:rowOff>153194</xdr:rowOff>
    </xdr:from>
    <xdr:to>
      <xdr:col>32</xdr:col>
      <xdr:colOff>10320</xdr:colOff>
      <xdr:row>70</xdr:row>
      <xdr:rowOff>96045</xdr:rowOff>
    </xdr:to>
    <xdr:cxnSp macro="">
      <xdr:nvCxnSpPr>
        <xdr:cNvPr id="119" name="Straight Connector 118"/>
        <xdr:cNvCxnSpPr/>
      </xdr:nvCxnSpPr>
      <xdr:spPr bwMode="auto">
        <a:xfrm rot="5400000">
          <a:off x="16335375" y="8915401"/>
          <a:ext cx="266701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171450</xdr:colOff>
      <xdr:row>69</xdr:row>
      <xdr:rowOff>180975</xdr:rowOff>
    </xdr:from>
    <xdr:to>
      <xdr:col>32</xdr:col>
      <xdr:colOff>9525</xdr:colOff>
      <xdr:row>70</xdr:row>
      <xdr:rowOff>9525</xdr:rowOff>
    </xdr:to>
    <xdr:cxnSp macro="">
      <xdr:nvCxnSpPr>
        <xdr:cNvPr id="120" name="Straight Arrow Connector 119"/>
        <xdr:cNvCxnSpPr/>
      </xdr:nvCxnSpPr>
      <xdr:spPr bwMode="auto">
        <a:xfrm flipV="1">
          <a:off x="12973050" y="8953500"/>
          <a:ext cx="34956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26</xdr:col>
      <xdr:colOff>161131</xdr:colOff>
      <xdr:row>41</xdr:row>
      <xdr:rowOff>57151</xdr:rowOff>
    </xdr:from>
    <xdr:to>
      <xdr:col>26</xdr:col>
      <xdr:colOff>161928</xdr:colOff>
      <xdr:row>45</xdr:row>
      <xdr:rowOff>96046</xdr:rowOff>
    </xdr:to>
    <xdr:cxnSp macro="">
      <xdr:nvCxnSpPr>
        <xdr:cNvPr id="121" name="Straight Connector 120"/>
        <xdr:cNvCxnSpPr/>
      </xdr:nvCxnSpPr>
      <xdr:spPr bwMode="auto">
        <a:xfrm rot="5400000" flipH="1" flipV="1">
          <a:off x="12619832" y="4429125"/>
          <a:ext cx="686595" cy="79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171450</xdr:colOff>
      <xdr:row>43</xdr:row>
      <xdr:rowOff>0</xdr:rowOff>
    </xdr:from>
    <xdr:to>
      <xdr:col>29</xdr:col>
      <xdr:colOff>161925</xdr:colOff>
      <xdr:row>43</xdr:row>
      <xdr:rowOff>9525</xdr:rowOff>
    </xdr:to>
    <xdr:cxnSp macro="">
      <xdr:nvCxnSpPr>
        <xdr:cNvPr id="122" name="Straight Arrow Connector 121"/>
        <xdr:cNvCxnSpPr/>
      </xdr:nvCxnSpPr>
      <xdr:spPr bwMode="auto">
        <a:xfrm>
          <a:off x="12973050" y="4352925"/>
          <a:ext cx="18192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31</xdr:col>
      <xdr:colOff>142876</xdr:colOff>
      <xdr:row>41</xdr:row>
      <xdr:rowOff>85725</xdr:rowOff>
    </xdr:from>
    <xdr:to>
      <xdr:col>31</xdr:col>
      <xdr:colOff>152403</xdr:colOff>
      <xdr:row>46</xdr:row>
      <xdr:rowOff>142876</xdr:rowOff>
    </xdr:to>
    <xdr:cxnSp macro="">
      <xdr:nvCxnSpPr>
        <xdr:cNvPr id="123" name="Straight Connector 122"/>
        <xdr:cNvCxnSpPr/>
      </xdr:nvCxnSpPr>
      <xdr:spPr bwMode="auto">
        <a:xfrm rot="16200000" flipV="1">
          <a:off x="15563852" y="4543424"/>
          <a:ext cx="866776" cy="952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161925</xdr:colOff>
      <xdr:row>42</xdr:row>
      <xdr:rowOff>11113</xdr:rowOff>
    </xdr:from>
    <xdr:to>
      <xdr:col>31</xdr:col>
      <xdr:colOff>142875</xdr:colOff>
      <xdr:row>42</xdr:row>
      <xdr:rowOff>19050</xdr:rowOff>
    </xdr:to>
    <xdr:cxnSp macro="">
      <xdr:nvCxnSpPr>
        <xdr:cNvPr id="124" name="Straight Arrow Connector 123"/>
        <xdr:cNvCxnSpPr/>
      </xdr:nvCxnSpPr>
      <xdr:spPr bwMode="auto">
        <a:xfrm flipV="1">
          <a:off x="12963525" y="4202113"/>
          <a:ext cx="3028950" cy="793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29</xdr:col>
      <xdr:colOff>19050</xdr:colOff>
      <xdr:row>62</xdr:row>
      <xdr:rowOff>85725</xdr:rowOff>
    </xdr:from>
    <xdr:to>
      <xdr:col>29</xdr:col>
      <xdr:colOff>19050</xdr:colOff>
      <xdr:row>64</xdr:row>
      <xdr:rowOff>0</xdr:rowOff>
    </xdr:to>
    <xdr:sp macro="" textlink="">
      <xdr:nvSpPr>
        <xdr:cNvPr id="125" name="Line 4299"/>
        <xdr:cNvSpPr>
          <a:spLocks noChangeShapeType="1"/>
        </xdr:cNvSpPr>
      </xdr:nvSpPr>
      <xdr:spPr bwMode="auto">
        <a:xfrm>
          <a:off x="14649450" y="7743825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32</xdr:col>
      <xdr:colOff>8732</xdr:colOff>
      <xdr:row>65</xdr:row>
      <xdr:rowOff>96043</xdr:rowOff>
    </xdr:from>
    <xdr:to>
      <xdr:col>32</xdr:col>
      <xdr:colOff>10320</xdr:colOff>
      <xdr:row>66</xdr:row>
      <xdr:rowOff>48418</xdr:rowOff>
    </xdr:to>
    <xdr:cxnSp macro="">
      <xdr:nvCxnSpPr>
        <xdr:cNvPr id="126" name="Straight Connector 125"/>
        <xdr:cNvCxnSpPr/>
      </xdr:nvCxnSpPr>
      <xdr:spPr bwMode="auto">
        <a:xfrm rot="5400000">
          <a:off x="16411576" y="8296274"/>
          <a:ext cx="114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161928</xdr:colOff>
      <xdr:row>42</xdr:row>
      <xdr:rowOff>114302</xdr:rowOff>
    </xdr:from>
    <xdr:to>
      <xdr:col>29</xdr:col>
      <xdr:colOff>161929</xdr:colOff>
      <xdr:row>46</xdr:row>
      <xdr:rowOff>66676</xdr:rowOff>
    </xdr:to>
    <xdr:cxnSp macro="">
      <xdr:nvCxnSpPr>
        <xdr:cNvPr id="127" name="Straight Connector 126"/>
        <xdr:cNvCxnSpPr/>
      </xdr:nvCxnSpPr>
      <xdr:spPr bwMode="auto">
        <a:xfrm rot="5400000" flipH="1" flipV="1">
          <a:off x="14492292" y="4605338"/>
          <a:ext cx="600074" cy="1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366601</xdr:colOff>
      <xdr:row>47</xdr:row>
      <xdr:rowOff>182352</xdr:rowOff>
    </xdr:from>
    <xdr:to>
      <xdr:col>26</xdr:col>
      <xdr:colOff>368189</xdr:colOff>
      <xdr:row>48</xdr:row>
      <xdr:rowOff>163302</xdr:rowOff>
    </xdr:to>
    <xdr:cxnSp macro="">
      <xdr:nvCxnSpPr>
        <xdr:cNvPr id="128" name="Straight Connector 127"/>
        <xdr:cNvCxnSpPr/>
      </xdr:nvCxnSpPr>
      <xdr:spPr bwMode="auto">
        <a:xfrm rot="5400000" flipH="1" flipV="1">
          <a:off x="13088032" y="5244096"/>
          <a:ext cx="1619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28</xdr:col>
      <xdr:colOff>180975</xdr:colOff>
      <xdr:row>47</xdr:row>
      <xdr:rowOff>114301</xdr:rowOff>
    </xdr:from>
    <xdr:to>
      <xdr:col>28</xdr:col>
      <xdr:colOff>190500</xdr:colOff>
      <xdr:row>48</xdr:row>
      <xdr:rowOff>47626</xdr:rowOff>
    </xdr:to>
    <xdr:cxnSp macro="">
      <xdr:nvCxnSpPr>
        <xdr:cNvPr id="129" name="Straight Connector 128"/>
        <xdr:cNvCxnSpPr/>
      </xdr:nvCxnSpPr>
      <xdr:spPr bwMode="auto">
        <a:xfrm rot="5400000" flipH="1" flipV="1">
          <a:off x="14158913" y="5157788"/>
          <a:ext cx="95250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27</xdr:col>
      <xdr:colOff>256965</xdr:colOff>
      <xdr:row>61</xdr:row>
      <xdr:rowOff>794</xdr:rowOff>
    </xdr:from>
    <xdr:to>
      <xdr:col>27</xdr:col>
      <xdr:colOff>258553</xdr:colOff>
      <xdr:row>62</xdr:row>
      <xdr:rowOff>76994</xdr:rowOff>
    </xdr:to>
    <xdr:cxnSp macro="">
      <xdr:nvCxnSpPr>
        <xdr:cNvPr id="130" name="Straight Arrow Connector 129"/>
        <xdr:cNvCxnSpPr/>
      </xdr:nvCxnSpPr>
      <xdr:spPr bwMode="auto">
        <a:xfrm rot="16200000" flipH="1">
          <a:off x="13549896" y="7615238"/>
          <a:ext cx="2381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28</xdr:col>
      <xdr:colOff>142875</xdr:colOff>
      <xdr:row>51</xdr:row>
      <xdr:rowOff>9525</xdr:rowOff>
    </xdr:from>
    <xdr:to>
      <xdr:col>28</xdr:col>
      <xdr:colOff>152400</xdr:colOff>
      <xdr:row>65</xdr:row>
      <xdr:rowOff>180975</xdr:rowOff>
    </xdr:to>
    <xdr:sp macro="" textlink="">
      <xdr:nvSpPr>
        <xdr:cNvPr id="131" name="Line 1016"/>
        <xdr:cNvSpPr>
          <a:spLocks noChangeShapeType="1"/>
        </xdr:cNvSpPr>
      </xdr:nvSpPr>
      <xdr:spPr bwMode="auto">
        <a:xfrm>
          <a:off x="14163675" y="5686425"/>
          <a:ext cx="9525" cy="261937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28</xdr:col>
      <xdr:colOff>189706</xdr:colOff>
      <xdr:row>43</xdr:row>
      <xdr:rowOff>76995</xdr:rowOff>
    </xdr:from>
    <xdr:to>
      <xdr:col>28</xdr:col>
      <xdr:colOff>191294</xdr:colOff>
      <xdr:row>44</xdr:row>
      <xdr:rowOff>134144</xdr:rowOff>
    </xdr:to>
    <xdr:cxnSp macro="">
      <xdr:nvCxnSpPr>
        <xdr:cNvPr id="132" name="Straight Connector 131"/>
        <xdr:cNvCxnSpPr/>
      </xdr:nvCxnSpPr>
      <xdr:spPr bwMode="auto">
        <a:xfrm rot="5400000" flipH="1" flipV="1">
          <a:off x="14101763" y="4538663"/>
          <a:ext cx="219074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152400</xdr:colOff>
      <xdr:row>44</xdr:row>
      <xdr:rowOff>9525</xdr:rowOff>
    </xdr:from>
    <xdr:to>
      <xdr:col>28</xdr:col>
      <xdr:colOff>190500</xdr:colOff>
      <xdr:row>44</xdr:row>
      <xdr:rowOff>19050</xdr:rowOff>
    </xdr:to>
    <xdr:cxnSp macro="">
      <xdr:nvCxnSpPr>
        <xdr:cNvPr id="133" name="Straight Arrow Connector 132"/>
        <xdr:cNvCxnSpPr/>
      </xdr:nvCxnSpPr>
      <xdr:spPr bwMode="auto">
        <a:xfrm flipV="1">
          <a:off x="12954000" y="4524375"/>
          <a:ext cx="12573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31</xdr:col>
      <xdr:colOff>190499</xdr:colOff>
      <xdr:row>54</xdr:row>
      <xdr:rowOff>19050</xdr:rowOff>
    </xdr:from>
    <xdr:to>
      <xdr:col>31</xdr:col>
      <xdr:colOff>200024</xdr:colOff>
      <xdr:row>62</xdr:row>
      <xdr:rowOff>95253</xdr:rowOff>
    </xdr:to>
    <xdr:cxnSp macro="">
      <xdr:nvCxnSpPr>
        <xdr:cNvPr id="134" name="Straight Connector 133"/>
        <xdr:cNvCxnSpPr>
          <a:stCxn id="108" idx="1"/>
        </xdr:cNvCxnSpPr>
      </xdr:nvCxnSpPr>
      <xdr:spPr bwMode="auto">
        <a:xfrm rot="16200000" flipH="1">
          <a:off x="15287623" y="6991351"/>
          <a:ext cx="1514478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27</xdr:col>
      <xdr:colOff>123825</xdr:colOff>
      <xdr:row>46</xdr:row>
      <xdr:rowOff>1</xdr:rowOff>
    </xdr:from>
    <xdr:to>
      <xdr:col>29</xdr:col>
      <xdr:colOff>152400</xdr:colOff>
      <xdr:row>46</xdr:row>
      <xdr:rowOff>9526</xdr:rowOff>
    </xdr:to>
    <xdr:cxnSp macro="">
      <xdr:nvCxnSpPr>
        <xdr:cNvPr id="135" name="Straight Arrow Connector 134"/>
        <xdr:cNvCxnSpPr/>
      </xdr:nvCxnSpPr>
      <xdr:spPr bwMode="auto">
        <a:xfrm rot="5400000" flipH="1" flipV="1">
          <a:off x="14154150" y="4219576"/>
          <a:ext cx="9525" cy="12477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24</xdr:col>
      <xdr:colOff>577787</xdr:colOff>
      <xdr:row>45</xdr:row>
      <xdr:rowOff>59872</xdr:rowOff>
    </xdr:from>
    <xdr:to>
      <xdr:col>25</xdr:col>
      <xdr:colOff>234886</xdr:colOff>
      <xdr:row>47</xdr:row>
      <xdr:rowOff>187585</xdr:rowOff>
    </xdr:to>
    <xdr:sp macro="" textlink="">
      <xdr:nvSpPr>
        <xdr:cNvPr id="136" name="Oval 135"/>
        <xdr:cNvSpPr>
          <a:spLocks noChangeArrowheads="1"/>
        </xdr:cNvSpPr>
      </xdr:nvSpPr>
      <xdr:spPr bwMode="auto">
        <a:xfrm>
          <a:off x="12160187" y="4736647"/>
          <a:ext cx="266699" cy="42298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31</xdr:col>
      <xdr:colOff>597144</xdr:colOff>
      <xdr:row>12</xdr:row>
      <xdr:rowOff>61851</xdr:rowOff>
    </xdr:from>
    <xdr:to>
      <xdr:col>32</xdr:col>
      <xdr:colOff>216272</xdr:colOff>
      <xdr:row>12</xdr:row>
      <xdr:rowOff>61851</xdr:rowOff>
    </xdr:to>
    <xdr:sp macro="" textlink="">
      <xdr:nvSpPr>
        <xdr:cNvPr id="137" name="Line 95"/>
        <xdr:cNvSpPr>
          <a:spLocks noChangeShapeType="1"/>
        </xdr:cNvSpPr>
      </xdr:nvSpPr>
      <xdr:spPr bwMode="auto">
        <a:xfrm>
          <a:off x="7369419" y="12015726"/>
          <a:ext cx="22872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200025</xdr:colOff>
      <xdr:row>13</xdr:row>
      <xdr:rowOff>9525</xdr:rowOff>
    </xdr:from>
    <xdr:to>
      <xdr:col>37</xdr:col>
      <xdr:colOff>200025</xdr:colOff>
      <xdr:row>15</xdr:row>
      <xdr:rowOff>57150</xdr:rowOff>
    </xdr:to>
    <xdr:sp macro="" textlink="">
      <xdr:nvSpPr>
        <xdr:cNvPr id="138" name="Line 92"/>
        <xdr:cNvSpPr>
          <a:spLocks noChangeShapeType="1"/>
        </xdr:cNvSpPr>
      </xdr:nvSpPr>
      <xdr:spPr bwMode="auto">
        <a:xfrm>
          <a:off x="10629900" y="12153900"/>
          <a:ext cx="0" cy="428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142875</xdr:colOff>
      <xdr:row>15</xdr:row>
      <xdr:rowOff>47625</xdr:rowOff>
    </xdr:from>
    <xdr:to>
      <xdr:col>37</xdr:col>
      <xdr:colOff>190500</xdr:colOff>
      <xdr:row>17</xdr:row>
      <xdr:rowOff>0</xdr:rowOff>
    </xdr:to>
    <xdr:sp macro="" textlink="">
      <xdr:nvSpPr>
        <xdr:cNvPr id="139" name="Line 93"/>
        <xdr:cNvSpPr>
          <a:spLocks noChangeShapeType="1"/>
        </xdr:cNvSpPr>
      </xdr:nvSpPr>
      <xdr:spPr bwMode="auto">
        <a:xfrm flipH="1">
          <a:off x="7524750" y="12573000"/>
          <a:ext cx="3095625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47625</xdr:colOff>
      <xdr:row>13</xdr:row>
      <xdr:rowOff>0</xdr:rowOff>
    </xdr:from>
    <xdr:to>
      <xdr:col>37</xdr:col>
      <xdr:colOff>47625</xdr:colOff>
      <xdr:row>14</xdr:row>
      <xdr:rowOff>57150</xdr:rowOff>
    </xdr:to>
    <xdr:sp macro="" textlink="">
      <xdr:nvSpPr>
        <xdr:cNvPr id="140" name="Line 94"/>
        <xdr:cNvSpPr>
          <a:spLocks noChangeShapeType="1"/>
        </xdr:cNvSpPr>
      </xdr:nvSpPr>
      <xdr:spPr bwMode="auto">
        <a:xfrm flipV="1">
          <a:off x="10477500" y="1214437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95250</xdr:colOff>
      <xdr:row>13</xdr:row>
      <xdr:rowOff>0</xdr:rowOff>
    </xdr:from>
    <xdr:to>
      <xdr:col>36</xdr:col>
      <xdr:colOff>323850</xdr:colOff>
      <xdr:row>13</xdr:row>
      <xdr:rowOff>0</xdr:rowOff>
    </xdr:to>
    <xdr:sp macro="" textlink="">
      <xdr:nvSpPr>
        <xdr:cNvPr id="141" name="Line 95"/>
        <xdr:cNvSpPr>
          <a:spLocks noChangeShapeType="1"/>
        </xdr:cNvSpPr>
      </xdr:nvSpPr>
      <xdr:spPr bwMode="auto">
        <a:xfrm>
          <a:off x="9915525" y="121443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323850</xdr:colOff>
      <xdr:row>12</xdr:row>
      <xdr:rowOff>95250</xdr:rowOff>
    </xdr:from>
    <xdr:to>
      <xdr:col>36</xdr:col>
      <xdr:colOff>323850</xdr:colOff>
      <xdr:row>13</xdr:row>
      <xdr:rowOff>0</xdr:rowOff>
    </xdr:to>
    <xdr:sp macro="" textlink="">
      <xdr:nvSpPr>
        <xdr:cNvPr id="142" name="Line 96"/>
        <xdr:cNvSpPr>
          <a:spLocks noChangeShapeType="1"/>
        </xdr:cNvSpPr>
      </xdr:nvSpPr>
      <xdr:spPr bwMode="auto">
        <a:xfrm flipV="1">
          <a:off x="10144125" y="1204912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323850</xdr:colOff>
      <xdr:row>12</xdr:row>
      <xdr:rowOff>104775</xdr:rowOff>
    </xdr:from>
    <xdr:to>
      <xdr:col>36</xdr:col>
      <xdr:colOff>409575</xdr:colOff>
      <xdr:row>13</xdr:row>
      <xdr:rowOff>76200</xdr:rowOff>
    </xdr:to>
    <xdr:sp macro="" textlink="">
      <xdr:nvSpPr>
        <xdr:cNvPr id="143" name="Line 97"/>
        <xdr:cNvSpPr>
          <a:spLocks noChangeShapeType="1"/>
        </xdr:cNvSpPr>
      </xdr:nvSpPr>
      <xdr:spPr bwMode="auto">
        <a:xfrm>
          <a:off x="10144125" y="12058650"/>
          <a:ext cx="85725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409575</xdr:colOff>
      <xdr:row>13</xdr:row>
      <xdr:rowOff>19050</xdr:rowOff>
    </xdr:from>
    <xdr:to>
      <xdr:col>36</xdr:col>
      <xdr:colOff>428625</xdr:colOff>
      <xdr:row>13</xdr:row>
      <xdr:rowOff>85725</xdr:rowOff>
    </xdr:to>
    <xdr:sp macro="" textlink="">
      <xdr:nvSpPr>
        <xdr:cNvPr id="144" name="Line 98"/>
        <xdr:cNvSpPr>
          <a:spLocks noChangeShapeType="1"/>
        </xdr:cNvSpPr>
      </xdr:nvSpPr>
      <xdr:spPr bwMode="auto">
        <a:xfrm flipV="1">
          <a:off x="10229850" y="12163425"/>
          <a:ext cx="1905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142875</xdr:colOff>
      <xdr:row>14</xdr:row>
      <xdr:rowOff>66675</xdr:rowOff>
    </xdr:from>
    <xdr:to>
      <xdr:col>37</xdr:col>
      <xdr:colOff>38100</xdr:colOff>
      <xdr:row>16</xdr:row>
      <xdr:rowOff>0</xdr:rowOff>
    </xdr:to>
    <xdr:sp macro="" textlink="">
      <xdr:nvSpPr>
        <xdr:cNvPr id="145" name="Line 100"/>
        <xdr:cNvSpPr>
          <a:spLocks noChangeShapeType="1"/>
        </xdr:cNvSpPr>
      </xdr:nvSpPr>
      <xdr:spPr bwMode="auto">
        <a:xfrm flipH="1">
          <a:off x="7524750" y="12401550"/>
          <a:ext cx="2943225" cy="314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123825</xdr:colOff>
      <xdr:row>16</xdr:row>
      <xdr:rowOff>0</xdr:rowOff>
    </xdr:from>
    <xdr:to>
      <xdr:col>32</xdr:col>
      <xdr:colOff>123825</xdr:colOff>
      <xdr:row>25</xdr:row>
      <xdr:rowOff>0</xdr:rowOff>
    </xdr:to>
    <xdr:sp macro="" textlink="">
      <xdr:nvSpPr>
        <xdr:cNvPr id="146" name="Line 101"/>
        <xdr:cNvSpPr>
          <a:spLocks noChangeShapeType="1"/>
        </xdr:cNvSpPr>
      </xdr:nvSpPr>
      <xdr:spPr bwMode="auto">
        <a:xfrm flipH="1">
          <a:off x="7505700" y="12715875"/>
          <a:ext cx="0" cy="1714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123825</xdr:colOff>
      <xdr:row>24</xdr:row>
      <xdr:rowOff>0</xdr:rowOff>
    </xdr:from>
    <xdr:to>
      <xdr:col>37</xdr:col>
      <xdr:colOff>209550</xdr:colOff>
      <xdr:row>25</xdr:row>
      <xdr:rowOff>152400</xdr:rowOff>
    </xdr:to>
    <xdr:sp macro="" textlink="">
      <xdr:nvSpPr>
        <xdr:cNvPr id="147" name="Line 102"/>
        <xdr:cNvSpPr>
          <a:spLocks noChangeShapeType="1"/>
        </xdr:cNvSpPr>
      </xdr:nvSpPr>
      <xdr:spPr bwMode="auto">
        <a:xfrm>
          <a:off x="7505700" y="14239875"/>
          <a:ext cx="3133725" cy="342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200025</xdr:colOff>
      <xdr:row>25</xdr:row>
      <xdr:rowOff>171450</xdr:rowOff>
    </xdr:from>
    <xdr:to>
      <xdr:col>37</xdr:col>
      <xdr:colOff>200025</xdr:colOff>
      <xdr:row>28</xdr:row>
      <xdr:rowOff>76200</xdr:rowOff>
    </xdr:to>
    <xdr:sp macro="" textlink="">
      <xdr:nvSpPr>
        <xdr:cNvPr id="148" name="Line 103"/>
        <xdr:cNvSpPr>
          <a:spLocks noChangeShapeType="1"/>
        </xdr:cNvSpPr>
      </xdr:nvSpPr>
      <xdr:spPr bwMode="auto">
        <a:xfrm>
          <a:off x="10629900" y="14601825"/>
          <a:ext cx="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38100</xdr:colOff>
      <xdr:row>26</xdr:row>
      <xdr:rowOff>114300</xdr:rowOff>
    </xdr:from>
    <xdr:to>
      <xdr:col>37</xdr:col>
      <xdr:colOff>38100</xdr:colOff>
      <xdr:row>28</xdr:row>
      <xdr:rowOff>104775</xdr:rowOff>
    </xdr:to>
    <xdr:sp macro="" textlink="">
      <xdr:nvSpPr>
        <xdr:cNvPr id="149" name="Line 104"/>
        <xdr:cNvSpPr>
          <a:spLocks noChangeShapeType="1"/>
        </xdr:cNvSpPr>
      </xdr:nvSpPr>
      <xdr:spPr bwMode="auto">
        <a:xfrm>
          <a:off x="10467975" y="14735175"/>
          <a:ext cx="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123825</xdr:colOff>
      <xdr:row>25</xdr:row>
      <xdr:rowOff>0</xdr:rowOff>
    </xdr:from>
    <xdr:to>
      <xdr:col>37</xdr:col>
      <xdr:colOff>47625</xdr:colOff>
      <xdr:row>26</xdr:row>
      <xdr:rowOff>104775</xdr:rowOff>
    </xdr:to>
    <xdr:sp macro="" textlink="">
      <xdr:nvSpPr>
        <xdr:cNvPr id="150" name="Line 105"/>
        <xdr:cNvSpPr>
          <a:spLocks noChangeShapeType="1"/>
        </xdr:cNvSpPr>
      </xdr:nvSpPr>
      <xdr:spPr bwMode="auto">
        <a:xfrm flipH="1" flipV="1">
          <a:off x="7505700" y="14430375"/>
          <a:ext cx="297180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19050</xdr:colOff>
      <xdr:row>28</xdr:row>
      <xdr:rowOff>104775</xdr:rowOff>
    </xdr:from>
    <xdr:to>
      <xdr:col>36</xdr:col>
      <xdr:colOff>200025</xdr:colOff>
      <xdr:row>28</xdr:row>
      <xdr:rowOff>104775</xdr:rowOff>
    </xdr:to>
    <xdr:sp macro="" textlink="">
      <xdr:nvSpPr>
        <xdr:cNvPr id="151" name="Line 106"/>
        <xdr:cNvSpPr>
          <a:spLocks noChangeShapeType="1"/>
        </xdr:cNvSpPr>
      </xdr:nvSpPr>
      <xdr:spPr bwMode="auto">
        <a:xfrm>
          <a:off x="9839325" y="15106650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190500</xdr:colOff>
      <xdr:row>28</xdr:row>
      <xdr:rowOff>9525</xdr:rowOff>
    </xdr:from>
    <xdr:to>
      <xdr:col>36</xdr:col>
      <xdr:colOff>190500</xdr:colOff>
      <xdr:row>28</xdr:row>
      <xdr:rowOff>104775</xdr:rowOff>
    </xdr:to>
    <xdr:sp macro="" textlink="">
      <xdr:nvSpPr>
        <xdr:cNvPr id="152" name="Line 107"/>
        <xdr:cNvSpPr>
          <a:spLocks noChangeShapeType="1"/>
        </xdr:cNvSpPr>
      </xdr:nvSpPr>
      <xdr:spPr bwMode="auto">
        <a:xfrm flipV="1">
          <a:off x="10010775" y="15011400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123825</xdr:colOff>
      <xdr:row>13</xdr:row>
      <xdr:rowOff>0</xdr:rowOff>
    </xdr:from>
    <xdr:to>
      <xdr:col>32</xdr:col>
      <xdr:colOff>123825</xdr:colOff>
      <xdr:row>16</xdr:row>
      <xdr:rowOff>19050</xdr:rowOff>
    </xdr:to>
    <xdr:sp macro="" textlink="">
      <xdr:nvSpPr>
        <xdr:cNvPr id="153" name="Line 111"/>
        <xdr:cNvSpPr>
          <a:spLocks noChangeShapeType="1"/>
        </xdr:cNvSpPr>
      </xdr:nvSpPr>
      <xdr:spPr bwMode="auto">
        <a:xfrm flipH="1">
          <a:off x="7505700" y="12144375"/>
          <a:ext cx="0" cy="59055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31</xdr:col>
      <xdr:colOff>581025</xdr:colOff>
      <xdr:row>11</xdr:row>
      <xdr:rowOff>142875</xdr:rowOff>
    </xdr:from>
    <xdr:to>
      <xdr:col>32</xdr:col>
      <xdr:colOff>228600</xdr:colOff>
      <xdr:row>13</xdr:row>
      <xdr:rowOff>104775</xdr:rowOff>
    </xdr:to>
    <xdr:sp macro="" textlink="">
      <xdr:nvSpPr>
        <xdr:cNvPr id="154" name="Oval 112"/>
        <xdr:cNvSpPr>
          <a:spLocks noChangeArrowheads="1"/>
        </xdr:cNvSpPr>
      </xdr:nvSpPr>
      <xdr:spPr bwMode="auto">
        <a:xfrm>
          <a:off x="7353300" y="11906250"/>
          <a:ext cx="257175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32</xdr:col>
      <xdr:colOff>0</xdr:colOff>
      <xdr:row>26</xdr:row>
      <xdr:rowOff>114300</xdr:rowOff>
    </xdr:from>
    <xdr:to>
      <xdr:col>32</xdr:col>
      <xdr:colOff>266700</xdr:colOff>
      <xdr:row>28</xdr:row>
      <xdr:rowOff>76200</xdr:rowOff>
    </xdr:to>
    <xdr:sp macro="" textlink="">
      <xdr:nvSpPr>
        <xdr:cNvPr id="155" name="Oval 113"/>
        <xdr:cNvSpPr>
          <a:spLocks noChangeArrowheads="1"/>
        </xdr:cNvSpPr>
      </xdr:nvSpPr>
      <xdr:spPr bwMode="auto">
        <a:xfrm>
          <a:off x="7381875" y="1473517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32</xdr:col>
      <xdr:colOff>0</xdr:colOff>
      <xdr:row>26</xdr:row>
      <xdr:rowOff>114300</xdr:rowOff>
    </xdr:from>
    <xdr:to>
      <xdr:col>32</xdr:col>
      <xdr:colOff>266700</xdr:colOff>
      <xdr:row>28</xdr:row>
      <xdr:rowOff>76200</xdr:rowOff>
    </xdr:to>
    <xdr:sp macro="" textlink="">
      <xdr:nvSpPr>
        <xdr:cNvPr id="156" name="Oval 114"/>
        <xdr:cNvSpPr>
          <a:spLocks noChangeArrowheads="1"/>
        </xdr:cNvSpPr>
      </xdr:nvSpPr>
      <xdr:spPr bwMode="auto">
        <a:xfrm>
          <a:off x="7381875" y="1473517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32</xdr:col>
      <xdr:colOff>123825</xdr:colOff>
      <xdr:row>25</xdr:row>
      <xdr:rowOff>38100</xdr:rowOff>
    </xdr:from>
    <xdr:to>
      <xdr:col>32</xdr:col>
      <xdr:colOff>123825</xdr:colOff>
      <xdr:row>26</xdr:row>
      <xdr:rowOff>114300</xdr:rowOff>
    </xdr:to>
    <xdr:sp macro="" textlink="">
      <xdr:nvSpPr>
        <xdr:cNvPr id="157" name="Line 115"/>
        <xdr:cNvSpPr>
          <a:spLocks noChangeShapeType="1"/>
        </xdr:cNvSpPr>
      </xdr:nvSpPr>
      <xdr:spPr bwMode="auto">
        <a:xfrm>
          <a:off x="7505700" y="1446847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33</xdr:col>
      <xdr:colOff>304800</xdr:colOff>
      <xdr:row>13</xdr:row>
      <xdr:rowOff>123825</xdr:rowOff>
    </xdr:from>
    <xdr:to>
      <xdr:col>33</xdr:col>
      <xdr:colOff>304800</xdr:colOff>
      <xdr:row>16</xdr:row>
      <xdr:rowOff>19050</xdr:rowOff>
    </xdr:to>
    <xdr:sp macro="" textlink="">
      <xdr:nvSpPr>
        <xdr:cNvPr id="158" name="Line 116"/>
        <xdr:cNvSpPr>
          <a:spLocks noChangeShapeType="1"/>
        </xdr:cNvSpPr>
      </xdr:nvSpPr>
      <xdr:spPr bwMode="auto">
        <a:xfrm flipV="1">
          <a:off x="8296275" y="12268200"/>
          <a:ext cx="0" cy="4667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33</xdr:col>
      <xdr:colOff>304800</xdr:colOff>
      <xdr:row>24</xdr:row>
      <xdr:rowOff>95250</xdr:rowOff>
    </xdr:from>
    <xdr:to>
      <xdr:col>33</xdr:col>
      <xdr:colOff>304800</xdr:colOff>
      <xdr:row>27</xdr:row>
      <xdr:rowOff>19050</xdr:rowOff>
    </xdr:to>
    <xdr:sp macro="" textlink="">
      <xdr:nvSpPr>
        <xdr:cNvPr id="159" name="Line 117"/>
        <xdr:cNvSpPr>
          <a:spLocks noChangeShapeType="1"/>
        </xdr:cNvSpPr>
      </xdr:nvSpPr>
      <xdr:spPr bwMode="auto">
        <a:xfrm flipH="1">
          <a:off x="8296275" y="14335125"/>
          <a:ext cx="0" cy="4953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33</xdr:col>
      <xdr:colOff>180975</xdr:colOff>
      <xdr:row>12</xdr:row>
      <xdr:rowOff>104775</xdr:rowOff>
    </xdr:from>
    <xdr:to>
      <xdr:col>33</xdr:col>
      <xdr:colOff>447675</xdr:colOff>
      <xdr:row>14</xdr:row>
      <xdr:rowOff>66675</xdr:rowOff>
    </xdr:to>
    <xdr:sp macro="" textlink="">
      <xdr:nvSpPr>
        <xdr:cNvPr id="160" name="Oval 118"/>
        <xdr:cNvSpPr>
          <a:spLocks noChangeArrowheads="1"/>
        </xdr:cNvSpPr>
      </xdr:nvSpPr>
      <xdr:spPr bwMode="auto">
        <a:xfrm>
          <a:off x="8172450" y="120586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33</xdr:col>
      <xdr:colOff>152400</xdr:colOff>
      <xdr:row>26</xdr:row>
      <xdr:rowOff>114300</xdr:rowOff>
    </xdr:from>
    <xdr:to>
      <xdr:col>33</xdr:col>
      <xdr:colOff>419100</xdr:colOff>
      <xdr:row>28</xdr:row>
      <xdr:rowOff>76200</xdr:rowOff>
    </xdr:to>
    <xdr:sp macro="" textlink="">
      <xdr:nvSpPr>
        <xdr:cNvPr id="161" name="Oval 119"/>
        <xdr:cNvSpPr>
          <a:spLocks noChangeArrowheads="1"/>
        </xdr:cNvSpPr>
      </xdr:nvSpPr>
      <xdr:spPr bwMode="auto">
        <a:xfrm>
          <a:off x="8143875" y="1473517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36</xdr:col>
      <xdr:colOff>190500</xdr:colOff>
      <xdr:row>28</xdr:row>
      <xdr:rowOff>0</xdr:rowOff>
    </xdr:from>
    <xdr:to>
      <xdr:col>36</xdr:col>
      <xdr:colOff>276225</xdr:colOff>
      <xdr:row>29</xdr:row>
      <xdr:rowOff>9525</xdr:rowOff>
    </xdr:to>
    <xdr:sp macro="" textlink="">
      <xdr:nvSpPr>
        <xdr:cNvPr id="162" name="Line 120"/>
        <xdr:cNvSpPr>
          <a:spLocks noChangeShapeType="1"/>
        </xdr:cNvSpPr>
      </xdr:nvSpPr>
      <xdr:spPr bwMode="auto">
        <a:xfrm>
          <a:off x="10010775" y="15001875"/>
          <a:ext cx="85725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276225</xdr:colOff>
      <xdr:row>28</xdr:row>
      <xdr:rowOff>104775</xdr:rowOff>
    </xdr:from>
    <xdr:to>
      <xdr:col>36</xdr:col>
      <xdr:colOff>285750</xdr:colOff>
      <xdr:row>29</xdr:row>
      <xdr:rowOff>9525</xdr:rowOff>
    </xdr:to>
    <xdr:sp macro="" textlink="">
      <xdr:nvSpPr>
        <xdr:cNvPr id="163" name="Line 121"/>
        <xdr:cNvSpPr>
          <a:spLocks noChangeShapeType="1"/>
        </xdr:cNvSpPr>
      </xdr:nvSpPr>
      <xdr:spPr bwMode="auto">
        <a:xfrm flipV="1">
          <a:off x="10096500" y="15106650"/>
          <a:ext cx="9525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219075</xdr:colOff>
      <xdr:row>29</xdr:row>
      <xdr:rowOff>104775</xdr:rowOff>
    </xdr:from>
    <xdr:to>
      <xdr:col>33</xdr:col>
      <xdr:colOff>219075</xdr:colOff>
      <xdr:row>30</xdr:row>
      <xdr:rowOff>66675</xdr:rowOff>
    </xdr:to>
    <xdr:sp macro="" textlink="">
      <xdr:nvSpPr>
        <xdr:cNvPr id="164" name="Line 123"/>
        <xdr:cNvSpPr>
          <a:spLocks noChangeShapeType="1"/>
        </xdr:cNvSpPr>
      </xdr:nvSpPr>
      <xdr:spPr bwMode="auto">
        <a:xfrm>
          <a:off x="8210550" y="152971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36</xdr:col>
      <xdr:colOff>533400</xdr:colOff>
      <xdr:row>30</xdr:row>
      <xdr:rowOff>123825</xdr:rowOff>
    </xdr:from>
    <xdr:to>
      <xdr:col>37</xdr:col>
      <xdr:colOff>0</xdr:colOff>
      <xdr:row>31</xdr:row>
      <xdr:rowOff>133350</xdr:rowOff>
    </xdr:to>
    <xdr:sp macro="" textlink="">
      <xdr:nvSpPr>
        <xdr:cNvPr id="165" name="Text Box 130"/>
        <xdr:cNvSpPr txBox="1">
          <a:spLocks noChangeArrowheads="1"/>
        </xdr:cNvSpPr>
      </xdr:nvSpPr>
      <xdr:spPr bwMode="auto">
        <a:xfrm>
          <a:off x="10353675" y="155067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31</xdr:col>
      <xdr:colOff>409575</xdr:colOff>
      <xdr:row>24</xdr:row>
      <xdr:rowOff>0</xdr:rowOff>
    </xdr:from>
    <xdr:ext cx="123825" cy="180975"/>
    <xdr:sp macro="" textlink="">
      <xdr:nvSpPr>
        <xdr:cNvPr id="166" name="Text Box 131"/>
        <xdr:cNvSpPr txBox="1">
          <a:spLocks noChangeArrowheads="1"/>
        </xdr:cNvSpPr>
      </xdr:nvSpPr>
      <xdr:spPr bwMode="auto">
        <a:xfrm>
          <a:off x="7181850" y="142398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31</xdr:col>
      <xdr:colOff>409575</xdr:colOff>
      <xdr:row>15</xdr:row>
      <xdr:rowOff>152400</xdr:rowOff>
    </xdr:from>
    <xdr:ext cx="123825" cy="180975"/>
    <xdr:sp macro="" textlink="">
      <xdr:nvSpPr>
        <xdr:cNvPr id="167" name="Text Box 133"/>
        <xdr:cNvSpPr txBox="1">
          <a:spLocks noChangeArrowheads="1"/>
        </xdr:cNvSpPr>
      </xdr:nvSpPr>
      <xdr:spPr bwMode="auto">
        <a:xfrm>
          <a:off x="7181850" y="126777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31</xdr:col>
      <xdr:colOff>581025</xdr:colOff>
      <xdr:row>17</xdr:row>
      <xdr:rowOff>0</xdr:rowOff>
    </xdr:from>
    <xdr:to>
      <xdr:col>31</xdr:col>
      <xdr:colOff>581025</xdr:colOff>
      <xdr:row>24</xdr:row>
      <xdr:rowOff>0</xdr:rowOff>
    </xdr:to>
    <xdr:sp macro="" textlink="">
      <xdr:nvSpPr>
        <xdr:cNvPr id="168" name="Line 134"/>
        <xdr:cNvSpPr>
          <a:spLocks noChangeShapeType="1"/>
        </xdr:cNvSpPr>
      </xdr:nvSpPr>
      <xdr:spPr bwMode="auto">
        <a:xfrm>
          <a:off x="7353300" y="12906375"/>
          <a:ext cx="0" cy="1333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31</xdr:col>
      <xdr:colOff>581025</xdr:colOff>
      <xdr:row>24</xdr:row>
      <xdr:rowOff>0</xdr:rowOff>
    </xdr:from>
    <xdr:to>
      <xdr:col>31</xdr:col>
      <xdr:colOff>581025</xdr:colOff>
      <xdr:row>25</xdr:row>
      <xdr:rowOff>0</xdr:rowOff>
    </xdr:to>
    <xdr:sp macro="" textlink="">
      <xdr:nvSpPr>
        <xdr:cNvPr id="169" name="Line 135"/>
        <xdr:cNvSpPr>
          <a:spLocks noChangeShapeType="1"/>
        </xdr:cNvSpPr>
      </xdr:nvSpPr>
      <xdr:spPr bwMode="auto">
        <a:xfrm>
          <a:off x="7353300" y="142398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31</xdr:col>
      <xdr:colOff>581025</xdr:colOff>
      <xdr:row>16</xdr:row>
      <xdr:rowOff>0</xdr:rowOff>
    </xdr:from>
    <xdr:to>
      <xdr:col>31</xdr:col>
      <xdr:colOff>581025</xdr:colOff>
      <xdr:row>17</xdr:row>
      <xdr:rowOff>0</xdr:rowOff>
    </xdr:to>
    <xdr:sp macro="" textlink="">
      <xdr:nvSpPr>
        <xdr:cNvPr id="170" name="Line 136"/>
        <xdr:cNvSpPr>
          <a:spLocks noChangeShapeType="1"/>
        </xdr:cNvSpPr>
      </xdr:nvSpPr>
      <xdr:spPr bwMode="auto">
        <a:xfrm flipV="1">
          <a:off x="7353300" y="12715875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31</xdr:col>
      <xdr:colOff>514350</xdr:colOff>
      <xdr:row>16</xdr:row>
      <xdr:rowOff>0</xdr:rowOff>
    </xdr:from>
    <xdr:to>
      <xdr:col>32</xdr:col>
      <xdr:colOff>47625</xdr:colOff>
      <xdr:row>16</xdr:row>
      <xdr:rowOff>0</xdr:rowOff>
    </xdr:to>
    <xdr:sp macro="" textlink="">
      <xdr:nvSpPr>
        <xdr:cNvPr id="171" name="Line 137"/>
        <xdr:cNvSpPr>
          <a:spLocks noChangeShapeType="1"/>
        </xdr:cNvSpPr>
      </xdr:nvSpPr>
      <xdr:spPr bwMode="auto">
        <a:xfrm>
          <a:off x="7286625" y="127158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504825</xdr:colOff>
      <xdr:row>17</xdr:row>
      <xdr:rowOff>0</xdr:rowOff>
    </xdr:from>
    <xdr:to>
      <xdr:col>32</xdr:col>
      <xdr:colOff>9525</xdr:colOff>
      <xdr:row>17</xdr:row>
      <xdr:rowOff>0</xdr:rowOff>
    </xdr:to>
    <xdr:sp macro="" textlink="">
      <xdr:nvSpPr>
        <xdr:cNvPr id="172" name="Line 138"/>
        <xdr:cNvSpPr>
          <a:spLocks noChangeShapeType="1"/>
        </xdr:cNvSpPr>
      </xdr:nvSpPr>
      <xdr:spPr bwMode="auto">
        <a:xfrm>
          <a:off x="7277100" y="129063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514350</xdr:colOff>
      <xdr:row>25</xdr:row>
      <xdr:rowOff>0</xdr:rowOff>
    </xdr:from>
    <xdr:to>
      <xdr:col>32</xdr:col>
      <xdr:colOff>28575</xdr:colOff>
      <xdr:row>25</xdr:row>
      <xdr:rowOff>0</xdr:rowOff>
    </xdr:to>
    <xdr:sp macro="" textlink="">
      <xdr:nvSpPr>
        <xdr:cNvPr id="173" name="Line 139"/>
        <xdr:cNvSpPr>
          <a:spLocks noChangeShapeType="1"/>
        </xdr:cNvSpPr>
      </xdr:nvSpPr>
      <xdr:spPr bwMode="auto">
        <a:xfrm>
          <a:off x="7286625" y="14430375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533400</xdr:colOff>
      <xdr:row>24</xdr:row>
      <xdr:rowOff>0</xdr:rowOff>
    </xdr:from>
    <xdr:to>
      <xdr:col>32</xdr:col>
      <xdr:colOff>28575</xdr:colOff>
      <xdr:row>24</xdr:row>
      <xdr:rowOff>0</xdr:rowOff>
    </xdr:to>
    <xdr:sp macro="" textlink="">
      <xdr:nvSpPr>
        <xdr:cNvPr id="174" name="Line 140"/>
        <xdr:cNvSpPr>
          <a:spLocks noChangeShapeType="1"/>
        </xdr:cNvSpPr>
      </xdr:nvSpPr>
      <xdr:spPr bwMode="auto">
        <a:xfrm>
          <a:off x="7305675" y="1423987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76200</xdr:colOff>
      <xdr:row>13</xdr:row>
      <xdr:rowOff>19050</xdr:rowOff>
    </xdr:from>
    <xdr:to>
      <xdr:col>35</xdr:col>
      <xdr:colOff>76200</xdr:colOff>
      <xdr:row>14</xdr:row>
      <xdr:rowOff>142875</xdr:rowOff>
    </xdr:to>
    <xdr:sp macro="" textlink="">
      <xdr:nvSpPr>
        <xdr:cNvPr id="175" name="Line 1024"/>
        <xdr:cNvSpPr>
          <a:spLocks noChangeShapeType="1"/>
        </xdr:cNvSpPr>
      </xdr:nvSpPr>
      <xdr:spPr bwMode="auto">
        <a:xfrm>
          <a:off x="9286875" y="12163425"/>
          <a:ext cx="0" cy="3143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35</xdr:col>
      <xdr:colOff>57150</xdr:colOff>
      <xdr:row>26</xdr:row>
      <xdr:rowOff>19050</xdr:rowOff>
    </xdr:from>
    <xdr:to>
      <xdr:col>35</xdr:col>
      <xdr:colOff>57150</xdr:colOff>
      <xdr:row>27</xdr:row>
      <xdr:rowOff>152400</xdr:rowOff>
    </xdr:to>
    <xdr:sp macro="" textlink="">
      <xdr:nvSpPr>
        <xdr:cNvPr id="176" name="Line 1025"/>
        <xdr:cNvSpPr>
          <a:spLocks noChangeShapeType="1"/>
        </xdr:cNvSpPr>
      </xdr:nvSpPr>
      <xdr:spPr bwMode="auto">
        <a:xfrm>
          <a:off x="9267825" y="146399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37</xdr:col>
      <xdr:colOff>0</xdr:colOff>
      <xdr:row>11</xdr:row>
      <xdr:rowOff>133350</xdr:rowOff>
    </xdr:from>
    <xdr:to>
      <xdr:col>37</xdr:col>
      <xdr:colOff>0</xdr:colOff>
      <xdr:row>14</xdr:row>
      <xdr:rowOff>9525</xdr:rowOff>
    </xdr:to>
    <xdr:sp macro="" textlink="">
      <xdr:nvSpPr>
        <xdr:cNvPr id="177" name="Line 1026"/>
        <xdr:cNvSpPr>
          <a:spLocks noChangeShapeType="1"/>
        </xdr:cNvSpPr>
      </xdr:nvSpPr>
      <xdr:spPr bwMode="auto">
        <a:xfrm flipV="1">
          <a:off x="10429875" y="11896725"/>
          <a:ext cx="0" cy="44767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37</xdr:col>
      <xdr:colOff>9525</xdr:colOff>
      <xdr:row>26</xdr:row>
      <xdr:rowOff>114300</xdr:rowOff>
    </xdr:from>
    <xdr:to>
      <xdr:col>37</xdr:col>
      <xdr:colOff>9525</xdr:colOff>
      <xdr:row>29</xdr:row>
      <xdr:rowOff>85725</xdr:rowOff>
    </xdr:to>
    <xdr:sp macro="" textlink="">
      <xdr:nvSpPr>
        <xdr:cNvPr id="178" name="Line 1027"/>
        <xdr:cNvSpPr>
          <a:spLocks noChangeShapeType="1"/>
        </xdr:cNvSpPr>
      </xdr:nvSpPr>
      <xdr:spPr bwMode="auto">
        <a:xfrm>
          <a:off x="10439400" y="14735175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34</xdr:col>
      <xdr:colOff>581025</xdr:colOff>
      <xdr:row>11</xdr:row>
      <xdr:rowOff>104775</xdr:rowOff>
    </xdr:from>
    <xdr:to>
      <xdr:col>35</xdr:col>
      <xdr:colOff>238125</xdr:colOff>
      <xdr:row>13</xdr:row>
      <xdr:rowOff>66675</xdr:rowOff>
    </xdr:to>
    <xdr:sp macro="" textlink="">
      <xdr:nvSpPr>
        <xdr:cNvPr id="179" name="Oval 1028"/>
        <xdr:cNvSpPr>
          <a:spLocks noChangeArrowheads="1"/>
        </xdr:cNvSpPr>
      </xdr:nvSpPr>
      <xdr:spPr bwMode="auto">
        <a:xfrm>
          <a:off x="9182100" y="118681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34</xdr:col>
      <xdr:colOff>542925</xdr:colOff>
      <xdr:row>26</xdr:row>
      <xdr:rowOff>123825</xdr:rowOff>
    </xdr:from>
    <xdr:to>
      <xdr:col>35</xdr:col>
      <xdr:colOff>200025</xdr:colOff>
      <xdr:row>28</xdr:row>
      <xdr:rowOff>85725</xdr:rowOff>
    </xdr:to>
    <xdr:sp macro="" textlink="">
      <xdr:nvSpPr>
        <xdr:cNvPr id="180" name="Oval 1029"/>
        <xdr:cNvSpPr>
          <a:spLocks noChangeArrowheads="1"/>
        </xdr:cNvSpPr>
      </xdr:nvSpPr>
      <xdr:spPr bwMode="auto">
        <a:xfrm>
          <a:off x="9144000" y="1474470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466725</xdr:colOff>
      <xdr:row>10</xdr:row>
      <xdr:rowOff>85725</xdr:rowOff>
    </xdr:from>
    <xdr:to>
      <xdr:col>37</xdr:col>
      <xdr:colOff>123825</xdr:colOff>
      <xdr:row>12</xdr:row>
      <xdr:rowOff>66674</xdr:rowOff>
    </xdr:to>
    <xdr:sp macro="" textlink="">
      <xdr:nvSpPr>
        <xdr:cNvPr id="181" name="Oval 1030"/>
        <xdr:cNvSpPr>
          <a:spLocks noChangeArrowheads="1"/>
        </xdr:cNvSpPr>
      </xdr:nvSpPr>
      <xdr:spPr bwMode="auto">
        <a:xfrm>
          <a:off x="10287000" y="11658600"/>
          <a:ext cx="266700" cy="361949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36</xdr:col>
      <xdr:colOff>485775</xdr:colOff>
      <xdr:row>28</xdr:row>
      <xdr:rowOff>95250</xdr:rowOff>
    </xdr:from>
    <xdr:to>
      <xdr:col>37</xdr:col>
      <xdr:colOff>142875</xdr:colOff>
      <xdr:row>30</xdr:row>
      <xdr:rowOff>57150</xdr:rowOff>
    </xdr:to>
    <xdr:sp macro="" textlink="">
      <xdr:nvSpPr>
        <xdr:cNvPr id="182" name="Oval 1031"/>
        <xdr:cNvSpPr>
          <a:spLocks noChangeArrowheads="1"/>
        </xdr:cNvSpPr>
      </xdr:nvSpPr>
      <xdr:spPr bwMode="auto">
        <a:xfrm>
          <a:off x="10306050" y="1509712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37</xdr:col>
      <xdr:colOff>514350</xdr:colOff>
      <xdr:row>15</xdr:row>
      <xdr:rowOff>76200</xdr:rowOff>
    </xdr:from>
    <xdr:to>
      <xdr:col>38</xdr:col>
      <xdr:colOff>276225</xdr:colOff>
      <xdr:row>15</xdr:row>
      <xdr:rowOff>76200</xdr:rowOff>
    </xdr:to>
    <xdr:sp macro="" textlink="">
      <xdr:nvSpPr>
        <xdr:cNvPr id="183" name="Line 1045"/>
        <xdr:cNvSpPr>
          <a:spLocks noChangeShapeType="1"/>
        </xdr:cNvSpPr>
      </xdr:nvSpPr>
      <xdr:spPr bwMode="auto">
        <a:xfrm flipV="1">
          <a:off x="10944225" y="12601575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38</xdr:col>
      <xdr:colOff>57150</xdr:colOff>
      <xdr:row>25</xdr:row>
      <xdr:rowOff>152400</xdr:rowOff>
    </xdr:from>
    <xdr:to>
      <xdr:col>38</xdr:col>
      <xdr:colOff>219075</xdr:colOff>
      <xdr:row>25</xdr:row>
      <xdr:rowOff>152400</xdr:rowOff>
    </xdr:to>
    <xdr:sp macro="" textlink="">
      <xdr:nvSpPr>
        <xdr:cNvPr id="184" name="Line 1046"/>
        <xdr:cNvSpPr>
          <a:spLocks noChangeShapeType="1"/>
        </xdr:cNvSpPr>
      </xdr:nvSpPr>
      <xdr:spPr bwMode="auto">
        <a:xfrm>
          <a:off x="11096625" y="1458277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38</xdr:col>
      <xdr:colOff>95250</xdr:colOff>
      <xdr:row>15</xdr:row>
      <xdr:rowOff>76200</xdr:rowOff>
    </xdr:from>
    <xdr:to>
      <xdr:col>38</xdr:col>
      <xdr:colOff>95250</xdr:colOff>
      <xdr:row>25</xdr:row>
      <xdr:rowOff>142875</xdr:rowOff>
    </xdr:to>
    <xdr:sp macro="" textlink="">
      <xdr:nvSpPr>
        <xdr:cNvPr id="185" name="Line 1047"/>
        <xdr:cNvSpPr>
          <a:spLocks noChangeShapeType="1"/>
        </xdr:cNvSpPr>
      </xdr:nvSpPr>
      <xdr:spPr bwMode="auto">
        <a:xfrm>
          <a:off x="11134725" y="12601575"/>
          <a:ext cx="0" cy="19716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35</xdr:col>
      <xdr:colOff>76200</xdr:colOff>
      <xdr:row>16</xdr:row>
      <xdr:rowOff>9525</xdr:rowOff>
    </xdr:from>
    <xdr:to>
      <xdr:col>35</xdr:col>
      <xdr:colOff>76200</xdr:colOff>
      <xdr:row>25</xdr:row>
      <xdr:rowOff>19050</xdr:rowOff>
    </xdr:to>
    <xdr:sp macro="" textlink="">
      <xdr:nvSpPr>
        <xdr:cNvPr id="186" name="Line 1050"/>
        <xdr:cNvSpPr>
          <a:spLocks noChangeShapeType="1"/>
        </xdr:cNvSpPr>
      </xdr:nvSpPr>
      <xdr:spPr bwMode="auto">
        <a:xfrm>
          <a:off x="9286875" y="12725400"/>
          <a:ext cx="0" cy="1724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 editAs="oneCell">
    <xdr:from>
      <xdr:col>35</xdr:col>
      <xdr:colOff>590550</xdr:colOff>
      <xdr:row>20</xdr:row>
      <xdr:rowOff>0</xdr:rowOff>
    </xdr:from>
    <xdr:to>
      <xdr:col>36</xdr:col>
      <xdr:colOff>28575</xdr:colOff>
      <xdr:row>21</xdr:row>
      <xdr:rowOff>9525</xdr:rowOff>
    </xdr:to>
    <xdr:sp macro="" textlink="">
      <xdr:nvSpPr>
        <xdr:cNvPr id="187" name="Text Box 1052"/>
        <xdr:cNvSpPr txBox="1">
          <a:spLocks noChangeArrowheads="1"/>
        </xdr:cNvSpPr>
      </xdr:nvSpPr>
      <xdr:spPr bwMode="auto">
        <a:xfrm>
          <a:off x="9801225" y="13477875"/>
          <a:ext cx="476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35</xdr:col>
      <xdr:colOff>590550</xdr:colOff>
      <xdr:row>20</xdr:row>
      <xdr:rowOff>0</xdr:rowOff>
    </xdr:from>
    <xdr:to>
      <xdr:col>36</xdr:col>
      <xdr:colOff>28575</xdr:colOff>
      <xdr:row>21</xdr:row>
      <xdr:rowOff>9525</xdr:rowOff>
    </xdr:to>
    <xdr:sp macro="" textlink="">
      <xdr:nvSpPr>
        <xdr:cNvPr id="188" name="Text Box 1053"/>
        <xdr:cNvSpPr txBox="1">
          <a:spLocks noChangeArrowheads="1"/>
        </xdr:cNvSpPr>
      </xdr:nvSpPr>
      <xdr:spPr bwMode="auto">
        <a:xfrm>
          <a:off x="9801225" y="13477875"/>
          <a:ext cx="476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37</xdr:col>
      <xdr:colOff>200025</xdr:colOff>
      <xdr:row>15</xdr:row>
      <xdr:rowOff>76200</xdr:rowOff>
    </xdr:from>
    <xdr:to>
      <xdr:col>37</xdr:col>
      <xdr:colOff>200025</xdr:colOff>
      <xdr:row>25</xdr:row>
      <xdr:rowOff>133350</xdr:rowOff>
    </xdr:to>
    <xdr:sp macro="" textlink="">
      <xdr:nvSpPr>
        <xdr:cNvPr id="189" name="Line 4301"/>
        <xdr:cNvSpPr>
          <a:spLocks noChangeShapeType="1"/>
        </xdr:cNvSpPr>
      </xdr:nvSpPr>
      <xdr:spPr bwMode="auto">
        <a:xfrm>
          <a:off x="10629900" y="12601575"/>
          <a:ext cx="0" cy="1962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35</xdr:col>
      <xdr:colOff>542925</xdr:colOff>
      <xdr:row>20</xdr:row>
      <xdr:rowOff>0</xdr:rowOff>
    </xdr:from>
    <xdr:ext cx="123825" cy="180975"/>
    <xdr:sp macro="" textlink="">
      <xdr:nvSpPr>
        <xdr:cNvPr id="190" name="Text Box 4302"/>
        <xdr:cNvSpPr txBox="1">
          <a:spLocks noChangeArrowheads="1"/>
        </xdr:cNvSpPr>
      </xdr:nvSpPr>
      <xdr:spPr bwMode="auto">
        <a:xfrm>
          <a:off x="9753600" y="134778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32</xdr:col>
      <xdr:colOff>142875</xdr:colOff>
      <xdr:row>29</xdr:row>
      <xdr:rowOff>180975</xdr:rowOff>
    </xdr:from>
    <xdr:to>
      <xdr:col>33</xdr:col>
      <xdr:colOff>228600</xdr:colOff>
      <xdr:row>30</xdr:row>
      <xdr:rowOff>0</xdr:rowOff>
    </xdr:to>
    <xdr:cxnSp macro="">
      <xdr:nvCxnSpPr>
        <xdr:cNvPr id="191" name="Straight Arrow Connector 190"/>
        <xdr:cNvCxnSpPr/>
      </xdr:nvCxnSpPr>
      <xdr:spPr bwMode="auto">
        <a:xfrm flipV="1">
          <a:off x="7524750" y="15373350"/>
          <a:ext cx="6953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37</xdr:col>
      <xdr:colOff>218282</xdr:colOff>
      <xdr:row>29</xdr:row>
      <xdr:rowOff>134143</xdr:rowOff>
    </xdr:from>
    <xdr:to>
      <xdr:col>37</xdr:col>
      <xdr:colOff>219870</xdr:colOff>
      <xdr:row>33</xdr:row>
      <xdr:rowOff>86518</xdr:rowOff>
    </xdr:to>
    <xdr:cxnSp macro="">
      <xdr:nvCxnSpPr>
        <xdr:cNvPr id="192" name="Straight Connector 191"/>
        <xdr:cNvCxnSpPr/>
      </xdr:nvCxnSpPr>
      <xdr:spPr bwMode="auto">
        <a:xfrm rot="5400000">
          <a:off x="10291763" y="15682912"/>
          <a:ext cx="7143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142875</xdr:colOff>
      <xdr:row>32</xdr:row>
      <xdr:rowOff>0</xdr:rowOff>
    </xdr:from>
    <xdr:to>
      <xdr:col>37</xdr:col>
      <xdr:colOff>209550</xdr:colOff>
      <xdr:row>32</xdr:row>
      <xdr:rowOff>9525</xdr:rowOff>
    </xdr:to>
    <xdr:cxnSp macro="">
      <xdr:nvCxnSpPr>
        <xdr:cNvPr id="193" name="Straight Arrow Connector 192"/>
        <xdr:cNvCxnSpPr/>
      </xdr:nvCxnSpPr>
      <xdr:spPr bwMode="auto">
        <a:xfrm flipV="1">
          <a:off x="7524750" y="15763875"/>
          <a:ext cx="311467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32</xdr:col>
      <xdr:colOff>152400</xdr:colOff>
      <xdr:row>31</xdr:row>
      <xdr:rowOff>9525</xdr:rowOff>
    </xdr:from>
    <xdr:to>
      <xdr:col>35</xdr:col>
      <xdr:colOff>123825</xdr:colOff>
      <xdr:row>31</xdr:row>
      <xdr:rowOff>19050</xdr:rowOff>
    </xdr:to>
    <xdr:cxnSp macro="">
      <xdr:nvCxnSpPr>
        <xdr:cNvPr id="194" name="Straight Arrow Connector 193"/>
        <xdr:cNvCxnSpPr/>
      </xdr:nvCxnSpPr>
      <xdr:spPr bwMode="auto">
        <a:xfrm flipV="1">
          <a:off x="7534275" y="15582900"/>
          <a:ext cx="1800225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35</xdr:col>
      <xdr:colOff>95251</xdr:colOff>
      <xdr:row>30</xdr:row>
      <xdr:rowOff>9524</xdr:rowOff>
    </xdr:from>
    <xdr:to>
      <xdr:col>35</xdr:col>
      <xdr:colOff>95253</xdr:colOff>
      <xdr:row>31</xdr:row>
      <xdr:rowOff>152403</xdr:rowOff>
    </xdr:to>
    <xdr:cxnSp macro="">
      <xdr:nvCxnSpPr>
        <xdr:cNvPr id="195" name="Straight Connector 194"/>
        <xdr:cNvCxnSpPr/>
      </xdr:nvCxnSpPr>
      <xdr:spPr bwMode="auto">
        <a:xfrm rot="16200000" flipH="1">
          <a:off x="9139237" y="15559088"/>
          <a:ext cx="333379" cy="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35</xdr:col>
      <xdr:colOff>161925</xdr:colOff>
      <xdr:row>30</xdr:row>
      <xdr:rowOff>180975</xdr:rowOff>
    </xdr:from>
    <xdr:to>
      <xdr:col>37</xdr:col>
      <xdr:colOff>171450</xdr:colOff>
      <xdr:row>30</xdr:row>
      <xdr:rowOff>180976</xdr:rowOff>
    </xdr:to>
    <xdr:cxnSp macro="">
      <xdr:nvCxnSpPr>
        <xdr:cNvPr id="196" name="Straight Arrow Connector 195"/>
        <xdr:cNvCxnSpPr/>
      </xdr:nvCxnSpPr>
      <xdr:spPr bwMode="auto">
        <a:xfrm>
          <a:off x="9372600" y="15563850"/>
          <a:ext cx="1228725" cy="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34</xdr:col>
      <xdr:colOff>218281</xdr:colOff>
      <xdr:row>16</xdr:row>
      <xdr:rowOff>67469</xdr:rowOff>
    </xdr:from>
    <xdr:to>
      <xdr:col>34</xdr:col>
      <xdr:colOff>219869</xdr:colOff>
      <xdr:row>24</xdr:row>
      <xdr:rowOff>124619</xdr:rowOff>
    </xdr:to>
    <xdr:cxnSp macro="">
      <xdr:nvCxnSpPr>
        <xdr:cNvPr id="197" name="Straight Arrow Connector 196"/>
        <xdr:cNvCxnSpPr/>
      </xdr:nvCxnSpPr>
      <xdr:spPr bwMode="auto">
        <a:xfrm rot="5400000">
          <a:off x="8029575" y="13573125"/>
          <a:ext cx="15811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34</xdr:col>
      <xdr:colOff>104775</xdr:colOff>
      <xdr:row>11</xdr:row>
      <xdr:rowOff>114300</xdr:rowOff>
    </xdr:from>
    <xdr:to>
      <xdr:col>34</xdr:col>
      <xdr:colOff>371475</xdr:colOff>
      <xdr:row>13</xdr:row>
      <xdr:rowOff>76200</xdr:rowOff>
    </xdr:to>
    <xdr:sp macro="" textlink="">
      <xdr:nvSpPr>
        <xdr:cNvPr id="198" name="Oval 1029"/>
        <xdr:cNvSpPr>
          <a:spLocks noChangeArrowheads="1"/>
        </xdr:cNvSpPr>
      </xdr:nvSpPr>
      <xdr:spPr bwMode="auto">
        <a:xfrm>
          <a:off x="8705850" y="1187767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34</xdr:col>
      <xdr:colOff>104775</xdr:colOff>
      <xdr:row>26</xdr:row>
      <xdr:rowOff>123825</xdr:rowOff>
    </xdr:from>
    <xdr:to>
      <xdr:col>34</xdr:col>
      <xdr:colOff>371475</xdr:colOff>
      <xdr:row>28</xdr:row>
      <xdr:rowOff>85725</xdr:rowOff>
    </xdr:to>
    <xdr:sp macro="" textlink="">
      <xdr:nvSpPr>
        <xdr:cNvPr id="199" name="Oval 1029"/>
        <xdr:cNvSpPr>
          <a:spLocks noChangeArrowheads="1"/>
        </xdr:cNvSpPr>
      </xdr:nvSpPr>
      <xdr:spPr bwMode="auto">
        <a:xfrm>
          <a:off x="8705850" y="1474470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34</xdr:col>
      <xdr:colOff>190500</xdr:colOff>
      <xdr:row>13</xdr:row>
      <xdr:rowOff>85727</xdr:rowOff>
    </xdr:from>
    <xdr:to>
      <xdr:col>34</xdr:col>
      <xdr:colOff>192088</xdr:colOff>
      <xdr:row>15</xdr:row>
      <xdr:rowOff>95252</xdr:rowOff>
    </xdr:to>
    <xdr:cxnSp macro="">
      <xdr:nvCxnSpPr>
        <xdr:cNvPr id="200" name="Straight Connector 199"/>
        <xdr:cNvCxnSpPr/>
      </xdr:nvCxnSpPr>
      <xdr:spPr bwMode="auto">
        <a:xfrm rot="5400000">
          <a:off x="8597106" y="12424571"/>
          <a:ext cx="3905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34</xdr:col>
      <xdr:colOff>180975</xdr:colOff>
      <xdr:row>25</xdr:row>
      <xdr:rowOff>47626</xdr:rowOff>
    </xdr:from>
    <xdr:to>
      <xdr:col>34</xdr:col>
      <xdr:colOff>182563</xdr:colOff>
      <xdr:row>27</xdr:row>
      <xdr:rowOff>57151</xdr:rowOff>
    </xdr:to>
    <xdr:cxnSp macro="">
      <xdr:nvCxnSpPr>
        <xdr:cNvPr id="201" name="Straight Connector 200"/>
        <xdr:cNvCxnSpPr/>
      </xdr:nvCxnSpPr>
      <xdr:spPr bwMode="auto">
        <a:xfrm rot="5400000">
          <a:off x="8587581" y="14672470"/>
          <a:ext cx="3905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dashDot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419100</xdr:colOff>
      <xdr:row>13</xdr:row>
      <xdr:rowOff>0</xdr:rowOff>
    </xdr:from>
    <xdr:to>
      <xdr:col>38</xdr:col>
      <xdr:colOff>0</xdr:colOff>
      <xdr:row>13</xdr:row>
      <xdr:rowOff>1588</xdr:rowOff>
    </xdr:to>
    <xdr:cxnSp macro="">
      <xdr:nvCxnSpPr>
        <xdr:cNvPr id="202" name="Straight Connector 201"/>
        <xdr:cNvCxnSpPr/>
      </xdr:nvCxnSpPr>
      <xdr:spPr bwMode="auto">
        <a:xfrm>
          <a:off x="10239375" y="12144375"/>
          <a:ext cx="8001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285750</xdr:colOff>
      <xdr:row>28</xdr:row>
      <xdr:rowOff>104775</xdr:rowOff>
    </xdr:from>
    <xdr:to>
      <xdr:col>38</xdr:col>
      <xdr:colOff>9525</xdr:colOff>
      <xdr:row>28</xdr:row>
      <xdr:rowOff>106363</xdr:rowOff>
    </xdr:to>
    <xdr:cxnSp macro="">
      <xdr:nvCxnSpPr>
        <xdr:cNvPr id="203" name="Straight Connector 202"/>
        <xdr:cNvCxnSpPr/>
      </xdr:nvCxnSpPr>
      <xdr:spPr bwMode="auto">
        <a:xfrm>
          <a:off x="10106025" y="15106650"/>
          <a:ext cx="942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33</xdr:col>
      <xdr:colOff>304006</xdr:colOff>
      <xdr:row>21</xdr:row>
      <xdr:rowOff>38894</xdr:rowOff>
    </xdr:from>
    <xdr:to>
      <xdr:col>33</xdr:col>
      <xdr:colOff>305594</xdr:colOff>
      <xdr:row>24</xdr:row>
      <xdr:rowOff>96044</xdr:rowOff>
    </xdr:to>
    <xdr:cxnSp macro="">
      <xdr:nvCxnSpPr>
        <xdr:cNvPr id="204" name="Straight Arrow Connector 203"/>
        <xdr:cNvCxnSpPr/>
      </xdr:nvCxnSpPr>
      <xdr:spPr bwMode="auto">
        <a:xfrm rot="5400000">
          <a:off x="7981950" y="14020800"/>
          <a:ext cx="62865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33</xdr:col>
      <xdr:colOff>304799</xdr:colOff>
      <xdr:row>16</xdr:row>
      <xdr:rowOff>123826</xdr:rowOff>
    </xdr:from>
    <xdr:to>
      <xdr:col>33</xdr:col>
      <xdr:colOff>314324</xdr:colOff>
      <xdr:row>19</xdr:row>
      <xdr:rowOff>161926</xdr:rowOff>
    </xdr:to>
    <xdr:cxnSp macro="">
      <xdr:nvCxnSpPr>
        <xdr:cNvPr id="205" name="Straight Arrow Connector 204"/>
        <xdr:cNvCxnSpPr/>
      </xdr:nvCxnSpPr>
      <xdr:spPr bwMode="auto">
        <a:xfrm rot="5400000" flipH="1" flipV="1">
          <a:off x="7996237" y="13139738"/>
          <a:ext cx="609600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26</xdr:col>
      <xdr:colOff>152401</xdr:colOff>
      <xdr:row>79</xdr:row>
      <xdr:rowOff>180975</xdr:rowOff>
    </xdr:from>
    <xdr:to>
      <xdr:col>29</xdr:col>
      <xdr:colOff>85726</xdr:colOff>
      <xdr:row>82</xdr:row>
      <xdr:rowOff>180975</xdr:rowOff>
    </xdr:to>
    <xdr:sp macro="" textlink="">
      <xdr:nvSpPr>
        <xdr:cNvPr id="206" name="Line 13"/>
        <xdr:cNvSpPr>
          <a:spLocks noChangeShapeType="1"/>
        </xdr:cNvSpPr>
      </xdr:nvSpPr>
      <xdr:spPr bwMode="auto">
        <a:xfrm>
          <a:off x="12411076" y="5657850"/>
          <a:ext cx="1762125" cy="5429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171450</xdr:colOff>
      <xdr:row>79</xdr:row>
      <xdr:rowOff>152400</xdr:rowOff>
    </xdr:from>
    <xdr:to>
      <xdr:col>26</xdr:col>
      <xdr:colOff>171450</xdr:colOff>
      <xdr:row>91</xdr:row>
      <xdr:rowOff>85725</xdr:rowOff>
    </xdr:to>
    <xdr:sp macro="" textlink="">
      <xdr:nvSpPr>
        <xdr:cNvPr id="207" name="Line 14"/>
        <xdr:cNvSpPr>
          <a:spLocks noChangeShapeType="1"/>
        </xdr:cNvSpPr>
      </xdr:nvSpPr>
      <xdr:spPr bwMode="auto">
        <a:xfrm flipH="1">
          <a:off x="12430125" y="5629275"/>
          <a:ext cx="0" cy="21336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171450</xdr:colOff>
      <xdr:row>91</xdr:row>
      <xdr:rowOff>85725</xdr:rowOff>
    </xdr:from>
    <xdr:to>
      <xdr:col>27</xdr:col>
      <xdr:colOff>142875</xdr:colOff>
      <xdr:row>93</xdr:row>
      <xdr:rowOff>9525</xdr:rowOff>
    </xdr:to>
    <xdr:sp macro="" textlink="">
      <xdr:nvSpPr>
        <xdr:cNvPr id="208" name="Line 15"/>
        <xdr:cNvSpPr>
          <a:spLocks noChangeShapeType="1"/>
        </xdr:cNvSpPr>
      </xdr:nvSpPr>
      <xdr:spPr bwMode="auto">
        <a:xfrm>
          <a:off x="12430125" y="7762875"/>
          <a:ext cx="581025" cy="3048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114300</xdr:colOff>
      <xdr:row>80</xdr:row>
      <xdr:rowOff>0</xdr:rowOff>
    </xdr:from>
    <xdr:to>
      <xdr:col>27</xdr:col>
      <xdr:colOff>123825</xdr:colOff>
      <xdr:row>94</xdr:row>
      <xdr:rowOff>152400</xdr:rowOff>
    </xdr:to>
    <xdr:sp macro="" textlink="">
      <xdr:nvSpPr>
        <xdr:cNvPr id="209" name="Line 16"/>
        <xdr:cNvSpPr>
          <a:spLocks noChangeShapeType="1"/>
        </xdr:cNvSpPr>
      </xdr:nvSpPr>
      <xdr:spPr bwMode="auto">
        <a:xfrm>
          <a:off x="12982575" y="5667375"/>
          <a:ext cx="9525" cy="273367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27</xdr:col>
      <xdr:colOff>123825</xdr:colOff>
      <xdr:row>93</xdr:row>
      <xdr:rowOff>0</xdr:rowOff>
    </xdr:from>
    <xdr:to>
      <xdr:col>31</xdr:col>
      <xdr:colOff>190500</xdr:colOff>
      <xdr:row>93</xdr:row>
      <xdr:rowOff>0</xdr:rowOff>
    </xdr:to>
    <xdr:sp macro="" textlink="">
      <xdr:nvSpPr>
        <xdr:cNvPr id="210" name="Line 17"/>
        <xdr:cNvSpPr>
          <a:spLocks noChangeShapeType="1"/>
        </xdr:cNvSpPr>
      </xdr:nvSpPr>
      <xdr:spPr bwMode="auto">
        <a:xfrm flipV="1">
          <a:off x="12992100" y="8058150"/>
          <a:ext cx="25050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123825</xdr:colOff>
      <xdr:row>91</xdr:row>
      <xdr:rowOff>76200</xdr:rowOff>
    </xdr:from>
    <xdr:to>
      <xdr:col>31</xdr:col>
      <xdr:colOff>571500</xdr:colOff>
      <xdr:row>91</xdr:row>
      <xdr:rowOff>85725</xdr:rowOff>
    </xdr:to>
    <xdr:sp macro="" textlink="">
      <xdr:nvSpPr>
        <xdr:cNvPr id="211" name="Line 19"/>
        <xdr:cNvSpPr>
          <a:spLocks noChangeShapeType="1"/>
        </xdr:cNvSpPr>
      </xdr:nvSpPr>
      <xdr:spPr bwMode="auto">
        <a:xfrm flipH="1" flipV="1">
          <a:off x="12992100" y="7753350"/>
          <a:ext cx="28860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181169</xdr:colOff>
      <xdr:row>89</xdr:row>
      <xdr:rowOff>162118</xdr:rowOff>
    </xdr:from>
    <xdr:to>
      <xdr:col>27</xdr:col>
      <xdr:colOff>143264</xdr:colOff>
      <xdr:row>91</xdr:row>
      <xdr:rowOff>85919</xdr:rowOff>
    </xdr:to>
    <xdr:sp macro="" textlink="">
      <xdr:nvSpPr>
        <xdr:cNvPr id="212" name="Line 20"/>
        <xdr:cNvSpPr>
          <a:spLocks noChangeShapeType="1"/>
        </xdr:cNvSpPr>
      </xdr:nvSpPr>
      <xdr:spPr bwMode="auto">
        <a:xfrm flipH="1" flipV="1">
          <a:off x="12439844" y="7458268"/>
          <a:ext cx="571695" cy="304801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600075</xdr:colOff>
      <xdr:row>91</xdr:row>
      <xdr:rowOff>76200</xdr:rowOff>
    </xdr:from>
    <xdr:to>
      <xdr:col>31</xdr:col>
      <xdr:colOff>600075</xdr:colOff>
      <xdr:row>94</xdr:row>
      <xdr:rowOff>9525</xdr:rowOff>
    </xdr:to>
    <xdr:sp macro="" textlink="">
      <xdr:nvSpPr>
        <xdr:cNvPr id="213" name="Line 21"/>
        <xdr:cNvSpPr>
          <a:spLocks noChangeShapeType="1"/>
        </xdr:cNvSpPr>
      </xdr:nvSpPr>
      <xdr:spPr bwMode="auto">
        <a:xfrm flipH="1">
          <a:off x="15906750" y="7753350"/>
          <a:ext cx="0" cy="5048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209550</xdr:colOff>
      <xdr:row>93</xdr:row>
      <xdr:rowOff>9525</xdr:rowOff>
    </xdr:from>
    <xdr:to>
      <xdr:col>31</xdr:col>
      <xdr:colOff>371475</xdr:colOff>
      <xdr:row>94</xdr:row>
      <xdr:rowOff>9525</xdr:rowOff>
    </xdr:to>
    <xdr:sp macro="" textlink="">
      <xdr:nvSpPr>
        <xdr:cNvPr id="214" name="Line 22"/>
        <xdr:cNvSpPr>
          <a:spLocks noChangeShapeType="1"/>
        </xdr:cNvSpPr>
      </xdr:nvSpPr>
      <xdr:spPr bwMode="auto">
        <a:xfrm>
          <a:off x="15516225" y="8067675"/>
          <a:ext cx="161925" cy="1905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581025</xdr:colOff>
      <xdr:row>94</xdr:row>
      <xdr:rowOff>0</xdr:rowOff>
    </xdr:from>
    <xdr:to>
      <xdr:col>31</xdr:col>
      <xdr:colOff>581025</xdr:colOff>
      <xdr:row>94</xdr:row>
      <xdr:rowOff>0</xdr:rowOff>
    </xdr:to>
    <xdr:sp macro="" textlink="">
      <xdr:nvSpPr>
        <xdr:cNvPr id="215" name="Line 23"/>
        <xdr:cNvSpPr>
          <a:spLocks noChangeShapeType="1"/>
        </xdr:cNvSpPr>
      </xdr:nvSpPr>
      <xdr:spPr bwMode="auto">
        <a:xfrm>
          <a:off x="15887700" y="82486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171450</xdr:colOff>
      <xdr:row>85</xdr:row>
      <xdr:rowOff>19050</xdr:rowOff>
    </xdr:from>
    <xdr:to>
      <xdr:col>31</xdr:col>
      <xdr:colOff>200025</xdr:colOff>
      <xdr:row>86</xdr:row>
      <xdr:rowOff>28575</xdr:rowOff>
    </xdr:to>
    <xdr:sp macro="" textlink="">
      <xdr:nvSpPr>
        <xdr:cNvPr id="216" name="Line 24"/>
        <xdr:cNvSpPr>
          <a:spLocks noChangeShapeType="1"/>
        </xdr:cNvSpPr>
      </xdr:nvSpPr>
      <xdr:spPr bwMode="auto">
        <a:xfrm>
          <a:off x="12430125" y="6581775"/>
          <a:ext cx="3076575" cy="200025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26</xdr:col>
      <xdr:colOff>180975</xdr:colOff>
      <xdr:row>92</xdr:row>
      <xdr:rowOff>0</xdr:rowOff>
    </xdr:from>
    <xdr:to>
      <xdr:col>26</xdr:col>
      <xdr:colOff>180975</xdr:colOff>
      <xdr:row>95</xdr:row>
      <xdr:rowOff>19050</xdr:rowOff>
    </xdr:to>
    <xdr:sp macro="" textlink="">
      <xdr:nvSpPr>
        <xdr:cNvPr id="217" name="Line 25"/>
        <xdr:cNvSpPr>
          <a:spLocks noChangeShapeType="1"/>
        </xdr:cNvSpPr>
      </xdr:nvSpPr>
      <xdr:spPr bwMode="auto">
        <a:xfrm flipH="1">
          <a:off x="12439650" y="7867650"/>
          <a:ext cx="0" cy="59055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26</xdr:col>
      <xdr:colOff>171450</xdr:colOff>
      <xdr:row>78</xdr:row>
      <xdr:rowOff>9525</xdr:rowOff>
    </xdr:from>
    <xdr:to>
      <xdr:col>26</xdr:col>
      <xdr:colOff>171450</xdr:colOff>
      <xdr:row>79</xdr:row>
      <xdr:rowOff>95250</xdr:rowOff>
    </xdr:to>
    <xdr:sp macro="" textlink="">
      <xdr:nvSpPr>
        <xdr:cNvPr id="218" name="Line 26"/>
        <xdr:cNvSpPr>
          <a:spLocks noChangeShapeType="1"/>
        </xdr:cNvSpPr>
      </xdr:nvSpPr>
      <xdr:spPr bwMode="auto">
        <a:xfrm flipV="1">
          <a:off x="12430125" y="5295900"/>
          <a:ext cx="0" cy="27622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29</xdr:col>
      <xdr:colOff>316230</xdr:colOff>
      <xdr:row>90</xdr:row>
      <xdr:rowOff>123825</xdr:rowOff>
    </xdr:from>
    <xdr:to>
      <xdr:col>29</xdr:col>
      <xdr:colOff>361949</xdr:colOff>
      <xdr:row>91</xdr:row>
      <xdr:rowOff>76200</xdr:rowOff>
    </xdr:to>
    <xdr:sp macro="" textlink="">
      <xdr:nvSpPr>
        <xdr:cNvPr id="219" name="AutoShape 27"/>
        <xdr:cNvSpPr>
          <a:spLocks noChangeArrowheads="1"/>
        </xdr:cNvSpPr>
      </xdr:nvSpPr>
      <xdr:spPr bwMode="auto">
        <a:xfrm>
          <a:off x="14403705" y="7610475"/>
          <a:ext cx="45719" cy="142875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31</xdr:col>
      <xdr:colOff>228599</xdr:colOff>
      <xdr:row>85</xdr:row>
      <xdr:rowOff>57149</xdr:rowOff>
    </xdr:from>
    <xdr:to>
      <xdr:col>31</xdr:col>
      <xdr:colOff>571499</xdr:colOff>
      <xdr:row>86</xdr:row>
      <xdr:rowOff>19049</xdr:rowOff>
    </xdr:to>
    <xdr:sp macro="" textlink="">
      <xdr:nvSpPr>
        <xdr:cNvPr id="220" name="Line 32"/>
        <xdr:cNvSpPr>
          <a:spLocks noChangeShapeType="1"/>
        </xdr:cNvSpPr>
      </xdr:nvSpPr>
      <xdr:spPr bwMode="auto">
        <a:xfrm flipH="1">
          <a:off x="15535274" y="6619874"/>
          <a:ext cx="3429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31</xdr:col>
      <xdr:colOff>381000</xdr:colOff>
      <xdr:row>94</xdr:row>
      <xdr:rowOff>9525</xdr:rowOff>
    </xdr:from>
    <xdr:to>
      <xdr:col>31</xdr:col>
      <xdr:colOff>600075</xdr:colOff>
      <xdr:row>94</xdr:row>
      <xdr:rowOff>9525</xdr:rowOff>
    </xdr:to>
    <xdr:sp macro="" textlink="">
      <xdr:nvSpPr>
        <xdr:cNvPr id="221" name="Line 37"/>
        <xdr:cNvSpPr>
          <a:spLocks noChangeShapeType="1"/>
        </xdr:cNvSpPr>
      </xdr:nvSpPr>
      <xdr:spPr bwMode="auto">
        <a:xfrm>
          <a:off x="15687675" y="8258175"/>
          <a:ext cx="2190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27</xdr:col>
      <xdr:colOff>168146</xdr:colOff>
      <xdr:row>82</xdr:row>
      <xdr:rowOff>48597</xdr:rowOff>
    </xdr:from>
    <xdr:ext cx="18531" cy="170560"/>
    <xdr:sp macro="" textlink="">
      <xdr:nvSpPr>
        <xdr:cNvPr id="222" name="Text Box 48"/>
        <xdr:cNvSpPr txBox="1">
          <a:spLocks noChangeArrowheads="1"/>
        </xdr:cNvSpPr>
      </xdr:nvSpPr>
      <xdr:spPr bwMode="auto">
        <a:xfrm>
          <a:off x="13036421" y="6068397"/>
          <a:ext cx="1853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27</xdr:col>
      <xdr:colOff>399272</xdr:colOff>
      <xdr:row>86</xdr:row>
      <xdr:rowOff>155511</xdr:rowOff>
    </xdr:from>
    <xdr:ext cx="123825" cy="180975"/>
    <xdr:sp macro="" textlink="">
      <xdr:nvSpPr>
        <xdr:cNvPr id="223" name="Text Box 50"/>
        <xdr:cNvSpPr txBox="1">
          <a:spLocks noChangeArrowheads="1"/>
        </xdr:cNvSpPr>
      </xdr:nvSpPr>
      <xdr:spPr bwMode="auto">
        <a:xfrm>
          <a:off x="13267547" y="6908736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26</xdr:col>
      <xdr:colOff>527957</xdr:colOff>
      <xdr:row>86</xdr:row>
      <xdr:rowOff>126157</xdr:rowOff>
    </xdr:from>
    <xdr:ext cx="123825" cy="180975"/>
    <xdr:sp macro="" textlink="">
      <xdr:nvSpPr>
        <xdr:cNvPr id="224" name="Text Box 52"/>
        <xdr:cNvSpPr txBox="1">
          <a:spLocks noChangeArrowheads="1"/>
        </xdr:cNvSpPr>
      </xdr:nvSpPr>
      <xdr:spPr bwMode="auto">
        <a:xfrm>
          <a:off x="12786632" y="6879382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26</xdr:col>
      <xdr:colOff>382166</xdr:colOff>
      <xdr:row>88</xdr:row>
      <xdr:rowOff>106718</xdr:rowOff>
    </xdr:from>
    <xdr:ext cx="123825" cy="180975"/>
    <xdr:sp macro="" textlink="">
      <xdr:nvSpPr>
        <xdr:cNvPr id="225" name="Text Box 53"/>
        <xdr:cNvSpPr txBox="1">
          <a:spLocks noChangeArrowheads="1"/>
        </xdr:cNvSpPr>
      </xdr:nvSpPr>
      <xdr:spPr bwMode="auto">
        <a:xfrm>
          <a:off x="12640841" y="7212368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26</xdr:col>
      <xdr:colOff>0</xdr:colOff>
      <xdr:row>80</xdr:row>
      <xdr:rowOff>0</xdr:rowOff>
    </xdr:from>
    <xdr:to>
      <xdr:col>26</xdr:col>
      <xdr:colOff>0</xdr:colOff>
      <xdr:row>90</xdr:row>
      <xdr:rowOff>0</xdr:rowOff>
    </xdr:to>
    <xdr:sp macro="" textlink="">
      <xdr:nvSpPr>
        <xdr:cNvPr id="226" name="Line 56"/>
        <xdr:cNvSpPr>
          <a:spLocks noChangeShapeType="1"/>
        </xdr:cNvSpPr>
      </xdr:nvSpPr>
      <xdr:spPr bwMode="auto">
        <a:xfrm>
          <a:off x="12258675" y="5667375"/>
          <a:ext cx="0" cy="1819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25</xdr:col>
      <xdr:colOff>514350</xdr:colOff>
      <xdr:row>80</xdr:row>
      <xdr:rowOff>0</xdr:rowOff>
    </xdr:from>
    <xdr:to>
      <xdr:col>26</xdr:col>
      <xdr:colOff>47625</xdr:colOff>
      <xdr:row>80</xdr:row>
      <xdr:rowOff>0</xdr:rowOff>
    </xdr:to>
    <xdr:sp macro="" textlink="">
      <xdr:nvSpPr>
        <xdr:cNvPr id="227" name="Line 57"/>
        <xdr:cNvSpPr>
          <a:spLocks noChangeShapeType="1"/>
        </xdr:cNvSpPr>
      </xdr:nvSpPr>
      <xdr:spPr bwMode="auto">
        <a:xfrm>
          <a:off x="12163425" y="566737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533400</xdr:colOff>
      <xdr:row>90</xdr:row>
      <xdr:rowOff>0</xdr:rowOff>
    </xdr:from>
    <xdr:to>
      <xdr:col>26</xdr:col>
      <xdr:colOff>85725</xdr:colOff>
      <xdr:row>90</xdr:row>
      <xdr:rowOff>0</xdr:rowOff>
    </xdr:to>
    <xdr:sp macro="" textlink="">
      <xdr:nvSpPr>
        <xdr:cNvPr id="228" name="Line 58"/>
        <xdr:cNvSpPr>
          <a:spLocks noChangeShapeType="1"/>
        </xdr:cNvSpPr>
      </xdr:nvSpPr>
      <xdr:spPr bwMode="auto">
        <a:xfrm>
          <a:off x="12182475" y="748665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0</xdr:colOff>
      <xdr:row>89</xdr:row>
      <xdr:rowOff>152400</xdr:rowOff>
    </xdr:from>
    <xdr:to>
      <xdr:col>26</xdr:col>
      <xdr:colOff>0</xdr:colOff>
      <xdr:row>91</xdr:row>
      <xdr:rowOff>76200</xdr:rowOff>
    </xdr:to>
    <xdr:sp macro="" textlink="">
      <xdr:nvSpPr>
        <xdr:cNvPr id="229" name="Line 60"/>
        <xdr:cNvSpPr>
          <a:spLocks noChangeShapeType="1"/>
        </xdr:cNvSpPr>
      </xdr:nvSpPr>
      <xdr:spPr bwMode="auto">
        <a:xfrm>
          <a:off x="12258675" y="7448550"/>
          <a:ext cx="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25</xdr:col>
      <xdr:colOff>571500</xdr:colOff>
      <xdr:row>91</xdr:row>
      <xdr:rowOff>85725</xdr:rowOff>
    </xdr:from>
    <xdr:to>
      <xdr:col>26</xdr:col>
      <xdr:colOff>76200</xdr:colOff>
      <xdr:row>91</xdr:row>
      <xdr:rowOff>85725</xdr:rowOff>
    </xdr:to>
    <xdr:sp macro="" textlink="">
      <xdr:nvSpPr>
        <xdr:cNvPr id="230" name="Line 61"/>
        <xdr:cNvSpPr>
          <a:spLocks noChangeShapeType="1"/>
        </xdr:cNvSpPr>
      </xdr:nvSpPr>
      <xdr:spPr bwMode="auto">
        <a:xfrm flipV="1">
          <a:off x="12220575" y="77628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30</xdr:col>
      <xdr:colOff>537675</xdr:colOff>
      <xdr:row>76</xdr:row>
      <xdr:rowOff>194193</xdr:rowOff>
    </xdr:from>
    <xdr:ext cx="123825" cy="180975"/>
    <xdr:sp macro="" textlink="">
      <xdr:nvSpPr>
        <xdr:cNvPr id="231" name="Text Box 70"/>
        <xdr:cNvSpPr txBox="1">
          <a:spLocks noChangeArrowheads="1"/>
        </xdr:cNvSpPr>
      </xdr:nvSpPr>
      <xdr:spPr bwMode="auto">
        <a:xfrm>
          <a:off x="15234750" y="5099568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26</xdr:col>
      <xdr:colOff>142874</xdr:colOff>
      <xdr:row>84</xdr:row>
      <xdr:rowOff>76200</xdr:rowOff>
    </xdr:from>
    <xdr:to>
      <xdr:col>26</xdr:col>
      <xdr:colOff>381000</xdr:colOff>
      <xdr:row>85</xdr:row>
      <xdr:rowOff>19050</xdr:rowOff>
    </xdr:to>
    <xdr:sp macro="" textlink="">
      <xdr:nvSpPr>
        <xdr:cNvPr id="232" name="Line 73"/>
        <xdr:cNvSpPr>
          <a:spLocks noChangeShapeType="1"/>
        </xdr:cNvSpPr>
      </xdr:nvSpPr>
      <xdr:spPr bwMode="auto">
        <a:xfrm flipH="1">
          <a:off x="12401549" y="6477000"/>
          <a:ext cx="238126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27</xdr:col>
      <xdr:colOff>247650</xdr:colOff>
      <xdr:row>94</xdr:row>
      <xdr:rowOff>19050</xdr:rowOff>
    </xdr:from>
    <xdr:to>
      <xdr:col>27</xdr:col>
      <xdr:colOff>247650</xdr:colOff>
      <xdr:row>95</xdr:row>
      <xdr:rowOff>9525</xdr:rowOff>
    </xdr:to>
    <xdr:sp macro="" textlink="">
      <xdr:nvSpPr>
        <xdr:cNvPr id="233" name="Line 80"/>
        <xdr:cNvSpPr>
          <a:spLocks noChangeShapeType="1"/>
        </xdr:cNvSpPr>
      </xdr:nvSpPr>
      <xdr:spPr bwMode="auto">
        <a:xfrm>
          <a:off x="13115925" y="826770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142875</xdr:colOff>
      <xdr:row>96</xdr:row>
      <xdr:rowOff>28575</xdr:rowOff>
    </xdr:from>
    <xdr:to>
      <xdr:col>31</xdr:col>
      <xdr:colOff>200025</xdr:colOff>
      <xdr:row>96</xdr:row>
      <xdr:rowOff>28575</xdr:rowOff>
    </xdr:to>
    <xdr:sp macro="" textlink="">
      <xdr:nvSpPr>
        <xdr:cNvPr id="234" name="Line 84"/>
        <xdr:cNvSpPr>
          <a:spLocks noChangeShapeType="1"/>
        </xdr:cNvSpPr>
      </xdr:nvSpPr>
      <xdr:spPr bwMode="auto">
        <a:xfrm>
          <a:off x="13011150" y="8658225"/>
          <a:ext cx="2495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29</xdr:col>
      <xdr:colOff>344356</xdr:colOff>
      <xdr:row>78</xdr:row>
      <xdr:rowOff>119067</xdr:rowOff>
    </xdr:from>
    <xdr:to>
      <xdr:col>29</xdr:col>
      <xdr:colOff>344356</xdr:colOff>
      <xdr:row>79</xdr:row>
      <xdr:rowOff>128592</xdr:rowOff>
    </xdr:to>
    <xdr:sp macro="" textlink="">
      <xdr:nvSpPr>
        <xdr:cNvPr id="235" name="Line 89"/>
        <xdr:cNvSpPr>
          <a:spLocks noChangeShapeType="1"/>
        </xdr:cNvSpPr>
      </xdr:nvSpPr>
      <xdr:spPr bwMode="auto">
        <a:xfrm>
          <a:off x="14431831" y="5405442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122853</xdr:colOff>
      <xdr:row>79</xdr:row>
      <xdr:rowOff>21836</xdr:rowOff>
    </xdr:from>
    <xdr:to>
      <xdr:col>31</xdr:col>
      <xdr:colOff>132378</xdr:colOff>
      <xdr:row>94</xdr:row>
      <xdr:rowOff>3369</xdr:rowOff>
    </xdr:to>
    <xdr:sp macro="" textlink="">
      <xdr:nvSpPr>
        <xdr:cNvPr id="236" name="Line 1016"/>
        <xdr:cNvSpPr>
          <a:spLocks noChangeShapeType="1"/>
        </xdr:cNvSpPr>
      </xdr:nvSpPr>
      <xdr:spPr bwMode="auto">
        <a:xfrm>
          <a:off x="15429528" y="5498711"/>
          <a:ext cx="9525" cy="2753308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31</xdr:col>
      <xdr:colOff>19050</xdr:colOff>
      <xdr:row>80</xdr:row>
      <xdr:rowOff>19050</xdr:rowOff>
    </xdr:from>
    <xdr:to>
      <xdr:col>31</xdr:col>
      <xdr:colOff>19050</xdr:colOff>
      <xdr:row>95</xdr:row>
      <xdr:rowOff>66675</xdr:rowOff>
    </xdr:to>
    <xdr:sp macro="" textlink="">
      <xdr:nvSpPr>
        <xdr:cNvPr id="237" name="Line 1017"/>
        <xdr:cNvSpPr>
          <a:spLocks noChangeShapeType="1"/>
        </xdr:cNvSpPr>
      </xdr:nvSpPr>
      <xdr:spPr bwMode="auto">
        <a:xfrm>
          <a:off x="15325725" y="5686425"/>
          <a:ext cx="0" cy="28194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32</xdr:col>
      <xdr:colOff>447675</xdr:colOff>
      <xdr:row>82</xdr:row>
      <xdr:rowOff>152400</xdr:rowOff>
    </xdr:from>
    <xdr:to>
      <xdr:col>32</xdr:col>
      <xdr:colOff>447675</xdr:colOff>
      <xdr:row>91</xdr:row>
      <xdr:rowOff>85725</xdr:rowOff>
    </xdr:to>
    <xdr:sp macro="" textlink="">
      <xdr:nvSpPr>
        <xdr:cNvPr id="238" name="Line 1022"/>
        <xdr:cNvSpPr>
          <a:spLocks noChangeShapeType="1"/>
        </xdr:cNvSpPr>
      </xdr:nvSpPr>
      <xdr:spPr bwMode="auto">
        <a:xfrm>
          <a:off x="16363950" y="6172200"/>
          <a:ext cx="0" cy="15906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31</xdr:col>
      <xdr:colOff>518756</xdr:colOff>
      <xdr:row>82</xdr:row>
      <xdr:rowOff>76200</xdr:rowOff>
    </xdr:from>
    <xdr:to>
      <xdr:col>31</xdr:col>
      <xdr:colOff>518756</xdr:colOff>
      <xdr:row>83</xdr:row>
      <xdr:rowOff>152400</xdr:rowOff>
    </xdr:to>
    <xdr:sp macro="" textlink="">
      <xdr:nvSpPr>
        <xdr:cNvPr id="239" name="Line 1036"/>
        <xdr:cNvSpPr>
          <a:spLocks noChangeShapeType="1"/>
        </xdr:cNvSpPr>
      </xdr:nvSpPr>
      <xdr:spPr bwMode="auto">
        <a:xfrm>
          <a:off x="15825431" y="6096000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161924</xdr:colOff>
      <xdr:row>83</xdr:row>
      <xdr:rowOff>152400</xdr:rowOff>
    </xdr:from>
    <xdr:to>
      <xdr:col>27</xdr:col>
      <xdr:colOff>323849</xdr:colOff>
      <xdr:row>85</xdr:row>
      <xdr:rowOff>19050</xdr:rowOff>
    </xdr:to>
    <xdr:sp macro="" textlink="">
      <xdr:nvSpPr>
        <xdr:cNvPr id="240" name="Line 4346"/>
        <xdr:cNvSpPr>
          <a:spLocks noChangeShapeType="1"/>
        </xdr:cNvSpPr>
      </xdr:nvSpPr>
      <xdr:spPr bwMode="auto">
        <a:xfrm flipH="1">
          <a:off x="13030199" y="6362700"/>
          <a:ext cx="161925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lg"/>
        </a:ln>
      </xdr:spPr>
    </xdr:sp>
    <xdr:clientData/>
  </xdr:twoCellAnchor>
  <xdr:twoCellAnchor>
    <xdr:from>
      <xdr:col>31</xdr:col>
      <xdr:colOff>371475</xdr:colOff>
      <xdr:row>83</xdr:row>
      <xdr:rowOff>0</xdr:rowOff>
    </xdr:from>
    <xdr:to>
      <xdr:col>32</xdr:col>
      <xdr:colOff>571500</xdr:colOff>
      <xdr:row>83</xdr:row>
      <xdr:rowOff>1588</xdr:rowOff>
    </xdr:to>
    <xdr:cxnSp macro="">
      <xdr:nvCxnSpPr>
        <xdr:cNvPr id="241" name="Straight Connector 240"/>
        <xdr:cNvCxnSpPr/>
      </xdr:nvCxnSpPr>
      <xdr:spPr bwMode="auto">
        <a:xfrm>
          <a:off x="15678150" y="6210300"/>
          <a:ext cx="8096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515147</xdr:colOff>
      <xdr:row>92</xdr:row>
      <xdr:rowOff>96042</xdr:rowOff>
    </xdr:from>
    <xdr:to>
      <xdr:col>31</xdr:col>
      <xdr:colOff>523877</xdr:colOff>
      <xdr:row>94</xdr:row>
      <xdr:rowOff>152403</xdr:rowOff>
    </xdr:to>
    <xdr:cxnSp macro="">
      <xdr:nvCxnSpPr>
        <xdr:cNvPr id="242" name="Straight Connector 241"/>
        <xdr:cNvCxnSpPr/>
      </xdr:nvCxnSpPr>
      <xdr:spPr bwMode="auto">
        <a:xfrm rot="16200000" flipH="1">
          <a:off x="15607506" y="8178008"/>
          <a:ext cx="437361" cy="873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28</xdr:col>
      <xdr:colOff>599283</xdr:colOff>
      <xdr:row>77</xdr:row>
      <xdr:rowOff>7147</xdr:rowOff>
    </xdr:from>
    <xdr:to>
      <xdr:col>28</xdr:col>
      <xdr:colOff>600871</xdr:colOff>
      <xdr:row>82</xdr:row>
      <xdr:rowOff>92078</xdr:rowOff>
    </xdr:to>
    <xdr:cxnSp macro="">
      <xdr:nvCxnSpPr>
        <xdr:cNvPr id="243" name="Straight Connector 242"/>
        <xdr:cNvCxnSpPr/>
      </xdr:nvCxnSpPr>
      <xdr:spPr bwMode="auto">
        <a:xfrm rot="5400000" flipH="1" flipV="1">
          <a:off x="13573524" y="5606656"/>
          <a:ext cx="1008856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27</xdr:col>
      <xdr:colOff>314325</xdr:colOff>
      <xdr:row>85</xdr:row>
      <xdr:rowOff>57150</xdr:rowOff>
    </xdr:from>
    <xdr:to>
      <xdr:col>30</xdr:col>
      <xdr:colOff>209550</xdr:colOff>
      <xdr:row>85</xdr:row>
      <xdr:rowOff>58738</xdr:rowOff>
    </xdr:to>
    <xdr:cxnSp macro="">
      <xdr:nvCxnSpPr>
        <xdr:cNvPr id="244" name="Straight Arrow Connector 243"/>
        <xdr:cNvCxnSpPr/>
      </xdr:nvCxnSpPr>
      <xdr:spPr bwMode="auto">
        <a:xfrm>
          <a:off x="13182600" y="6619875"/>
          <a:ext cx="1724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31</xdr:col>
      <xdr:colOff>123828</xdr:colOff>
      <xdr:row>80</xdr:row>
      <xdr:rowOff>9526</xdr:rowOff>
    </xdr:from>
    <xdr:to>
      <xdr:col>31</xdr:col>
      <xdr:colOff>142876</xdr:colOff>
      <xdr:row>85</xdr:row>
      <xdr:rowOff>104775</xdr:rowOff>
    </xdr:to>
    <xdr:cxnSp macro="">
      <xdr:nvCxnSpPr>
        <xdr:cNvPr id="245" name="Straight Connector 244"/>
        <xdr:cNvCxnSpPr/>
      </xdr:nvCxnSpPr>
      <xdr:spPr bwMode="auto">
        <a:xfrm rot="16200000" flipV="1">
          <a:off x="14944727" y="6162677"/>
          <a:ext cx="990599" cy="1904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66676</xdr:colOff>
      <xdr:row>85</xdr:row>
      <xdr:rowOff>171451</xdr:rowOff>
    </xdr:from>
    <xdr:to>
      <xdr:col>30</xdr:col>
      <xdr:colOff>342900</xdr:colOff>
      <xdr:row>86</xdr:row>
      <xdr:rowOff>123825</xdr:rowOff>
    </xdr:to>
    <xdr:cxnSp macro="">
      <xdr:nvCxnSpPr>
        <xdr:cNvPr id="246" name="Straight Arrow Connector 245"/>
        <xdr:cNvCxnSpPr/>
      </xdr:nvCxnSpPr>
      <xdr:spPr bwMode="auto">
        <a:xfrm rot="10800000">
          <a:off x="14763751" y="6734176"/>
          <a:ext cx="276224" cy="14287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27</xdr:col>
      <xdr:colOff>552450</xdr:colOff>
      <xdr:row>78</xdr:row>
      <xdr:rowOff>168275</xdr:rowOff>
    </xdr:from>
    <xdr:to>
      <xdr:col>28</xdr:col>
      <xdr:colOff>200025</xdr:colOff>
      <xdr:row>80</xdr:row>
      <xdr:rowOff>130175</xdr:rowOff>
    </xdr:to>
    <xdr:sp macro="" textlink="">
      <xdr:nvSpPr>
        <xdr:cNvPr id="247" name="Oval 1019"/>
        <xdr:cNvSpPr>
          <a:spLocks noChangeArrowheads="1"/>
        </xdr:cNvSpPr>
      </xdr:nvSpPr>
      <xdr:spPr bwMode="auto">
        <a:xfrm>
          <a:off x="13420725" y="5454650"/>
          <a:ext cx="257175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29</xdr:col>
      <xdr:colOff>57151</xdr:colOff>
      <xdr:row>82</xdr:row>
      <xdr:rowOff>171450</xdr:rowOff>
    </xdr:from>
    <xdr:to>
      <xdr:col>31</xdr:col>
      <xdr:colOff>209551</xdr:colOff>
      <xdr:row>82</xdr:row>
      <xdr:rowOff>173038</xdr:rowOff>
    </xdr:to>
    <xdr:cxnSp macro="">
      <xdr:nvCxnSpPr>
        <xdr:cNvPr id="248" name="Straight Connector 247"/>
        <xdr:cNvCxnSpPr/>
      </xdr:nvCxnSpPr>
      <xdr:spPr bwMode="auto">
        <a:xfrm rot="10800000">
          <a:off x="14144626" y="6191250"/>
          <a:ext cx="1371600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28</xdr:col>
      <xdr:colOff>114300</xdr:colOff>
      <xdr:row>80</xdr:row>
      <xdr:rowOff>57150</xdr:rowOff>
    </xdr:from>
    <xdr:to>
      <xdr:col>28</xdr:col>
      <xdr:colOff>123825</xdr:colOff>
      <xdr:row>95</xdr:row>
      <xdr:rowOff>38100</xdr:rowOff>
    </xdr:to>
    <xdr:sp macro="" textlink="">
      <xdr:nvSpPr>
        <xdr:cNvPr id="249" name="Line 1016"/>
        <xdr:cNvSpPr>
          <a:spLocks noChangeShapeType="1"/>
        </xdr:cNvSpPr>
      </xdr:nvSpPr>
      <xdr:spPr bwMode="auto">
        <a:xfrm>
          <a:off x="13592175" y="5724525"/>
          <a:ext cx="9525" cy="27527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31</xdr:col>
      <xdr:colOff>208756</xdr:colOff>
      <xdr:row>82</xdr:row>
      <xdr:rowOff>162719</xdr:rowOff>
    </xdr:from>
    <xdr:to>
      <xdr:col>31</xdr:col>
      <xdr:colOff>210344</xdr:colOff>
      <xdr:row>91</xdr:row>
      <xdr:rowOff>86519</xdr:rowOff>
    </xdr:to>
    <xdr:cxnSp macro="">
      <xdr:nvCxnSpPr>
        <xdr:cNvPr id="250" name="Straight Connector 249"/>
        <xdr:cNvCxnSpPr/>
      </xdr:nvCxnSpPr>
      <xdr:spPr bwMode="auto">
        <a:xfrm rot="5400000">
          <a:off x="14725650" y="6972300"/>
          <a:ext cx="1581150" cy="1588"/>
        </a:xfrm>
        <a:prstGeom prst="line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81169</xdr:colOff>
      <xdr:row>79</xdr:row>
      <xdr:rowOff>175040</xdr:rowOff>
    </xdr:from>
    <xdr:to>
      <xdr:col>29</xdr:col>
      <xdr:colOff>90694</xdr:colOff>
      <xdr:row>94</xdr:row>
      <xdr:rowOff>136940</xdr:rowOff>
    </xdr:to>
    <xdr:sp macro="" textlink="">
      <xdr:nvSpPr>
        <xdr:cNvPr id="251" name="Line 16"/>
        <xdr:cNvSpPr>
          <a:spLocks noChangeShapeType="1"/>
        </xdr:cNvSpPr>
      </xdr:nvSpPr>
      <xdr:spPr bwMode="auto">
        <a:xfrm>
          <a:off x="14168644" y="5651915"/>
          <a:ext cx="9525" cy="273367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26</xdr:col>
      <xdr:colOff>0</xdr:colOff>
      <xdr:row>94</xdr:row>
      <xdr:rowOff>127000</xdr:rowOff>
    </xdr:from>
    <xdr:to>
      <xdr:col>26</xdr:col>
      <xdr:colOff>257175</xdr:colOff>
      <xdr:row>96</xdr:row>
      <xdr:rowOff>79375</xdr:rowOff>
    </xdr:to>
    <xdr:sp macro="" textlink="">
      <xdr:nvSpPr>
        <xdr:cNvPr id="252" name="Oval 251"/>
        <xdr:cNvSpPr>
          <a:spLocks noChangeArrowheads="1"/>
        </xdr:cNvSpPr>
      </xdr:nvSpPr>
      <xdr:spPr bwMode="auto">
        <a:xfrm>
          <a:off x="12258675" y="8375650"/>
          <a:ext cx="257175" cy="3333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28</xdr:col>
      <xdr:colOff>549275</xdr:colOff>
      <xdr:row>78</xdr:row>
      <xdr:rowOff>139700</xdr:rowOff>
    </xdr:from>
    <xdr:to>
      <xdr:col>29</xdr:col>
      <xdr:colOff>196850</xdr:colOff>
      <xdr:row>80</xdr:row>
      <xdr:rowOff>73025</xdr:rowOff>
    </xdr:to>
    <xdr:sp macro="" textlink="">
      <xdr:nvSpPr>
        <xdr:cNvPr id="253" name="Oval 252"/>
        <xdr:cNvSpPr>
          <a:spLocks noChangeArrowheads="1"/>
        </xdr:cNvSpPr>
      </xdr:nvSpPr>
      <xdr:spPr bwMode="auto">
        <a:xfrm>
          <a:off x="14027150" y="5426075"/>
          <a:ext cx="257175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29</xdr:col>
      <xdr:colOff>293635</xdr:colOff>
      <xdr:row>78</xdr:row>
      <xdr:rowOff>171282</xdr:rowOff>
    </xdr:from>
    <xdr:to>
      <xdr:col>29</xdr:col>
      <xdr:colOff>303160</xdr:colOff>
      <xdr:row>96</xdr:row>
      <xdr:rowOff>129423</xdr:rowOff>
    </xdr:to>
    <xdr:sp macro="" textlink="">
      <xdr:nvSpPr>
        <xdr:cNvPr id="254" name="Line 16"/>
        <xdr:cNvSpPr>
          <a:spLocks noChangeShapeType="1"/>
        </xdr:cNvSpPr>
      </xdr:nvSpPr>
      <xdr:spPr bwMode="auto">
        <a:xfrm>
          <a:off x="14381110" y="5457657"/>
          <a:ext cx="9525" cy="3301416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26</xdr:col>
      <xdr:colOff>15875</xdr:colOff>
      <xdr:row>76</xdr:row>
      <xdr:rowOff>114300</xdr:rowOff>
    </xdr:from>
    <xdr:to>
      <xdr:col>26</xdr:col>
      <xdr:colOff>273050</xdr:colOff>
      <xdr:row>78</xdr:row>
      <xdr:rowOff>47625</xdr:rowOff>
    </xdr:to>
    <xdr:sp macro="" textlink="">
      <xdr:nvSpPr>
        <xdr:cNvPr id="255" name="Oval 254"/>
        <xdr:cNvSpPr>
          <a:spLocks noChangeArrowheads="1"/>
        </xdr:cNvSpPr>
      </xdr:nvSpPr>
      <xdr:spPr bwMode="auto">
        <a:xfrm>
          <a:off x="12274550" y="5019675"/>
          <a:ext cx="257175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30</xdr:col>
      <xdr:colOff>549275</xdr:colOff>
      <xdr:row>79</xdr:row>
      <xdr:rowOff>88900</xdr:rowOff>
    </xdr:from>
    <xdr:to>
      <xdr:col>31</xdr:col>
      <xdr:colOff>196850</xdr:colOff>
      <xdr:row>81</xdr:row>
      <xdr:rowOff>22225</xdr:rowOff>
    </xdr:to>
    <xdr:sp macro="" textlink="">
      <xdr:nvSpPr>
        <xdr:cNvPr id="256" name="Oval 255"/>
        <xdr:cNvSpPr>
          <a:spLocks noChangeArrowheads="1"/>
        </xdr:cNvSpPr>
      </xdr:nvSpPr>
      <xdr:spPr bwMode="auto">
        <a:xfrm>
          <a:off x="15246350" y="5565775"/>
          <a:ext cx="257175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26</xdr:col>
      <xdr:colOff>536575</xdr:colOff>
      <xdr:row>78</xdr:row>
      <xdr:rowOff>114300</xdr:rowOff>
    </xdr:from>
    <xdr:to>
      <xdr:col>27</xdr:col>
      <xdr:colOff>184150</xdr:colOff>
      <xdr:row>80</xdr:row>
      <xdr:rowOff>47625</xdr:rowOff>
    </xdr:to>
    <xdr:sp macro="" textlink="">
      <xdr:nvSpPr>
        <xdr:cNvPr id="257" name="Oval 256"/>
        <xdr:cNvSpPr>
          <a:spLocks noChangeArrowheads="1"/>
        </xdr:cNvSpPr>
      </xdr:nvSpPr>
      <xdr:spPr bwMode="auto">
        <a:xfrm>
          <a:off x="12795250" y="5400675"/>
          <a:ext cx="257175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26</xdr:col>
      <xdr:colOff>571500</xdr:colOff>
      <xdr:row>94</xdr:row>
      <xdr:rowOff>127000</xdr:rowOff>
    </xdr:from>
    <xdr:to>
      <xdr:col>27</xdr:col>
      <xdr:colOff>228600</xdr:colOff>
      <xdr:row>96</xdr:row>
      <xdr:rowOff>69850</xdr:rowOff>
    </xdr:to>
    <xdr:sp macro="" textlink="">
      <xdr:nvSpPr>
        <xdr:cNvPr id="258" name="Oval 1021"/>
        <xdr:cNvSpPr>
          <a:spLocks noChangeArrowheads="1"/>
        </xdr:cNvSpPr>
      </xdr:nvSpPr>
      <xdr:spPr bwMode="auto">
        <a:xfrm>
          <a:off x="12830175" y="8375650"/>
          <a:ext cx="2667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27</xdr:col>
      <xdr:colOff>520700</xdr:colOff>
      <xdr:row>94</xdr:row>
      <xdr:rowOff>88900</xdr:rowOff>
    </xdr:from>
    <xdr:to>
      <xdr:col>28</xdr:col>
      <xdr:colOff>177800</xdr:colOff>
      <xdr:row>96</xdr:row>
      <xdr:rowOff>31750</xdr:rowOff>
    </xdr:to>
    <xdr:sp macro="" textlink="">
      <xdr:nvSpPr>
        <xdr:cNvPr id="259" name="Oval 1021"/>
        <xdr:cNvSpPr>
          <a:spLocks noChangeArrowheads="1"/>
        </xdr:cNvSpPr>
      </xdr:nvSpPr>
      <xdr:spPr bwMode="auto">
        <a:xfrm>
          <a:off x="13388975" y="8337550"/>
          <a:ext cx="2667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30</xdr:col>
      <xdr:colOff>508000</xdr:colOff>
      <xdr:row>95</xdr:row>
      <xdr:rowOff>101600</xdr:rowOff>
    </xdr:from>
    <xdr:to>
      <xdr:col>31</xdr:col>
      <xdr:colOff>165100</xdr:colOff>
      <xdr:row>97</xdr:row>
      <xdr:rowOff>44450</xdr:rowOff>
    </xdr:to>
    <xdr:sp macro="" textlink="">
      <xdr:nvSpPr>
        <xdr:cNvPr id="260" name="Oval 1021"/>
        <xdr:cNvSpPr>
          <a:spLocks noChangeArrowheads="1"/>
        </xdr:cNvSpPr>
      </xdr:nvSpPr>
      <xdr:spPr bwMode="auto">
        <a:xfrm>
          <a:off x="15205075" y="8540750"/>
          <a:ext cx="2667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28</xdr:col>
      <xdr:colOff>584200</xdr:colOff>
      <xdr:row>94</xdr:row>
      <xdr:rowOff>139700</xdr:rowOff>
    </xdr:from>
    <xdr:to>
      <xdr:col>29</xdr:col>
      <xdr:colOff>241300</xdr:colOff>
      <xdr:row>96</xdr:row>
      <xdr:rowOff>82550</xdr:rowOff>
    </xdr:to>
    <xdr:sp macro="" textlink="">
      <xdr:nvSpPr>
        <xdr:cNvPr id="261" name="Oval 1021"/>
        <xdr:cNvSpPr>
          <a:spLocks noChangeArrowheads="1"/>
        </xdr:cNvSpPr>
      </xdr:nvSpPr>
      <xdr:spPr bwMode="auto">
        <a:xfrm>
          <a:off x="14062075" y="8388350"/>
          <a:ext cx="2667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27</xdr:col>
      <xdr:colOff>173935</xdr:colOff>
      <xdr:row>89</xdr:row>
      <xdr:rowOff>99391</xdr:rowOff>
    </xdr:from>
    <xdr:to>
      <xdr:col>27</xdr:col>
      <xdr:colOff>219654</xdr:colOff>
      <xdr:row>93</xdr:row>
      <xdr:rowOff>95250</xdr:rowOff>
    </xdr:to>
    <xdr:sp macro="" textlink="">
      <xdr:nvSpPr>
        <xdr:cNvPr id="262" name="Line 21"/>
        <xdr:cNvSpPr>
          <a:spLocks noChangeShapeType="1"/>
        </xdr:cNvSpPr>
      </xdr:nvSpPr>
      <xdr:spPr bwMode="auto">
        <a:xfrm>
          <a:off x="13042210" y="7395541"/>
          <a:ext cx="45719" cy="757859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152400</xdr:colOff>
      <xdr:row>109</xdr:row>
      <xdr:rowOff>142875</xdr:rowOff>
    </xdr:from>
    <xdr:to>
      <xdr:col>33</xdr:col>
      <xdr:colOff>161925</xdr:colOff>
      <xdr:row>112</xdr:row>
      <xdr:rowOff>152400</xdr:rowOff>
    </xdr:to>
    <xdr:sp macro="" textlink="">
      <xdr:nvSpPr>
        <xdr:cNvPr id="263" name="Line 13"/>
        <xdr:cNvSpPr>
          <a:spLocks noChangeShapeType="1"/>
        </xdr:cNvSpPr>
      </xdr:nvSpPr>
      <xdr:spPr bwMode="auto">
        <a:xfrm>
          <a:off x="8658225" y="66370200"/>
          <a:ext cx="1838325" cy="5524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171450</xdr:colOff>
      <xdr:row>109</xdr:row>
      <xdr:rowOff>152400</xdr:rowOff>
    </xdr:from>
    <xdr:to>
      <xdr:col>30</xdr:col>
      <xdr:colOff>171450</xdr:colOff>
      <xdr:row>121</xdr:row>
      <xdr:rowOff>85725</xdr:rowOff>
    </xdr:to>
    <xdr:sp macro="" textlink="">
      <xdr:nvSpPr>
        <xdr:cNvPr id="264" name="Line 14"/>
        <xdr:cNvSpPr>
          <a:spLocks noChangeShapeType="1"/>
        </xdr:cNvSpPr>
      </xdr:nvSpPr>
      <xdr:spPr bwMode="auto">
        <a:xfrm flipH="1">
          <a:off x="8677275" y="66379725"/>
          <a:ext cx="0" cy="19621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171450</xdr:colOff>
      <xdr:row>121</xdr:row>
      <xdr:rowOff>85725</xdr:rowOff>
    </xdr:from>
    <xdr:to>
      <xdr:col>31</xdr:col>
      <xdr:colOff>142875</xdr:colOff>
      <xdr:row>123</xdr:row>
      <xdr:rowOff>9525</xdr:rowOff>
    </xdr:to>
    <xdr:sp macro="" textlink="">
      <xdr:nvSpPr>
        <xdr:cNvPr id="265" name="Line 15"/>
        <xdr:cNvSpPr>
          <a:spLocks noChangeShapeType="1"/>
        </xdr:cNvSpPr>
      </xdr:nvSpPr>
      <xdr:spPr bwMode="auto">
        <a:xfrm>
          <a:off x="8677275" y="68341875"/>
          <a:ext cx="581025" cy="2476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114300</xdr:colOff>
      <xdr:row>108</xdr:row>
      <xdr:rowOff>47625</xdr:rowOff>
    </xdr:from>
    <xdr:to>
      <xdr:col>31</xdr:col>
      <xdr:colOff>123825</xdr:colOff>
      <xdr:row>123</xdr:row>
      <xdr:rowOff>38100</xdr:rowOff>
    </xdr:to>
    <xdr:sp macro="" textlink="">
      <xdr:nvSpPr>
        <xdr:cNvPr id="266" name="Line 16"/>
        <xdr:cNvSpPr>
          <a:spLocks noChangeShapeType="1"/>
        </xdr:cNvSpPr>
      </xdr:nvSpPr>
      <xdr:spPr bwMode="auto">
        <a:xfrm>
          <a:off x="9229725" y="66084450"/>
          <a:ext cx="9525" cy="2533650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31</xdr:col>
      <xdr:colOff>123825</xdr:colOff>
      <xdr:row>123</xdr:row>
      <xdr:rowOff>0</xdr:rowOff>
    </xdr:from>
    <xdr:to>
      <xdr:col>35</xdr:col>
      <xdr:colOff>190500</xdr:colOff>
      <xdr:row>123</xdr:row>
      <xdr:rowOff>0</xdr:rowOff>
    </xdr:to>
    <xdr:sp macro="" textlink="">
      <xdr:nvSpPr>
        <xdr:cNvPr id="267" name="Line 17"/>
        <xdr:cNvSpPr>
          <a:spLocks noChangeShapeType="1"/>
        </xdr:cNvSpPr>
      </xdr:nvSpPr>
      <xdr:spPr bwMode="auto">
        <a:xfrm flipV="1">
          <a:off x="9239250" y="68580000"/>
          <a:ext cx="25050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123825</xdr:colOff>
      <xdr:row>121</xdr:row>
      <xdr:rowOff>76200</xdr:rowOff>
    </xdr:from>
    <xdr:to>
      <xdr:col>35</xdr:col>
      <xdr:colOff>571500</xdr:colOff>
      <xdr:row>121</xdr:row>
      <xdr:rowOff>85725</xdr:rowOff>
    </xdr:to>
    <xdr:sp macro="" textlink="">
      <xdr:nvSpPr>
        <xdr:cNvPr id="268" name="Line 19"/>
        <xdr:cNvSpPr>
          <a:spLocks noChangeShapeType="1"/>
        </xdr:cNvSpPr>
      </xdr:nvSpPr>
      <xdr:spPr bwMode="auto">
        <a:xfrm flipH="1" flipV="1">
          <a:off x="9239250" y="68332350"/>
          <a:ext cx="2886075" cy="952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171450</xdr:colOff>
      <xdr:row>119</xdr:row>
      <xdr:rowOff>152400</xdr:rowOff>
    </xdr:from>
    <xdr:to>
      <xdr:col>31</xdr:col>
      <xdr:colOff>123825</xdr:colOff>
      <xdr:row>121</xdr:row>
      <xdr:rowOff>76200</xdr:rowOff>
    </xdr:to>
    <xdr:sp macro="" textlink="">
      <xdr:nvSpPr>
        <xdr:cNvPr id="269" name="Line 20"/>
        <xdr:cNvSpPr>
          <a:spLocks noChangeShapeType="1"/>
        </xdr:cNvSpPr>
      </xdr:nvSpPr>
      <xdr:spPr bwMode="auto">
        <a:xfrm flipH="1" flipV="1">
          <a:off x="8677275" y="68084700"/>
          <a:ext cx="561975" cy="2476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600075</xdr:colOff>
      <xdr:row>121</xdr:row>
      <xdr:rowOff>76200</xdr:rowOff>
    </xdr:from>
    <xdr:to>
      <xdr:col>35</xdr:col>
      <xdr:colOff>600075</xdr:colOff>
      <xdr:row>124</xdr:row>
      <xdr:rowOff>9525</xdr:rowOff>
    </xdr:to>
    <xdr:sp macro="" textlink="">
      <xdr:nvSpPr>
        <xdr:cNvPr id="270" name="Line 21"/>
        <xdr:cNvSpPr>
          <a:spLocks noChangeShapeType="1"/>
        </xdr:cNvSpPr>
      </xdr:nvSpPr>
      <xdr:spPr bwMode="auto">
        <a:xfrm flipH="1">
          <a:off x="12153900" y="68332350"/>
          <a:ext cx="0" cy="41910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209550</xdr:colOff>
      <xdr:row>123</xdr:row>
      <xdr:rowOff>9525</xdr:rowOff>
    </xdr:from>
    <xdr:to>
      <xdr:col>35</xdr:col>
      <xdr:colOff>371475</xdr:colOff>
      <xdr:row>124</xdr:row>
      <xdr:rowOff>9525</xdr:rowOff>
    </xdr:to>
    <xdr:sp macro="" textlink="">
      <xdr:nvSpPr>
        <xdr:cNvPr id="271" name="Line 22"/>
        <xdr:cNvSpPr>
          <a:spLocks noChangeShapeType="1"/>
        </xdr:cNvSpPr>
      </xdr:nvSpPr>
      <xdr:spPr bwMode="auto">
        <a:xfrm>
          <a:off x="11763375" y="68589525"/>
          <a:ext cx="161925" cy="1619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581025</xdr:colOff>
      <xdr:row>124</xdr:row>
      <xdr:rowOff>0</xdr:rowOff>
    </xdr:from>
    <xdr:to>
      <xdr:col>35</xdr:col>
      <xdr:colOff>581025</xdr:colOff>
      <xdr:row>124</xdr:row>
      <xdr:rowOff>0</xdr:rowOff>
    </xdr:to>
    <xdr:sp macro="" textlink="">
      <xdr:nvSpPr>
        <xdr:cNvPr id="272" name="Line 23"/>
        <xdr:cNvSpPr>
          <a:spLocks noChangeShapeType="1"/>
        </xdr:cNvSpPr>
      </xdr:nvSpPr>
      <xdr:spPr bwMode="auto">
        <a:xfrm>
          <a:off x="12134850" y="687419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180975</xdr:colOff>
      <xdr:row>122</xdr:row>
      <xdr:rowOff>0</xdr:rowOff>
    </xdr:from>
    <xdr:to>
      <xdr:col>30</xdr:col>
      <xdr:colOff>180975</xdr:colOff>
      <xdr:row>125</xdr:row>
      <xdr:rowOff>19050</xdr:rowOff>
    </xdr:to>
    <xdr:sp macro="" textlink="">
      <xdr:nvSpPr>
        <xdr:cNvPr id="273" name="Line 25"/>
        <xdr:cNvSpPr>
          <a:spLocks noChangeShapeType="1"/>
        </xdr:cNvSpPr>
      </xdr:nvSpPr>
      <xdr:spPr bwMode="auto">
        <a:xfrm flipH="1">
          <a:off x="8686800" y="68418075"/>
          <a:ext cx="0" cy="50482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30</xdr:col>
      <xdr:colOff>171450</xdr:colOff>
      <xdr:row>108</xdr:row>
      <xdr:rowOff>9525</xdr:rowOff>
    </xdr:from>
    <xdr:to>
      <xdr:col>30</xdr:col>
      <xdr:colOff>171450</xdr:colOff>
      <xdr:row>109</xdr:row>
      <xdr:rowOff>95250</xdr:rowOff>
    </xdr:to>
    <xdr:sp macro="" textlink="">
      <xdr:nvSpPr>
        <xdr:cNvPr id="274" name="Line 26"/>
        <xdr:cNvSpPr>
          <a:spLocks noChangeShapeType="1"/>
        </xdr:cNvSpPr>
      </xdr:nvSpPr>
      <xdr:spPr bwMode="auto">
        <a:xfrm flipV="1">
          <a:off x="8677275" y="66046350"/>
          <a:ext cx="0" cy="27622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33</xdr:col>
      <xdr:colOff>285750</xdr:colOff>
      <xdr:row>120</xdr:row>
      <xdr:rowOff>66675</xdr:rowOff>
    </xdr:from>
    <xdr:to>
      <xdr:col>33</xdr:col>
      <xdr:colOff>361950</xdr:colOff>
      <xdr:row>121</xdr:row>
      <xdr:rowOff>76200</xdr:rowOff>
    </xdr:to>
    <xdr:sp macro="" textlink="">
      <xdr:nvSpPr>
        <xdr:cNvPr id="275" name="AutoShape 27"/>
        <xdr:cNvSpPr>
          <a:spLocks noChangeArrowheads="1"/>
        </xdr:cNvSpPr>
      </xdr:nvSpPr>
      <xdr:spPr bwMode="auto">
        <a:xfrm>
          <a:off x="10620375" y="68160900"/>
          <a:ext cx="76200" cy="17145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35</xdr:col>
      <xdr:colOff>381000</xdr:colOff>
      <xdr:row>124</xdr:row>
      <xdr:rowOff>9525</xdr:rowOff>
    </xdr:from>
    <xdr:to>
      <xdr:col>35</xdr:col>
      <xdr:colOff>600075</xdr:colOff>
      <xdr:row>124</xdr:row>
      <xdr:rowOff>9525</xdr:rowOff>
    </xdr:to>
    <xdr:sp macro="" textlink="">
      <xdr:nvSpPr>
        <xdr:cNvPr id="276" name="Line 37"/>
        <xdr:cNvSpPr>
          <a:spLocks noChangeShapeType="1"/>
        </xdr:cNvSpPr>
      </xdr:nvSpPr>
      <xdr:spPr bwMode="auto">
        <a:xfrm>
          <a:off x="11934825" y="68751450"/>
          <a:ext cx="219075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400050</xdr:colOff>
      <xdr:row>121</xdr:row>
      <xdr:rowOff>66675</xdr:rowOff>
    </xdr:from>
    <xdr:to>
      <xdr:col>37</xdr:col>
      <xdr:colOff>142875</xdr:colOff>
      <xdr:row>121</xdr:row>
      <xdr:rowOff>66675</xdr:rowOff>
    </xdr:to>
    <xdr:sp macro="" textlink="">
      <xdr:nvSpPr>
        <xdr:cNvPr id="277" name="Line 39"/>
        <xdr:cNvSpPr>
          <a:spLocks noChangeShapeType="1"/>
        </xdr:cNvSpPr>
      </xdr:nvSpPr>
      <xdr:spPr bwMode="auto">
        <a:xfrm>
          <a:off x="12563475" y="6832282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466724</xdr:colOff>
      <xdr:row>122</xdr:row>
      <xdr:rowOff>161924</xdr:rowOff>
    </xdr:from>
    <xdr:to>
      <xdr:col>35</xdr:col>
      <xdr:colOff>190499</xdr:colOff>
      <xdr:row>124</xdr:row>
      <xdr:rowOff>76199</xdr:rowOff>
    </xdr:to>
    <xdr:sp macro="" textlink="">
      <xdr:nvSpPr>
        <xdr:cNvPr id="278" name="Line 40"/>
        <xdr:cNvSpPr>
          <a:spLocks noChangeShapeType="1"/>
        </xdr:cNvSpPr>
      </xdr:nvSpPr>
      <xdr:spPr bwMode="auto">
        <a:xfrm flipV="1">
          <a:off x="11410949" y="68579999"/>
          <a:ext cx="3333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36</xdr:col>
      <xdr:colOff>457200</xdr:colOff>
      <xdr:row>123</xdr:row>
      <xdr:rowOff>152400</xdr:rowOff>
    </xdr:from>
    <xdr:to>
      <xdr:col>37</xdr:col>
      <xdr:colOff>104775</xdr:colOff>
      <xdr:row>123</xdr:row>
      <xdr:rowOff>152400</xdr:rowOff>
    </xdr:to>
    <xdr:sp macro="" textlink="">
      <xdr:nvSpPr>
        <xdr:cNvPr id="279" name="Line 41"/>
        <xdr:cNvSpPr>
          <a:spLocks noChangeShapeType="1"/>
        </xdr:cNvSpPr>
      </xdr:nvSpPr>
      <xdr:spPr bwMode="auto">
        <a:xfrm>
          <a:off x="12620625" y="6873240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476250</xdr:colOff>
      <xdr:row>113</xdr:row>
      <xdr:rowOff>0</xdr:rowOff>
    </xdr:from>
    <xdr:to>
      <xdr:col>37</xdr:col>
      <xdr:colOff>85725</xdr:colOff>
      <xdr:row>113</xdr:row>
      <xdr:rowOff>0</xdr:rowOff>
    </xdr:to>
    <xdr:sp macro="" textlink="">
      <xdr:nvSpPr>
        <xdr:cNvPr id="280" name="Line 42"/>
        <xdr:cNvSpPr>
          <a:spLocks noChangeShapeType="1"/>
        </xdr:cNvSpPr>
      </xdr:nvSpPr>
      <xdr:spPr bwMode="auto">
        <a:xfrm>
          <a:off x="12639675" y="6693217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34</xdr:col>
      <xdr:colOff>323850</xdr:colOff>
      <xdr:row>120</xdr:row>
      <xdr:rowOff>9525</xdr:rowOff>
    </xdr:from>
    <xdr:ext cx="123825" cy="180975"/>
    <xdr:sp macro="" textlink="">
      <xdr:nvSpPr>
        <xdr:cNvPr id="281" name="Text Box 44"/>
        <xdr:cNvSpPr txBox="1">
          <a:spLocks noChangeArrowheads="1"/>
        </xdr:cNvSpPr>
      </xdr:nvSpPr>
      <xdr:spPr bwMode="auto">
        <a:xfrm>
          <a:off x="11268075" y="681037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32</xdr:col>
      <xdr:colOff>333375</xdr:colOff>
      <xdr:row>110</xdr:row>
      <xdr:rowOff>0</xdr:rowOff>
    </xdr:from>
    <xdr:ext cx="123825" cy="180975"/>
    <xdr:sp macro="" textlink="">
      <xdr:nvSpPr>
        <xdr:cNvPr id="282" name="Text Box 45"/>
        <xdr:cNvSpPr txBox="1">
          <a:spLocks noChangeArrowheads="1"/>
        </xdr:cNvSpPr>
      </xdr:nvSpPr>
      <xdr:spPr bwMode="auto">
        <a:xfrm>
          <a:off x="10058400" y="664178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36</xdr:col>
      <xdr:colOff>447675</xdr:colOff>
      <xdr:row>116</xdr:row>
      <xdr:rowOff>152400</xdr:rowOff>
    </xdr:from>
    <xdr:ext cx="123825" cy="180975"/>
    <xdr:sp macro="" textlink="">
      <xdr:nvSpPr>
        <xdr:cNvPr id="283" name="Text Box 46"/>
        <xdr:cNvSpPr txBox="1">
          <a:spLocks noChangeArrowheads="1"/>
        </xdr:cNvSpPr>
      </xdr:nvSpPr>
      <xdr:spPr bwMode="auto">
        <a:xfrm>
          <a:off x="12611100" y="675989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29</xdr:col>
      <xdr:colOff>133350</xdr:colOff>
      <xdr:row>108</xdr:row>
      <xdr:rowOff>142875</xdr:rowOff>
    </xdr:from>
    <xdr:ext cx="175304" cy="170560"/>
    <xdr:sp macro="" textlink="">
      <xdr:nvSpPr>
        <xdr:cNvPr id="284" name="Text Box 50"/>
        <xdr:cNvSpPr txBox="1">
          <a:spLocks noChangeArrowheads="1"/>
        </xdr:cNvSpPr>
      </xdr:nvSpPr>
      <xdr:spPr bwMode="auto">
        <a:xfrm>
          <a:off x="8029575" y="66179700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oneCellAnchor>
    <xdr:from>
      <xdr:col>29</xdr:col>
      <xdr:colOff>114300</xdr:colOff>
      <xdr:row>118</xdr:row>
      <xdr:rowOff>133350</xdr:rowOff>
    </xdr:from>
    <xdr:ext cx="175304" cy="170560"/>
    <xdr:sp macro="" textlink="">
      <xdr:nvSpPr>
        <xdr:cNvPr id="285" name="Text Box 53"/>
        <xdr:cNvSpPr txBox="1">
          <a:spLocks noChangeArrowheads="1"/>
        </xdr:cNvSpPr>
      </xdr:nvSpPr>
      <xdr:spPr bwMode="auto">
        <a:xfrm>
          <a:off x="8010525" y="67903725"/>
          <a:ext cx="175304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EL</a:t>
          </a:r>
        </a:p>
      </xdr:txBody>
    </xdr:sp>
    <xdr:clientData/>
  </xdr:oneCellAnchor>
  <xdr:twoCellAnchor>
    <xdr:from>
      <xdr:col>30</xdr:col>
      <xdr:colOff>0</xdr:colOff>
      <xdr:row>110</xdr:row>
      <xdr:rowOff>0</xdr:rowOff>
    </xdr:from>
    <xdr:to>
      <xdr:col>30</xdr:col>
      <xdr:colOff>0</xdr:colOff>
      <xdr:row>120</xdr:row>
      <xdr:rowOff>0</xdr:rowOff>
    </xdr:to>
    <xdr:sp macro="" textlink="">
      <xdr:nvSpPr>
        <xdr:cNvPr id="286" name="Line 56"/>
        <xdr:cNvSpPr>
          <a:spLocks noChangeShapeType="1"/>
        </xdr:cNvSpPr>
      </xdr:nvSpPr>
      <xdr:spPr bwMode="auto">
        <a:xfrm>
          <a:off x="8505825" y="66417825"/>
          <a:ext cx="0" cy="16764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29</xdr:col>
      <xdr:colOff>514350</xdr:colOff>
      <xdr:row>110</xdr:row>
      <xdr:rowOff>0</xdr:rowOff>
    </xdr:from>
    <xdr:to>
      <xdr:col>30</xdr:col>
      <xdr:colOff>47625</xdr:colOff>
      <xdr:row>110</xdr:row>
      <xdr:rowOff>0</xdr:rowOff>
    </xdr:to>
    <xdr:sp macro="" textlink="">
      <xdr:nvSpPr>
        <xdr:cNvPr id="287" name="Line 57"/>
        <xdr:cNvSpPr>
          <a:spLocks noChangeShapeType="1"/>
        </xdr:cNvSpPr>
      </xdr:nvSpPr>
      <xdr:spPr bwMode="auto">
        <a:xfrm>
          <a:off x="8410575" y="664178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533400</xdr:colOff>
      <xdr:row>120</xdr:row>
      <xdr:rowOff>0</xdr:rowOff>
    </xdr:from>
    <xdr:to>
      <xdr:col>30</xdr:col>
      <xdr:colOff>85725</xdr:colOff>
      <xdr:row>120</xdr:row>
      <xdr:rowOff>0</xdr:rowOff>
    </xdr:to>
    <xdr:sp macro="" textlink="">
      <xdr:nvSpPr>
        <xdr:cNvPr id="288" name="Line 58"/>
        <xdr:cNvSpPr>
          <a:spLocks noChangeShapeType="1"/>
        </xdr:cNvSpPr>
      </xdr:nvSpPr>
      <xdr:spPr bwMode="auto">
        <a:xfrm>
          <a:off x="8429625" y="6809422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30</xdr:col>
      <xdr:colOff>19050</xdr:colOff>
      <xdr:row>111</xdr:row>
      <xdr:rowOff>152400</xdr:rowOff>
    </xdr:from>
    <xdr:ext cx="123825" cy="180975"/>
    <xdr:sp macro="" textlink="">
      <xdr:nvSpPr>
        <xdr:cNvPr id="289" name="Text Box 59"/>
        <xdr:cNvSpPr txBox="1">
          <a:spLocks noChangeArrowheads="1"/>
        </xdr:cNvSpPr>
      </xdr:nvSpPr>
      <xdr:spPr bwMode="auto">
        <a:xfrm>
          <a:off x="8524875" y="667607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30</xdr:col>
      <xdr:colOff>0</xdr:colOff>
      <xdr:row>119</xdr:row>
      <xdr:rowOff>152400</xdr:rowOff>
    </xdr:from>
    <xdr:to>
      <xdr:col>30</xdr:col>
      <xdr:colOff>0</xdr:colOff>
      <xdr:row>121</xdr:row>
      <xdr:rowOff>76200</xdr:rowOff>
    </xdr:to>
    <xdr:sp macro="" textlink="">
      <xdr:nvSpPr>
        <xdr:cNvPr id="290" name="Line 60"/>
        <xdr:cNvSpPr>
          <a:spLocks noChangeShapeType="1"/>
        </xdr:cNvSpPr>
      </xdr:nvSpPr>
      <xdr:spPr bwMode="auto">
        <a:xfrm>
          <a:off x="8505825" y="68084700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29</xdr:col>
      <xdr:colOff>571500</xdr:colOff>
      <xdr:row>121</xdr:row>
      <xdr:rowOff>85725</xdr:rowOff>
    </xdr:from>
    <xdr:to>
      <xdr:col>30</xdr:col>
      <xdr:colOff>76200</xdr:colOff>
      <xdr:row>121</xdr:row>
      <xdr:rowOff>85725</xdr:rowOff>
    </xdr:to>
    <xdr:sp macro="" textlink="">
      <xdr:nvSpPr>
        <xdr:cNvPr id="291" name="Line 61"/>
        <xdr:cNvSpPr>
          <a:spLocks noChangeShapeType="1"/>
        </xdr:cNvSpPr>
      </xdr:nvSpPr>
      <xdr:spPr bwMode="auto">
        <a:xfrm flipV="1">
          <a:off x="8467725" y="6834187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29</xdr:col>
      <xdr:colOff>438150</xdr:colOff>
      <xdr:row>120</xdr:row>
      <xdr:rowOff>0</xdr:rowOff>
    </xdr:from>
    <xdr:ext cx="123825" cy="180975"/>
    <xdr:sp macro="" textlink="">
      <xdr:nvSpPr>
        <xdr:cNvPr id="292" name="Text Box 62"/>
        <xdr:cNvSpPr txBox="1">
          <a:spLocks noChangeArrowheads="1"/>
        </xdr:cNvSpPr>
      </xdr:nvSpPr>
      <xdr:spPr bwMode="auto">
        <a:xfrm>
          <a:off x="8334375" y="680942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31</xdr:col>
      <xdr:colOff>142875</xdr:colOff>
      <xdr:row>123</xdr:row>
      <xdr:rowOff>0</xdr:rowOff>
    </xdr:from>
    <xdr:to>
      <xdr:col>31</xdr:col>
      <xdr:colOff>142875</xdr:colOff>
      <xdr:row>125</xdr:row>
      <xdr:rowOff>47625</xdr:rowOff>
    </xdr:to>
    <xdr:sp macro="" textlink="">
      <xdr:nvSpPr>
        <xdr:cNvPr id="293" name="Line 63"/>
        <xdr:cNvSpPr>
          <a:spLocks noChangeShapeType="1"/>
        </xdr:cNvSpPr>
      </xdr:nvSpPr>
      <xdr:spPr bwMode="auto">
        <a:xfrm flipV="1">
          <a:off x="9258300" y="68580000"/>
          <a:ext cx="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31</xdr:col>
      <xdr:colOff>133350</xdr:colOff>
      <xdr:row>120</xdr:row>
      <xdr:rowOff>47625</xdr:rowOff>
    </xdr:from>
    <xdr:to>
      <xdr:col>31</xdr:col>
      <xdr:colOff>133350</xdr:colOff>
      <xdr:row>121</xdr:row>
      <xdr:rowOff>76200</xdr:rowOff>
    </xdr:to>
    <xdr:sp macro="" textlink="">
      <xdr:nvSpPr>
        <xdr:cNvPr id="294" name="Line 64"/>
        <xdr:cNvSpPr>
          <a:spLocks noChangeShapeType="1"/>
        </xdr:cNvSpPr>
      </xdr:nvSpPr>
      <xdr:spPr bwMode="auto">
        <a:xfrm flipH="1">
          <a:off x="9248775" y="6814185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31</xdr:col>
      <xdr:colOff>142875</xdr:colOff>
      <xdr:row>125</xdr:row>
      <xdr:rowOff>57150</xdr:rowOff>
    </xdr:from>
    <xdr:to>
      <xdr:col>31</xdr:col>
      <xdr:colOff>295275</xdr:colOff>
      <xdr:row>125</xdr:row>
      <xdr:rowOff>57150</xdr:rowOff>
    </xdr:to>
    <xdr:sp macro="" textlink="">
      <xdr:nvSpPr>
        <xdr:cNvPr id="295" name="Line 65"/>
        <xdr:cNvSpPr>
          <a:spLocks noChangeShapeType="1"/>
        </xdr:cNvSpPr>
      </xdr:nvSpPr>
      <xdr:spPr bwMode="auto">
        <a:xfrm flipV="1">
          <a:off x="9258300" y="6896100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561975</xdr:colOff>
      <xdr:row>120</xdr:row>
      <xdr:rowOff>0</xdr:rowOff>
    </xdr:from>
    <xdr:to>
      <xdr:col>32</xdr:col>
      <xdr:colOff>57150</xdr:colOff>
      <xdr:row>120</xdr:row>
      <xdr:rowOff>0</xdr:rowOff>
    </xdr:to>
    <xdr:sp macro="" textlink="">
      <xdr:nvSpPr>
        <xdr:cNvPr id="296" name="Line 66"/>
        <xdr:cNvSpPr>
          <a:spLocks noChangeShapeType="1"/>
        </xdr:cNvSpPr>
      </xdr:nvSpPr>
      <xdr:spPr bwMode="auto">
        <a:xfrm>
          <a:off x="9677400" y="680942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32</xdr:col>
      <xdr:colOff>304800</xdr:colOff>
      <xdr:row>120</xdr:row>
      <xdr:rowOff>9525</xdr:rowOff>
    </xdr:from>
    <xdr:ext cx="123825" cy="180975"/>
    <xdr:sp macro="" textlink="">
      <xdr:nvSpPr>
        <xdr:cNvPr id="297" name="Text Box 68"/>
        <xdr:cNvSpPr txBox="1">
          <a:spLocks noChangeArrowheads="1"/>
        </xdr:cNvSpPr>
      </xdr:nvSpPr>
      <xdr:spPr bwMode="auto">
        <a:xfrm>
          <a:off x="10029825" y="681037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30</xdr:col>
      <xdr:colOff>9525</xdr:colOff>
      <xdr:row>106</xdr:row>
      <xdr:rowOff>85725</xdr:rowOff>
    </xdr:from>
    <xdr:to>
      <xdr:col>30</xdr:col>
      <xdr:colOff>276225</xdr:colOff>
      <xdr:row>108</xdr:row>
      <xdr:rowOff>47625</xdr:rowOff>
    </xdr:to>
    <xdr:sp macro="" textlink="">
      <xdr:nvSpPr>
        <xdr:cNvPr id="298" name="Oval 76"/>
        <xdr:cNvSpPr>
          <a:spLocks noChangeArrowheads="1"/>
        </xdr:cNvSpPr>
      </xdr:nvSpPr>
      <xdr:spPr bwMode="auto">
        <a:xfrm>
          <a:off x="8515350" y="65770125"/>
          <a:ext cx="266700" cy="31432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GB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31</xdr:col>
      <xdr:colOff>190500</xdr:colOff>
      <xdr:row>107</xdr:row>
      <xdr:rowOff>57150</xdr:rowOff>
    </xdr:from>
    <xdr:to>
      <xdr:col>31</xdr:col>
      <xdr:colOff>457200</xdr:colOff>
      <xdr:row>109</xdr:row>
      <xdr:rowOff>19050</xdr:rowOff>
    </xdr:to>
    <xdr:sp macro="" textlink="">
      <xdr:nvSpPr>
        <xdr:cNvPr id="299" name="Oval 78"/>
        <xdr:cNvSpPr>
          <a:spLocks noChangeArrowheads="1"/>
        </xdr:cNvSpPr>
      </xdr:nvSpPr>
      <xdr:spPr bwMode="auto">
        <a:xfrm>
          <a:off x="9305925" y="6590347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30</xdr:col>
      <xdr:colOff>161925</xdr:colOff>
      <xdr:row>105</xdr:row>
      <xdr:rowOff>95250</xdr:rowOff>
    </xdr:from>
    <xdr:to>
      <xdr:col>30</xdr:col>
      <xdr:colOff>161925</xdr:colOff>
      <xdr:row>106</xdr:row>
      <xdr:rowOff>104775</xdr:rowOff>
    </xdr:to>
    <xdr:sp macro="" textlink="">
      <xdr:nvSpPr>
        <xdr:cNvPr id="300" name="Line 89"/>
        <xdr:cNvSpPr>
          <a:spLocks noChangeShapeType="1"/>
        </xdr:cNvSpPr>
      </xdr:nvSpPr>
      <xdr:spPr bwMode="auto">
        <a:xfrm>
          <a:off x="8667750" y="6558915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133350</xdr:colOff>
      <xdr:row>105</xdr:row>
      <xdr:rowOff>114300</xdr:rowOff>
    </xdr:from>
    <xdr:to>
      <xdr:col>31</xdr:col>
      <xdr:colOff>133350</xdr:colOff>
      <xdr:row>106</xdr:row>
      <xdr:rowOff>85725</xdr:rowOff>
    </xdr:to>
    <xdr:sp macro="" textlink="">
      <xdr:nvSpPr>
        <xdr:cNvPr id="301" name="Line 90"/>
        <xdr:cNvSpPr>
          <a:spLocks noChangeShapeType="1"/>
        </xdr:cNvSpPr>
      </xdr:nvSpPr>
      <xdr:spPr bwMode="auto">
        <a:xfrm flipV="1">
          <a:off x="9248775" y="65608200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161925</xdr:colOff>
      <xdr:row>106</xdr:row>
      <xdr:rowOff>19050</xdr:rowOff>
    </xdr:from>
    <xdr:to>
      <xdr:col>31</xdr:col>
      <xdr:colOff>133350</xdr:colOff>
      <xdr:row>106</xdr:row>
      <xdr:rowOff>19050</xdr:rowOff>
    </xdr:to>
    <xdr:sp macro="" textlink="">
      <xdr:nvSpPr>
        <xdr:cNvPr id="302" name="Line 91"/>
        <xdr:cNvSpPr>
          <a:spLocks noChangeShapeType="1"/>
        </xdr:cNvSpPr>
      </xdr:nvSpPr>
      <xdr:spPr bwMode="auto">
        <a:xfrm>
          <a:off x="8667750" y="657034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33</xdr:col>
      <xdr:colOff>171450</xdr:colOff>
      <xdr:row>112</xdr:row>
      <xdr:rowOff>152400</xdr:rowOff>
    </xdr:from>
    <xdr:to>
      <xdr:col>35</xdr:col>
      <xdr:colOff>190500</xdr:colOff>
      <xdr:row>112</xdr:row>
      <xdr:rowOff>152400</xdr:rowOff>
    </xdr:to>
    <xdr:sp macro="" textlink="">
      <xdr:nvSpPr>
        <xdr:cNvPr id="303" name="Line 1011"/>
        <xdr:cNvSpPr>
          <a:spLocks noChangeShapeType="1"/>
        </xdr:cNvSpPr>
      </xdr:nvSpPr>
      <xdr:spPr bwMode="auto">
        <a:xfrm>
          <a:off x="10506075" y="66922650"/>
          <a:ext cx="1238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114300</xdr:colOff>
      <xdr:row>110</xdr:row>
      <xdr:rowOff>142875</xdr:rowOff>
    </xdr:from>
    <xdr:to>
      <xdr:col>31</xdr:col>
      <xdr:colOff>571500</xdr:colOff>
      <xdr:row>110</xdr:row>
      <xdr:rowOff>142875</xdr:rowOff>
    </xdr:to>
    <xdr:sp macro="" textlink="">
      <xdr:nvSpPr>
        <xdr:cNvPr id="304" name="Line 1012"/>
        <xdr:cNvSpPr>
          <a:spLocks noChangeShapeType="1"/>
        </xdr:cNvSpPr>
      </xdr:nvSpPr>
      <xdr:spPr bwMode="auto">
        <a:xfrm>
          <a:off x="9229725" y="66560700"/>
          <a:ext cx="457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34</xdr:col>
      <xdr:colOff>333375</xdr:colOff>
      <xdr:row>112</xdr:row>
      <xdr:rowOff>0</xdr:rowOff>
    </xdr:from>
    <xdr:ext cx="123825" cy="180975"/>
    <xdr:sp macro="" textlink="">
      <xdr:nvSpPr>
        <xdr:cNvPr id="305" name="Text Box 1013"/>
        <xdr:cNvSpPr txBox="1">
          <a:spLocks noChangeArrowheads="1"/>
        </xdr:cNvSpPr>
      </xdr:nvSpPr>
      <xdr:spPr bwMode="auto">
        <a:xfrm>
          <a:off x="11277600" y="667702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34</xdr:col>
      <xdr:colOff>333375</xdr:colOff>
      <xdr:row>112</xdr:row>
      <xdr:rowOff>0</xdr:rowOff>
    </xdr:from>
    <xdr:ext cx="123825" cy="180975"/>
    <xdr:sp macro="" textlink="">
      <xdr:nvSpPr>
        <xdr:cNvPr id="306" name="Text Box 1014"/>
        <xdr:cNvSpPr txBox="1">
          <a:spLocks noChangeArrowheads="1"/>
        </xdr:cNvSpPr>
      </xdr:nvSpPr>
      <xdr:spPr bwMode="auto">
        <a:xfrm>
          <a:off x="11277600" y="667702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33</xdr:col>
      <xdr:colOff>504825</xdr:colOff>
      <xdr:row>112</xdr:row>
      <xdr:rowOff>19050</xdr:rowOff>
    </xdr:from>
    <xdr:to>
      <xdr:col>33</xdr:col>
      <xdr:colOff>581025</xdr:colOff>
      <xdr:row>112</xdr:row>
      <xdr:rowOff>114300</xdr:rowOff>
    </xdr:to>
    <xdr:sp macro="" textlink="">
      <xdr:nvSpPr>
        <xdr:cNvPr id="307" name="AutoShape 1015"/>
        <xdr:cNvSpPr>
          <a:spLocks noChangeArrowheads="1"/>
        </xdr:cNvSpPr>
      </xdr:nvSpPr>
      <xdr:spPr bwMode="auto">
        <a:xfrm>
          <a:off x="10839450" y="66789300"/>
          <a:ext cx="76200" cy="9525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152400</xdr:colOff>
      <xdr:row>109</xdr:row>
      <xdr:rowOff>142875</xdr:rowOff>
    </xdr:from>
    <xdr:to>
      <xdr:col>33</xdr:col>
      <xdr:colOff>161925</xdr:colOff>
      <xdr:row>124</xdr:row>
      <xdr:rowOff>123825</xdr:rowOff>
    </xdr:to>
    <xdr:sp macro="" textlink="">
      <xdr:nvSpPr>
        <xdr:cNvPr id="308" name="Line 1016"/>
        <xdr:cNvSpPr>
          <a:spLocks noChangeShapeType="1"/>
        </xdr:cNvSpPr>
      </xdr:nvSpPr>
      <xdr:spPr bwMode="auto">
        <a:xfrm>
          <a:off x="10487025" y="66370200"/>
          <a:ext cx="9525" cy="249555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35</xdr:col>
      <xdr:colOff>19049</xdr:colOff>
      <xdr:row>110</xdr:row>
      <xdr:rowOff>19050</xdr:rowOff>
    </xdr:from>
    <xdr:to>
      <xdr:col>35</xdr:col>
      <xdr:colOff>64768</xdr:colOff>
      <xdr:row>123</xdr:row>
      <xdr:rowOff>38100</xdr:rowOff>
    </xdr:to>
    <xdr:sp macro="" textlink="">
      <xdr:nvSpPr>
        <xdr:cNvPr id="309" name="Line 1017"/>
        <xdr:cNvSpPr>
          <a:spLocks noChangeShapeType="1"/>
        </xdr:cNvSpPr>
      </xdr:nvSpPr>
      <xdr:spPr bwMode="auto">
        <a:xfrm>
          <a:off x="11572874" y="66436875"/>
          <a:ext cx="45719" cy="21812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32</xdr:col>
      <xdr:colOff>561975</xdr:colOff>
      <xdr:row>108</xdr:row>
      <xdr:rowOff>76200</xdr:rowOff>
    </xdr:from>
    <xdr:to>
      <xdr:col>33</xdr:col>
      <xdr:colOff>219075</xdr:colOff>
      <xdr:row>110</xdr:row>
      <xdr:rowOff>38100</xdr:rowOff>
    </xdr:to>
    <xdr:sp macro="" textlink="">
      <xdr:nvSpPr>
        <xdr:cNvPr id="310" name="Oval 1018"/>
        <xdr:cNvSpPr>
          <a:spLocks noChangeArrowheads="1"/>
        </xdr:cNvSpPr>
      </xdr:nvSpPr>
      <xdr:spPr bwMode="auto">
        <a:xfrm>
          <a:off x="10287000" y="66113025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34</xdr:col>
      <xdr:colOff>476250</xdr:colOff>
      <xdr:row>108</xdr:row>
      <xdr:rowOff>85725</xdr:rowOff>
    </xdr:from>
    <xdr:to>
      <xdr:col>35</xdr:col>
      <xdr:colOff>133350</xdr:colOff>
      <xdr:row>110</xdr:row>
      <xdr:rowOff>47625</xdr:rowOff>
    </xdr:to>
    <xdr:sp macro="" textlink="">
      <xdr:nvSpPr>
        <xdr:cNvPr id="311" name="Oval 1019"/>
        <xdr:cNvSpPr>
          <a:spLocks noChangeArrowheads="1"/>
        </xdr:cNvSpPr>
      </xdr:nvSpPr>
      <xdr:spPr bwMode="auto">
        <a:xfrm>
          <a:off x="11420475" y="66122550"/>
          <a:ext cx="266700" cy="342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31</xdr:col>
      <xdr:colOff>123825</xdr:colOff>
      <xdr:row>106</xdr:row>
      <xdr:rowOff>19050</xdr:rowOff>
    </xdr:from>
    <xdr:to>
      <xdr:col>33</xdr:col>
      <xdr:colOff>76200</xdr:colOff>
      <xdr:row>106</xdr:row>
      <xdr:rowOff>19050</xdr:rowOff>
    </xdr:to>
    <xdr:sp macro="" textlink="">
      <xdr:nvSpPr>
        <xdr:cNvPr id="312" name="Line 1035"/>
        <xdr:cNvSpPr>
          <a:spLocks noChangeShapeType="1"/>
        </xdr:cNvSpPr>
      </xdr:nvSpPr>
      <xdr:spPr bwMode="auto">
        <a:xfrm flipV="1">
          <a:off x="9239250" y="65703450"/>
          <a:ext cx="1171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33</xdr:col>
      <xdr:colOff>57150</xdr:colOff>
      <xdr:row>105</xdr:row>
      <xdr:rowOff>57150</xdr:rowOff>
    </xdr:from>
    <xdr:to>
      <xdr:col>33</xdr:col>
      <xdr:colOff>57150</xdr:colOff>
      <xdr:row>106</xdr:row>
      <xdr:rowOff>133350</xdr:rowOff>
    </xdr:to>
    <xdr:sp macro="" textlink="">
      <xdr:nvSpPr>
        <xdr:cNvPr id="313" name="Line 1036"/>
        <xdr:cNvSpPr>
          <a:spLocks noChangeShapeType="1"/>
        </xdr:cNvSpPr>
      </xdr:nvSpPr>
      <xdr:spPr bwMode="auto">
        <a:xfrm>
          <a:off x="10391775" y="65551050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200025</xdr:colOff>
      <xdr:row>121</xdr:row>
      <xdr:rowOff>85725</xdr:rowOff>
    </xdr:from>
    <xdr:to>
      <xdr:col>35</xdr:col>
      <xdr:colOff>200025</xdr:colOff>
      <xdr:row>123</xdr:row>
      <xdr:rowOff>0</xdr:rowOff>
    </xdr:to>
    <xdr:sp macro="" textlink="">
      <xdr:nvSpPr>
        <xdr:cNvPr id="314" name="Line 4299"/>
        <xdr:cNvSpPr>
          <a:spLocks noChangeShapeType="1"/>
        </xdr:cNvSpPr>
      </xdr:nvSpPr>
      <xdr:spPr bwMode="auto">
        <a:xfrm>
          <a:off x="11753850" y="68341875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30</xdr:col>
      <xdr:colOff>171450</xdr:colOff>
      <xdr:row>127</xdr:row>
      <xdr:rowOff>76200</xdr:rowOff>
    </xdr:from>
    <xdr:to>
      <xdr:col>30</xdr:col>
      <xdr:colOff>171450</xdr:colOff>
      <xdr:row>128</xdr:row>
      <xdr:rowOff>66675</xdr:rowOff>
    </xdr:to>
    <xdr:sp macro="" textlink="">
      <xdr:nvSpPr>
        <xdr:cNvPr id="315" name="Line 79"/>
        <xdr:cNvSpPr>
          <a:spLocks noChangeShapeType="1"/>
        </xdr:cNvSpPr>
      </xdr:nvSpPr>
      <xdr:spPr bwMode="auto">
        <a:xfrm>
          <a:off x="8677275" y="69361050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142875</xdr:colOff>
      <xdr:row>127</xdr:row>
      <xdr:rowOff>85725</xdr:rowOff>
    </xdr:from>
    <xdr:to>
      <xdr:col>31</xdr:col>
      <xdr:colOff>142875</xdr:colOff>
      <xdr:row>128</xdr:row>
      <xdr:rowOff>76200</xdr:rowOff>
    </xdr:to>
    <xdr:sp macro="" textlink="">
      <xdr:nvSpPr>
        <xdr:cNvPr id="316" name="Line 80"/>
        <xdr:cNvSpPr>
          <a:spLocks noChangeShapeType="1"/>
        </xdr:cNvSpPr>
      </xdr:nvSpPr>
      <xdr:spPr bwMode="auto">
        <a:xfrm>
          <a:off x="9258300" y="693705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200025</xdr:colOff>
      <xdr:row>127</xdr:row>
      <xdr:rowOff>95250</xdr:rowOff>
    </xdr:from>
    <xdr:to>
      <xdr:col>35</xdr:col>
      <xdr:colOff>200025</xdr:colOff>
      <xdr:row>128</xdr:row>
      <xdr:rowOff>57150</xdr:rowOff>
    </xdr:to>
    <xdr:sp macro="" textlink="">
      <xdr:nvSpPr>
        <xdr:cNvPr id="317" name="Line 81"/>
        <xdr:cNvSpPr>
          <a:spLocks noChangeShapeType="1"/>
        </xdr:cNvSpPr>
      </xdr:nvSpPr>
      <xdr:spPr bwMode="auto">
        <a:xfrm>
          <a:off x="11753850" y="6938010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571500</xdr:colOff>
      <xdr:row>127</xdr:row>
      <xdr:rowOff>104775</xdr:rowOff>
    </xdr:from>
    <xdr:to>
      <xdr:col>35</xdr:col>
      <xdr:colOff>571500</xdr:colOff>
      <xdr:row>128</xdr:row>
      <xdr:rowOff>47625</xdr:rowOff>
    </xdr:to>
    <xdr:sp macro="" textlink="">
      <xdr:nvSpPr>
        <xdr:cNvPr id="318" name="Line 82"/>
        <xdr:cNvSpPr>
          <a:spLocks noChangeShapeType="1"/>
        </xdr:cNvSpPr>
      </xdr:nvSpPr>
      <xdr:spPr bwMode="auto">
        <a:xfrm>
          <a:off x="12125325" y="693896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171450</xdr:colOff>
      <xdr:row>128</xdr:row>
      <xdr:rowOff>19050</xdr:rowOff>
    </xdr:from>
    <xdr:to>
      <xdr:col>31</xdr:col>
      <xdr:colOff>142875</xdr:colOff>
      <xdr:row>128</xdr:row>
      <xdr:rowOff>19050</xdr:rowOff>
    </xdr:to>
    <xdr:sp macro="" textlink="">
      <xdr:nvSpPr>
        <xdr:cNvPr id="319" name="Line 83"/>
        <xdr:cNvSpPr>
          <a:spLocks noChangeShapeType="1"/>
        </xdr:cNvSpPr>
      </xdr:nvSpPr>
      <xdr:spPr bwMode="auto">
        <a:xfrm>
          <a:off x="8677275" y="6949440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31</xdr:col>
      <xdr:colOff>142875</xdr:colOff>
      <xdr:row>128</xdr:row>
      <xdr:rowOff>19050</xdr:rowOff>
    </xdr:from>
    <xdr:to>
      <xdr:col>35</xdr:col>
      <xdr:colOff>200025</xdr:colOff>
      <xdr:row>128</xdr:row>
      <xdr:rowOff>19050</xdr:rowOff>
    </xdr:to>
    <xdr:sp macro="" textlink="">
      <xdr:nvSpPr>
        <xdr:cNvPr id="320" name="Line 84"/>
        <xdr:cNvSpPr>
          <a:spLocks noChangeShapeType="1"/>
        </xdr:cNvSpPr>
      </xdr:nvSpPr>
      <xdr:spPr bwMode="auto">
        <a:xfrm>
          <a:off x="9258300" y="69494400"/>
          <a:ext cx="2495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35</xdr:col>
      <xdr:colOff>200025</xdr:colOff>
      <xdr:row>128</xdr:row>
      <xdr:rowOff>19050</xdr:rowOff>
    </xdr:from>
    <xdr:to>
      <xdr:col>35</xdr:col>
      <xdr:colOff>571500</xdr:colOff>
      <xdr:row>128</xdr:row>
      <xdr:rowOff>19050</xdr:rowOff>
    </xdr:to>
    <xdr:sp macro="" textlink="">
      <xdr:nvSpPr>
        <xdr:cNvPr id="321" name="Line 85"/>
        <xdr:cNvSpPr>
          <a:spLocks noChangeShapeType="1"/>
        </xdr:cNvSpPr>
      </xdr:nvSpPr>
      <xdr:spPr bwMode="auto">
        <a:xfrm>
          <a:off x="11753850" y="69494400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33</xdr:col>
      <xdr:colOff>361950</xdr:colOff>
      <xdr:row>127</xdr:row>
      <xdr:rowOff>0</xdr:rowOff>
    </xdr:from>
    <xdr:ext cx="123825" cy="180975"/>
    <xdr:sp macro="" textlink="">
      <xdr:nvSpPr>
        <xdr:cNvPr id="322" name="Text Box 87"/>
        <xdr:cNvSpPr txBox="1">
          <a:spLocks noChangeArrowheads="1"/>
        </xdr:cNvSpPr>
      </xdr:nvSpPr>
      <xdr:spPr bwMode="auto">
        <a:xfrm>
          <a:off x="10696575" y="692848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35</xdr:col>
      <xdr:colOff>103981</xdr:colOff>
      <xdr:row>105</xdr:row>
      <xdr:rowOff>48419</xdr:rowOff>
    </xdr:from>
    <xdr:to>
      <xdr:col>35</xdr:col>
      <xdr:colOff>105569</xdr:colOff>
      <xdr:row>106</xdr:row>
      <xdr:rowOff>134144</xdr:rowOff>
    </xdr:to>
    <xdr:cxnSp macro="">
      <xdr:nvCxnSpPr>
        <xdr:cNvPr id="323" name="Straight Connector 322"/>
        <xdr:cNvCxnSpPr/>
      </xdr:nvCxnSpPr>
      <xdr:spPr bwMode="auto">
        <a:xfrm rot="5400000">
          <a:off x="11520487" y="65679638"/>
          <a:ext cx="27622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33</xdr:col>
      <xdr:colOff>47625</xdr:colOff>
      <xdr:row>106</xdr:row>
      <xdr:rowOff>9525</xdr:rowOff>
    </xdr:from>
    <xdr:to>
      <xdr:col>35</xdr:col>
      <xdr:colOff>95250</xdr:colOff>
      <xdr:row>106</xdr:row>
      <xdr:rowOff>11113</xdr:rowOff>
    </xdr:to>
    <xdr:cxnSp macro="">
      <xdr:nvCxnSpPr>
        <xdr:cNvPr id="324" name="Straight Arrow Connector 323"/>
        <xdr:cNvCxnSpPr/>
      </xdr:nvCxnSpPr>
      <xdr:spPr bwMode="auto">
        <a:xfrm>
          <a:off x="10382250" y="65693925"/>
          <a:ext cx="12668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29</xdr:col>
      <xdr:colOff>85725</xdr:colOff>
      <xdr:row>120</xdr:row>
      <xdr:rowOff>0</xdr:rowOff>
    </xdr:from>
    <xdr:to>
      <xdr:col>30</xdr:col>
      <xdr:colOff>0</xdr:colOff>
      <xdr:row>120</xdr:row>
      <xdr:rowOff>9525</xdr:rowOff>
    </xdr:to>
    <xdr:cxnSp macro="">
      <xdr:nvCxnSpPr>
        <xdr:cNvPr id="325" name="Straight Connector 324"/>
        <xdr:cNvCxnSpPr/>
      </xdr:nvCxnSpPr>
      <xdr:spPr bwMode="auto">
        <a:xfrm flipV="1">
          <a:off x="7981950" y="68094225"/>
          <a:ext cx="523875" cy="95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19050</xdr:colOff>
      <xdr:row>110</xdr:row>
      <xdr:rowOff>0</xdr:rowOff>
    </xdr:from>
    <xdr:to>
      <xdr:col>29</xdr:col>
      <xdr:colOff>581025</xdr:colOff>
      <xdr:row>110</xdr:row>
      <xdr:rowOff>1588</xdr:rowOff>
    </xdr:to>
    <xdr:cxnSp macro="">
      <xdr:nvCxnSpPr>
        <xdr:cNvPr id="326" name="Straight Connector 325"/>
        <xdr:cNvCxnSpPr/>
      </xdr:nvCxnSpPr>
      <xdr:spPr bwMode="auto">
        <a:xfrm>
          <a:off x="7915275" y="66417825"/>
          <a:ext cx="561975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35</xdr:col>
      <xdr:colOff>372270</xdr:colOff>
      <xdr:row>124</xdr:row>
      <xdr:rowOff>134143</xdr:rowOff>
    </xdr:from>
    <xdr:to>
      <xdr:col>35</xdr:col>
      <xdr:colOff>390526</xdr:colOff>
      <xdr:row>126</xdr:row>
      <xdr:rowOff>28574</xdr:rowOff>
    </xdr:to>
    <xdr:cxnSp macro="">
      <xdr:nvCxnSpPr>
        <xdr:cNvPr id="327" name="Straight Connector 326"/>
        <xdr:cNvCxnSpPr/>
      </xdr:nvCxnSpPr>
      <xdr:spPr bwMode="auto">
        <a:xfrm rot="16200000" flipH="1">
          <a:off x="11811795" y="68990368"/>
          <a:ext cx="246856" cy="1825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19050</xdr:colOff>
      <xdr:row>124</xdr:row>
      <xdr:rowOff>115094</xdr:rowOff>
    </xdr:from>
    <xdr:to>
      <xdr:col>36</xdr:col>
      <xdr:colOff>19844</xdr:colOff>
      <xdr:row>126</xdr:row>
      <xdr:rowOff>28578</xdr:rowOff>
    </xdr:to>
    <xdr:cxnSp macro="">
      <xdr:nvCxnSpPr>
        <xdr:cNvPr id="328" name="Straight Connector 327"/>
        <xdr:cNvCxnSpPr/>
      </xdr:nvCxnSpPr>
      <xdr:spPr bwMode="auto">
        <a:xfrm rot="5400000">
          <a:off x="12049917" y="68989577"/>
          <a:ext cx="265909" cy="79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35</xdr:col>
      <xdr:colOff>371477</xdr:colOff>
      <xdr:row>125</xdr:row>
      <xdr:rowOff>104774</xdr:rowOff>
    </xdr:from>
    <xdr:to>
      <xdr:col>36</xdr:col>
      <xdr:colOff>9525</xdr:colOff>
      <xdr:row>125</xdr:row>
      <xdr:rowOff>114299</xdr:rowOff>
    </xdr:to>
    <xdr:cxnSp macro="">
      <xdr:nvCxnSpPr>
        <xdr:cNvPr id="329" name="Straight Arrow Connector 328"/>
        <xdr:cNvCxnSpPr/>
      </xdr:nvCxnSpPr>
      <xdr:spPr bwMode="auto">
        <a:xfrm rot="10800000" flipV="1">
          <a:off x="11925302" y="69008624"/>
          <a:ext cx="247648" cy="95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med" len="med"/>
          <a:tailEnd type="triangle" w="med" len="med"/>
        </a:ln>
        <a:effectLst/>
      </xdr:spPr>
    </xdr:cxnSp>
    <xdr:clientData/>
  </xdr:twoCellAnchor>
  <xdr:twoCellAnchor>
    <xdr:from>
      <xdr:col>35</xdr:col>
      <xdr:colOff>199232</xdr:colOff>
      <xdr:row>123</xdr:row>
      <xdr:rowOff>48419</xdr:rowOff>
    </xdr:from>
    <xdr:to>
      <xdr:col>35</xdr:col>
      <xdr:colOff>200820</xdr:colOff>
      <xdr:row>126</xdr:row>
      <xdr:rowOff>38101</xdr:rowOff>
    </xdr:to>
    <xdr:cxnSp macro="">
      <xdr:nvCxnSpPr>
        <xdr:cNvPr id="330" name="Straight Connector 329"/>
        <xdr:cNvCxnSpPr/>
      </xdr:nvCxnSpPr>
      <xdr:spPr bwMode="auto">
        <a:xfrm rot="5400000">
          <a:off x="11501835" y="68879641"/>
          <a:ext cx="504032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34</xdr:col>
      <xdr:colOff>600075</xdr:colOff>
      <xdr:row>125</xdr:row>
      <xdr:rowOff>104775</xdr:rowOff>
    </xdr:from>
    <xdr:to>
      <xdr:col>35</xdr:col>
      <xdr:colOff>190500</xdr:colOff>
      <xdr:row>125</xdr:row>
      <xdr:rowOff>106363</xdr:rowOff>
    </xdr:to>
    <xdr:cxnSp macro="">
      <xdr:nvCxnSpPr>
        <xdr:cNvPr id="331" name="Straight Arrow Connector 330"/>
        <xdr:cNvCxnSpPr/>
      </xdr:nvCxnSpPr>
      <xdr:spPr bwMode="auto">
        <a:xfrm>
          <a:off x="11544300" y="69008625"/>
          <a:ext cx="2000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xdr:spPr>
    </xdr:cxnSp>
    <xdr:clientData/>
  </xdr:twoCellAnchor>
  <xdr:twoCellAnchor>
    <xdr:from>
      <xdr:col>35</xdr:col>
      <xdr:colOff>476250</xdr:colOff>
      <xdr:row>123</xdr:row>
      <xdr:rowOff>28574</xdr:rowOff>
    </xdr:from>
    <xdr:to>
      <xdr:col>35</xdr:col>
      <xdr:colOff>485775</xdr:colOff>
      <xdr:row>125</xdr:row>
      <xdr:rowOff>19049</xdr:rowOff>
    </xdr:to>
    <xdr:cxnSp macro="">
      <xdr:nvCxnSpPr>
        <xdr:cNvPr id="332" name="Straight Connector 331"/>
        <xdr:cNvCxnSpPr/>
      </xdr:nvCxnSpPr>
      <xdr:spPr bwMode="auto">
        <a:xfrm rot="16200000" flipH="1">
          <a:off x="11877675" y="68760974"/>
          <a:ext cx="314325" cy="9525"/>
        </a:xfrm>
        <a:prstGeom prst="line">
          <a:avLst/>
        </a:prstGeom>
        <a:solidFill>
          <a:srgbClr val="FFFFFF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438150</xdr:colOff>
      <xdr:row>123</xdr:row>
      <xdr:rowOff>9525</xdr:rowOff>
    </xdr:from>
    <xdr:to>
      <xdr:col>37</xdr:col>
      <xdr:colOff>85725</xdr:colOff>
      <xdr:row>123</xdr:row>
      <xdr:rowOff>9525</xdr:rowOff>
    </xdr:to>
    <xdr:sp macro="" textlink="">
      <xdr:nvSpPr>
        <xdr:cNvPr id="333" name="Line 41"/>
        <xdr:cNvSpPr>
          <a:spLocks noChangeShapeType="1"/>
        </xdr:cNvSpPr>
      </xdr:nvSpPr>
      <xdr:spPr bwMode="auto">
        <a:xfrm>
          <a:off x="12601575" y="68589525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190500</xdr:colOff>
      <xdr:row>112</xdr:row>
      <xdr:rowOff>152399</xdr:rowOff>
    </xdr:from>
    <xdr:to>
      <xdr:col>35</xdr:col>
      <xdr:colOff>209550</xdr:colOff>
      <xdr:row>121</xdr:row>
      <xdr:rowOff>76199</xdr:rowOff>
    </xdr:to>
    <xdr:cxnSp macro="">
      <xdr:nvCxnSpPr>
        <xdr:cNvPr id="334" name="Straight Connector 333"/>
        <xdr:cNvCxnSpPr>
          <a:stCxn id="303" idx="1"/>
        </xdr:cNvCxnSpPr>
      </xdr:nvCxnSpPr>
      <xdr:spPr bwMode="auto">
        <a:xfrm rot="16200000" flipH="1">
          <a:off x="11049000" y="67617974"/>
          <a:ext cx="1409700" cy="190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36</xdr:col>
      <xdr:colOff>599284</xdr:colOff>
      <xdr:row>121</xdr:row>
      <xdr:rowOff>86519</xdr:rowOff>
    </xdr:from>
    <xdr:to>
      <xdr:col>36</xdr:col>
      <xdr:colOff>600872</xdr:colOff>
      <xdr:row>123</xdr:row>
      <xdr:rowOff>38894</xdr:rowOff>
    </xdr:to>
    <xdr:cxnSp macro="">
      <xdr:nvCxnSpPr>
        <xdr:cNvPr id="335" name="Straight Arrow Connector 334"/>
        <xdr:cNvCxnSpPr/>
      </xdr:nvCxnSpPr>
      <xdr:spPr bwMode="auto">
        <a:xfrm rot="5400000" flipH="1" flipV="1">
          <a:off x="12625390" y="68479988"/>
          <a:ext cx="276225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cxnSp>
    <xdr:clientData/>
  </xdr:twoCellAnchor>
  <xdr:twoCellAnchor>
    <xdr:from>
      <xdr:col>36</xdr:col>
      <xdr:colOff>580232</xdr:colOff>
      <xdr:row>123</xdr:row>
      <xdr:rowOff>10320</xdr:rowOff>
    </xdr:from>
    <xdr:to>
      <xdr:col>36</xdr:col>
      <xdr:colOff>581820</xdr:colOff>
      <xdr:row>124</xdr:row>
      <xdr:rowOff>10320</xdr:rowOff>
    </xdr:to>
    <xdr:cxnSp macro="">
      <xdr:nvCxnSpPr>
        <xdr:cNvPr id="336" name="Straight Arrow Connector 335"/>
        <xdr:cNvCxnSpPr/>
      </xdr:nvCxnSpPr>
      <xdr:spPr bwMode="auto">
        <a:xfrm rot="5400000">
          <a:off x="12663488" y="68670489"/>
          <a:ext cx="161925" cy="158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cxnSp>
    <xdr:clientData/>
  </xdr:twoCellAnchor>
  <xdr:twoCellAnchor>
    <xdr:from>
      <xdr:col>27</xdr:col>
      <xdr:colOff>295275</xdr:colOff>
      <xdr:row>120</xdr:row>
      <xdr:rowOff>9525</xdr:rowOff>
    </xdr:from>
    <xdr:to>
      <xdr:col>27</xdr:col>
      <xdr:colOff>381000</xdr:colOff>
      <xdr:row>125</xdr:row>
      <xdr:rowOff>133350</xdr:rowOff>
    </xdr:to>
    <xdr:sp macro="" textlink="">
      <xdr:nvSpPr>
        <xdr:cNvPr id="337" name="Line 60"/>
        <xdr:cNvSpPr>
          <a:spLocks noChangeShapeType="1"/>
        </xdr:cNvSpPr>
      </xdr:nvSpPr>
      <xdr:spPr bwMode="auto">
        <a:xfrm flipH="1">
          <a:off x="6972300" y="68103750"/>
          <a:ext cx="85725" cy="9334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60</xdr:col>
      <xdr:colOff>581025</xdr:colOff>
      <xdr:row>99</xdr:row>
      <xdr:rowOff>0</xdr:rowOff>
    </xdr:from>
    <xdr:to>
      <xdr:col>60</xdr:col>
      <xdr:colOff>581025</xdr:colOff>
      <xdr:row>99</xdr:row>
      <xdr:rowOff>0</xdr:rowOff>
    </xdr:to>
    <xdr:sp macro="" textlink="">
      <xdr:nvSpPr>
        <xdr:cNvPr id="348" name="Line 23"/>
        <xdr:cNvSpPr>
          <a:spLocks noChangeShapeType="1"/>
        </xdr:cNvSpPr>
      </xdr:nvSpPr>
      <xdr:spPr bwMode="auto">
        <a:xfrm>
          <a:off x="4848225" y="160591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55</xdr:col>
      <xdr:colOff>180975</xdr:colOff>
      <xdr:row>97</xdr:row>
      <xdr:rowOff>0</xdr:rowOff>
    </xdr:from>
    <xdr:to>
      <xdr:col>55</xdr:col>
      <xdr:colOff>180975</xdr:colOff>
      <xdr:row>100</xdr:row>
      <xdr:rowOff>19050</xdr:rowOff>
    </xdr:to>
    <xdr:sp macro="" textlink="">
      <xdr:nvSpPr>
        <xdr:cNvPr id="349" name="Line 25"/>
        <xdr:cNvSpPr>
          <a:spLocks noChangeShapeType="1"/>
        </xdr:cNvSpPr>
      </xdr:nvSpPr>
      <xdr:spPr bwMode="auto">
        <a:xfrm flipH="1">
          <a:off x="1400175" y="15735300"/>
          <a:ext cx="0" cy="50482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58</xdr:col>
      <xdr:colOff>316230</xdr:colOff>
      <xdr:row>95</xdr:row>
      <xdr:rowOff>123825</xdr:rowOff>
    </xdr:from>
    <xdr:to>
      <xdr:col>58</xdr:col>
      <xdr:colOff>361949</xdr:colOff>
      <xdr:row>96</xdr:row>
      <xdr:rowOff>76200</xdr:rowOff>
    </xdr:to>
    <xdr:sp macro="" textlink="">
      <xdr:nvSpPr>
        <xdr:cNvPr id="351" name="AutoShape 27"/>
        <xdr:cNvSpPr>
          <a:spLocks noChangeArrowheads="1"/>
        </xdr:cNvSpPr>
      </xdr:nvSpPr>
      <xdr:spPr bwMode="auto">
        <a:xfrm>
          <a:off x="3364230" y="15535275"/>
          <a:ext cx="45719" cy="1143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61</xdr:col>
      <xdr:colOff>238125</xdr:colOff>
      <xdr:row>96</xdr:row>
      <xdr:rowOff>76200</xdr:rowOff>
    </xdr:from>
    <xdr:to>
      <xdr:col>61</xdr:col>
      <xdr:colOff>590550</xdr:colOff>
      <xdr:row>96</xdr:row>
      <xdr:rowOff>76200</xdr:rowOff>
    </xdr:to>
    <xdr:sp macro="" textlink="">
      <xdr:nvSpPr>
        <xdr:cNvPr id="353" name="Line 39"/>
        <xdr:cNvSpPr>
          <a:spLocks noChangeShapeType="1"/>
        </xdr:cNvSpPr>
      </xdr:nvSpPr>
      <xdr:spPr bwMode="auto">
        <a:xfrm>
          <a:off x="5114925" y="156495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61</xdr:col>
      <xdr:colOff>314325</xdr:colOff>
      <xdr:row>99</xdr:row>
      <xdr:rowOff>0</xdr:rowOff>
    </xdr:from>
    <xdr:to>
      <xdr:col>61</xdr:col>
      <xdr:colOff>571500</xdr:colOff>
      <xdr:row>99</xdr:row>
      <xdr:rowOff>0</xdr:rowOff>
    </xdr:to>
    <xdr:sp macro="" textlink="">
      <xdr:nvSpPr>
        <xdr:cNvPr id="354" name="Line 41"/>
        <xdr:cNvSpPr>
          <a:spLocks noChangeShapeType="1"/>
        </xdr:cNvSpPr>
      </xdr:nvSpPr>
      <xdr:spPr bwMode="auto">
        <a:xfrm>
          <a:off x="5191125" y="16059150"/>
          <a:ext cx="2571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57</xdr:col>
      <xdr:colOff>333375</xdr:colOff>
      <xdr:row>85</xdr:row>
      <xdr:rowOff>0</xdr:rowOff>
    </xdr:from>
    <xdr:ext cx="123825" cy="180975"/>
    <xdr:sp macro="" textlink="">
      <xdr:nvSpPr>
        <xdr:cNvPr id="355" name="Text Box 45"/>
        <xdr:cNvSpPr txBox="1">
          <a:spLocks noChangeArrowheads="1"/>
        </xdr:cNvSpPr>
      </xdr:nvSpPr>
      <xdr:spPr bwMode="auto">
        <a:xfrm>
          <a:off x="2771775" y="137922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61</xdr:col>
      <xdr:colOff>447675</xdr:colOff>
      <xdr:row>92</xdr:row>
      <xdr:rowOff>0</xdr:rowOff>
    </xdr:from>
    <xdr:ext cx="123825" cy="180975"/>
    <xdr:sp macro="" textlink="">
      <xdr:nvSpPr>
        <xdr:cNvPr id="356" name="Text Box 46"/>
        <xdr:cNvSpPr txBox="1">
          <a:spLocks noChangeArrowheads="1"/>
        </xdr:cNvSpPr>
      </xdr:nvSpPr>
      <xdr:spPr bwMode="auto">
        <a:xfrm>
          <a:off x="5324475" y="149256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54</xdr:col>
      <xdr:colOff>333375</xdr:colOff>
      <xdr:row>84</xdr:row>
      <xdr:rowOff>0</xdr:rowOff>
    </xdr:from>
    <xdr:ext cx="123825" cy="180975"/>
    <xdr:sp macro="" textlink="">
      <xdr:nvSpPr>
        <xdr:cNvPr id="357" name="Text Box 48"/>
        <xdr:cNvSpPr txBox="1">
          <a:spLocks noChangeArrowheads="1"/>
        </xdr:cNvSpPr>
      </xdr:nvSpPr>
      <xdr:spPr bwMode="auto">
        <a:xfrm>
          <a:off x="942975" y="136302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54</xdr:col>
      <xdr:colOff>333375</xdr:colOff>
      <xdr:row>84</xdr:row>
      <xdr:rowOff>0</xdr:rowOff>
    </xdr:from>
    <xdr:ext cx="123825" cy="180975"/>
    <xdr:sp macro="" textlink="">
      <xdr:nvSpPr>
        <xdr:cNvPr id="358" name="Text Box 50"/>
        <xdr:cNvSpPr txBox="1">
          <a:spLocks noChangeArrowheads="1"/>
        </xdr:cNvSpPr>
      </xdr:nvSpPr>
      <xdr:spPr bwMode="auto">
        <a:xfrm>
          <a:off x="942975" y="136302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54</xdr:col>
      <xdr:colOff>323850</xdr:colOff>
      <xdr:row>94</xdr:row>
      <xdr:rowOff>9525</xdr:rowOff>
    </xdr:from>
    <xdr:ext cx="123825" cy="180975"/>
    <xdr:sp macro="" textlink="">
      <xdr:nvSpPr>
        <xdr:cNvPr id="359" name="Text Box 52"/>
        <xdr:cNvSpPr txBox="1">
          <a:spLocks noChangeArrowheads="1"/>
        </xdr:cNvSpPr>
      </xdr:nvSpPr>
      <xdr:spPr bwMode="auto">
        <a:xfrm>
          <a:off x="933450" y="152590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54</xdr:col>
      <xdr:colOff>323850</xdr:colOff>
      <xdr:row>94</xdr:row>
      <xdr:rowOff>9525</xdr:rowOff>
    </xdr:from>
    <xdr:ext cx="123825" cy="180975"/>
    <xdr:sp macro="" textlink="">
      <xdr:nvSpPr>
        <xdr:cNvPr id="360" name="Text Box 53"/>
        <xdr:cNvSpPr txBox="1">
          <a:spLocks noChangeArrowheads="1"/>
        </xdr:cNvSpPr>
      </xdr:nvSpPr>
      <xdr:spPr bwMode="auto">
        <a:xfrm>
          <a:off x="933450" y="152590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54</xdr:col>
      <xdr:colOff>514350</xdr:colOff>
      <xdr:row>85</xdr:row>
      <xdr:rowOff>0</xdr:rowOff>
    </xdr:from>
    <xdr:to>
      <xdr:col>55</xdr:col>
      <xdr:colOff>47625</xdr:colOff>
      <xdr:row>85</xdr:row>
      <xdr:rowOff>0</xdr:rowOff>
    </xdr:to>
    <xdr:sp macro="" textlink="">
      <xdr:nvSpPr>
        <xdr:cNvPr id="362" name="Line 57"/>
        <xdr:cNvSpPr>
          <a:spLocks noChangeShapeType="1"/>
        </xdr:cNvSpPr>
      </xdr:nvSpPr>
      <xdr:spPr bwMode="auto">
        <a:xfrm>
          <a:off x="1123950" y="137922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54</xdr:col>
      <xdr:colOff>533400</xdr:colOff>
      <xdr:row>95</xdr:row>
      <xdr:rowOff>0</xdr:rowOff>
    </xdr:from>
    <xdr:to>
      <xdr:col>55</xdr:col>
      <xdr:colOff>85725</xdr:colOff>
      <xdr:row>95</xdr:row>
      <xdr:rowOff>0</xdr:rowOff>
    </xdr:to>
    <xdr:sp macro="" textlink="">
      <xdr:nvSpPr>
        <xdr:cNvPr id="363" name="Line 58"/>
        <xdr:cNvSpPr>
          <a:spLocks noChangeShapeType="1"/>
        </xdr:cNvSpPr>
      </xdr:nvSpPr>
      <xdr:spPr bwMode="auto">
        <a:xfrm>
          <a:off x="1143000" y="1541145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54</xdr:col>
      <xdr:colOff>571500</xdr:colOff>
      <xdr:row>96</xdr:row>
      <xdr:rowOff>85725</xdr:rowOff>
    </xdr:from>
    <xdr:to>
      <xdr:col>55</xdr:col>
      <xdr:colOff>76200</xdr:colOff>
      <xdr:row>96</xdr:row>
      <xdr:rowOff>85725</xdr:rowOff>
    </xdr:to>
    <xdr:sp macro="" textlink="">
      <xdr:nvSpPr>
        <xdr:cNvPr id="365" name="Line 61"/>
        <xdr:cNvSpPr>
          <a:spLocks noChangeShapeType="1"/>
        </xdr:cNvSpPr>
      </xdr:nvSpPr>
      <xdr:spPr bwMode="auto">
        <a:xfrm flipV="1">
          <a:off x="1181100" y="1565910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54</xdr:col>
      <xdr:colOff>438150</xdr:colOff>
      <xdr:row>95</xdr:row>
      <xdr:rowOff>0</xdr:rowOff>
    </xdr:from>
    <xdr:ext cx="123825" cy="180975"/>
    <xdr:sp macro="" textlink="">
      <xdr:nvSpPr>
        <xdr:cNvPr id="366" name="Text Box 62"/>
        <xdr:cNvSpPr txBox="1">
          <a:spLocks noChangeArrowheads="1"/>
        </xdr:cNvSpPr>
      </xdr:nvSpPr>
      <xdr:spPr bwMode="auto">
        <a:xfrm>
          <a:off x="1047750" y="154114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56</xdr:col>
      <xdr:colOff>142874</xdr:colOff>
      <xdr:row>98</xdr:row>
      <xdr:rowOff>0</xdr:rowOff>
    </xdr:from>
    <xdr:to>
      <xdr:col>56</xdr:col>
      <xdr:colOff>188593</xdr:colOff>
      <xdr:row>99</xdr:row>
      <xdr:rowOff>76200</xdr:rowOff>
    </xdr:to>
    <xdr:sp macro="" textlink="">
      <xdr:nvSpPr>
        <xdr:cNvPr id="367" name="Line 63"/>
        <xdr:cNvSpPr>
          <a:spLocks noChangeShapeType="1"/>
        </xdr:cNvSpPr>
      </xdr:nvSpPr>
      <xdr:spPr bwMode="auto">
        <a:xfrm flipH="1" flipV="1">
          <a:off x="1971674" y="15897225"/>
          <a:ext cx="45719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56</xdr:col>
      <xdr:colOff>561975</xdr:colOff>
      <xdr:row>95</xdr:row>
      <xdr:rowOff>0</xdr:rowOff>
    </xdr:from>
    <xdr:to>
      <xdr:col>57</xdr:col>
      <xdr:colOff>57150</xdr:colOff>
      <xdr:row>95</xdr:row>
      <xdr:rowOff>0</xdr:rowOff>
    </xdr:to>
    <xdr:sp macro="" textlink="">
      <xdr:nvSpPr>
        <xdr:cNvPr id="369" name="Line 66"/>
        <xdr:cNvSpPr>
          <a:spLocks noChangeShapeType="1"/>
        </xdr:cNvSpPr>
      </xdr:nvSpPr>
      <xdr:spPr bwMode="auto">
        <a:xfrm>
          <a:off x="2390775" y="154114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56</xdr:col>
      <xdr:colOff>571500</xdr:colOff>
      <xdr:row>94</xdr:row>
      <xdr:rowOff>142875</xdr:rowOff>
    </xdr:from>
    <xdr:to>
      <xdr:col>56</xdr:col>
      <xdr:colOff>571500</xdr:colOff>
      <xdr:row>96</xdr:row>
      <xdr:rowOff>66675</xdr:rowOff>
    </xdr:to>
    <xdr:sp macro="" textlink="">
      <xdr:nvSpPr>
        <xdr:cNvPr id="370" name="Line 67"/>
        <xdr:cNvSpPr>
          <a:spLocks noChangeShapeType="1"/>
        </xdr:cNvSpPr>
      </xdr:nvSpPr>
      <xdr:spPr bwMode="auto">
        <a:xfrm>
          <a:off x="2400300" y="15392400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57</xdr:col>
      <xdr:colOff>304800</xdr:colOff>
      <xdr:row>95</xdr:row>
      <xdr:rowOff>9525</xdr:rowOff>
    </xdr:from>
    <xdr:ext cx="123825" cy="180975"/>
    <xdr:sp macro="" textlink="">
      <xdr:nvSpPr>
        <xdr:cNvPr id="371" name="Text Box 68"/>
        <xdr:cNvSpPr txBox="1">
          <a:spLocks noChangeArrowheads="1"/>
        </xdr:cNvSpPr>
      </xdr:nvSpPr>
      <xdr:spPr bwMode="auto">
        <a:xfrm>
          <a:off x="2743200" y="1542097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61</xdr:col>
      <xdr:colOff>447675</xdr:colOff>
      <xdr:row>96</xdr:row>
      <xdr:rowOff>180975</xdr:rowOff>
    </xdr:from>
    <xdr:ext cx="123825" cy="180975"/>
    <xdr:sp macro="" textlink="">
      <xdr:nvSpPr>
        <xdr:cNvPr id="372" name="Text Box 69"/>
        <xdr:cNvSpPr txBox="1">
          <a:spLocks noChangeArrowheads="1"/>
        </xdr:cNvSpPr>
      </xdr:nvSpPr>
      <xdr:spPr bwMode="auto">
        <a:xfrm>
          <a:off x="5324475" y="157353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55</xdr:col>
      <xdr:colOff>171450</xdr:colOff>
      <xdr:row>102</xdr:row>
      <xdr:rowOff>76200</xdr:rowOff>
    </xdr:from>
    <xdr:to>
      <xdr:col>55</xdr:col>
      <xdr:colOff>171450</xdr:colOff>
      <xdr:row>103</xdr:row>
      <xdr:rowOff>66675</xdr:rowOff>
    </xdr:to>
    <xdr:sp macro="" textlink="">
      <xdr:nvSpPr>
        <xdr:cNvPr id="377" name="Line 79"/>
        <xdr:cNvSpPr>
          <a:spLocks noChangeShapeType="1"/>
        </xdr:cNvSpPr>
      </xdr:nvSpPr>
      <xdr:spPr bwMode="auto">
        <a:xfrm>
          <a:off x="1390650" y="16621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56</xdr:col>
      <xdr:colOff>142875</xdr:colOff>
      <xdr:row>102</xdr:row>
      <xdr:rowOff>85725</xdr:rowOff>
    </xdr:from>
    <xdr:to>
      <xdr:col>56</xdr:col>
      <xdr:colOff>142875</xdr:colOff>
      <xdr:row>103</xdr:row>
      <xdr:rowOff>76200</xdr:rowOff>
    </xdr:to>
    <xdr:sp macro="" textlink="">
      <xdr:nvSpPr>
        <xdr:cNvPr id="378" name="Line 80"/>
        <xdr:cNvSpPr>
          <a:spLocks noChangeShapeType="1"/>
        </xdr:cNvSpPr>
      </xdr:nvSpPr>
      <xdr:spPr bwMode="auto">
        <a:xfrm>
          <a:off x="1971675" y="166306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60</xdr:col>
      <xdr:colOff>200025</xdr:colOff>
      <xdr:row>102</xdr:row>
      <xdr:rowOff>95250</xdr:rowOff>
    </xdr:from>
    <xdr:to>
      <xdr:col>60</xdr:col>
      <xdr:colOff>200025</xdr:colOff>
      <xdr:row>103</xdr:row>
      <xdr:rowOff>57150</xdr:rowOff>
    </xdr:to>
    <xdr:sp macro="" textlink="">
      <xdr:nvSpPr>
        <xdr:cNvPr id="379" name="Line 81"/>
        <xdr:cNvSpPr>
          <a:spLocks noChangeShapeType="1"/>
        </xdr:cNvSpPr>
      </xdr:nvSpPr>
      <xdr:spPr bwMode="auto">
        <a:xfrm>
          <a:off x="4467225" y="16640175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60</xdr:col>
      <xdr:colOff>571500</xdr:colOff>
      <xdr:row>102</xdr:row>
      <xdr:rowOff>104775</xdr:rowOff>
    </xdr:from>
    <xdr:to>
      <xdr:col>60</xdr:col>
      <xdr:colOff>571500</xdr:colOff>
      <xdr:row>103</xdr:row>
      <xdr:rowOff>47625</xdr:rowOff>
    </xdr:to>
    <xdr:sp macro="" textlink="">
      <xdr:nvSpPr>
        <xdr:cNvPr id="380" name="Line 82"/>
        <xdr:cNvSpPr>
          <a:spLocks noChangeShapeType="1"/>
        </xdr:cNvSpPr>
      </xdr:nvSpPr>
      <xdr:spPr bwMode="auto">
        <a:xfrm>
          <a:off x="4838700" y="16649700"/>
          <a:ext cx="0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60</xdr:col>
      <xdr:colOff>200025</xdr:colOff>
      <xdr:row>103</xdr:row>
      <xdr:rowOff>19050</xdr:rowOff>
    </xdr:from>
    <xdr:to>
      <xdr:col>60</xdr:col>
      <xdr:colOff>571500</xdr:colOff>
      <xdr:row>103</xdr:row>
      <xdr:rowOff>19050</xdr:rowOff>
    </xdr:to>
    <xdr:sp macro="" textlink="">
      <xdr:nvSpPr>
        <xdr:cNvPr id="383" name="Line 85"/>
        <xdr:cNvSpPr>
          <a:spLocks noChangeShapeType="1"/>
        </xdr:cNvSpPr>
      </xdr:nvSpPr>
      <xdr:spPr bwMode="auto">
        <a:xfrm>
          <a:off x="4467225" y="16725900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oneCellAnchor>
    <xdr:from>
      <xdr:col>55</xdr:col>
      <xdr:colOff>590550</xdr:colOff>
      <xdr:row>102</xdr:row>
      <xdr:rowOff>0</xdr:rowOff>
    </xdr:from>
    <xdr:ext cx="123825" cy="180975"/>
    <xdr:sp macro="" textlink="">
      <xdr:nvSpPr>
        <xdr:cNvPr id="384" name="Text Box 86"/>
        <xdr:cNvSpPr txBox="1">
          <a:spLocks noChangeArrowheads="1"/>
        </xdr:cNvSpPr>
      </xdr:nvSpPr>
      <xdr:spPr bwMode="auto">
        <a:xfrm>
          <a:off x="1809750" y="165449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60</xdr:col>
      <xdr:colOff>571500</xdr:colOff>
      <xdr:row>102</xdr:row>
      <xdr:rowOff>0</xdr:rowOff>
    </xdr:from>
    <xdr:ext cx="123825" cy="180975"/>
    <xdr:sp macro="" textlink="">
      <xdr:nvSpPr>
        <xdr:cNvPr id="386" name="Text Box 88"/>
        <xdr:cNvSpPr txBox="1">
          <a:spLocks noChangeArrowheads="1"/>
        </xdr:cNvSpPr>
      </xdr:nvSpPr>
      <xdr:spPr bwMode="auto">
        <a:xfrm>
          <a:off x="4838700" y="165449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61</xdr:col>
      <xdr:colOff>333375</xdr:colOff>
      <xdr:row>87</xdr:row>
      <xdr:rowOff>0</xdr:rowOff>
    </xdr:from>
    <xdr:ext cx="123825" cy="180975"/>
    <xdr:sp macro="" textlink="">
      <xdr:nvSpPr>
        <xdr:cNvPr id="392" name="Text Box 1013"/>
        <xdr:cNvSpPr txBox="1">
          <a:spLocks noChangeArrowheads="1"/>
        </xdr:cNvSpPr>
      </xdr:nvSpPr>
      <xdr:spPr bwMode="auto">
        <a:xfrm>
          <a:off x="5210175" y="141160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57</xdr:col>
      <xdr:colOff>457200</xdr:colOff>
      <xdr:row>80</xdr:row>
      <xdr:rowOff>0</xdr:rowOff>
    </xdr:from>
    <xdr:ext cx="18531" cy="170560"/>
    <xdr:sp macro="" textlink="">
      <xdr:nvSpPr>
        <xdr:cNvPr id="403" name="Text Box 1039"/>
        <xdr:cNvSpPr txBox="1">
          <a:spLocks noChangeArrowheads="1"/>
        </xdr:cNvSpPr>
      </xdr:nvSpPr>
      <xdr:spPr bwMode="auto">
        <a:xfrm>
          <a:off x="35204400" y="14878050"/>
          <a:ext cx="18531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endParaRPr lang="en-GB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59</xdr:col>
      <xdr:colOff>561975</xdr:colOff>
      <xdr:row>96</xdr:row>
      <xdr:rowOff>85725</xdr:rowOff>
    </xdr:from>
    <xdr:to>
      <xdr:col>59</xdr:col>
      <xdr:colOff>561975</xdr:colOff>
      <xdr:row>98</xdr:row>
      <xdr:rowOff>0</xdr:rowOff>
    </xdr:to>
    <xdr:sp macro="" textlink="">
      <xdr:nvSpPr>
        <xdr:cNvPr id="406" name="Line 4299"/>
        <xdr:cNvSpPr>
          <a:spLocks noChangeShapeType="1"/>
        </xdr:cNvSpPr>
      </xdr:nvSpPr>
      <xdr:spPr bwMode="auto">
        <a:xfrm>
          <a:off x="4219575" y="1565910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60</xdr:col>
      <xdr:colOff>342900</xdr:colOff>
      <xdr:row>99</xdr:row>
      <xdr:rowOff>57150</xdr:rowOff>
    </xdr:from>
    <xdr:to>
      <xdr:col>60</xdr:col>
      <xdr:colOff>342900</xdr:colOff>
      <xdr:row>100</xdr:row>
      <xdr:rowOff>19050</xdr:rowOff>
    </xdr:to>
    <xdr:sp macro="" textlink="">
      <xdr:nvSpPr>
        <xdr:cNvPr id="407" name="Line 4342"/>
        <xdr:cNvSpPr>
          <a:spLocks noChangeShapeType="1"/>
        </xdr:cNvSpPr>
      </xdr:nvSpPr>
      <xdr:spPr bwMode="auto">
        <a:xfrm>
          <a:off x="4610100" y="16116300"/>
          <a:ext cx="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60</xdr:col>
      <xdr:colOff>333375</xdr:colOff>
      <xdr:row>99</xdr:row>
      <xdr:rowOff>161925</xdr:rowOff>
    </xdr:from>
    <xdr:to>
      <xdr:col>61</xdr:col>
      <xdr:colOff>0</xdr:colOff>
      <xdr:row>99</xdr:row>
      <xdr:rowOff>161925</xdr:rowOff>
    </xdr:to>
    <xdr:sp macro="" textlink="">
      <xdr:nvSpPr>
        <xdr:cNvPr id="408" name="Line 4343"/>
        <xdr:cNvSpPr>
          <a:spLocks noChangeShapeType="1"/>
        </xdr:cNvSpPr>
      </xdr:nvSpPr>
      <xdr:spPr bwMode="auto">
        <a:xfrm>
          <a:off x="4600575" y="16221075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60</xdr:col>
      <xdr:colOff>200025</xdr:colOff>
      <xdr:row>107</xdr:row>
      <xdr:rowOff>9525</xdr:rowOff>
    </xdr:from>
    <xdr:to>
      <xdr:col>60</xdr:col>
      <xdr:colOff>200025</xdr:colOff>
      <xdr:row>109</xdr:row>
      <xdr:rowOff>57150</xdr:rowOff>
    </xdr:to>
    <xdr:sp macro="" textlink="">
      <xdr:nvSpPr>
        <xdr:cNvPr id="409" name="Line 92"/>
        <xdr:cNvSpPr>
          <a:spLocks noChangeShapeType="1"/>
        </xdr:cNvSpPr>
      </xdr:nvSpPr>
      <xdr:spPr bwMode="auto">
        <a:xfrm>
          <a:off x="4467225" y="17364075"/>
          <a:ext cx="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60</xdr:col>
      <xdr:colOff>47625</xdr:colOff>
      <xdr:row>107</xdr:row>
      <xdr:rowOff>0</xdr:rowOff>
    </xdr:from>
    <xdr:to>
      <xdr:col>60</xdr:col>
      <xdr:colOff>47625</xdr:colOff>
      <xdr:row>108</xdr:row>
      <xdr:rowOff>57150</xdr:rowOff>
    </xdr:to>
    <xdr:sp macro="" textlink="">
      <xdr:nvSpPr>
        <xdr:cNvPr id="411" name="Line 94"/>
        <xdr:cNvSpPr>
          <a:spLocks noChangeShapeType="1"/>
        </xdr:cNvSpPr>
      </xdr:nvSpPr>
      <xdr:spPr bwMode="auto">
        <a:xfrm flipV="1">
          <a:off x="4314825" y="17354550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59</xdr:col>
      <xdr:colOff>95250</xdr:colOff>
      <xdr:row>107</xdr:row>
      <xdr:rowOff>0</xdr:rowOff>
    </xdr:from>
    <xdr:to>
      <xdr:col>59</xdr:col>
      <xdr:colOff>323850</xdr:colOff>
      <xdr:row>107</xdr:row>
      <xdr:rowOff>0</xdr:rowOff>
    </xdr:to>
    <xdr:sp macro="" textlink="">
      <xdr:nvSpPr>
        <xdr:cNvPr id="412" name="Line 95"/>
        <xdr:cNvSpPr>
          <a:spLocks noChangeShapeType="1"/>
        </xdr:cNvSpPr>
      </xdr:nvSpPr>
      <xdr:spPr bwMode="auto">
        <a:xfrm>
          <a:off x="3752850" y="17354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59</xdr:col>
      <xdr:colOff>323850</xdr:colOff>
      <xdr:row>106</xdr:row>
      <xdr:rowOff>95250</xdr:rowOff>
    </xdr:from>
    <xdr:to>
      <xdr:col>59</xdr:col>
      <xdr:colOff>323850</xdr:colOff>
      <xdr:row>107</xdr:row>
      <xdr:rowOff>0</xdr:rowOff>
    </xdr:to>
    <xdr:sp macro="" textlink="">
      <xdr:nvSpPr>
        <xdr:cNvPr id="413" name="Line 96"/>
        <xdr:cNvSpPr>
          <a:spLocks noChangeShapeType="1"/>
        </xdr:cNvSpPr>
      </xdr:nvSpPr>
      <xdr:spPr bwMode="auto">
        <a:xfrm flipV="1">
          <a:off x="3981450" y="17287875"/>
          <a:ext cx="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59</xdr:col>
      <xdr:colOff>323850</xdr:colOff>
      <xdr:row>106</xdr:row>
      <xdr:rowOff>104775</xdr:rowOff>
    </xdr:from>
    <xdr:to>
      <xdr:col>59</xdr:col>
      <xdr:colOff>409575</xdr:colOff>
      <xdr:row>107</xdr:row>
      <xdr:rowOff>76200</xdr:rowOff>
    </xdr:to>
    <xdr:sp macro="" textlink="">
      <xdr:nvSpPr>
        <xdr:cNvPr id="414" name="Line 97"/>
        <xdr:cNvSpPr>
          <a:spLocks noChangeShapeType="1"/>
        </xdr:cNvSpPr>
      </xdr:nvSpPr>
      <xdr:spPr bwMode="auto">
        <a:xfrm>
          <a:off x="3981450" y="17297400"/>
          <a:ext cx="85725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59</xdr:col>
      <xdr:colOff>409575</xdr:colOff>
      <xdr:row>107</xdr:row>
      <xdr:rowOff>19050</xdr:rowOff>
    </xdr:from>
    <xdr:to>
      <xdr:col>59</xdr:col>
      <xdr:colOff>428625</xdr:colOff>
      <xdr:row>107</xdr:row>
      <xdr:rowOff>85725</xdr:rowOff>
    </xdr:to>
    <xdr:sp macro="" textlink="">
      <xdr:nvSpPr>
        <xdr:cNvPr id="415" name="Line 98"/>
        <xdr:cNvSpPr>
          <a:spLocks noChangeShapeType="1"/>
        </xdr:cNvSpPr>
      </xdr:nvSpPr>
      <xdr:spPr bwMode="auto">
        <a:xfrm flipV="1">
          <a:off x="4067175" y="17373600"/>
          <a:ext cx="19050" cy="66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59</xdr:col>
      <xdr:colOff>447675</xdr:colOff>
      <xdr:row>106</xdr:row>
      <xdr:rowOff>152400</xdr:rowOff>
    </xdr:from>
    <xdr:to>
      <xdr:col>60</xdr:col>
      <xdr:colOff>333375</xdr:colOff>
      <xdr:row>106</xdr:row>
      <xdr:rowOff>152400</xdr:rowOff>
    </xdr:to>
    <xdr:sp macro="" textlink="">
      <xdr:nvSpPr>
        <xdr:cNvPr id="416" name="Line 99"/>
        <xdr:cNvSpPr>
          <a:spLocks noChangeShapeType="1"/>
        </xdr:cNvSpPr>
      </xdr:nvSpPr>
      <xdr:spPr bwMode="auto">
        <a:xfrm>
          <a:off x="4105275" y="17345025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55</xdr:col>
      <xdr:colOff>123825</xdr:colOff>
      <xdr:row>107</xdr:row>
      <xdr:rowOff>0</xdr:rowOff>
    </xdr:from>
    <xdr:to>
      <xdr:col>55</xdr:col>
      <xdr:colOff>123825</xdr:colOff>
      <xdr:row>110</xdr:row>
      <xdr:rowOff>19050</xdr:rowOff>
    </xdr:to>
    <xdr:sp macro="" textlink="">
      <xdr:nvSpPr>
        <xdr:cNvPr id="426" name="Line 111"/>
        <xdr:cNvSpPr>
          <a:spLocks noChangeShapeType="1"/>
        </xdr:cNvSpPr>
      </xdr:nvSpPr>
      <xdr:spPr bwMode="auto">
        <a:xfrm flipH="1">
          <a:off x="1343025" y="17354550"/>
          <a:ext cx="0" cy="504825"/>
        </a:xfrm>
        <a:prstGeom prst="line">
          <a:avLst/>
        </a:prstGeom>
        <a:noFill/>
        <a:ln w="12700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55</xdr:col>
      <xdr:colOff>123825</xdr:colOff>
      <xdr:row>119</xdr:row>
      <xdr:rowOff>38100</xdr:rowOff>
    </xdr:from>
    <xdr:to>
      <xdr:col>55</xdr:col>
      <xdr:colOff>123825</xdr:colOff>
      <xdr:row>120</xdr:row>
      <xdr:rowOff>114300</xdr:rowOff>
    </xdr:to>
    <xdr:sp macro="" textlink="">
      <xdr:nvSpPr>
        <xdr:cNvPr id="430" name="Line 115"/>
        <xdr:cNvSpPr>
          <a:spLocks noChangeShapeType="1"/>
        </xdr:cNvSpPr>
      </xdr:nvSpPr>
      <xdr:spPr bwMode="auto">
        <a:xfrm>
          <a:off x="1343025" y="19335750"/>
          <a:ext cx="0" cy="2381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56</xdr:col>
      <xdr:colOff>304800</xdr:colOff>
      <xdr:row>107</xdr:row>
      <xdr:rowOff>123825</xdr:rowOff>
    </xdr:from>
    <xdr:to>
      <xdr:col>56</xdr:col>
      <xdr:colOff>304800</xdr:colOff>
      <xdr:row>110</xdr:row>
      <xdr:rowOff>19050</xdr:rowOff>
    </xdr:to>
    <xdr:sp macro="" textlink="">
      <xdr:nvSpPr>
        <xdr:cNvPr id="431" name="Line 116"/>
        <xdr:cNvSpPr>
          <a:spLocks noChangeShapeType="1"/>
        </xdr:cNvSpPr>
      </xdr:nvSpPr>
      <xdr:spPr bwMode="auto">
        <a:xfrm flipV="1">
          <a:off x="2133600" y="17478375"/>
          <a:ext cx="0" cy="3810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 editAs="oneCell">
    <xdr:from>
      <xdr:col>59</xdr:col>
      <xdr:colOff>533400</xdr:colOff>
      <xdr:row>124</xdr:row>
      <xdr:rowOff>123825</xdr:rowOff>
    </xdr:from>
    <xdr:to>
      <xdr:col>60</xdr:col>
      <xdr:colOff>0</xdr:colOff>
      <xdr:row>125</xdr:row>
      <xdr:rowOff>104775</xdr:rowOff>
    </xdr:to>
    <xdr:sp macro="" textlink="">
      <xdr:nvSpPr>
        <xdr:cNvPr id="438" name="Text Box 130"/>
        <xdr:cNvSpPr txBox="1">
          <a:spLocks noChangeArrowheads="1"/>
        </xdr:cNvSpPr>
      </xdr:nvSpPr>
      <xdr:spPr bwMode="auto">
        <a:xfrm>
          <a:off x="4191000" y="20231100"/>
          <a:ext cx="76200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54</xdr:col>
      <xdr:colOff>409575</xdr:colOff>
      <xdr:row>118</xdr:row>
      <xdr:rowOff>0</xdr:rowOff>
    </xdr:from>
    <xdr:ext cx="123825" cy="180975"/>
    <xdr:sp macro="" textlink="">
      <xdr:nvSpPr>
        <xdr:cNvPr id="439" name="Text Box 131"/>
        <xdr:cNvSpPr txBox="1">
          <a:spLocks noChangeArrowheads="1"/>
        </xdr:cNvSpPr>
      </xdr:nvSpPr>
      <xdr:spPr bwMode="auto">
        <a:xfrm>
          <a:off x="1019175" y="191357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54</xdr:col>
      <xdr:colOff>438150</xdr:colOff>
      <xdr:row>114</xdr:row>
      <xdr:rowOff>9525</xdr:rowOff>
    </xdr:from>
    <xdr:ext cx="123825" cy="180975"/>
    <xdr:sp macro="" textlink="">
      <xdr:nvSpPr>
        <xdr:cNvPr id="440" name="Text Box 132"/>
        <xdr:cNvSpPr txBox="1">
          <a:spLocks noChangeArrowheads="1"/>
        </xdr:cNvSpPr>
      </xdr:nvSpPr>
      <xdr:spPr bwMode="auto">
        <a:xfrm>
          <a:off x="1047750" y="1849755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oneCellAnchor>
    <xdr:from>
      <xdr:col>54</xdr:col>
      <xdr:colOff>409575</xdr:colOff>
      <xdr:row>109</xdr:row>
      <xdr:rowOff>152400</xdr:rowOff>
    </xdr:from>
    <xdr:ext cx="123825" cy="180975"/>
    <xdr:sp macro="" textlink="">
      <xdr:nvSpPr>
        <xdr:cNvPr id="441" name="Text Box 133"/>
        <xdr:cNvSpPr txBox="1">
          <a:spLocks noChangeArrowheads="1"/>
        </xdr:cNvSpPr>
      </xdr:nvSpPr>
      <xdr:spPr bwMode="auto">
        <a:xfrm>
          <a:off x="1019175" y="17830800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54</xdr:col>
      <xdr:colOff>581025</xdr:colOff>
      <xdr:row>118</xdr:row>
      <xdr:rowOff>0</xdr:rowOff>
    </xdr:from>
    <xdr:to>
      <xdr:col>54</xdr:col>
      <xdr:colOff>581025</xdr:colOff>
      <xdr:row>119</xdr:row>
      <xdr:rowOff>0</xdr:rowOff>
    </xdr:to>
    <xdr:sp macro="" textlink="">
      <xdr:nvSpPr>
        <xdr:cNvPr id="443" name="Line 135"/>
        <xdr:cNvSpPr>
          <a:spLocks noChangeShapeType="1"/>
        </xdr:cNvSpPr>
      </xdr:nvSpPr>
      <xdr:spPr bwMode="auto">
        <a:xfrm>
          <a:off x="1190625" y="191357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54</xdr:col>
      <xdr:colOff>581025</xdr:colOff>
      <xdr:row>110</xdr:row>
      <xdr:rowOff>0</xdr:rowOff>
    </xdr:from>
    <xdr:to>
      <xdr:col>54</xdr:col>
      <xdr:colOff>581025</xdr:colOff>
      <xdr:row>111</xdr:row>
      <xdr:rowOff>0</xdr:rowOff>
    </xdr:to>
    <xdr:sp macro="" textlink="">
      <xdr:nvSpPr>
        <xdr:cNvPr id="444" name="Line 136"/>
        <xdr:cNvSpPr>
          <a:spLocks noChangeShapeType="1"/>
        </xdr:cNvSpPr>
      </xdr:nvSpPr>
      <xdr:spPr bwMode="auto">
        <a:xfrm flipV="1">
          <a:off x="1190625" y="1784032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54</xdr:col>
      <xdr:colOff>514350</xdr:colOff>
      <xdr:row>110</xdr:row>
      <xdr:rowOff>0</xdr:rowOff>
    </xdr:from>
    <xdr:to>
      <xdr:col>55</xdr:col>
      <xdr:colOff>47625</xdr:colOff>
      <xdr:row>110</xdr:row>
      <xdr:rowOff>0</xdr:rowOff>
    </xdr:to>
    <xdr:sp macro="" textlink="">
      <xdr:nvSpPr>
        <xdr:cNvPr id="445" name="Line 137"/>
        <xdr:cNvSpPr>
          <a:spLocks noChangeShapeType="1"/>
        </xdr:cNvSpPr>
      </xdr:nvSpPr>
      <xdr:spPr bwMode="auto">
        <a:xfrm>
          <a:off x="1123950" y="17840325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54</xdr:col>
      <xdr:colOff>504825</xdr:colOff>
      <xdr:row>111</xdr:row>
      <xdr:rowOff>0</xdr:rowOff>
    </xdr:from>
    <xdr:to>
      <xdr:col>55</xdr:col>
      <xdr:colOff>9525</xdr:colOff>
      <xdr:row>111</xdr:row>
      <xdr:rowOff>0</xdr:rowOff>
    </xdr:to>
    <xdr:sp macro="" textlink="">
      <xdr:nvSpPr>
        <xdr:cNvPr id="446" name="Line 138"/>
        <xdr:cNvSpPr>
          <a:spLocks noChangeShapeType="1"/>
        </xdr:cNvSpPr>
      </xdr:nvSpPr>
      <xdr:spPr bwMode="auto">
        <a:xfrm>
          <a:off x="1114425" y="180022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54</xdr:col>
      <xdr:colOff>514350</xdr:colOff>
      <xdr:row>119</xdr:row>
      <xdr:rowOff>0</xdr:rowOff>
    </xdr:from>
    <xdr:to>
      <xdr:col>55</xdr:col>
      <xdr:colOff>28575</xdr:colOff>
      <xdr:row>119</xdr:row>
      <xdr:rowOff>0</xdr:rowOff>
    </xdr:to>
    <xdr:sp macro="" textlink="">
      <xdr:nvSpPr>
        <xdr:cNvPr id="447" name="Line 139"/>
        <xdr:cNvSpPr>
          <a:spLocks noChangeShapeType="1"/>
        </xdr:cNvSpPr>
      </xdr:nvSpPr>
      <xdr:spPr bwMode="auto">
        <a:xfrm>
          <a:off x="1123950" y="19297650"/>
          <a:ext cx="12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54</xdr:col>
      <xdr:colOff>533400</xdr:colOff>
      <xdr:row>118</xdr:row>
      <xdr:rowOff>0</xdr:rowOff>
    </xdr:from>
    <xdr:to>
      <xdr:col>55</xdr:col>
      <xdr:colOff>28575</xdr:colOff>
      <xdr:row>118</xdr:row>
      <xdr:rowOff>0</xdr:rowOff>
    </xdr:to>
    <xdr:sp macro="" textlink="">
      <xdr:nvSpPr>
        <xdr:cNvPr id="448" name="Line 140"/>
        <xdr:cNvSpPr>
          <a:spLocks noChangeShapeType="1"/>
        </xdr:cNvSpPr>
      </xdr:nvSpPr>
      <xdr:spPr bwMode="auto">
        <a:xfrm>
          <a:off x="1143000" y="191357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58</xdr:col>
      <xdr:colOff>76200</xdr:colOff>
      <xdr:row>107</xdr:row>
      <xdr:rowOff>19050</xdr:rowOff>
    </xdr:from>
    <xdr:to>
      <xdr:col>58</xdr:col>
      <xdr:colOff>76200</xdr:colOff>
      <xdr:row>108</xdr:row>
      <xdr:rowOff>142875</xdr:rowOff>
    </xdr:to>
    <xdr:sp macro="" textlink="">
      <xdr:nvSpPr>
        <xdr:cNvPr id="449" name="Line 1024"/>
        <xdr:cNvSpPr>
          <a:spLocks noChangeShapeType="1"/>
        </xdr:cNvSpPr>
      </xdr:nvSpPr>
      <xdr:spPr bwMode="auto">
        <a:xfrm>
          <a:off x="3124200" y="17373600"/>
          <a:ext cx="0" cy="28575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58</xdr:col>
      <xdr:colOff>57150</xdr:colOff>
      <xdr:row>120</xdr:row>
      <xdr:rowOff>19050</xdr:rowOff>
    </xdr:from>
    <xdr:to>
      <xdr:col>58</xdr:col>
      <xdr:colOff>57150</xdr:colOff>
      <xdr:row>121</xdr:row>
      <xdr:rowOff>152400</xdr:rowOff>
    </xdr:to>
    <xdr:sp macro="" textlink="">
      <xdr:nvSpPr>
        <xdr:cNvPr id="450" name="Line 1025"/>
        <xdr:cNvSpPr>
          <a:spLocks noChangeShapeType="1"/>
        </xdr:cNvSpPr>
      </xdr:nvSpPr>
      <xdr:spPr bwMode="auto">
        <a:xfrm>
          <a:off x="3105150" y="19478625"/>
          <a:ext cx="0" cy="29527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</xdr:spPr>
    </xdr:sp>
    <xdr:clientData/>
  </xdr:twoCellAnchor>
  <xdr:twoCellAnchor>
    <xdr:from>
      <xdr:col>60</xdr:col>
      <xdr:colOff>400050</xdr:colOff>
      <xdr:row>109</xdr:row>
      <xdr:rowOff>76200</xdr:rowOff>
    </xdr:from>
    <xdr:to>
      <xdr:col>61</xdr:col>
      <xdr:colOff>161925</xdr:colOff>
      <xdr:row>109</xdr:row>
      <xdr:rowOff>76200</xdr:rowOff>
    </xdr:to>
    <xdr:sp macro="" textlink="">
      <xdr:nvSpPr>
        <xdr:cNvPr id="457" name="Line 1045"/>
        <xdr:cNvSpPr>
          <a:spLocks noChangeShapeType="1"/>
        </xdr:cNvSpPr>
      </xdr:nvSpPr>
      <xdr:spPr bwMode="auto">
        <a:xfrm flipV="1">
          <a:off x="4667250" y="17754600"/>
          <a:ext cx="37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60</xdr:col>
      <xdr:colOff>514350</xdr:colOff>
      <xdr:row>119</xdr:row>
      <xdr:rowOff>142875</xdr:rowOff>
    </xdr:from>
    <xdr:to>
      <xdr:col>61</xdr:col>
      <xdr:colOff>66675</xdr:colOff>
      <xdr:row>119</xdr:row>
      <xdr:rowOff>142875</xdr:rowOff>
    </xdr:to>
    <xdr:sp macro="" textlink="">
      <xdr:nvSpPr>
        <xdr:cNvPr id="458" name="Line 1046"/>
        <xdr:cNvSpPr>
          <a:spLocks noChangeShapeType="1"/>
        </xdr:cNvSpPr>
      </xdr:nvSpPr>
      <xdr:spPr bwMode="auto">
        <a:xfrm>
          <a:off x="4781550" y="19440525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58</xdr:col>
      <xdr:colOff>590550</xdr:colOff>
      <xdr:row>114</xdr:row>
      <xdr:rowOff>0</xdr:rowOff>
    </xdr:from>
    <xdr:to>
      <xdr:col>59</xdr:col>
      <xdr:colOff>28575</xdr:colOff>
      <xdr:row>114</xdr:row>
      <xdr:rowOff>171450</xdr:rowOff>
    </xdr:to>
    <xdr:sp macro="" textlink="">
      <xdr:nvSpPr>
        <xdr:cNvPr id="462" name="Text Box 1052"/>
        <xdr:cNvSpPr txBox="1">
          <a:spLocks noChangeArrowheads="1"/>
        </xdr:cNvSpPr>
      </xdr:nvSpPr>
      <xdr:spPr bwMode="auto">
        <a:xfrm>
          <a:off x="3638550" y="18488025"/>
          <a:ext cx="476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58</xdr:col>
      <xdr:colOff>590550</xdr:colOff>
      <xdr:row>114</xdr:row>
      <xdr:rowOff>0</xdr:rowOff>
    </xdr:from>
    <xdr:to>
      <xdr:col>59</xdr:col>
      <xdr:colOff>28575</xdr:colOff>
      <xdr:row>114</xdr:row>
      <xdr:rowOff>171450</xdr:rowOff>
    </xdr:to>
    <xdr:sp macro="" textlink="">
      <xdr:nvSpPr>
        <xdr:cNvPr id="463" name="Text Box 1053"/>
        <xdr:cNvSpPr txBox="1">
          <a:spLocks noChangeArrowheads="1"/>
        </xdr:cNvSpPr>
      </xdr:nvSpPr>
      <xdr:spPr bwMode="auto">
        <a:xfrm>
          <a:off x="3638550" y="18488025"/>
          <a:ext cx="476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58</xdr:col>
      <xdr:colOff>476250</xdr:colOff>
      <xdr:row>114</xdr:row>
      <xdr:rowOff>0</xdr:rowOff>
    </xdr:from>
    <xdr:ext cx="123825" cy="180975"/>
    <xdr:sp macro="" textlink="">
      <xdr:nvSpPr>
        <xdr:cNvPr id="465" name="Text Box 4302"/>
        <xdr:cNvSpPr txBox="1">
          <a:spLocks noChangeArrowheads="1"/>
        </xdr:cNvSpPr>
      </xdr:nvSpPr>
      <xdr:spPr bwMode="auto">
        <a:xfrm>
          <a:off x="3524250" y="18488025"/>
          <a:ext cx="12382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GB" sz="1000" b="0" i="0" strike="noStrike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oneCellAnchor>
  <xdr:twoCellAnchor>
    <xdr:from>
      <xdr:col>61</xdr:col>
      <xdr:colOff>133350</xdr:colOff>
      <xdr:row>97</xdr:row>
      <xdr:rowOff>180975</xdr:rowOff>
    </xdr:from>
    <xdr:to>
      <xdr:col>62</xdr:col>
      <xdr:colOff>19050</xdr:colOff>
      <xdr:row>98</xdr:row>
      <xdr:rowOff>0</xdr:rowOff>
    </xdr:to>
    <xdr:cxnSp macro="">
      <xdr:nvCxnSpPr>
        <xdr:cNvPr id="481" name="Straight Connector 480"/>
        <xdr:cNvCxnSpPr/>
      </xdr:nvCxnSpPr>
      <xdr:spPr bwMode="auto">
        <a:xfrm flipV="1">
          <a:off x="5010150" y="15897225"/>
          <a:ext cx="49530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61</xdr:col>
      <xdr:colOff>389732</xdr:colOff>
      <xdr:row>98</xdr:row>
      <xdr:rowOff>794</xdr:rowOff>
    </xdr:from>
    <xdr:to>
      <xdr:col>61</xdr:col>
      <xdr:colOff>391320</xdr:colOff>
      <xdr:row>99</xdr:row>
      <xdr:rowOff>794</xdr:rowOff>
    </xdr:to>
    <xdr:cxnSp macro="">
      <xdr:nvCxnSpPr>
        <xdr:cNvPr id="482" name="Straight Arrow Connector 481"/>
        <xdr:cNvCxnSpPr/>
      </xdr:nvCxnSpPr>
      <xdr:spPr bwMode="auto">
        <a:xfrm rot="5400000">
          <a:off x="5186363" y="15978188"/>
          <a:ext cx="16192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triangle" w="sm" len="sm"/>
        </a:ln>
        <a:effectLst/>
      </xdr:spPr>
    </xdr:cxnSp>
    <xdr:clientData/>
  </xdr:twoCellAnchor>
  <xdr:twoCellAnchor>
    <xdr:from>
      <xdr:col>56</xdr:col>
      <xdr:colOff>180975</xdr:colOff>
      <xdr:row>99</xdr:row>
      <xdr:rowOff>85725</xdr:rowOff>
    </xdr:from>
    <xdr:to>
      <xdr:col>56</xdr:col>
      <xdr:colOff>314325</xdr:colOff>
      <xdr:row>99</xdr:row>
      <xdr:rowOff>104775</xdr:rowOff>
    </xdr:to>
    <xdr:cxnSp macro="">
      <xdr:nvCxnSpPr>
        <xdr:cNvPr id="485" name="Straight Connector 484"/>
        <xdr:cNvCxnSpPr/>
      </xdr:nvCxnSpPr>
      <xdr:spPr bwMode="auto">
        <a:xfrm>
          <a:off x="2009775" y="16144875"/>
          <a:ext cx="133350" cy="19050"/>
        </a:xfrm>
        <a:prstGeom prst="line">
          <a:avLst/>
        </a:prstGeom>
        <a:solidFill>
          <a:srgbClr val="FFFFFF"/>
        </a:solidFill>
        <a:ln w="9525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61</xdr:col>
      <xdr:colOff>8732</xdr:colOff>
      <xdr:row>99</xdr:row>
      <xdr:rowOff>96043</xdr:rowOff>
    </xdr:from>
    <xdr:to>
      <xdr:col>61</xdr:col>
      <xdr:colOff>10320</xdr:colOff>
      <xdr:row>100</xdr:row>
      <xdr:rowOff>48418</xdr:rowOff>
    </xdr:to>
    <xdr:cxnSp macro="">
      <xdr:nvCxnSpPr>
        <xdr:cNvPr id="486" name="Straight Connector 485"/>
        <xdr:cNvCxnSpPr/>
      </xdr:nvCxnSpPr>
      <xdr:spPr bwMode="auto">
        <a:xfrm rot="5400000">
          <a:off x="4829176" y="16211549"/>
          <a:ext cx="114300" cy="1588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 editAs="oneCell">
    <xdr:from>
      <xdr:col>0</xdr:col>
      <xdr:colOff>333935</xdr:colOff>
      <xdr:row>95</xdr:row>
      <xdr:rowOff>28575</xdr:rowOff>
    </xdr:from>
    <xdr:to>
      <xdr:col>9</xdr:col>
      <xdr:colOff>167768</xdr:colOff>
      <xdr:row>128</xdr:row>
      <xdr:rowOff>95250</xdr:rowOff>
    </xdr:to>
    <xdr:pic>
      <xdr:nvPicPr>
        <xdr:cNvPr id="400" name="Picture 399" descr="Runoff.JP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935" y="17764125"/>
          <a:ext cx="5320233" cy="6296025"/>
        </a:xfrm>
        <a:prstGeom prst="rect">
          <a:avLst/>
        </a:prstGeom>
        <a:solidFill>
          <a:srgbClr val="000000">
            <a:shade val="95000"/>
          </a:srgbClr>
        </a:solidFill>
        <a:ln w="444500" cap="sq">
          <a:solidFill>
            <a:srgbClr val="00B0F0"/>
          </a:solidFill>
          <a:miter lim="800000"/>
        </a:ln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>
    <xdr:from>
      <xdr:col>5</xdr:col>
      <xdr:colOff>104775</xdr:colOff>
      <xdr:row>96</xdr:row>
      <xdr:rowOff>57150</xdr:rowOff>
    </xdr:from>
    <xdr:to>
      <xdr:col>8</xdr:col>
      <xdr:colOff>333375</xdr:colOff>
      <xdr:row>98</xdr:row>
      <xdr:rowOff>180975</xdr:rowOff>
    </xdr:to>
    <xdr:sp macro="" textlink="">
      <xdr:nvSpPr>
        <xdr:cNvPr id="113" name="TextBox 112"/>
        <xdr:cNvSpPr txBox="1"/>
      </xdr:nvSpPr>
      <xdr:spPr>
        <a:xfrm>
          <a:off x="3152775" y="17983200"/>
          <a:ext cx="20574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sng">
              <a:solidFill>
                <a:srgbClr val="FF0000"/>
              </a:solidFill>
            </a:rPr>
            <a:t>Run off  ( mm/day )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Fig 5, Page 4-12 , Vol 1, CIDA )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G1084"/>
  <sheetViews>
    <sheetView tabSelected="1" zoomScaleSheetLayoutView="100" workbookViewId="0">
      <selection activeCell="H22" sqref="H22"/>
    </sheetView>
  </sheetViews>
  <sheetFormatPr defaultRowHeight="12.75"/>
  <cols>
    <col min="7" max="7" width="10.28515625" bestFit="1" customWidth="1"/>
    <col min="10" max="10" width="8.28515625" customWidth="1"/>
    <col min="11" max="11" width="2.85546875" customWidth="1"/>
    <col min="15" max="15" width="9.140625" customWidth="1"/>
    <col min="55" max="55" width="10" customWidth="1"/>
  </cols>
  <sheetData>
    <row r="1" spans="1:22" ht="15.75">
      <c r="A1" s="3072" t="s">
        <v>382</v>
      </c>
      <c r="B1" s="3072"/>
      <c r="C1" s="3072"/>
      <c r="D1" s="3072"/>
      <c r="E1" s="3072"/>
      <c r="F1" s="3072"/>
      <c r="G1" s="3072"/>
      <c r="H1" s="3072"/>
      <c r="I1" s="3072"/>
      <c r="J1" s="664"/>
      <c r="K1" s="130"/>
    </row>
    <row r="2" spans="1:22">
      <c r="A2" s="109"/>
      <c r="B2" s="109"/>
      <c r="C2" s="109"/>
      <c r="D2" s="109"/>
      <c r="E2" s="109"/>
      <c r="F2" s="110"/>
      <c r="G2" s="110"/>
      <c r="H2" s="110"/>
      <c r="I2" s="110"/>
      <c r="J2" s="110"/>
      <c r="K2" s="130"/>
      <c r="L2" s="423" t="s">
        <v>2133</v>
      </c>
      <c r="M2" s="55"/>
      <c r="N2" s="2786"/>
      <c r="O2" s="1168" t="s">
        <v>2140</v>
      </c>
      <c r="R2" s="2912"/>
      <c r="S2" s="2913">
        <f>N8</f>
        <v>10</v>
      </c>
      <c r="T2" s="2914" t="s">
        <v>5</v>
      </c>
      <c r="U2" s="2915"/>
    </row>
    <row r="3" spans="1:22">
      <c r="A3" s="111" t="s">
        <v>150</v>
      </c>
      <c r="B3" s="2506" t="s">
        <v>2188</v>
      </c>
      <c r="C3" s="1353"/>
      <c r="D3" s="1353"/>
      <c r="E3" s="1353"/>
      <c r="F3" s="109"/>
      <c r="G3" s="109" t="s">
        <v>151</v>
      </c>
      <c r="H3" s="2654"/>
      <c r="I3" s="110"/>
      <c r="J3" s="110"/>
      <c r="K3" s="130"/>
      <c r="L3" s="371" t="s">
        <v>2134</v>
      </c>
      <c r="M3" s="59"/>
      <c r="N3" s="60"/>
      <c r="O3" s="578">
        <v>150</v>
      </c>
      <c r="R3" s="2916">
        <f>P11</f>
        <v>3.0487804878048781</v>
      </c>
      <c r="S3" s="2917" t="s">
        <v>5</v>
      </c>
      <c r="T3" s="2918">
        <f>P11</f>
        <v>3.0487804878048781</v>
      </c>
      <c r="U3" s="2919" t="s">
        <v>5</v>
      </c>
    </row>
    <row r="4" spans="1:22">
      <c r="A4" s="112" t="s">
        <v>152</v>
      </c>
      <c r="B4" s="1422" t="s">
        <v>2162</v>
      </c>
      <c r="C4" s="1423"/>
      <c r="D4" s="1423"/>
      <c r="E4" s="1423"/>
      <c r="F4" s="109"/>
      <c r="G4" s="109" t="s">
        <v>153</v>
      </c>
      <c r="H4" s="2507"/>
      <c r="I4" s="109" t="s">
        <v>989</v>
      </c>
      <c r="J4" s="110"/>
      <c r="K4" s="130"/>
      <c r="R4" s="2920"/>
      <c r="S4" s="2917"/>
      <c r="T4" s="2917"/>
      <c r="U4" s="2919"/>
    </row>
    <row r="5" spans="1:22" ht="12.75" customHeight="1">
      <c r="A5" s="112" t="s">
        <v>154</v>
      </c>
      <c r="B5" s="109"/>
      <c r="C5" s="3073" t="s">
        <v>2296</v>
      </c>
      <c r="D5" s="3073"/>
      <c r="E5" s="3073"/>
      <c r="F5" s="3073"/>
      <c r="G5" s="3073"/>
      <c r="H5" s="3073"/>
      <c r="I5" s="3073"/>
      <c r="J5" s="665"/>
      <c r="K5" s="130"/>
      <c r="L5" s="2936" t="s">
        <v>2260</v>
      </c>
      <c r="M5" s="2937"/>
      <c r="N5" s="2937"/>
      <c r="O5" s="2937"/>
      <c r="P5" s="2940">
        <v>27</v>
      </c>
      <c r="Q5" s="1238" t="s">
        <v>21</v>
      </c>
      <c r="R5" s="2920"/>
      <c r="S5" s="2917"/>
      <c r="T5" s="2917"/>
      <c r="U5" s="2919"/>
    </row>
    <row r="6" spans="1:22">
      <c r="A6" s="109"/>
      <c r="B6" s="109"/>
      <c r="C6" s="3073"/>
      <c r="D6" s="3073"/>
      <c r="E6" s="3073"/>
      <c r="F6" s="3073"/>
      <c r="G6" s="3073"/>
      <c r="H6" s="3073"/>
      <c r="I6" s="3073"/>
      <c r="J6" s="665"/>
      <c r="K6" s="130"/>
      <c r="L6" s="2938" t="s">
        <v>2259</v>
      </c>
      <c r="M6" s="2939"/>
      <c r="N6" s="2939"/>
      <c r="O6" s="2939"/>
      <c r="P6" s="2908">
        <f>21*9.8</f>
        <v>205.8</v>
      </c>
      <c r="Q6" s="1244" t="s">
        <v>21</v>
      </c>
      <c r="R6" s="2926"/>
      <c r="S6" s="2917"/>
      <c r="T6" s="2917"/>
      <c r="U6" s="2919"/>
    </row>
    <row r="7" spans="1:22">
      <c r="A7" s="187" t="s">
        <v>390</v>
      </c>
      <c r="C7" s="784">
        <v>2</v>
      </c>
      <c r="G7" s="578">
        <v>3</v>
      </c>
      <c r="H7" s="101" t="s">
        <v>224</v>
      </c>
      <c r="I7" s="93"/>
      <c r="J7" s="16"/>
      <c r="K7" s="130"/>
      <c r="R7" s="2916">
        <f>P12</f>
        <v>5.4878048780487809</v>
      </c>
      <c r="S7" s="2917" t="s">
        <v>5</v>
      </c>
      <c r="T7" s="2921">
        <f>P12</f>
        <v>5.4878048780487809</v>
      </c>
      <c r="U7" s="2922" t="s">
        <v>5</v>
      </c>
    </row>
    <row r="8" spans="1:22">
      <c r="A8" s="187" t="s">
        <v>987</v>
      </c>
      <c r="C8" s="662">
        <v>1.5</v>
      </c>
      <c r="D8" s="112" t="s">
        <v>156</v>
      </c>
      <c r="E8" s="575">
        <v>1.8</v>
      </c>
      <c r="F8" s="26" t="s">
        <v>5</v>
      </c>
      <c r="G8" s="123">
        <v>1</v>
      </c>
      <c r="H8" s="1512" t="s">
        <v>225</v>
      </c>
      <c r="I8" s="58"/>
      <c r="J8" s="16"/>
      <c r="K8" s="130"/>
      <c r="L8" s="559" t="s">
        <v>2250</v>
      </c>
      <c r="M8" s="485"/>
      <c r="N8" s="2941">
        <f>C10</f>
        <v>10</v>
      </c>
      <c r="O8" s="555" t="s">
        <v>5</v>
      </c>
      <c r="P8" s="485"/>
      <c r="Q8" s="1238"/>
      <c r="R8" s="2920"/>
      <c r="S8" s="2917"/>
      <c r="T8" s="2917"/>
      <c r="U8" s="2923"/>
      <c r="V8" s="187"/>
    </row>
    <row r="9" spans="1:22">
      <c r="A9" s="187" t="s">
        <v>512</v>
      </c>
      <c r="B9" s="26"/>
      <c r="C9" s="2233">
        <v>15.4</v>
      </c>
      <c r="D9" s="26" t="s">
        <v>46</v>
      </c>
      <c r="G9" s="123">
        <v>2</v>
      </c>
      <c r="H9" s="1512" t="s">
        <v>226</v>
      </c>
      <c r="I9" s="58"/>
      <c r="J9" s="16"/>
      <c r="K9" s="130"/>
      <c r="L9" s="560" t="s">
        <v>2251</v>
      </c>
      <c r="M9" s="386"/>
      <c r="N9" s="785">
        <f>DATA!D24</f>
        <v>5.25</v>
      </c>
      <c r="O9" s="385" t="s">
        <v>5</v>
      </c>
      <c r="P9" s="386"/>
      <c r="Q9" s="1239"/>
      <c r="R9" s="2920"/>
      <c r="S9" s="2917"/>
      <c r="T9" s="2917"/>
      <c r="U9" s="2923"/>
    </row>
    <row r="10" spans="1:22">
      <c r="A10" s="187" t="s">
        <v>1909</v>
      </c>
      <c r="B10" s="26"/>
      <c r="C10" s="2233">
        <v>10</v>
      </c>
      <c r="D10" s="26" t="s">
        <v>5</v>
      </c>
      <c r="G10" s="104">
        <v>3</v>
      </c>
      <c r="H10" s="148" t="s">
        <v>1496</v>
      </c>
      <c r="I10" s="60"/>
      <c r="J10" s="16"/>
      <c r="K10" s="130"/>
      <c r="L10" s="560" t="s">
        <v>2252</v>
      </c>
      <c r="M10" s="386"/>
      <c r="N10" s="386">
        <f>N8*N9</f>
        <v>52.5</v>
      </c>
      <c r="O10" s="385" t="s">
        <v>871</v>
      </c>
      <c r="P10" s="386"/>
      <c r="Q10" s="1239"/>
      <c r="R10" s="2920"/>
      <c r="S10" s="2917"/>
      <c r="T10" s="2917"/>
      <c r="U10" s="2919"/>
    </row>
    <row r="11" spans="1:22">
      <c r="A11" s="187" t="s">
        <v>383</v>
      </c>
      <c r="B11" s="132"/>
      <c r="C11" s="2234">
        <v>3</v>
      </c>
      <c r="D11" s="226" t="s">
        <v>385</v>
      </c>
      <c r="G11" s="1726"/>
      <c r="H11" s="1048"/>
      <c r="I11" s="16"/>
      <c r="J11" s="16"/>
      <c r="K11" s="130"/>
      <c r="L11" s="560" t="s">
        <v>2256</v>
      </c>
      <c r="M11" s="386"/>
      <c r="N11" s="386"/>
      <c r="O11" s="386"/>
      <c r="P11" s="785">
        <f>10/3.28</f>
        <v>3.0487804878048781</v>
      </c>
      <c r="Q11" s="277" t="s">
        <v>5</v>
      </c>
      <c r="R11" s="2920"/>
      <c r="S11" s="2917"/>
      <c r="T11" s="2917"/>
      <c r="U11" s="2923">
        <f>N9</f>
        <v>5.25</v>
      </c>
    </row>
    <row r="12" spans="1:22">
      <c r="A12" s="187" t="s">
        <v>384</v>
      </c>
      <c r="B12" s="113"/>
      <c r="C12" s="2234">
        <v>3</v>
      </c>
      <c r="D12" s="226" t="s">
        <v>386</v>
      </c>
      <c r="K12" s="130"/>
      <c r="L12" s="560" t="s">
        <v>2257</v>
      </c>
      <c r="M12" s="386"/>
      <c r="N12" s="386"/>
      <c r="O12" s="386"/>
      <c r="P12" s="785">
        <f>(2+14+2)/3.28</f>
        <v>5.4878048780487809</v>
      </c>
      <c r="Q12" s="277" t="s">
        <v>2180</v>
      </c>
      <c r="R12" s="2916">
        <f>P11</f>
        <v>3.0487804878048781</v>
      </c>
      <c r="S12" s="2917" t="s">
        <v>5</v>
      </c>
      <c r="T12" s="2918">
        <f>P11</f>
        <v>3.0487804878048781</v>
      </c>
      <c r="U12" s="2922" t="s">
        <v>5</v>
      </c>
    </row>
    <row r="13" spans="1:22">
      <c r="A13" s="187" t="s">
        <v>1371</v>
      </c>
      <c r="C13" s="2233">
        <v>10</v>
      </c>
      <c r="D13" s="26" t="s">
        <v>46</v>
      </c>
      <c r="G13" s="578">
        <v>2</v>
      </c>
      <c r="H13" s="101" t="s">
        <v>1017</v>
      </c>
      <c r="I13" s="102"/>
      <c r="J13" s="93"/>
      <c r="K13" s="130"/>
      <c r="L13" s="560" t="s">
        <v>2254</v>
      </c>
      <c r="M13" s="386"/>
      <c r="N13" s="386"/>
      <c r="O13" s="386"/>
      <c r="P13" s="1132">
        <f>IF(N8/P11&gt;2,2,1)</f>
        <v>2</v>
      </c>
      <c r="Q13" s="277" t="s">
        <v>2258</v>
      </c>
      <c r="R13" s="2920"/>
      <c r="S13" s="2917"/>
      <c r="T13" s="2917"/>
      <c r="U13" s="2923"/>
    </row>
    <row r="14" spans="1:22">
      <c r="A14" s="187" t="s">
        <v>1372</v>
      </c>
      <c r="C14" s="2233">
        <v>10</v>
      </c>
      <c r="D14" s="26" t="s">
        <v>46</v>
      </c>
      <c r="G14" s="381">
        <v>1</v>
      </c>
      <c r="H14" s="423" t="s">
        <v>2143</v>
      </c>
      <c r="I14" s="55"/>
      <c r="J14" s="2870"/>
      <c r="K14" s="130"/>
      <c r="L14" s="560" t="s">
        <v>2255</v>
      </c>
      <c r="M14" s="1872"/>
      <c r="N14" s="1872"/>
      <c r="O14" s="386"/>
      <c r="P14" s="1132">
        <f>IF(N9/P12&gt;2,2,1)</f>
        <v>1</v>
      </c>
      <c r="Q14" s="277" t="s">
        <v>2258</v>
      </c>
      <c r="R14" s="2920"/>
      <c r="S14" s="2917"/>
      <c r="T14" s="2917"/>
      <c r="U14" s="2919"/>
    </row>
    <row r="15" spans="1:22">
      <c r="A15" s="187" t="s">
        <v>2021</v>
      </c>
      <c r="C15" s="577">
        <v>10</v>
      </c>
      <c r="D15" s="26" t="s">
        <v>46</v>
      </c>
      <c r="G15" s="3077">
        <v>2</v>
      </c>
      <c r="H15" s="2891" t="s">
        <v>1019</v>
      </c>
      <c r="I15" s="2891"/>
      <c r="J15" s="2894"/>
      <c r="K15" s="130"/>
      <c r="L15" s="2930" t="s">
        <v>2253</v>
      </c>
      <c r="M15" s="695"/>
      <c r="N15" s="695"/>
      <c r="O15" s="695"/>
      <c r="P15" s="2928">
        <v>2</v>
      </c>
      <c r="Q15" s="2931" t="s">
        <v>2218</v>
      </c>
      <c r="R15" s="2920"/>
      <c r="S15" s="2917"/>
      <c r="T15" s="2917"/>
      <c r="U15" s="2919"/>
    </row>
    <row r="16" spans="1:22">
      <c r="A16" s="187" t="s">
        <v>1908</v>
      </c>
      <c r="B16" s="26"/>
      <c r="C16" s="3038">
        <f>C9-IF(D22="y",0.3,1.5)</f>
        <v>13.9</v>
      </c>
      <c r="D16" s="26" t="s">
        <v>46</v>
      </c>
      <c r="E16" s="187" t="s">
        <v>2295</v>
      </c>
      <c r="G16" s="3078"/>
      <c r="H16" s="2892" t="s">
        <v>2214</v>
      </c>
      <c r="I16" s="2893"/>
      <c r="J16" s="2753" t="s">
        <v>1361</v>
      </c>
      <c r="K16" s="130"/>
      <c r="L16" s="2932" t="s">
        <v>2219</v>
      </c>
      <c r="M16" s="2933"/>
      <c r="N16" s="2933"/>
      <c r="O16" s="2934"/>
      <c r="P16" s="2929" t="s">
        <v>1361</v>
      </c>
      <c r="Q16" s="2935"/>
      <c r="R16" s="2926">
        <f>P12</f>
        <v>5.4878048780487809</v>
      </c>
      <c r="S16" s="2917" t="s">
        <v>5</v>
      </c>
      <c r="T16" s="2921">
        <f>P12</f>
        <v>5.4878048780487809</v>
      </c>
      <c r="U16" s="2919" t="s">
        <v>5</v>
      </c>
    </row>
    <row r="17" spans="1:21">
      <c r="K17" s="130"/>
      <c r="L17" s="112"/>
      <c r="M17" s="112"/>
      <c r="N17" s="112"/>
      <c r="R17" s="2920"/>
      <c r="S17" s="2917"/>
      <c r="T17" s="2917"/>
      <c r="U17" s="2919"/>
    </row>
    <row r="18" spans="1:21" ht="14.25">
      <c r="A18" s="187" t="s">
        <v>1136</v>
      </c>
      <c r="B18" s="26"/>
      <c r="C18" s="509">
        <v>9.81</v>
      </c>
      <c r="D18" s="26" t="s">
        <v>190</v>
      </c>
      <c r="F18" t="s">
        <v>1373</v>
      </c>
      <c r="I18" s="575">
        <v>13.1</v>
      </c>
      <c r="J18" s="78" t="s">
        <v>500</v>
      </c>
      <c r="K18" s="130"/>
      <c r="L18" s="2909" t="s">
        <v>279</v>
      </c>
      <c r="M18" s="2910"/>
      <c r="N18" s="2910"/>
      <c r="O18" s="93"/>
      <c r="R18" s="2943" t="s">
        <v>2262</v>
      </c>
      <c r="S18" s="2917"/>
      <c r="T18" s="2917"/>
      <c r="U18" s="2919"/>
    </row>
    <row r="19" spans="1:21">
      <c r="A19" s="26" t="s">
        <v>248</v>
      </c>
      <c r="C19" s="509">
        <v>23.6</v>
      </c>
      <c r="D19" s="26" t="s">
        <v>250</v>
      </c>
      <c r="F19" t="s">
        <v>1374</v>
      </c>
      <c r="I19" s="575">
        <v>13.1</v>
      </c>
      <c r="J19" s="78" t="s">
        <v>500</v>
      </c>
      <c r="K19" s="130"/>
      <c r="L19" s="2901" t="s">
        <v>280</v>
      </c>
      <c r="M19" s="2902"/>
      <c r="N19" s="2903"/>
      <c r="O19" s="2900"/>
      <c r="R19" s="2920"/>
      <c r="S19" s="2917"/>
      <c r="T19" s="2917"/>
      <c r="U19" s="2919"/>
    </row>
    <row r="20" spans="1:21">
      <c r="A20" s="26" t="s">
        <v>249</v>
      </c>
      <c r="C20" s="509">
        <v>9.81</v>
      </c>
      <c r="D20" s="26" t="s">
        <v>250</v>
      </c>
      <c r="F20" s="187" t="s">
        <v>906</v>
      </c>
      <c r="I20" s="509">
        <v>2</v>
      </c>
      <c r="J20" s="226" t="s">
        <v>385</v>
      </c>
      <c r="K20" s="130"/>
      <c r="L20" s="2904" t="s">
        <v>281</v>
      </c>
      <c r="M20" s="1872"/>
      <c r="N20" s="1872"/>
      <c r="O20" s="2905"/>
      <c r="R20" s="2924"/>
      <c r="S20" s="3048" t="s">
        <v>580</v>
      </c>
      <c r="T20" s="3048"/>
      <c r="U20" s="2925"/>
    </row>
    <row r="21" spans="1:21" ht="15.75">
      <c r="A21" s="26"/>
      <c r="C21" s="2989"/>
      <c r="D21" s="26"/>
      <c r="F21" s="26" t="s">
        <v>207</v>
      </c>
      <c r="G21" s="26"/>
      <c r="I21" s="142">
        <v>5.1999999999999998E-2</v>
      </c>
      <c r="J21" s="26" t="s">
        <v>98</v>
      </c>
      <c r="K21" s="130"/>
      <c r="L21" s="2906" t="s">
        <v>282</v>
      </c>
      <c r="M21" s="59"/>
      <c r="N21" s="59"/>
      <c r="O21" s="2907"/>
    </row>
    <row r="22" spans="1:21">
      <c r="A22" s="207" t="s">
        <v>2294</v>
      </c>
      <c r="B22" s="126"/>
      <c r="C22" s="126"/>
      <c r="D22" s="2996" t="s">
        <v>2140</v>
      </c>
      <c r="K22" s="130"/>
    </row>
    <row r="23" spans="1:21">
      <c r="K23" s="130"/>
    </row>
    <row r="24" spans="1:21">
      <c r="A24" s="392" t="s">
        <v>897</v>
      </c>
      <c r="B24" s="174"/>
      <c r="C24" s="174"/>
      <c r="K24" s="130"/>
    </row>
    <row r="25" spans="1:21">
      <c r="K25" s="130"/>
    </row>
    <row r="26" spans="1:21">
      <c r="A26" s="26" t="s">
        <v>147</v>
      </c>
      <c r="B26" s="26"/>
      <c r="D26" s="576">
        <v>7</v>
      </c>
      <c r="E26" s="26" t="s">
        <v>46</v>
      </c>
      <c r="H26" s="2146">
        <f>I33+G33</f>
        <v>1.2</v>
      </c>
      <c r="K26" s="130"/>
      <c r="P26" s="2146"/>
    </row>
    <row r="27" spans="1:21">
      <c r="A27" s="187" t="s">
        <v>1970</v>
      </c>
      <c r="D27" s="509">
        <v>0</v>
      </c>
      <c r="E27" s="26" t="s">
        <v>5</v>
      </c>
      <c r="K27" s="130"/>
    </row>
    <row r="28" spans="1:21">
      <c r="A28" s="187" t="s">
        <v>988</v>
      </c>
      <c r="D28" s="509">
        <v>0.45</v>
      </c>
      <c r="E28" s="187" t="s">
        <v>5</v>
      </c>
      <c r="J28" s="3050">
        <v>0.3</v>
      </c>
      <c r="K28" s="130"/>
      <c r="Q28" s="187"/>
      <c r="R28" s="187"/>
      <c r="S28" s="187"/>
      <c r="T28" s="2911"/>
      <c r="U28" s="187"/>
    </row>
    <row r="29" spans="1:21">
      <c r="A29" s="20" t="s">
        <v>204</v>
      </c>
      <c r="B29" s="17"/>
      <c r="D29" s="113">
        <f>C7-1</f>
        <v>1</v>
      </c>
      <c r="E29" s="187"/>
      <c r="G29" s="2">
        <v>1</v>
      </c>
      <c r="J29" s="3050"/>
      <c r="K29" s="130"/>
      <c r="Q29" s="2911"/>
      <c r="R29" s="187"/>
      <c r="S29" s="187"/>
      <c r="T29" s="187"/>
      <c r="U29" s="187"/>
    </row>
    <row r="30" spans="1:21">
      <c r="A30" s="187" t="s">
        <v>1137</v>
      </c>
      <c r="D30" s="577">
        <v>0.45</v>
      </c>
      <c r="E30" s="187" t="s">
        <v>5</v>
      </c>
      <c r="G30" s="2156">
        <v>1</v>
      </c>
      <c r="K30" s="130"/>
      <c r="Q30" s="2147"/>
    </row>
    <row r="31" spans="1:21">
      <c r="H31" s="2">
        <f>D28</f>
        <v>0.45</v>
      </c>
      <c r="I31" s="2">
        <f>D28</f>
        <v>0.45</v>
      </c>
      <c r="K31" s="130"/>
      <c r="Q31" s="2147"/>
    </row>
    <row r="32" spans="1:21">
      <c r="A32" s="41" t="s">
        <v>898</v>
      </c>
      <c r="E32" s="133"/>
      <c r="K32" s="130"/>
    </row>
    <row r="33" spans="1:21">
      <c r="A33" s="187" t="s">
        <v>1495</v>
      </c>
      <c r="D33" s="575">
        <f>C9</f>
        <v>15.4</v>
      </c>
      <c r="E33" s="187" t="s">
        <v>5</v>
      </c>
      <c r="G33" s="33">
        <f>J28*G30</f>
        <v>0.3</v>
      </c>
      <c r="I33" s="36">
        <f>H31+I31</f>
        <v>0.9</v>
      </c>
      <c r="K33" s="130"/>
    </row>
    <row r="34" spans="1:21" ht="15">
      <c r="A34" s="187" t="s">
        <v>908</v>
      </c>
      <c r="B34" s="17"/>
      <c r="D34" s="575">
        <v>1.5</v>
      </c>
      <c r="E34" s="187" t="s">
        <v>5</v>
      </c>
      <c r="K34" s="130"/>
      <c r="N34" s="33"/>
      <c r="P34" s="340"/>
    </row>
    <row r="35" spans="1:21" ht="15">
      <c r="A35" s="187" t="s">
        <v>1493</v>
      </c>
      <c r="B35" s="17"/>
      <c r="D35" s="575">
        <f>(C9-D33)*C11</f>
        <v>0</v>
      </c>
      <c r="E35" s="187" t="s">
        <v>5</v>
      </c>
      <c r="F35" s="753" t="s">
        <v>778</v>
      </c>
      <c r="G35" s="753"/>
      <c r="H35" s="753"/>
      <c r="I35" s="754">
        <f>DATA!D31</f>
        <v>0.75</v>
      </c>
      <c r="J35" s="753" t="s">
        <v>5</v>
      </c>
      <c r="K35" s="130"/>
      <c r="N35" s="337"/>
      <c r="O35" s="337"/>
      <c r="Q35" s="337"/>
    </row>
    <row r="36" spans="1:21" ht="15">
      <c r="A36" t="s">
        <v>899</v>
      </c>
      <c r="D36" s="575">
        <v>0.3</v>
      </c>
      <c r="E36" s="187" t="s">
        <v>5</v>
      </c>
      <c r="F36" s="753" t="s">
        <v>1978</v>
      </c>
      <c r="G36" s="753"/>
      <c r="H36" s="753"/>
      <c r="I36" s="754">
        <f>DATA!H28</f>
        <v>1.5</v>
      </c>
      <c r="J36" s="753" t="s">
        <v>387</v>
      </c>
      <c r="K36" s="130"/>
      <c r="L36" s="112"/>
      <c r="N36" s="337"/>
      <c r="O36" s="793"/>
      <c r="P36" s="338"/>
    </row>
    <row r="37" spans="1:21" ht="15">
      <c r="A37" t="s">
        <v>900</v>
      </c>
      <c r="D37" s="575">
        <v>0.3</v>
      </c>
      <c r="E37" s="187" t="s">
        <v>5</v>
      </c>
      <c r="F37" s="753" t="s">
        <v>1530</v>
      </c>
      <c r="G37" s="753"/>
      <c r="H37" s="753"/>
      <c r="I37" s="756">
        <f>DATA!H32</f>
        <v>3.75</v>
      </c>
      <c r="J37" s="753" t="s">
        <v>5</v>
      </c>
      <c r="K37" s="130"/>
      <c r="N37" s="337"/>
      <c r="O37" s="337"/>
      <c r="P37" s="338"/>
      <c r="Q37" s="84"/>
    </row>
    <row r="38" spans="1:21">
      <c r="A38" s="187" t="s">
        <v>909</v>
      </c>
      <c r="D38" s="575">
        <v>1.5</v>
      </c>
      <c r="E38" s="187" t="s">
        <v>5</v>
      </c>
      <c r="F38" s="2414" t="s">
        <v>782</v>
      </c>
      <c r="G38" s="2414"/>
      <c r="H38" s="2414"/>
      <c r="I38" s="2415">
        <f>DATA!D38</f>
        <v>0.75</v>
      </c>
      <c r="J38" s="2414" t="s">
        <v>5</v>
      </c>
      <c r="K38" s="130"/>
    </row>
    <row r="39" spans="1:21">
      <c r="A39" s="187" t="s">
        <v>1494</v>
      </c>
      <c r="D39" s="575">
        <f>(C9-D33)*C12</f>
        <v>0</v>
      </c>
      <c r="E39" s="187" t="s">
        <v>5</v>
      </c>
      <c r="F39" s="2414" t="s">
        <v>1976</v>
      </c>
      <c r="G39" s="2414"/>
      <c r="H39" s="2414"/>
      <c r="I39" s="2415">
        <f>DATA!H36</f>
        <v>1.5</v>
      </c>
      <c r="J39" s="2414" t="s">
        <v>387</v>
      </c>
      <c r="K39" s="130"/>
    </row>
    <row r="40" spans="1:21">
      <c r="A40" s="187" t="s">
        <v>901</v>
      </c>
      <c r="B40" s="26"/>
      <c r="C40" s="15"/>
      <c r="D40" s="80">
        <f>SUM(D34:D39)+C10</f>
        <v>13.6</v>
      </c>
      <c r="E40" s="26" t="s">
        <v>5</v>
      </c>
      <c r="F40" s="2414" t="s">
        <v>1977</v>
      </c>
      <c r="G40" s="2414"/>
      <c r="H40" s="2414"/>
      <c r="I40" s="2416">
        <f>DATA!H39</f>
        <v>3.75</v>
      </c>
      <c r="J40" s="2414" t="s">
        <v>5</v>
      </c>
      <c r="K40" s="130"/>
      <c r="L40" s="172" t="s">
        <v>1671</v>
      </c>
      <c r="M40" s="837"/>
      <c r="N40" s="837"/>
      <c r="O40" s="845"/>
      <c r="P40" s="837"/>
    </row>
    <row r="41" spans="1:21">
      <c r="K41" s="130"/>
      <c r="L41" s="753" t="s">
        <v>1673</v>
      </c>
      <c r="M41" s="837"/>
      <c r="N41" s="837"/>
      <c r="O41" s="845">
        <f>G458</f>
        <v>0.79867632407400613</v>
      </c>
      <c r="P41" s="837" t="s">
        <v>206</v>
      </c>
    </row>
    <row r="42" spans="1:21">
      <c r="A42" s="41" t="s">
        <v>902</v>
      </c>
      <c r="B42" s="46"/>
      <c r="C42" s="46"/>
      <c r="D42" s="112"/>
      <c r="E42" s="46"/>
      <c r="F42" s="41" t="s">
        <v>1135</v>
      </c>
      <c r="J42" s="109"/>
      <c r="K42" s="130"/>
    </row>
    <row r="43" spans="1:21">
      <c r="A43" s="187" t="s">
        <v>388</v>
      </c>
      <c r="B43" s="26"/>
      <c r="D43" s="131">
        <f>D26-D44</f>
        <v>6.1</v>
      </c>
      <c r="E43" s="26" t="s">
        <v>46</v>
      </c>
      <c r="F43" s="187" t="s">
        <v>389</v>
      </c>
      <c r="G43" s="26"/>
      <c r="I43" s="131">
        <f>D26-D27-I44</f>
        <v>6.1</v>
      </c>
      <c r="J43" s="26" t="s">
        <v>46</v>
      </c>
      <c r="K43" s="130"/>
      <c r="L43" s="1895" t="s">
        <v>2169</v>
      </c>
      <c r="M43" s="1895"/>
    </row>
    <row r="44" spans="1:21">
      <c r="A44" s="187" t="s">
        <v>910</v>
      </c>
      <c r="D44" s="577">
        <f>I44</f>
        <v>0.9</v>
      </c>
      <c r="E44" s="26" t="s">
        <v>5</v>
      </c>
      <c r="F44" s="187" t="s">
        <v>911</v>
      </c>
      <c r="H44" s="33"/>
      <c r="I44" s="577">
        <v>0.9</v>
      </c>
      <c r="J44" s="26" t="s">
        <v>5</v>
      </c>
      <c r="K44" s="130"/>
      <c r="L44" s="753" t="s">
        <v>2168</v>
      </c>
      <c r="M44" s="753"/>
      <c r="N44" s="753"/>
      <c r="O44" s="753"/>
      <c r="P44" s="2811">
        <f>(D33-I54)*I47-D37-D38-I46+I56+1</f>
        <v>13.900000000000002</v>
      </c>
      <c r="Q44" s="753" t="s">
        <v>2166</v>
      </c>
      <c r="R44" s="753"/>
    </row>
    <row r="45" spans="1:21">
      <c r="A45" s="187" t="s">
        <v>1856</v>
      </c>
      <c r="D45" s="509">
        <v>3</v>
      </c>
      <c r="F45" s="187" t="s">
        <v>1857</v>
      </c>
      <c r="I45" s="509">
        <v>3</v>
      </c>
      <c r="K45" s="130"/>
      <c r="L45" s="753" t="s">
        <v>1674</v>
      </c>
      <c r="M45" s="753"/>
      <c r="N45" s="753"/>
      <c r="O45" s="753"/>
      <c r="P45" s="845">
        <f>H458</f>
        <v>15.253829123011526</v>
      </c>
      <c r="Q45" s="837" t="str">
        <f>IF(D463&lt;=I48,"&lt; "&amp;FIXED(E476,2)&amp;",  ok","m &gt; "&amp;FIXED(E476,2)&amp;",   Not ok, [ Adjust the Input Data ] ")</f>
        <v>&lt; 16.20,  ok</v>
      </c>
      <c r="R45" s="1795"/>
      <c r="S45" s="1795"/>
      <c r="T45" s="1795"/>
      <c r="U45" s="1795"/>
    </row>
    <row r="46" spans="1:21">
      <c r="A46" s="187" t="s">
        <v>903</v>
      </c>
      <c r="D46" s="33">
        <f>D44*D45</f>
        <v>2.7</v>
      </c>
      <c r="E46" s="26" t="s">
        <v>5</v>
      </c>
      <c r="F46" s="187" t="s">
        <v>903</v>
      </c>
      <c r="H46" s="33"/>
      <c r="I46" s="33">
        <f>I44*I45</f>
        <v>2.7</v>
      </c>
      <c r="J46" s="26" t="s">
        <v>5</v>
      </c>
      <c r="K46" s="130"/>
      <c r="L46" s="753" t="s">
        <v>1672</v>
      </c>
      <c r="M46" s="753"/>
      <c r="N46" s="753"/>
      <c r="O46" s="753"/>
      <c r="P46" s="845">
        <f>I43+E458</f>
        <v>9.5667793461389827</v>
      </c>
      <c r="Q46" s="753" t="s">
        <v>46</v>
      </c>
    </row>
    <row r="47" spans="1:21">
      <c r="A47" s="30" t="s">
        <v>1858</v>
      </c>
      <c r="D47" s="2155">
        <v>3</v>
      </c>
      <c r="E47" s="26"/>
      <c r="F47" s="30" t="s">
        <v>1858</v>
      </c>
      <c r="H47" s="33"/>
      <c r="I47" s="2155">
        <v>3</v>
      </c>
      <c r="J47" s="26"/>
      <c r="K47" s="130"/>
      <c r="L47" s="753" t="s">
        <v>2249</v>
      </c>
      <c r="M47" s="2898" t="str">
        <f>H779</f>
        <v>&lt;1/6, Ok</v>
      </c>
      <c r="N47" s="2897" t="str">
        <f>I789</f>
        <v>&lt;1/6, ok</v>
      </c>
      <c r="O47" s="2899" t="str">
        <f>I844</f>
        <v>&lt;1/6, Ok</v>
      </c>
    </row>
    <row r="48" spans="1:21">
      <c r="A48" s="109" t="s">
        <v>860</v>
      </c>
      <c r="B48" s="46"/>
      <c r="D48" s="2813">
        <f>IF(P55="",I48,MAX(IF(G7=1,ROUND(I48*2/3,2),D647),P52))</f>
        <v>16.2</v>
      </c>
      <c r="E48" s="112" t="s">
        <v>5</v>
      </c>
      <c r="F48" s="109" t="s">
        <v>860</v>
      </c>
      <c r="I48" s="576">
        <f>15+1.2</f>
        <v>16.2</v>
      </c>
      <c r="J48" s="26" t="str">
        <f>IF(I48&gt;D463,"m,  ok","m, not ok")</f>
        <v>m,  ok</v>
      </c>
      <c r="K48" s="130"/>
    </row>
    <row r="49" spans="1:18">
      <c r="A49" s="187" t="s">
        <v>905</v>
      </c>
      <c r="D49" s="33">
        <f>D46+D48</f>
        <v>18.899999999999999</v>
      </c>
      <c r="E49" s="26" t="s">
        <v>5</v>
      </c>
      <c r="F49" s="187" t="s">
        <v>907</v>
      </c>
      <c r="I49" s="33">
        <f>I46+I48</f>
        <v>18.899999999999999</v>
      </c>
      <c r="J49" s="187" t="s">
        <v>5</v>
      </c>
      <c r="K49" s="130"/>
    </row>
    <row r="50" spans="1:18">
      <c r="K50" s="130"/>
      <c r="L50" s="1895" t="s">
        <v>2163</v>
      </c>
      <c r="M50" s="1895"/>
    </row>
    <row r="51" spans="1:18">
      <c r="A51" s="2149" t="str">
        <f>"Total Floor length = "&amp;FIXED(D49,2)&amp;" + "&amp;FIXED(D40,2)&amp;" + "&amp;FIXED(I49,2)&amp;" ="</f>
        <v>Total Floor length = 18.90 + 13.60 + 18.90 =</v>
      </c>
      <c r="B51" s="2150"/>
      <c r="C51" s="2150"/>
      <c r="D51" s="2150"/>
      <c r="E51" s="2150"/>
      <c r="F51" s="2151">
        <f>D40+D49+I49</f>
        <v>51.4</v>
      </c>
      <c r="G51" s="2150" t="s">
        <v>5</v>
      </c>
      <c r="K51" s="130"/>
      <c r="L51" s="753" t="s">
        <v>2164</v>
      </c>
      <c r="M51" s="753"/>
      <c r="N51" s="753"/>
      <c r="O51" s="753"/>
      <c r="P51" s="2811">
        <f>I48*2/3</f>
        <v>10.799999999999999</v>
      </c>
      <c r="Q51" s="753" t="s">
        <v>5</v>
      </c>
    </row>
    <row r="52" spans="1:18">
      <c r="K52" s="130"/>
      <c r="L52" s="753" t="s">
        <v>2170</v>
      </c>
      <c r="M52" s="753"/>
      <c r="N52" s="753"/>
      <c r="O52" s="753"/>
      <c r="P52" s="2811">
        <f>(D33-D54)*D47-D34-D36-D46+D56+1</f>
        <v>13.900000000000002</v>
      </c>
      <c r="Q52" s="753" t="s">
        <v>2166</v>
      </c>
      <c r="R52" s="753"/>
    </row>
    <row r="53" spans="1:18">
      <c r="A53" s="41" t="s">
        <v>2141</v>
      </c>
      <c r="B53" s="46"/>
      <c r="C53" s="46"/>
      <c r="D53" s="112"/>
      <c r="E53" s="46"/>
      <c r="F53" s="41" t="s">
        <v>2142</v>
      </c>
      <c r="K53" s="130"/>
      <c r="L53" s="753" t="s">
        <v>2165</v>
      </c>
      <c r="M53" s="753"/>
      <c r="N53" s="753"/>
      <c r="O53" s="753"/>
      <c r="P53" s="33">
        <f>D647</f>
        <v>15.25382912301122</v>
      </c>
      <c r="Q53" s="753" t="s">
        <v>5</v>
      </c>
    </row>
    <row r="54" spans="1:18">
      <c r="A54" s="187" t="s">
        <v>1134</v>
      </c>
      <c r="B54" s="46"/>
      <c r="D54" s="577">
        <f>C13</f>
        <v>10</v>
      </c>
      <c r="E54" s="26" t="s">
        <v>46</v>
      </c>
      <c r="F54" s="187" t="s">
        <v>1134</v>
      </c>
      <c r="G54" s="26"/>
      <c r="I54" s="577">
        <f>C14</f>
        <v>10</v>
      </c>
      <c r="J54" s="26" t="s">
        <v>46</v>
      </c>
      <c r="K54" s="130"/>
      <c r="L54" s="753" t="s">
        <v>2171</v>
      </c>
      <c r="M54" s="753"/>
      <c r="N54" s="753"/>
      <c r="O54" s="753"/>
      <c r="P54" s="33">
        <f>+I48</f>
        <v>16.2</v>
      </c>
      <c r="Q54" s="753" t="s">
        <v>5</v>
      </c>
    </row>
    <row r="55" spans="1:18">
      <c r="A55" s="187" t="s">
        <v>904</v>
      </c>
      <c r="D55" s="115">
        <f>MAX(((D54-D43)*I20+E735*2/1000),F723)</f>
        <v>8.4</v>
      </c>
      <c r="E55" s="26" t="s">
        <v>5</v>
      </c>
      <c r="F55" s="187" t="s">
        <v>904</v>
      </c>
      <c r="I55" s="115">
        <f>MAX(((I54-I43)*I20+E735*2/1000),F708)</f>
        <v>8.4</v>
      </c>
      <c r="J55" s="187" t="s">
        <v>5</v>
      </c>
      <c r="K55" s="130"/>
      <c r="L55" s="753" t="s">
        <v>2167</v>
      </c>
      <c r="M55" s="753"/>
      <c r="N55" s="753"/>
      <c r="O55" s="753"/>
      <c r="P55" s="2812"/>
      <c r="Q55" s="753" t="s">
        <v>5</v>
      </c>
    </row>
    <row r="56" spans="1:18">
      <c r="A56" s="187" t="s">
        <v>923</v>
      </c>
      <c r="D56" s="577">
        <f>'CS R Wall'!F46/1000</f>
        <v>1.2</v>
      </c>
      <c r="E56" s="26" t="s">
        <v>5</v>
      </c>
      <c r="F56" s="187" t="s">
        <v>923</v>
      </c>
      <c r="I56" s="577">
        <f>'RS R wall'!F46/1000</f>
        <v>1.2</v>
      </c>
      <c r="J56" s="26" t="s">
        <v>5</v>
      </c>
      <c r="K56" s="130"/>
      <c r="L56" s="753" t="s">
        <v>2249</v>
      </c>
      <c r="M56" s="2898" t="str">
        <f>H769</f>
        <v>&lt;1/6, Ok</v>
      </c>
      <c r="N56" s="2897" t="str">
        <f>I789</f>
        <v>&lt;1/6, ok</v>
      </c>
      <c r="O56" s="2899" t="str">
        <f>I828</f>
        <v>&lt;1/6, Ok</v>
      </c>
    </row>
    <row r="57" spans="1:18">
      <c r="K57" s="130"/>
    </row>
    <row r="58" spans="1:18">
      <c r="B58" s="33">
        <f>D49</f>
        <v>18.899999999999999</v>
      </c>
      <c r="C58" t="s">
        <v>5</v>
      </c>
      <c r="E58" s="33">
        <f>D40</f>
        <v>13.6</v>
      </c>
      <c r="F58" t="s">
        <v>5</v>
      </c>
      <c r="G58" s="33">
        <f>I49</f>
        <v>18.899999999999999</v>
      </c>
      <c r="H58" t="s">
        <v>5</v>
      </c>
      <c r="K58" s="130"/>
    </row>
    <row r="59" spans="1:18">
      <c r="B59" s="33"/>
      <c r="E59" s="33"/>
      <c r="G59" s="33"/>
      <c r="K59" s="130"/>
    </row>
    <row r="60" spans="1:18">
      <c r="B60" s="33"/>
      <c r="E60" s="33"/>
      <c r="G60" s="33"/>
      <c r="K60" s="130"/>
      <c r="L60" s="109"/>
      <c r="M60" s="109"/>
      <c r="N60" s="109"/>
      <c r="O60" s="109"/>
      <c r="P60" s="109"/>
    </row>
    <row r="61" spans="1:18">
      <c r="K61" s="130"/>
    </row>
    <row r="62" spans="1:18">
      <c r="A62" s="2805">
        <f>D55</f>
        <v>8.4</v>
      </c>
      <c r="J62" s="85">
        <f>I55</f>
        <v>8.4</v>
      </c>
      <c r="K62" s="130"/>
      <c r="O62" s="33"/>
    </row>
    <row r="63" spans="1:18">
      <c r="A63" s="2"/>
      <c r="K63" s="130"/>
    </row>
    <row r="64" spans="1:18">
      <c r="A64" s="2"/>
      <c r="K64" s="130"/>
    </row>
    <row r="65" spans="1:11">
      <c r="A65" s="223">
        <f>ROUND(DATA!H39+2*(D49-D56)*TAN(RADIANS(I18)),1)</f>
        <v>12</v>
      </c>
      <c r="C65" s="113" t="s">
        <v>22</v>
      </c>
      <c r="H65" s="187" t="s">
        <v>23</v>
      </c>
      <c r="K65" s="130"/>
    </row>
    <row r="66" spans="1:11">
      <c r="A66" s="2"/>
      <c r="J66" s="36">
        <f>ROUND(DATA!H32+2*(I49-I72)*TAN(RADIANS(I19)),1)</f>
        <v>12</v>
      </c>
      <c r="K66" s="130"/>
    </row>
    <row r="67" spans="1:11">
      <c r="A67" s="2"/>
      <c r="J67" s="23"/>
      <c r="K67" s="130"/>
    </row>
    <row r="68" spans="1:11">
      <c r="A68" s="2"/>
      <c r="J68" s="23"/>
      <c r="K68" s="130"/>
    </row>
    <row r="69" spans="1:11">
      <c r="A69" s="2805">
        <f>D55</f>
        <v>8.4</v>
      </c>
      <c r="J69" s="245">
        <f>I55</f>
        <v>8.4</v>
      </c>
      <c r="K69" s="130"/>
    </row>
    <row r="70" spans="1:11">
      <c r="G70" s="36"/>
      <c r="K70" s="130"/>
    </row>
    <row r="71" spans="1:11">
      <c r="B71" s="36">
        <f>D56</f>
        <v>1.2</v>
      </c>
      <c r="D71" s="54">
        <f>D46</f>
        <v>2.7</v>
      </c>
      <c r="F71" s="54">
        <f>I46</f>
        <v>2.7</v>
      </c>
      <c r="K71" s="130"/>
    </row>
    <row r="72" spans="1:11">
      <c r="G72" s="54">
        <f>G74-I72</f>
        <v>15</v>
      </c>
      <c r="I72" s="36">
        <f>I56</f>
        <v>1.2</v>
      </c>
      <c r="K72" s="130"/>
    </row>
    <row r="73" spans="1:11">
      <c r="C73" s="10">
        <f>D48</f>
        <v>16.2</v>
      </c>
      <c r="K73" s="130"/>
    </row>
    <row r="74" spans="1:11">
      <c r="G74" s="10">
        <f>I48</f>
        <v>16.2</v>
      </c>
      <c r="H74" s="222"/>
      <c r="I74" s="222"/>
      <c r="J74" s="665"/>
      <c r="K74" s="130"/>
    </row>
    <row r="75" spans="1:11">
      <c r="B75" s="2146"/>
      <c r="C75" s="2146"/>
      <c r="E75" s="2154">
        <f>C9</f>
        <v>15.4</v>
      </c>
      <c r="K75" s="130"/>
    </row>
    <row r="76" spans="1:11">
      <c r="K76" s="130"/>
    </row>
    <row r="77" spans="1:11">
      <c r="A77" s="34"/>
      <c r="I77" s="54"/>
      <c r="K77" s="130"/>
    </row>
    <row r="78" spans="1:11">
      <c r="C78" s="17">
        <v>1</v>
      </c>
      <c r="F78" s="36">
        <f>IL+D</f>
        <v>8.8000000000000007</v>
      </c>
      <c r="G78" s="228">
        <v>1</v>
      </c>
      <c r="K78" s="130"/>
    </row>
    <row r="79" spans="1:11">
      <c r="A79" s="2153">
        <f>D54</f>
        <v>10</v>
      </c>
      <c r="C79" s="9">
        <f>D47</f>
        <v>3</v>
      </c>
      <c r="G79" s="9">
        <f>I47</f>
        <v>3</v>
      </c>
      <c r="I79" s="2153">
        <f>I54</f>
        <v>10</v>
      </c>
      <c r="K79" s="130"/>
    </row>
    <row r="80" spans="1:11">
      <c r="D80" s="223">
        <f>D</f>
        <v>1.8</v>
      </c>
      <c r="E80" s="36"/>
      <c r="H80" s="2146"/>
      <c r="K80" s="130"/>
    </row>
    <row r="81" spans="1:20">
      <c r="E81" s="2153">
        <f>IL</f>
        <v>7</v>
      </c>
      <c r="K81" s="130"/>
    </row>
    <row r="82" spans="1:20">
      <c r="A82" s="36">
        <f>D56</f>
        <v>1.2</v>
      </c>
      <c r="B82" s="2152">
        <f>D43</f>
        <v>6.1</v>
      </c>
      <c r="C82" s="187" t="s">
        <v>46</v>
      </c>
      <c r="G82" s="2152">
        <f>I43</f>
        <v>6.1</v>
      </c>
      <c r="H82" s="187" t="s">
        <v>46</v>
      </c>
      <c r="I82" s="33">
        <f>I56</f>
        <v>1.2</v>
      </c>
      <c r="J82" s="187" t="s">
        <v>5</v>
      </c>
      <c r="K82" s="130"/>
    </row>
    <row r="83" spans="1:20">
      <c r="A83" s="2"/>
      <c r="K83" s="130"/>
    </row>
    <row r="84" spans="1:20">
      <c r="B84" s="33"/>
      <c r="C84" s="33"/>
      <c r="D84" s="33"/>
      <c r="E84" s="33">
        <f>F51-D28*2</f>
        <v>50.5</v>
      </c>
      <c r="F84" s="206" t="s">
        <v>5</v>
      </c>
      <c r="G84" s="33"/>
      <c r="H84" s="33"/>
      <c r="I84" s="33"/>
      <c r="J84" s="18">
        <f>D28</f>
        <v>0.45</v>
      </c>
      <c r="K84" s="130"/>
      <c r="L84" s="207" t="s">
        <v>1001</v>
      </c>
      <c r="M84" s="126"/>
      <c r="N84" s="126"/>
      <c r="O84" s="429" t="s">
        <v>1661</v>
      </c>
      <c r="P84" s="227"/>
      <c r="Q84" s="227"/>
      <c r="R84" s="227"/>
      <c r="S84" s="227"/>
      <c r="T84" s="227"/>
    </row>
    <row r="85" spans="1:20">
      <c r="B85" s="526"/>
      <c r="C85" s="526"/>
      <c r="D85" s="224"/>
      <c r="E85" s="224"/>
      <c r="F85" s="224"/>
      <c r="G85" s="224"/>
      <c r="H85" s="527"/>
      <c r="I85" s="2146"/>
      <c r="K85" s="130"/>
      <c r="O85" s="429" t="s">
        <v>1662</v>
      </c>
      <c r="P85" s="227"/>
      <c r="Q85" s="227"/>
      <c r="R85" s="227"/>
      <c r="S85" s="227"/>
      <c r="T85" s="227"/>
    </row>
    <row r="86" spans="1:20">
      <c r="B86" s="33"/>
      <c r="C86" s="33"/>
      <c r="D86" s="33"/>
      <c r="E86" s="33"/>
      <c r="F86" s="33"/>
      <c r="G86" s="33"/>
      <c r="H86" s="33"/>
      <c r="I86" s="186"/>
      <c r="K86" s="130"/>
    </row>
    <row r="87" spans="1:20">
      <c r="B87" s="33">
        <f>D49</f>
        <v>18.899999999999999</v>
      </c>
      <c r="C87" s="187" t="s">
        <v>5</v>
      </c>
      <c r="E87" s="36">
        <f>E58</f>
        <v>13.6</v>
      </c>
      <c r="G87" s="33">
        <f>I49</f>
        <v>18.899999999999999</v>
      </c>
      <c r="H87" s="187" t="s">
        <v>5</v>
      </c>
      <c r="K87" s="130"/>
    </row>
    <row r="88" spans="1:20">
      <c r="D88" s="33"/>
      <c r="F88" s="187"/>
      <c r="G88" s="187"/>
      <c r="K88" s="130"/>
      <c r="L88" s="46"/>
      <c r="M88" s="46"/>
      <c r="N88" s="46"/>
      <c r="O88" s="46"/>
      <c r="P88" s="46"/>
      <c r="Q88" s="46"/>
      <c r="R88" s="46"/>
      <c r="S88" s="46"/>
    </row>
    <row r="89" spans="1:20">
      <c r="E89" s="33">
        <f>F51</f>
        <v>51.4</v>
      </c>
      <c r="K89" s="130"/>
      <c r="L89" s="46"/>
      <c r="M89" s="46"/>
      <c r="N89" s="46"/>
      <c r="O89" s="46"/>
      <c r="P89" s="46"/>
      <c r="Q89" s="109"/>
      <c r="R89" s="46"/>
      <c r="S89" s="46"/>
    </row>
    <row r="90" spans="1:20">
      <c r="K90" s="130"/>
      <c r="L90" s="46"/>
      <c r="M90" s="46"/>
      <c r="N90" s="46"/>
      <c r="O90" s="46"/>
      <c r="P90" s="46"/>
      <c r="Q90" s="46"/>
      <c r="R90" s="46"/>
      <c r="S90" s="46"/>
    </row>
    <row r="91" spans="1:20">
      <c r="A91" s="187" t="s">
        <v>2283</v>
      </c>
      <c r="B91" s="26"/>
      <c r="F91" s="2232">
        <v>0.3</v>
      </c>
      <c r="G91" s="187" t="s">
        <v>5</v>
      </c>
      <c r="K91" s="130"/>
    </row>
    <row r="92" spans="1:20">
      <c r="A92" s="187" t="s">
        <v>2284</v>
      </c>
      <c r="F92" s="2232">
        <v>1.8</v>
      </c>
      <c r="G92" t="str">
        <f>"m,    ( Maximum possible  "&amp;C16-C15-0.3&amp;" m)"</f>
        <v>m,    ( Maximum possible  3.6 m)</v>
      </c>
      <c r="K92" s="130"/>
    </row>
    <row r="93" spans="1:20">
      <c r="A93" s="2" t="s">
        <v>117</v>
      </c>
      <c r="B93" s="109" t="str">
        <f>"GL + "&amp;F91&amp;" m ="</f>
        <v>GL + 0.3 m =</v>
      </c>
      <c r="C93" s="112"/>
      <c r="D93" s="2991">
        <f>GL+F91</f>
        <v>10.3</v>
      </c>
      <c r="E93" s="26" t="s">
        <v>155</v>
      </c>
      <c r="F93" s="187" t="s">
        <v>2281</v>
      </c>
      <c r="K93" s="130"/>
    </row>
    <row r="94" spans="1:20">
      <c r="A94" s="2" t="s">
        <v>118</v>
      </c>
      <c r="B94" t="s">
        <v>2276</v>
      </c>
      <c r="D94" s="33">
        <f>IL+D</f>
        <v>8.8000000000000007</v>
      </c>
      <c r="E94" s="26" t="s">
        <v>155</v>
      </c>
      <c r="F94" s="187" t="s">
        <v>2281</v>
      </c>
      <c r="H94" t="str">
        <f>"D= "&amp;FIXED(D,2)&amp;" m"</f>
        <v>D= 1.80 m</v>
      </c>
      <c r="K94" s="130"/>
    </row>
    <row r="95" spans="1:20">
      <c r="A95" s="2" t="s">
        <v>301</v>
      </c>
      <c r="B95" t="s">
        <v>2277</v>
      </c>
      <c r="D95" s="33">
        <f>IL+D*1.5</f>
        <v>9.6999999999999993</v>
      </c>
      <c r="E95" s="26" t="s">
        <v>155</v>
      </c>
      <c r="F95" s="187" t="s">
        <v>2281</v>
      </c>
      <c r="H95" t="str">
        <f>"IL= "&amp;FIXED(IL,2)&amp;" m PWD"</f>
        <v>IL= 7.00 m PWD</v>
      </c>
      <c r="K95" s="130"/>
    </row>
    <row r="96" spans="1:20">
      <c r="A96" s="2" t="s">
        <v>302</v>
      </c>
      <c r="B96" t="s">
        <v>2278</v>
      </c>
      <c r="D96" s="33">
        <f>IL+D/2</f>
        <v>7.9</v>
      </c>
      <c r="E96" s="26" t="s">
        <v>155</v>
      </c>
      <c r="F96" s="187" t="s">
        <v>2282</v>
      </c>
      <c r="H96" t="str">
        <f>"GL= "&amp;FIXED(GL,2)&amp;" m PWD"</f>
        <v>GL= 10.00 m PWD</v>
      </c>
      <c r="K96" s="130"/>
    </row>
    <row r="97" spans="1:20">
      <c r="A97" s="2" t="s">
        <v>303</v>
      </c>
      <c r="B97" s="109" t="str">
        <f>"GL + "&amp;F92&amp;" m ="</f>
        <v>GL + 1.8 m =</v>
      </c>
      <c r="D97" s="1424">
        <f>GL+F92</f>
        <v>11.8</v>
      </c>
      <c r="E97" s="187" t="str">
        <f>IF(C16-D97&gt;=0.3,"m PWD (monsoon )","Not ok, reduce water Depth on C/S GL")</f>
        <v>m PWD (monsoon )</v>
      </c>
      <c r="K97" s="130"/>
    </row>
    <row r="98" spans="1:20">
      <c r="K98" s="130"/>
    </row>
    <row r="99" spans="1:20">
      <c r="A99" s="207" t="s">
        <v>1912</v>
      </c>
      <c r="B99" s="127"/>
      <c r="C99" s="127"/>
      <c r="D99" s="127"/>
      <c r="G99" s="2105" t="s">
        <v>2286</v>
      </c>
      <c r="H99" s="2508"/>
      <c r="I99" s="2508"/>
      <c r="J99" s="2508"/>
      <c r="K99" s="130"/>
      <c r="L99" s="3106" t="s">
        <v>1911</v>
      </c>
      <c r="M99" s="3107"/>
      <c r="N99" s="3107"/>
      <c r="O99" s="3108"/>
      <c r="P99" s="2997"/>
    </row>
    <row r="100" spans="1:20">
      <c r="A100" s="187" t="s">
        <v>2279</v>
      </c>
      <c r="B100" s="742">
        <f>IF(N101="",IL+D,N101)</f>
        <v>8.8000000000000007</v>
      </c>
      <c r="C100" s="26" t="s">
        <v>155</v>
      </c>
      <c r="E100" s="2990" t="str">
        <f>"(  "&amp;B100-IL&amp;"m over Invert,  "&amp;IF(C15&gt;=B100,C15-B100&amp;" m below GL)",B100-C15&amp;" m  over GL)")</f>
        <v>(  1.8m over Invert,  1.2 m below GL)</v>
      </c>
      <c r="K100" s="130"/>
      <c r="L100" s="1551" t="s">
        <v>157</v>
      </c>
      <c r="M100" s="1552"/>
      <c r="N100" s="2992" t="s">
        <v>2192</v>
      </c>
      <c r="O100" s="578" t="s">
        <v>118</v>
      </c>
    </row>
    <row r="101" spans="1:20">
      <c r="A101" s="187" t="s">
        <v>2285</v>
      </c>
      <c r="B101" s="742">
        <f>IF(N102="",M102,N102)</f>
        <v>7.9</v>
      </c>
      <c r="C101" s="26" t="s">
        <v>155</v>
      </c>
      <c r="E101" s="2990" t="str">
        <f>"(  "&amp;B101-IL&amp;"m over Invert, "&amp;IF(C14&gt;=B101,C14-B101&amp;"m below GL,",B101-C14&amp;" m  over GL,")&amp;B101-I43&amp;"m over RS Apron)"</f>
        <v>(  0.9m over Invert, 2.1m below GL,1.8m over RS Apron)</v>
      </c>
      <c r="K101" s="130"/>
      <c r="L101" s="843" t="s">
        <v>2279</v>
      </c>
      <c r="M101" s="2857">
        <f>VLOOKUP(O100,A93:D96,4,FALSE)</f>
        <v>8.8000000000000007</v>
      </c>
      <c r="N101" s="2854"/>
      <c r="O101" s="839" t="s">
        <v>155</v>
      </c>
      <c r="P101" s="16"/>
    </row>
    <row r="102" spans="1:20">
      <c r="A102" s="26"/>
      <c r="B102" s="26"/>
      <c r="C102" s="742"/>
      <c r="D102" s="26"/>
      <c r="K102" s="130"/>
      <c r="L102" s="844" t="s">
        <v>2280</v>
      </c>
      <c r="M102" s="2858">
        <f>I43+I44+D27+D/2</f>
        <v>7.9</v>
      </c>
      <c r="N102" s="2855"/>
      <c r="O102" s="841" t="s">
        <v>155</v>
      </c>
      <c r="P102" s="16"/>
    </row>
    <row r="103" spans="1:20">
      <c r="A103" s="207" t="s">
        <v>1913</v>
      </c>
      <c r="B103" s="127"/>
      <c r="C103" s="127"/>
      <c r="D103" s="127"/>
      <c r="E103" s="235"/>
      <c r="K103" s="130"/>
      <c r="L103" s="1551" t="s">
        <v>160</v>
      </c>
      <c r="M103" s="1552"/>
      <c r="N103" s="2760"/>
      <c r="O103" s="2993"/>
      <c r="P103" s="2998"/>
    </row>
    <row r="104" spans="1:20">
      <c r="A104" s="187" t="s">
        <v>2279</v>
      </c>
      <c r="B104" s="587">
        <f>IF(N104="",M104,N104)</f>
        <v>11.8</v>
      </c>
      <c r="C104" s="26" t="s">
        <v>155</v>
      </c>
      <c r="E104" s="235" t="str">
        <f>"( "&amp;IF(C15&gt;=B104,C15-B104&amp;" m below C/S GL,",B104-C15&amp;" m depth over C/S GL,  ")&amp;B104-IL&amp;"m over Invert) "</f>
        <v xml:space="preserve">( 1.8 m depth over C/S GL,  4.8m over Invert) </v>
      </c>
      <c r="K104" s="130"/>
      <c r="L104" s="843" t="s">
        <v>2279</v>
      </c>
      <c r="M104" s="2857">
        <f>D97</f>
        <v>11.8</v>
      </c>
      <c r="N104" s="2854"/>
      <c r="O104" s="839" t="s">
        <v>155</v>
      </c>
    </row>
    <row r="105" spans="1:20">
      <c r="A105" s="187" t="s">
        <v>2285</v>
      </c>
      <c r="B105" s="587">
        <f>IF(N105="",IF(B104-M105&gt;F92,B104-F92,M105),N105)</f>
        <v>11.5</v>
      </c>
      <c r="C105" s="26" t="s">
        <v>155</v>
      </c>
      <c r="E105" s="235" t="str">
        <f>"( ΔH= "&amp;B104-B105&amp;"m, "&amp;B105-IL&amp;"m over Invert, "&amp;IF(C14&gt;=B105,C14-B105&amp;"m below GL,",B105-C14&amp;" m  over GL,")&amp;B105-I43&amp;"m over RS Apron)"</f>
        <v>( ΔH= 0.300000000000001m, 4.5m over Invert, 1.5 m  over GL,5.4m over RS Apron)</v>
      </c>
      <c r="K105" s="130"/>
      <c r="L105" s="844" t="s">
        <v>2280</v>
      </c>
      <c r="M105" s="2858">
        <f>M104-0.3</f>
        <v>11.5</v>
      </c>
      <c r="N105" s="2856"/>
      <c r="O105" s="841" t="s">
        <v>155</v>
      </c>
    </row>
    <row r="106" spans="1:20">
      <c r="F106" s="187"/>
      <c r="K106" s="130"/>
    </row>
    <row r="107" spans="1:20">
      <c r="A107" s="2411" t="s">
        <v>1969</v>
      </c>
      <c r="B107" s="126"/>
      <c r="C107" s="126"/>
      <c r="D107" s="126"/>
      <c r="K107" s="130"/>
    </row>
    <row r="108" spans="1:20">
      <c r="A108" s="187" t="s">
        <v>1887</v>
      </c>
      <c r="D108" s="2243">
        <v>5570</v>
      </c>
      <c r="E108" s="30" t="s">
        <v>1888</v>
      </c>
      <c r="F108" s="974">
        <f>+D108*2.47</f>
        <v>13757.900000000001</v>
      </c>
      <c r="G108" s="187" t="s">
        <v>2018</v>
      </c>
      <c r="H108" s="203"/>
      <c r="I108" s="509"/>
      <c r="J108" s="18" t="s">
        <v>1902</v>
      </c>
      <c r="K108" s="130"/>
    </row>
    <row r="109" spans="1:20">
      <c r="A109" s="187" t="s">
        <v>2019</v>
      </c>
      <c r="D109" s="2505">
        <f>D108+I108</f>
        <v>5570</v>
      </c>
      <c r="E109" s="30"/>
      <c r="F109" s="974"/>
      <c r="G109" s="187"/>
      <c r="K109" s="130"/>
    </row>
    <row r="110" spans="1:20">
      <c r="A110" s="187" t="s">
        <v>1889</v>
      </c>
      <c r="D110" s="2243"/>
      <c r="E110" s="30" t="s">
        <v>1960</v>
      </c>
      <c r="F110">
        <f>D110*25/10</f>
        <v>0</v>
      </c>
      <c r="G110" t="s">
        <v>1891</v>
      </c>
      <c r="H110" s="2397" t="s">
        <v>1961</v>
      </c>
      <c r="K110" s="130"/>
    </row>
    <row r="111" spans="1:20">
      <c r="A111" s="109" t="s">
        <v>1890</v>
      </c>
      <c r="D111" s="509">
        <v>25</v>
      </c>
      <c r="E111" s="187" t="s">
        <v>1891</v>
      </c>
      <c r="F111" s="2229" t="s">
        <v>1892</v>
      </c>
      <c r="G111" s="1425"/>
      <c r="H111" s="1425"/>
      <c r="K111" s="130"/>
    </row>
    <row r="112" spans="1:20">
      <c r="A112" s="187" t="s">
        <v>1972</v>
      </c>
      <c r="D112" s="2230">
        <f>IF(D110="",D108*D111/8640,D108*F110/8640)</f>
        <v>16.116898148148149</v>
      </c>
      <c r="E112" s="18" t="s">
        <v>179</v>
      </c>
      <c r="K112" s="130"/>
      <c r="L112" s="207" t="s">
        <v>1002</v>
      </c>
      <c r="M112" s="126"/>
      <c r="N112" s="126"/>
      <c r="O112" s="207" t="s">
        <v>1660</v>
      </c>
      <c r="P112" s="126"/>
      <c r="Q112" s="126"/>
      <c r="R112" s="126"/>
      <c r="S112" s="126"/>
      <c r="T112" s="126"/>
    </row>
    <row r="113" spans="1:20">
      <c r="A113" s="187" t="s">
        <v>1901</v>
      </c>
      <c r="B113" s="46"/>
      <c r="C113" s="46"/>
      <c r="D113" s="33">
        <f>D112*1.2</f>
        <v>19.340277777777779</v>
      </c>
      <c r="E113" s="18" t="s">
        <v>179</v>
      </c>
      <c r="K113" s="130"/>
    </row>
    <row r="114" spans="1:20">
      <c r="A114" s="187" t="s">
        <v>2275</v>
      </c>
      <c r="B114" s="26"/>
      <c r="C114" s="26"/>
      <c r="D114" s="26"/>
      <c r="E114" s="235"/>
      <c r="F114" s="187"/>
      <c r="K114" s="130"/>
    </row>
    <row r="115" spans="1:20">
      <c r="A115" s="2411" t="s">
        <v>1968</v>
      </c>
      <c r="B115" s="126"/>
      <c r="C115" s="126"/>
      <c r="D115" s="126"/>
      <c r="K115" s="130"/>
    </row>
    <row r="116" spans="1:20">
      <c r="A116" s="187" t="s">
        <v>1887</v>
      </c>
      <c r="D116" s="2242">
        <f>D109</f>
        <v>5570</v>
      </c>
      <c r="E116" s="187" t="s">
        <v>1902</v>
      </c>
      <c r="K116" s="130"/>
    </row>
    <row r="117" spans="1:20">
      <c r="A117" s="187" t="s">
        <v>1971</v>
      </c>
      <c r="D117" s="742">
        <f>D97-C15</f>
        <v>1.8000000000000007</v>
      </c>
      <c r="E117" s="187" t="s">
        <v>5</v>
      </c>
      <c r="K117" s="130"/>
    </row>
    <row r="118" spans="1:20">
      <c r="A118" s="187" t="s">
        <v>1905</v>
      </c>
      <c r="D118">
        <f>D116*D117*100^2</f>
        <v>100260000.00000003</v>
      </c>
      <c r="E118" s="187" t="s">
        <v>1906</v>
      </c>
      <c r="K118" s="130"/>
    </row>
    <row r="119" spans="1:20">
      <c r="A119" s="187" t="s">
        <v>1903</v>
      </c>
      <c r="D119" s="2250">
        <v>60</v>
      </c>
      <c r="E119" s="187" t="s">
        <v>1907</v>
      </c>
      <c r="F119">
        <f>D119*24*60*60</f>
        <v>5184000</v>
      </c>
      <c r="G119" s="187" t="s">
        <v>1904</v>
      </c>
      <c r="K119" s="130"/>
    </row>
    <row r="120" spans="1:20">
      <c r="A120" s="187" t="s">
        <v>1967</v>
      </c>
      <c r="D120" s="33">
        <f>D118/F119</f>
        <v>19.340277777777782</v>
      </c>
      <c r="E120" s="18" t="s">
        <v>179</v>
      </c>
      <c r="F120" s="838"/>
      <c r="G120" s="838"/>
      <c r="K120" s="130"/>
    </row>
    <row r="121" spans="1:20">
      <c r="A121" s="187" t="s">
        <v>1901</v>
      </c>
      <c r="B121" s="46"/>
      <c r="C121" s="46"/>
      <c r="D121" s="33">
        <f>D120*1.2</f>
        <v>23.208333333333339</v>
      </c>
      <c r="E121" s="18" t="s">
        <v>179</v>
      </c>
      <c r="K121" s="130"/>
    </row>
    <row r="122" spans="1:20">
      <c r="A122" s="26"/>
      <c r="B122" s="26"/>
      <c r="C122" s="26"/>
      <c r="D122" s="26"/>
      <c r="E122" s="235"/>
      <c r="K122" s="130"/>
    </row>
    <row r="123" spans="1:20">
      <c r="A123" s="2860" t="s">
        <v>2190</v>
      </c>
      <c r="B123" s="2860"/>
      <c r="C123" s="2860"/>
      <c r="E123" s="235"/>
      <c r="F123" s="2508" t="s">
        <v>2287</v>
      </c>
      <c r="G123" s="2508"/>
      <c r="H123" s="2508"/>
      <c r="I123" s="2508"/>
      <c r="J123" s="2508"/>
      <c r="K123" s="130"/>
      <c r="L123" s="3109" t="s">
        <v>1965</v>
      </c>
      <c r="M123" s="3110"/>
      <c r="N123" s="3110"/>
      <c r="O123" s="3111"/>
      <c r="P123" s="3028"/>
      <c r="Q123" s="55"/>
      <c r="R123" s="2995"/>
    </row>
    <row r="124" spans="1:20">
      <c r="A124" s="26" t="s">
        <v>159</v>
      </c>
      <c r="B124" s="26"/>
      <c r="C124" s="587">
        <f>IF(N125="",M125,N125)</f>
        <v>8.8000000000000007</v>
      </c>
      <c r="D124" s="26" t="s">
        <v>155</v>
      </c>
      <c r="K124" s="130"/>
      <c r="L124" s="1551" t="s">
        <v>2191</v>
      </c>
      <c r="M124" s="1552"/>
      <c r="N124" s="2861" t="s">
        <v>2192</v>
      </c>
      <c r="O124" s="2995"/>
      <c r="P124" s="3035"/>
      <c r="Q124" s="55"/>
      <c r="R124" s="2995"/>
    </row>
    <row r="125" spans="1:20">
      <c r="A125" s="26" t="s">
        <v>158</v>
      </c>
      <c r="B125" s="26"/>
      <c r="C125" s="587">
        <f>IF(N126="",M126,N126)</f>
        <v>7.9</v>
      </c>
      <c r="D125" s="26" t="s">
        <v>155</v>
      </c>
      <c r="K125" s="130"/>
      <c r="L125" s="2518" t="s">
        <v>2280</v>
      </c>
      <c r="M125" s="2519">
        <f>IL+D</f>
        <v>8.8000000000000007</v>
      </c>
      <c r="N125" s="591"/>
      <c r="O125" s="839" t="s">
        <v>155</v>
      </c>
      <c r="P125" s="3033" t="str">
        <f>"( D over Invert,  "&amp;IL&amp;"+"&amp;D&amp;"  = "&amp;IL+D&amp;"m )"</f>
        <v>( D over Invert,  7+1.8  = 8.8m )</v>
      </c>
      <c r="Q125" s="2743"/>
      <c r="R125" s="2744"/>
      <c r="S125" s="46"/>
      <c r="T125" s="46"/>
    </row>
    <row r="126" spans="1:20">
      <c r="A126" s="187" t="s">
        <v>1941</v>
      </c>
      <c r="C126" s="577">
        <f>D113</f>
        <v>19.340277777777779</v>
      </c>
      <c r="D126" s="30" t="s">
        <v>2172</v>
      </c>
      <c r="E126" s="235"/>
      <c r="K126" s="130"/>
      <c r="L126" s="844" t="s">
        <v>2279</v>
      </c>
      <c r="M126" s="840">
        <f>IL+D/2</f>
        <v>7.9</v>
      </c>
      <c r="N126" s="592"/>
      <c r="O126" s="841" t="s">
        <v>155</v>
      </c>
      <c r="P126" s="3034" t="str">
        <f>"( D/2 over Invert,  "&amp;IL&amp;"+"&amp;D/2&amp;"  = "&amp;IL+D/2&amp;"m)"</f>
        <v>( D/2 over Invert,  7+0.9  = 7.9m)</v>
      </c>
      <c r="Q126" s="2749"/>
      <c r="R126" s="2750"/>
      <c r="S126" s="46"/>
      <c r="T126" s="46"/>
    </row>
    <row r="127" spans="1:20">
      <c r="E127" s="235"/>
      <c r="K127" s="130"/>
      <c r="L127" s="2503" t="s">
        <v>1966</v>
      </c>
      <c r="M127" s="2504"/>
      <c r="N127" s="448"/>
      <c r="O127" s="2993"/>
      <c r="P127" s="2998"/>
      <c r="Q127" s="16"/>
      <c r="R127" s="58"/>
    </row>
    <row r="128" spans="1:20">
      <c r="A128" s="2860" t="s">
        <v>1959</v>
      </c>
      <c r="B128" s="2860"/>
      <c r="C128" s="2859" t="str">
        <f>IF(D22="y","(After May 15, Gate will open for flushing)","( Not expected. But may occur when there are no gate or suudenly open)")</f>
        <v>( Not expected. But may occur when there are no gate or suudenly open)</v>
      </c>
      <c r="D128" s="2859"/>
      <c r="E128" s="2859"/>
      <c r="F128" s="2859"/>
      <c r="G128" s="2859"/>
      <c r="H128" s="2859"/>
      <c r="I128" s="2859"/>
      <c r="K128" s="130"/>
      <c r="L128" s="2518" t="s">
        <v>2280</v>
      </c>
      <c r="M128" s="2519">
        <f>hfl</f>
        <v>13.9</v>
      </c>
      <c r="N128" s="591"/>
      <c r="O128" s="839" t="s">
        <v>155</v>
      </c>
      <c r="P128" s="3029" t="s">
        <v>2288</v>
      </c>
      <c r="Q128" s="695"/>
      <c r="R128" s="3030"/>
    </row>
    <row r="129" spans="1:21">
      <c r="A129" s="26" t="s">
        <v>159</v>
      </c>
      <c r="B129" s="26"/>
      <c r="C129" s="587">
        <f>IF(N128="",M128,N128)</f>
        <v>13.9</v>
      </c>
      <c r="D129" s="26" t="s">
        <v>155</v>
      </c>
      <c r="E129" s="235"/>
      <c r="K129" s="130"/>
      <c r="L129" s="844" t="s">
        <v>2279</v>
      </c>
      <c r="M129" s="840">
        <f>GL+P129</f>
        <v>11.8</v>
      </c>
      <c r="N129" s="592">
        <v>10.9</v>
      </c>
      <c r="O129" s="841" t="s">
        <v>155</v>
      </c>
      <c r="P129" s="3031">
        <f>IF(D22="y",F91,F92)</f>
        <v>1.8</v>
      </c>
      <c r="Q129" s="3032" t="s">
        <v>2289</v>
      </c>
      <c r="R129" s="3019"/>
      <c r="S129" s="187"/>
      <c r="T129" s="187"/>
    </row>
    <row r="130" spans="1:21">
      <c r="A130" s="26" t="s">
        <v>158</v>
      </c>
      <c r="B130" s="26"/>
      <c r="C130" s="587">
        <f>IF(N129="",M129,N129)</f>
        <v>10.9</v>
      </c>
      <c r="D130" s="26" t="s">
        <v>155</v>
      </c>
      <c r="E130" s="235"/>
      <c r="K130" s="130"/>
    </row>
    <row r="131" spans="1:21">
      <c r="A131" s="187" t="s">
        <v>1941</v>
      </c>
      <c r="C131" s="577"/>
      <c r="D131" s="30" t="str">
        <f>IF(D22="y","cumec (discharge required for Haor filling)","cumec ( Normally flushing is not expected )")</f>
        <v>cumec ( Normally flushing is not expected )</v>
      </c>
      <c r="E131" s="235"/>
      <c r="K131" s="130"/>
      <c r="L131" s="3100" t="s">
        <v>1725</v>
      </c>
      <c r="M131" s="3101"/>
      <c r="N131" s="3101"/>
      <c r="O131" s="3101"/>
      <c r="P131" s="3101"/>
      <c r="Q131" s="3102"/>
    </row>
    <row r="132" spans="1:21">
      <c r="E132" s="235"/>
      <c r="K132" s="130"/>
      <c r="L132" s="3112" t="s">
        <v>157</v>
      </c>
      <c r="M132" s="3012" t="s">
        <v>2279</v>
      </c>
      <c r="N132" s="3008">
        <f>GL+F91</f>
        <v>10.3</v>
      </c>
      <c r="O132" s="3040"/>
      <c r="P132" s="3015" t="str">
        <f>F91&amp;" m Water on C/S GL"</f>
        <v>0.3 m Water on C/S GL</v>
      </c>
      <c r="Q132" s="3016"/>
    </row>
    <row r="133" spans="1:21">
      <c r="A133" s="3082" t="s">
        <v>2293</v>
      </c>
      <c r="B133" s="3083"/>
      <c r="C133" s="3083"/>
      <c r="D133" s="3083"/>
      <c r="E133" s="3084"/>
      <c r="K133" s="130"/>
      <c r="L133" s="3113"/>
      <c r="M133" s="3013" t="s">
        <v>2280</v>
      </c>
      <c r="N133" s="3009">
        <f>I43</f>
        <v>6.1</v>
      </c>
      <c r="O133" s="3039"/>
      <c r="P133" s="3017" t="s">
        <v>2290</v>
      </c>
      <c r="Q133" s="3018"/>
    </row>
    <row r="134" spans="1:21">
      <c r="A134" s="2909"/>
      <c r="B134" s="2449" t="s">
        <v>1724</v>
      </c>
      <c r="C134" s="3007" t="s">
        <v>296</v>
      </c>
      <c r="D134" s="3080" t="s">
        <v>285</v>
      </c>
      <c r="E134" s="3081"/>
      <c r="I134" s="488"/>
      <c r="K134" s="130"/>
      <c r="L134" s="3098" t="s">
        <v>160</v>
      </c>
      <c r="M134" s="3012" t="s">
        <v>2279</v>
      </c>
      <c r="N134" s="3008">
        <f>N132</f>
        <v>10.3</v>
      </c>
      <c r="O134" s="3040"/>
      <c r="P134" s="3020" t="str">
        <f>F91&amp;" m Water on C/S GL"</f>
        <v>0.3 m Water on C/S GL</v>
      </c>
      <c r="Q134" s="3021"/>
    </row>
    <row r="135" spans="1:21" ht="12.75" customHeight="1">
      <c r="A135" s="2518" t="s">
        <v>2279</v>
      </c>
      <c r="B135" s="3004">
        <f>IF(O132="",N132,O132)</f>
        <v>10.3</v>
      </c>
      <c r="C135" s="3002">
        <f>IF(O134="",N134,O134)</f>
        <v>10.3</v>
      </c>
      <c r="D135" s="2518" t="s">
        <v>2280</v>
      </c>
      <c r="E135" s="3004">
        <f>IF(O136="",N136,O136)</f>
        <v>13.9</v>
      </c>
      <c r="K135" s="130"/>
      <c r="L135" s="3099"/>
      <c r="M135" s="3013" t="s">
        <v>2280</v>
      </c>
      <c r="N135" s="3009">
        <f>I43+0.3</f>
        <v>6.3999999999999995</v>
      </c>
      <c r="O135" s="3039"/>
      <c r="P135" s="3022" t="str">
        <f>"0.30 m Water on R/S"</f>
        <v>0.30 m Water on R/S</v>
      </c>
      <c r="Q135" s="3023"/>
      <c r="S135" s="3014"/>
      <c r="T135" s="386"/>
    </row>
    <row r="136" spans="1:21">
      <c r="A136" s="844" t="s">
        <v>2280</v>
      </c>
      <c r="B136" s="3005">
        <f>IF(O133="",N133,O133)</f>
        <v>6.1</v>
      </c>
      <c r="C136" s="3003">
        <f>IF(O135="",N135,O135)</f>
        <v>6.3999999999999995</v>
      </c>
      <c r="D136" s="844" t="s">
        <v>2279</v>
      </c>
      <c r="E136" s="3005">
        <f>IF(O137="",N137,O137)</f>
        <v>10</v>
      </c>
      <c r="K136" s="130"/>
      <c r="L136" s="3010" t="s">
        <v>285</v>
      </c>
      <c r="M136" s="3012" t="s">
        <v>2280</v>
      </c>
      <c r="N136" s="3008">
        <f>hfl</f>
        <v>13.9</v>
      </c>
      <c r="O136" s="3040"/>
      <c r="P136" s="3024" t="s">
        <v>2291</v>
      </c>
      <c r="Q136" s="3025"/>
      <c r="S136" s="386"/>
      <c r="T136" s="1872"/>
    </row>
    <row r="137" spans="1:21">
      <c r="A137" s="2999" t="s">
        <v>297</v>
      </c>
      <c r="B137" s="3006">
        <f>ABS(B135-B136)</f>
        <v>4.2000000000000011</v>
      </c>
      <c r="C137" s="3000">
        <f>ABS(C135-C136)</f>
        <v>3.9000000000000012</v>
      </c>
      <c r="D137" s="3001"/>
      <c r="E137" s="3006">
        <f>ABS(E136-E135)</f>
        <v>3.9000000000000004</v>
      </c>
      <c r="G137" s="665"/>
      <c r="J137" s="665"/>
      <c r="K137" s="130"/>
      <c r="L137" s="3011"/>
      <c r="M137" s="3013" t="s">
        <v>2279</v>
      </c>
      <c r="N137" s="3009">
        <f>GL</f>
        <v>10</v>
      </c>
      <c r="O137" s="592"/>
      <c r="P137" s="3026" t="s">
        <v>2292</v>
      </c>
      <c r="Q137" s="3027"/>
      <c r="S137" s="386"/>
      <c r="T137" s="1872"/>
    </row>
    <row r="138" spans="1:21">
      <c r="B138" s="2994"/>
      <c r="G138" s="32"/>
      <c r="H138" s="32"/>
      <c r="I138" s="32"/>
      <c r="J138" s="32"/>
      <c r="K138" s="130"/>
      <c r="R138" s="187"/>
      <c r="S138" s="386"/>
      <c r="T138" s="386"/>
    </row>
    <row r="139" spans="1:21">
      <c r="A139" s="392" t="s">
        <v>381</v>
      </c>
      <c r="B139" s="174"/>
      <c r="C139" s="174"/>
      <c r="D139" s="174"/>
      <c r="E139" s="174"/>
      <c r="F139" s="174"/>
      <c r="G139" s="46"/>
      <c r="K139" s="130"/>
      <c r="R139" s="26"/>
    </row>
    <row r="140" spans="1:21">
      <c r="C140" s="46"/>
      <c r="D140" s="46"/>
      <c r="E140" s="46"/>
      <c r="F140" s="46"/>
      <c r="G140" s="46"/>
      <c r="H140" s="46"/>
      <c r="K140" s="130"/>
    </row>
    <row r="141" spans="1:21" ht="24.75" customHeight="1">
      <c r="A141" s="3079" t="s">
        <v>1531</v>
      </c>
      <c r="B141" s="3079"/>
      <c r="C141" s="3079"/>
      <c r="D141" s="3079"/>
      <c r="E141" s="3079"/>
      <c r="F141" s="3079"/>
      <c r="G141" s="3079"/>
      <c r="H141" s="3079"/>
      <c r="I141" s="3079"/>
      <c r="J141" s="3079"/>
      <c r="K141" s="130"/>
    </row>
    <row r="142" spans="1:21" ht="14.25" customHeight="1">
      <c r="A142" s="1549"/>
      <c r="B142" s="1549"/>
      <c r="C142" s="1549"/>
      <c r="D142" s="1549"/>
      <c r="E142" s="1549"/>
      <c r="F142" s="1549"/>
      <c r="G142" s="1549"/>
      <c r="H142" s="1549"/>
      <c r="I142" s="1549"/>
      <c r="J142" s="1549"/>
      <c r="K142" s="130"/>
    </row>
    <row r="143" spans="1:21">
      <c r="A143" s="1531" t="s">
        <v>26</v>
      </c>
      <c r="D143" s="46"/>
      <c r="E143" s="46"/>
      <c r="F143" s="46"/>
      <c r="G143" s="46"/>
      <c r="H143" s="46"/>
      <c r="I143" s="46"/>
      <c r="K143" s="130"/>
    </row>
    <row r="144" spans="1:21" ht="15.75">
      <c r="C144" t="s">
        <v>163</v>
      </c>
      <c r="D144" s="46"/>
      <c r="E144" s="46"/>
      <c r="F144" s="46"/>
      <c r="G144" s="46"/>
      <c r="H144" s="46"/>
      <c r="I144" s="203" t="s">
        <v>27</v>
      </c>
      <c r="K144" s="130"/>
      <c r="L144" s="1566" t="s">
        <v>1532</v>
      </c>
      <c r="M144" s="55"/>
      <c r="N144" s="406" t="s">
        <v>961</v>
      </c>
      <c r="O144" s="1554"/>
      <c r="P144" s="56"/>
      <c r="Q144" s="1557" t="s">
        <v>1533</v>
      </c>
      <c r="R144" s="485"/>
      <c r="S144" s="406" t="s">
        <v>958</v>
      </c>
      <c r="T144" s="55"/>
      <c r="U144" s="56"/>
    </row>
    <row r="145" spans="1:21" ht="15.75">
      <c r="A145" s="187" t="s">
        <v>1527</v>
      </c>
      <c r="D145" s="46"/>
      <c r="E145" s="46"/>
      <c r="F145" s="46"/>
      <c r="G145" s="46"/>
      <c r="H145" s="46"/>
      <c r="I145" s="46"/>
      <c r="K145" s="130"/>
      <c r="L145" s="1561"/>
      <c r="M145" s="16"/>
      <c r="N145" s="241" t="s">
        <v>1508</v>
      </c>
      <c r="O145" s="16"/>
      <c r="P145" s="58"/>
      <c r="Q145" s="16"/>
      <c r="R145" s="386"/>
      <c r="S145" s="187" t="s">
        <v>1536</v>
      </c>
      <c r="T145" s="16"/>
      <c r="U145" s="58"/>
    </row>
    <row r="146" spans="1:21" ht="15.75">
      <c r="D146" s="46"/>
      <c r="E146" s="46"/>
      <c r="F146" s="46"/>
      <c r="G146" s="46"/>
      <c r="H146" s="1550">
        <v>1</v>
      </c>
      <c r="I146" s="109" t="s">
        <v>1528</v>
      </c>
      <c r="K146" s="130"/>
      <c r="L146" s="1555" t="s">
        <v>167</v>
      </c>
      <c r="M146" s="16"/>
      <c r="N146" s="529" t="s">
        <v>173</v>
      </c>
      <c r="O146" s="16"/>
      <c r="P146" s="58"/>
      <c r="Q146" s="529" t="s">
        <v>167</v>
      </c>
      <c r="R146" s="386"/>
      <c r="S146" s="529" t="s">
        <v>173</v>
      </c>
      <c r="T146" s="16"/>
      <c r="U146" s="58"/>
    </row>
    <row r="147" spans="1:21">
      <c r="A147" s="187" t="s">
        <v>1526</v>
      </c>
      <c r="E147" s="2863">
        <f>F78</f>
        <v>8.8000000000000007</v>
      </c>
      <c r="H147" s="1531"/>
      <c r="K147" s="130"/>
      <c r="L147" s="1562" t="s">
        <v>455</v>
      </c>
      <c r="M147" s="59"/>
      <c r="N147" s="204" t="s">
        <v>185</v>
      </c>
      <c r="O147" s="59"/>
      <c r="P147" s="60"/>
      <c r="Q147" s="59" t="s">
        <v>455</v>
      </c>
      <c r="R147" s="1553"/>
      <c r="S147" s="204" t="s">
        <v>185</v>
      </c>
      <c r="T147" s="59"/>
      <c r="U147" s="60"/>
    </row>
    <row r="148" spans="1:21" ht="16.5">
      <c r="C148" s="1520"/>
      <c r="E148" s="1520"/>
      <c r="H148" s="1550">
        <v>3</v>
      </c>
      <c r="I148" s="187" t="s">
        <v>1524</v>
      </c>
      <c r="K148" s="130"/>
      <c r="L148" s="1566" t="s">
        <v>1534</v>
      </c>
      <c r="M148" s="55"/>
      <c r="N148" s="119" t="s">
        <v>183</v>
      </c>
      <c r="O148" s="55"/>
      <c r="P148" s="56"/>
      <c r="Q148" s="1557" t="s">
        <v>1535</v>
      </c>
      <c r="R148" s="485"/>
      <c r="S148" s="119" t="s">
        <v>191</v>
      </c>
      <c r="T148" s="55"/>
      <c r="U148" s="56"/>
    </row>
    <row r="149" spans="1:21" ht="15.75">
      <c r="H149" s="1531"/>
      <c r="I149" s="36"/>
      <c r="K149" s="130"/>
      <c r="L149" s="1561"/>
      <c r="M149" s="16"/>
      <c r="N149" s="241" t="s">
        <v>1538</v>
      </c>
      <c r="O149" s="16"/>
      <c r="P149" s="58"/>
      <c r="Q149" s="386"/>
      <c r="R149" s="386"/>
      <c r="S149" s="187" t="s">
        <v>1537</v>
      </c>
      <c r="T149" s="16"/>
      <c r="U149" s="58"/>
    </row>
    <row r="150" spans="1:21" ht="16.5">
      <c r="A150" s="187" t="s">
        <v>1525</v>
      </c>
      <c r="B150" s="113" t="s">
        <v>169</v>
      </c>
      <c r="D150" s="17"/>
      <c r="E150" s="220" t="s">
        <v>136</v>
      </c>
      <c r="H150" s="1550">
        <v>4</v>
      </c>
      <c r="I150" s="187" t="s">
        <v>1523</v>
      </c>
      <c r="K150" s="130"/>
      <c r="L150" s="1555" t="s">
        <v>181</v>
      </c>
      <c r="M150" s="16"/>
      <c r="N150" s="241" t="s">
        <v>1539</v>
      </c>
      <c r="O150" s="16"/>
      <c r="P150" s="58"/>
      <c r="Q150" s="529" t="s">
        <v>192</v>
      </c>
      <c r="R150" s="386"/>
      <c r="S150" s="529" t="s">
        <v>182</v>
      </c>
      <c r="T150" s="16"/>
      <c r="U150" s="58"/>
    </row>
    <row r="151" spans="1:21">
      <c r="H151" s="1531"/>
      <c r="K151" s="130"/>
      <c r="L151" s="369" t="s">
        <v>456</v>
      </c>
      <c r="M151" s="16"/>
      <c r="N151" s="529" t="s">
        <v>185</v>
      </c>
      <c r="O151" s="16"/>
      <c r="P151" s="58"/>
      <c r="Q151" s="241" t="s">
        <v>453</v>
      </c>
      <c r="R151" s="386"/>
      <c r="S151" s="529" t="s">
        <v>193</v>
      </c>
      <c r="T151" s="16"/>
      <c r="U151" s="58"/>
    </row>
    <row r="152" spans="1:21" ht="15.75">
      <c r="C152" s="203"/>
      <c r="E152" s="223">
        <f>IL</f>
        <v>7</v>
      </c>
      <c r="F152" t="s">
        <v>172</v>
      </c>
      <c r="H152" s="1550">
        <v>5</v>
      </c>
      <c r="I152" s="187" t="s">
        <v>1522</v>
      </c>
      <c r="K152" s="130"/>
      <c r="L152" s="371" t="s">
        <v>454</v>
      </c>
      <c r="M152" s="59"/>
      <c r="N152" s="1556" t="s">
        <v>184</v>
      </c>
      <c r="O152" s="59"/>
      <c r="P152" s="60"/>
      <c r="Q152" s="1556" t="s">
        <v>194</v>
      </c>
      <c r="R152" s="1553"/>
      <c r="S152" s="59"/>
      <c r="T152" s="59"/>
      <c r="U152" s="60"/>
    </row>
    <row r="153" spans="1:21">
      <c r="B153" s="54">
        <f>D43</f>
        <v>6.1</v>
      </c>
      <c r="G153" s="33">
        <f>I43</f>
        <v>6.1</v>
      </c>
      <c r="H153" s="1531"/>
      <c r="K153" s="130"/>
    </row>
    <row r="154" spans="1:21">
      <c r="K154" s="130"/>
    </row>
    <row r="155" spans="1:21">
      <c r="F155" s="46"/>
      <c r="G155" s="46"/>
      <c r="H155" s="46"/>
      <c r="I155" s="46"/>
      <c r="K155" s="130"/>
    </row>
    <row r="156" spans="1:21">
      <c r="A156" t="s">
        <v>1541</v>
      </c>
      <c r="B156" s="36">
        <f>B100</f>
        <v>8.8000000000000007</v>
      </c>
      <c r="F156" s="46"/>
      <c r="G156" s="46"/>
      <c r="H156" s="46"/>
      <c r="I156" s="46"/>
      <c r="K156" s="130"/>
    </row>
    <row r="157" spans="1:21">
      <c r="A157" t="s">
        <v>1542</v>
      </c>
      <c r="B157" s="36">
        <f>B104</f>
        <v>11.8</v>
      </c>
      <c r="H157" t="s">
        <v>1541</v>
      </c>
      <c r="I157" s="36">
        <f>B101</f>
        <v>7.9</v>
      </c>
      <c r="K157" s="130"/>
    </row>
    <row r="158" spans="1:21">
      <c r="D158" s="10">
        <f>D26+E8</f>
        <v>8.8000000000000007</v>
      </c>
      <c r="F158" t="s">
        <v>23</v>
      </c>
      <c r="H158" t="s">
        <v>1542</v>
      </c>
      <c r="I158" s="36">
        <f>B105</f>
        <v>11.5</v>
      </c>
      <c r="K158" s="130"/>
    </row>
    <row r="159" spans="1:21">
      <c r="A159" s="7" t="s">
        <v>22</v>
      </c>
      <c r="K159" s="130"/>
    </row>
    <row r="160" spans="1:21" ht="15.75">
      <c r="B160" s="26" t="s">
        <v>169</v>
      </c>
      <c r="C160" s="17" t="s">
        <v>136</v>
      </c>
      <c r="G160" s="15"/>
      <c r="K160" s="130"/>
    </row>
    <row r="161" spans="1:41">
      <c r="H161" t="s">
        <v>392</v>
      </c>
      <c r="K161" s="130"/>
      <c r="Q161" s="2014" t="s">
        <v>1957</v>
      </c>
      <c r="R161" s="102"/>
      <c r="S161" s="1732"/>
      <c r="T161" s="93"/>
    </row>
    <row r="162" spans="1:41">
      <c r="B162" s="203" t="s">
        <v>1501</v>
      </c>
      <c r="C162" s="36">
        <f>D26</f>
        <v>7</v>
      </c>
      <c r="D162" s="113" t="s">
        <v>172</v>
      </c>
      <c r="K162" s="130"/>
      <c r="Q162" s="1851" t="s">
        <v>1012</v>
      </c>
      <c r="R162" s="706"/>
      <c r="S162" s="55"/>
      <c r="T162" s="56"/>
    </row>
    <row r="163" spans="1:41">
      <c r="K163" s="130"/>
      <c r="Q163" s="703" t="s">
        <v>188</v>
      </c>
      <c r="R163" s="16">
        <v>0.6</v>
      </c>
      <c r="S163" s="16"/>
      <c r="T163" s="58"/>
    </row>
    <row r="164" spans="1:41">
      <c r="K164" s="130"/>
      <c r="Q164" s="259" t="s">
        <v>600</v>
      </c>
      <c r="R164" s="704">
        <f>P171-V171/2</f>
        <v>0.90000000000000069</v>
      </c>
      <c r="S164" s="241" t="s">
        <v>1013</v>
      </c>
      <c r="T164" s="58"/>
    </row>
    <row r="165" spans="1:41">
      <c r="A165" s="392" t="s">
        <v>1997</v>
      </c>
      <c r="B165" s="174"/>
      <c r="C165" s="174"/>
      <c r="F165" s="46"/>
      <c r="G165" s="46"/>
      <c r="H165" s="46"/>
      <c r="I165" s="46"/>
      <c r="K165" s="130"/>
      <c r="Q165" s="702" t="s">
        <v>1011</v>
      </c>
      <c r="R165" s="59"/>
      <c r="S165" s="705">
        <f>R163*U171*(2*C18*R164)^0.5</f>
        <v>13.614941086908903</v>
      </c>
      <c r="T165" s="518" t="s">
        <v>179</v>
      </c>
    </row>
    <row r="166" spans="1:41">
      <c r="A166" s="1" t="s">
        <v>1963</v>
      </c>
      <c r="K166" s="130"/>
      <c r="L166" s="2409" t="s">
        <v>1963</v>
      </c>
      <c r="M166" s="2408"/>
      <c r="N166" s="400"/>
    </row>
    <row r="167" spans="1:41">
      <c r="A167" s="207" t="s">
        <v>1946</v>
      </c>
      <c r="B167" s="127"/>
      <c r="C167" s="2356">
        <f>IF(AND(P169&lt;1.5*V169,Q169&lt;=AA169),5,IF(AND(P170&lt;1.5*V170,Q170&gt;AA170),4,IF(AND(P171&gt;=1.5*V171,Q171&lt;V171),3,1)))</f>
        <v>5</v>
      </c>
      <c r="G167" s="113" t="s">
        <v>168</v>
      </c>
      <c r="H167" s="187" t="str">
        <f>VLOOKUP(C167,L169:AO172,17,FALSE())</f>
        <v xml:space="preserve">H1 &lt; 1.5 D,  H2 &lt;= Hc   </v>
      </c>
      <c r="K167" s="130"/>
      <c r="L167" s="2355" t="s">
        <v>1520</v>
      </c>
      <c r="M167" s="2341" t="s">
        <v>1895</v>
      </c>
      <c r="N167" s="102"/>
      <c r="O167" s="93"/>
      <c r="P167" s="2342" t="s">
        <v>1942</v>
      </c>
      <c r="Q167" s="256" t="s">
        <v>1943</v>
      </c>
      <c r="R167" s="256" t="s">
        <v>955</v>
      </c>
      <c r="S167" s="256" t="s">
        <v>1944</v>
      </c>
      <c r="T167" s="1608" t="s">
        <v>118</v>
      </c>
      <c r="U167" s="256" t="s">
        <v>1945</v>
      </c>
      <c r="V167" s="1608" t="s">
        <v>136</v>
      </c>
      <c r="W167" s="2344" t="s">
        <v>1896</v>
      </c>
      <c r="X167" s="2323"/>
      <c r="Y167" s="102"/>
      <c r="Z167" s="94" t="s">
        <v>1897</v>
      </c>
      <c r="AA167" s="2354" t="s">
        <v>960</v>
      </c>
      <c r="AB167" s="2345" t="s">
        <v>462</v>
      </c>
      <c r="AC167" s="102"/>
      <c r="AD167" s="93"/>
      <c r="AE167" s="101">
        <v>1</v>
      </c>
      <c r="AF167" s="102"/>
      <c r="AG167" s="101">
        <v>2</v>
      </c>
      <c r="AH167" s="93"/>
      <c r="AI167" s="101">
        <v>3</v>
      </c>
      <c r="AJ167" s="93"/>
      <c r="AK167" s="101">
        <v>4</v>
      </c>
      <c r="AL167" s="93"/>
      <c r="AM167" s="102">
        <v>5</v>
      </c>
      <c r="AN167" s="102"/>
      <c r="AO167" s="94">
        <v>6</v>
      </c>
    </row>
    <row r="168" spans="1:41">
      <c r="G168" s="113"/>
      <c r="H168" s="26" t="str">
        <f>VLOOKUP(C167,L169:AO172,20,FALSE())</f>
        <v>Free Wier</v>
      </c>
      <c r="K168" s="130"/>
      <c r="L168" s="2341">
        <v>1</v>
      </c>
      <c r="M168" s="2341">
        <f>L168+1</f>
        <v>2</v>
      </c>
      <c r="N168" s="2341">
        <f t="shared" ref="N168:AO168" si="0">M168+1</f>
        <v>3</v>
      </c>
      <c r="O168" s="2341">
        <f t="shared" si="0"/>
        <v>4</v>
      </c>
      <c r="P168" s="2341">
        <f t="shared" si="0"/>
        <v>5</v>
      </c>
      <c r="Q168" s="2341">
        <f t="shared" si="0"/>
        <v>6</v>
      </c>
      <c r="R168" s="2341">
        <f t="shared" si="0"/>
        <v>7</v>
      </c>
      <c r="S168" s="2341">
        <f t="shared" si="0"/>
        <v>8</v>
      </c>
      <c r="T168" s="2341">
        <f t="shared" si="0"/>
        <v>9</v>
      </c>
      <c r="U168" s="2341">
        <f t="shared" si="0"/>
        <v>10</v>
      </c>
      <c r="V168" s="2341">
        <f t="shared" si="0"/>
        <v>11</v>
      </c>
      <c r="W168" s="2341">
        <f t="shared" si="0"/>
        <v>12</v>
      </c>
      <c r="X168" s="2341">
        <f t="shared" si="0"/>
        <v>13</v>
      </c>
      <c r="Y168" s="2341">
        <f t="shared" si="0"/>
        <v>14</v>
      </c>
      <c r="Z168" s="2341">
        <f t="shared" si="0"/>
        <v>15</v>
      </c>
      <c r="AA168" s="2341">
        <f t="shared" si="0"/>
        <v>16</v>
      </c>
      <c r="AB168" s="2341">
        <f>AA168+1</f>
        <v>17</v>
      </c>
      <c r="AC168" s="2341">
        <f t="shared" si="0"/>
        <v>18</v>
      </c>
      <c r="AD168" s="2341">
        <f t="shared" si="0"/>
        <v>19</v>
      </c>
      <c r="AE168" s="2341">
        <f t="shared" si="0"/>
        <v>20</v>
      </c>
      <c r="AF168" s="2341">
        <f t="shared" si="0"/>
        <v>21</v>
      </c>
      <c r="AG168" s="2341">
        <f t="shared" si="0"/>
        <v>22</v>
      </c>
      <c r="AH168" s="2341">
        <f t="shared" si="0"/>
        <v>23</v>
      </c>
      <c r="AI168" s="2341">
        <f t="shared" si="0"/>
        <v>24</v>
      </c>
      <c r="AJ168" s="2341">
        <f t="shared" si="0"/>
        <v>25</v>
      </c>
      <c r="AK168" s="2341">
        <f t="shared" si="0"/>
        <v>26</v>
      </c>
      <c r="AL168" s="2341">
        <f t="shared" si="0"/>
        <v>27</v>
      </c>
      <c r="AM168" s="2341">
        <f t="shared" si="0"/>
        <v>28</v>
      </c>
      <c r="AN168" s="2341">
        <f t="shared" si="0"/>
        <v>29</v>
      </c>
      <c r="AO168" s="94">
        <f t="shared" si="0"/>
        <v>30</v>
      </c>
    </row>
    <row r="169" spans="1:41" ht="15.75">
      <c r="A169" s="113" t="s">
        <v>170</v>
      </c>
      <c r="B169" s="33">
        <f>B100-IL</f>
        <v>1.8000000000000007</v>
      </c>
      <c r="C169" s="203" t="s">
        <v>967</v>
      </c>
      <c r="D169" s="33">
        <f>C7*C8</f>
        <v>3</v>
      </c>
      <c r="E169" s="26" t="s">
        <v>5</v>
      </c>
      <c r="H169" s="26" t="str">
        <f>VLOOKUP(C167,L169:AO172,22,FALSE())</f>
        <v>Inlet not submerged</v>
      </c>
      <c r="K169" s="130"/>
      <c r="L169" s="2361">
        <v>5</v>
      </c>
      <c r="M169" s="2352">
        <f>Table!E42</f>
        <v>1.35</v>
      </c>
      <c r="N169" s="2363" t="s">
        <v>706</v>
      </c>
      <c r="O169" s="2364"/>
      <c r="P169" s="2365">
        <f>B100-D26</f>
        <v>1.8000000000000007</v>
      </c>
      <c r="Q169" s="2365">
        <f>B101-D26</f>
        <v>0.90000000000000036</v>
      </c>
      <c r="R169" s="2365">
        <f>P169-Q169</f>
        <v>0.90000000000000036</v>
      </c>
      <c r="S169" s="2366"/>
      <c r="T169" s="2365">
        <f>C7*C8</f>
        <v>3</v>
      </c>
      <c r="U169" s="2366"/>
      <c r="V169" s="2365">
        <f>E8</f>
        <v>1.8</v>
      </c>
      <c r="W169" s="2367" t="s">
        <v>1949</v>
      </c>
      <c r="X169" s="2368"/>
      <c r="Y169" s="2368"/>
      <c r="Z169" s="2365">
        <f>M169*T169*P169^(3/2)</f>
        <v>9.7805613335840871</v>
      </c>
      <c r="AA169" s="2369">
        <f>((Z169/T169)^2/C18)^(1/3)</f>
        <v>1.0270825443992604</v>
      </c>
      <c r="AB169" s="2367" t="s">
        <v>1950</v>
      </c>
      <c r="AC169" s="2367"/>
      <c r="AD169" s="2370"/>
      <c r="AE169" s="2371" t="s">
        <v>167</v>
      </c>
      <c r="AF169" s="2370"/>
      <c r="AG169" s="2372" t="s">
        <v>173</v>
      </c>
      <c r="AH169" s="2372"/>
      <c r="AI169" s="2373" t="s">
        <v>185</v>
      </c>
      <c r="AJ169" s="2374"/>
      <c r="AK169" s="2372" t="s">
        <v>455</v>
      </c>
      <c r="AL169" s="2372"/>
      <c r="AM169" s="2373"/>
      <c r="AN169" s="2374"/>
      <c r="AO169" s="2375"/>
    </row>
    <row r="170" spans="1:41" ht="15.75">
      <c r="A170" s="113" t="s">
        <v>171</v>
      </c>
      <c r="B170" s="33">
        <f>B101-IL</f>
        <v>0.90000000000000036</v>
      </c>
      <c r="C170" s="203" t="s">
        <v>968</v>
      </c>
      <c r="D170" s="33">
        <f>D</f>
        <v>1.8</v>
      </c>
      <c r="E170" s="26" t="s">
        <v>5</v>
      </c>
      <c r="H170" s="187" t="str">
        <f>VLOOKUP(C167,L169:AO172,24,FALSE())</f>
        <v xml:space="preserve">Outlet not submerged </v>
      </c>
      <c r="K170" s="130"/>
      <c r="L170" s="2361">
        <v>4</v>
      </c>
      <c r="M170" s="2352">
        <v>0.82</v>
      </c>
      <c r="N170" s="2363" t="s">
        <v>969</v>
      </c>
      <c r="O170" s="2364"/>
      <c r="P170" s="2365">
        <f>B100-D26</f>
        <v>1.8000000000000007</v>
      </c>
      <c r="Q170" s="2365">
        <f>B101-D26</f>
        <v>0.90000000000000036</v>
      </c>
      <c r="R170" s="2365">
        <f>P170-Q170</f>
        <v>0.90000000000000036</v>
      </c>
      <c r="S170" s="2366"/>
      <c r="T170" s="2365">
        <f>C7*C8</f>
        <v>3</v>
      </c>
      <c r="U170" s="2366"/>
      <c r="V170" s="2365">
        <f>E8</f>
        <v>1.8</v>
      </c>
      <c r="W170" s="2367" t="s">
        <v>1951</v>
      </c>
      <c r="X170" s="2368"/>
      <c r="Y170" s="2368"/>
      <c r="Z170" s="2365">
        <f>M170*T170*Q170*SQRT(2*C18*R170)</f>
        <v>9.3035430760544173</v>
      </c>
      <c r="AA170" s="2369">
        <f>((Z170/T170)^2/C18)^(1/3)</f>
        <v>0.99340973042232805</v>
      </c>
      <c r="AB170" s="2367" t="s">
        <v>1952</v>
      </c>
      <c r="AC170" s="2367"/>
      <c r="AD170" s="2370"/>
      <c r="AE170" s="2371" t="s">
        <v>167</v>
      </c>
      <c r="AF170" s="2370"/>
      <c r="AG170" s="2367" t="s">
        <v>173</v>
      </c>
      <c r="AH170" s="2367"/>
      <c r="AI170" s="2371" t="s">
        <v>185</v>
      </c>
      <c r="AJ170" s="2370"/>
      <c r="AK170" s="2367" t="s">
        <v>455</v>
      </c>
      <c r="AL170" s="2367"/>
      <c r="AM170" s="2371"/>
      <c r="AN170" s="2370"/>
      <c r="AO170" s="2364"/>
    </row>
    <row r="171" spans="1:41" ht="15.75">
      <c r="A171" s="113" t="s">
        <v>195</v>
      </c>
      <c r="B171" s="33">
        <f>B169-B170</f>
        <v>0.90000000000000036</v>
      </c>
      <c r="C171" s="203" t="s">
        <v>1973</v>
      </c>
      <c r="D171" s="33">
        <f>C7*C8*E8</f>
        <v>5.4</v>
      </c>
      <c r="E171" s="30" t="s">
        <v>871</v>
      </c>
      <c r="H171" t="str">
        <f>VLOOKUP(C167,L169:AO172,26,FALSE())</f>
        <v>Outlet control</v>
      </c>
      <c r="K171" s="130"/>
      <c r="L171" s="2361">
        <v>3</v>
      </c>
      <c r="M171" s="2353">
        <f>VLOOKUP(S171,Table!C18:D31,2,TRUE)</f>
        <v>0.49</v>
      </c>
      <c r="N171" s="2363" t="s">
        <v>695</v>
      </c>
      <c r="O171" s="2364"/>
      <c r="P171" s="2365">
        <f>B100-D26</f>
        <v>1.8000000000000007</v>
      </c>
      <c r="Q171" s="2365">
        <f>B101-D26</f>
        <v>0.90000000000000036</v>
      </c>
      <c r="R171" s="2366"/>
      <c r="S171" s="2376">
        <f>V171/P171</f>
        <v>0.99999999999999967</v>
      </c>
      <c r="T171" s="2366"/>
      <c r="U171" s="2365">
        <f>C7*C8*E8</f>
        <v>5.4</v>
      </c>
      <c r="V171" s="2365">
        <f>E8</f>
        <v>1.8</v>
      </c>
      <c r="W171" s="2367" t="s">
        <v>1953</v>
      </c>
      <c r="X171" s="2368"/>
      <c r="Y171" s="2368"/>
      <c r="Z171" s="2365">
        <f>M171*U171*(2*C18*P171)^0.5</f>
        <v>15.724454707747423</v>
      </c>
      <c r="AA171" s="2369">
        <f>((Z171/T170)^2/C18)^(1/3)</f>
        <v>1.40954806702256</v>
      </c>
      <c r="AB171" s="2367" t="s">
        <v>1954</v>
      </c>
      <c r="AC171" s="2367"/>
      <c r="AD171" s="2370"/>
      <c r="AE171" s="2371" t="s">
        <v>181</v>
      </c>
      <c r="AF171" s="2370"/>
      <c r="AG171" s="2367" t="s">
        <v>683</v>
      </c>
      <c r="AH171" s="2367"/>
      <c r="AI171" s="2371" t="s">
        <v>185</v>
      </c>
      <c r="AJ171" s="2370"/>
      <c r="AK171" s="2367" t="s">
        <v>184</v>
      </c>
      <c r="AL171" s="2367"/>
      <c r="AM171" s="2364" t="s">
        <v>454</v>
      </c>
      <c r="AN171" s="2370"/>
      <c r="AO171" s="2364" t="s">
        <v>456</v>
      </c>
    </row>
    <row r="172" spans="1:41" ht="15.75">
      <c r="A172" s="2343" t="s">
        <v>187</v>
      </c>
      <c r="B172" s="33">
        <f>D170/B169</f>
        <v>0.99999999999999967</v>
      </c>
      <c r="C172" s="113" t="str">
        <f>IF(C167=3,"Cq =","C =")</f>
        <v>C =</v>
      </c>
      <c r="D172">
        <f>VLOOKUP(C167,L169:AO172,2,FALSE())</f>
        <v>1.35</v>
      </c>
      <c r="E172" t="str">
        <f>VLOOKUP(C167,L169:AO172,3,FALSE())</f>
        <v>( from Table 2 )</v>
      </c>
      <c r="H172" s="2360">
        <f>VLOOKUP(C167,L169:AO172,28,FALSE())</f>
        <v>0</v>
      </c>
      <c r="K172" s="130"/>
      <c r="L172" s="2362">
        <v>1</v>
      </c>
      <c r="M172" s="2402">
        <v>0.80200000000000005</v>
      </c>
      <c r="N172" s="2377" t="s">
        <v>972</v>
      </c>
      <c r="O172" s="2378"/>
      <c r="P172" s="2379">
        <f>B100-D26</f>
        <v>1.8000000000000007</v>
      </c>
      <c r="Q172" s="2379">
        <f>B101-D26</f>
        <v>0.90000000000000036</v>
      </c>
      <c r="R172" s="2380">
        <f>P172-Q172</f>
        <v>0.90000000000000036</v>
      </c>
      <c r="S172" s="2381"/>
      <c r="T172" s="2381"/>
      <c r="U172" s="2379">
        <f>C7*C8*E8</f>
        <v>5.4</v>
      </c>
      <c r="V172" s="2379">
        <f>E8</f>
        <v>1.8</v>
      </c>
      <c r="W172" s="2382" t="s">
        <v>1955</v>
      </c>
      <c r="X172" s="2383"/>
      <c r="Y172" s="2383"/>
      <c r="Z172" s="2379">
        <f>M172*U172*(2*C18*R172)^0.5</f>
        <v>18.198637919501564</v>
      </c>
      <c r="AA172" s="2384">
        <f>((Z172/T170)^2/C18)^(1/3)</f>
        <v>1.5537772224288153</v>
      </c>
      <c r="AB172" s="2382" t="s">
        <v>1956</v>
      </c>
      <c r="AC172" s="2382"/>
      <c r="AD172" s="2385"/>
      <c r="AE172" s="2386" t="s">
        <v>192</v>
      </c>
      <c r="AF172" s="2385"/>
      <c r="AG172" s="2382" t="s">
        <v>182</v>
      </c>
      <c r="AH172" s="2382"/>
      <c r="AI172" s="2386" t="s">
        <v>193</v>
      </c>
      <c r="AJ172" s="2385"/>
      <c r="AK172" s="2382" t="s">
        <v>453</v>
      </c>
      <c r="AL172" s="2382"/>
      <c r="AM172" s="2378" t="s">
        <v>194</v>
      </c>
      <c r="AN172" s="2385"/>
      <c r="AO172" s="2378"/>
    </row>
    <row r="173" spans="1:41">
      <c r="H173" s="2360">
        <f>VLOOKUP(C167,L169:AO172,30,FALSE())</f>
        <v>0</v>
      </c>
      <c r="K173" s="130"/>
    </row>
    <row r="174" spans="1:41">
      <c r="A174" s="26" t="str">
        <f>VLOOKUP(C167,L169:AO172,12,FALSE())</f>
        <v>Q  = C b  H1 3/2  =</v>
      </c>
      <c r="B174" s="7"/>
      <c r="D174" s="33">
        <f>VLOOKUP(C167,L169:AO172,15,FALSE())</f>
        <v>9.7805613335840871</v>
      </c>
      <c r="E174" s="26" t="s">
        <v>198</v>
      </c>
      <c r="F174" s="129">
        <f>D174*35.31</f>
        <v>345.35162068885415</v>
      </c>
      <c r="G174" s="26" t="s">
        <v>54</v>
      </c>
      <c r="K174" s="130"/>
      <c r="L174" s="2409" t="s">
        <v>1964</v>
      </c>
      <c r="M174" s="2408"/>
      <c r="N174" s="400"/>
    </row>
    <row r="175" spans="1:41" ht="14.25">
      <c r="A175" s="487" t="s">
        <v>1540</v>
      </c>
      <c r="B175" s="163"/>
      <c r="C175" s="164"/>
      <c r="D175" s="33">
        <f>VLOOKUP(C167,L169:AO172,16,FALSE())</f>
        <v>1.0270825443992604</v>
      </c>
      <c r="E175" s="164" t="s">
        <v>5</v>
      </c>
      <c r="K175" s="130"/>
      <c r="L175" s="2355" t="s">
        <v>1520</v>
      </c>
      <c r="M175" s="94" t="s">
        <v>1895</v>
      </c>
      <c r="N175" s="2348" t="s">
        <v>1942</v>
      </c>
      <c r="O175" s="256" t="s">
        <v>1943</v>
      </c>
      <c r="P175" s="2349" t="s">
        <v>955</v>
      </c>
      <c r="Q175" s="256" t="s">
        <v>1944</v>
      </c>
      <c r="R175" s="94" t="s">
        <v>1897</v>
      </c>
      <c r="S175" s="2354" t="s">
        <v>960</v>
      </c>
    </row>
    <row r="176" spans="1:41">
      <c r="K176" s="130"/>
      <c r="L176" s="2346">
        <v>1</v>
      </c>
      <c r="M176" s="2346">
        <f>L176+1</f>
        <v>2</v>
      </c>
      <c r="N176" s="2346">
        <f t="shared" ref="N176:S176" si="1">M176+1</f>
        <v>3</v>
      </c>
      <c r="O176" s="94">
        <f t="shared" si="1"/>
        <v>4</v>
      </c>
      <c r="P176" s="2347">
        <f t="shared" si="1"/>
        <v>5</v>
      </c>
      <c r="Q176" s="2346">
        <f t="shared" si="1"/>
        <v>6</v>
      </c>
      <c r="R176" s="2346">
        <f t="shared" si="1"/>
        <v>7</v>
      </c>
      <c r="S176" s="94">
        <f t="shared" si="1"/>
        <v>8</v>
      </c>
    </row>
    <row r="177" spans="1:19">
      <c r="A177" s="187" t="s">
        <v>1947</v>
      </c>
      <c r="F177" s="33">
        <f>D113</f>
        <v>19.340277777777779</v>
      </c>
      <c r="G177" s="187" t="s">
        <v>179</v>
      </c>
      <c r="H177" s="126" t="str">
        <f>IF(D174&gt;F177,"ok","not ok")</f>
        <v>not ok</v>
      </c>
      <c r="K177" s="130"/>
      <c r="L177" s="2361">
        <v>5</v>
      </c>
      <c r="M177" s="2395">
        <f>M169</f>
        <v>1.35</v>
      </c>
      <c r="N177" s="2387">
        <f>+B104-D26</f>
        <v>4.8000000000000007</v>
      </c>
      <c r="O177" s="2365">
        <f>B105-D26</f>
        <v>4.5</v>
      </c>
      <c r="P177" s="2387">
        <f>N177-O177</f>
        <v>0.30000000000000071</v>
      </c>
      <c r="Q177" s="2366"/>
      <c r="R177" s="2388">
        <f>M169*T169*N177^(3/2)</f>
        <v>42.590906071601736</v>
      </c>
      <c r="S177" s="2389">
        <f>((R177/T169)^2/C18)^(1/3)</f>
        <v>2.7388867850646936</v>
      </c>
    </row>
    <row r="178" spans="1:19">
      <c r="H178" s="26"/>
      <c r="K178" s="130"/>
      <c r="L178" s="2361">
        <v>4</v>
      </c>
      <c r="M178" s="2396">
        <f>M170</f>
        <v>0.82</v>
      </c>
      <c r="N178" s="2387">
        <f>B104-D26</f>
        <v>4.8000000000000007</v>
      </c>
      <c r="O178" s="2365">
        <f>B105-D26</f>
        <v>4.5</v>
      </c>
      <c r="P178" s="2387">
        <f>N178-O178</f>
        <v>0.30000000000000071</v>
      </c>
      <c r="Q178" s="2366"/>
      <c r="R178" s="2390">
        <f>M170*T170*O178*SQRT(2*C18*P178)</f>
        <v>26.857015496886504</v>
      </c>
      <c r="S178" s="2365">
        <f>((R178/T170)^2/C18)^(1/3)</f>
        <v>2.0140395482655733</v>
      </c>
    </row>
    <row r="179" spans="1:19">
      <c r="A179" s="1" t="s">
        <v>1998</v>
      </c>
      <c r="H179" s="26"/>
      <c r="K179" s="130"/>
      <c r="L179" s="2361">
        <v>3</v>
      </c>
      <c r="M179" s="2403">
        <f>VLOOKUP(Q179,Table!C18:D31,2,TRUE)</f>
        <v>0.52600000000000002</v>
      </c>
      <c r="N179" s="2387">
        <f>B104-D26</f>
        <v>4.8000000000000007</v>
      </c>
      <c r="O179" s="2365">
        <f>B105-D26</f>
        <v>4.5</v>
      </c>
      <c r="P179" s="2391"/>
      <c r="Q179" s="2392">
        <f>'Run Off'!E16/N179</f>
        <v>0.37499999999999994</v>
      </c>
      <c r="R179" s="2390">
        <f>M179*U171*(2*C18*N179)^0.5</f>
        <v>27.564468588023974</v>
      </c>
      <c r="S179" s="2365">
        <f>((R179/T170)^2/C18)^(1/3)</f>
        <v>2.0492545617285898</v>
      </c>
    </row>
    <row r="180" spans="1:19">
      <c r="A180" s="207" t="s">
        <v>1946</v>
      </c>
      <c r="B180" s="127"/>
      <c r="C180" s="2356">
        <f>IF(AND(N177&lt;1.5*D183,O177&lt;=S177),5,IF(AND(N178&lt;1.5*D183,O178&gt;S178),4,IF(AND(N179&gt;=1.5*D183,O179&lt;D183),3,1)))</f>
        <v>1</v>
      </c>
      <c r="G180" s="113" t="s">
        <v>168</v>
      </c>
      <c r="H180" s="187" t="str">
        <f>VLOOKUP(C180,L169:AO172,17,FALSE())</f>
        <v xml:space="preserve">H1 &gt;  D,  H2 &gt; D   </v>
      </c>
      <c r="K180" s="130"/>
      <c r="L180" s="2362">
        <v>1</v>
      </c>
      <c r="M180" s="2404">
        <f>M172</f>
        <v>0.80200000000000005</v>
      </c>
      <c r="N180" s="2393">
        <f>B104-D26</f>
        <v>4.8000000000000007</v>
      </c>
      <c r="O180" s="2379">
        <f>B105-D26</f>
        <v>4.5</v>
      </c>
      <c r="P180" s="2393">
        <f>N180-O180</f>
        <v>0.30000000000000071</v>
      </c>
      <c r="Q180" s="2381"/>
      <c r="R180" s="2394">
        <f>M172*U172*(2*C18*P180)^0.5</f>
        <v>10.50698850170877</v>
      </c>
      <c r="S180" s="2379">
        <f>((R180/T170)^2/C18)^(1/3)</f>
        <v>1.0773289550002338</v>
      </c>
    </row>
    <row r="181" spans="1:19">
      <c r="G181" s="113"/>
      <c r="H181" s="26" t="str">
        <f>VLOOKUP(C180,L169:AO172,20,FALSE())</f>
        <v>Submerged Orifice</v>
      </c>
      <c r="K181" s="130"/>
    </row>
    <row r="182" spans="1:19">
      <c r="A182" s="113" t="s">
        <v>170</v>
      </c>
      <c r="B182" s="33">
        <f>B104-IL</f>
        <v>4.8000000000000007</v>
      </c>
      <c r="C182" s="203" t="s">
        <v>967</v>
      </c>
      <c r="D182" s="33">
        <f>C7*C8</f>
        <v>3</v>
      </c>
      <c r="E182" s="26" t="s">
        <v>5</v>
      </c>
      <c r="H182" s="26" t="str">
        <f>VLOOKUP(C180,L169:AO172,22,FALSE())</f>
        <v>Inlet submerged</v>
      </c>
      <c r="K182" s="130"/>
    </row>
    <row r="183" spans="1:19" ht="15.75">
      <c r="A183" s="113" t="s">
        <v>171</v>
      </c>
      <c r="B183" s="33">
        <f>B105-IL</f>
        <v>4.5</v>
      </c>
      <c r="C183" s="203" t="s">
        <v>968</v>
      </c>
      <c r="D183" s="206">
        <f>D</f>
        <v>1.8</v>
      </c>
      <c r="E183" s="26" t="s">
        <v>5</v>
      </c>
      <c r="H183" s="187" t="str">
        <f>VLOOKUP(C180,L169:AO172,24,FALSE())</f>
        <v xml:space="preserve">Outlet submerged </v>
      </c>
      <c r="K183" s="130"/>
      <c r="L183" s="2373" t="s">
        <v>1950</v>
      </c>
      <c r="M183" s="55"/>
      <c r="N183" s="55"/>
      <c r="O183" s="2373" t="s">
        <v>1949</v>
      </c>
      <c r="P183" s="55"/>
      <c r="Q183" s="2431"/>
    </row>
    <row r="184" spans="1:19" ht="15.75">
      <c r="A184" s="113" t="s">
        <v>195</v>
      </c>
      <c r="B184" s="33">
        <f>B182-B183</f>
        <v>0.30000000000000071</v>
      </c>
      <c r="C184" s="113" t="s">
        <v>189</v>
      </c>
      <c r="D184" s="33">
        <f>C7*C8*E8</f>
        <v>5.4</v>
      </c>
      <c r="E184" s="30" t="s">
        <v>871</v>
      </c>
      <c r="H184" t="str">
        <f>VLOOKUP(C180,L169:AO172,26,FALSE())</f>
        <v>Pipe flow</v>
      </c>
      <c r="K184" s="130"/>
      <c r="L184" s="2371" t="s">
        <v>1952</v>
      </c>
      <c r="M184" s="16"/>
      <c r="N184" s="16"/>
      <c r="O184" s="2371" t="s">
        <v>1951</v>
      </c>
      <c r="P184" s="16"/>
      <c r="Q184" s="58"/>
    </row>
    <row r="185" spans="1:19" ht="15.75">
      <c r="A185" s="2351" t="s">
        <v>187</v>
      </c>
      <c r="B185" s="33">
        <f>D183/B182</f>
        <v>0.37499999999999994</v>
      </c>
      <c r="C185" s="113" t="str">
        <f>IF(C180=3,"Cq =","C =")</f>
        <v>C =</v>
      </c>
      <c r="D185">
        <f>VLOOKUP(C180,L177:AO180,2,FALSE())</f>
        <v>0.80200000000000005</v>
      </c>
      <c r="E185" t="str">
        <f>VLOOKUP(C180,L169:AO172,3,FALSE())</f>
        <v>( BWDB Manual, P11)</v>
      </c>
      <c r="H185" s="2360" t="str">
        <f>VLOOKUP(C180,L169:AO172,28,FALSE())</f>
        <v>Full flow ( outlet control )</v>
      </c>
      <c r="K185" s="130"/>
      <c r="L185" s="2371" t="s">
        <v>1954</v>
      </c>
      <c r="M185" s="16"/>
      <c r="N185" s="16"/>
      <c r="O185" s="2371" t="s">
        <v>1953</v>
      </c>
      <c r="P185" s="16"/>
      <c r="Q185" s="58"/>
    </row>
    <row r="186" spans="1:19" ht="15.75">
      <c r="H186" s="2360">
        <f>VLOOKUP(C180,L169:AO172,30,FALSE())</f>
        <v>0</v>
      </c>
      <c r="K186" s="130"/>
      <c r="L186" s="2386" t="s">
        <v>1956</v>
      </c>
      <c r="M186" s="59"/>
      <c r="N186" s="59"/>
      <c r="O186" s="2386" t="s">
        <v>1955</v>
      </c>
      <c r="P186" s="59"/>
      <c r="Q186" s="60"/>
    </row>
    <row r="187" spans="1:19">
      <c r="A187" s="26" t="str">
        <f>VLOOKUP(C180,L169:AO172,12,FALSE())</f>
        <v>Q = C A √  2g  ΔH =</v>
      </c>
      <c r="B187" s="2350"/>
      <c r="D187" s="33">
        <f>VLOOKUP(C180,L177:S180,7,FALSE())</f>
        <v>10.50698850170877</v>
      </c>
      <c r="E187" s="26" t="s">
        <v>198</v>
      </c>
      <c r="F187" s="129">
        <f>D187*35.31</f>
        <v>371.00176399533672</v>
      </c>
      <c r="G187" s="26" t="s">
        <v>54</v>
      </c>
      <c r="K187" s="130"/>
    </row>
    <row r="188" spans="1:19" ht="14.25">
      <c r="A188" s="487" t="s">
        <v>1540</v>
      </c>
      <c r="B188" s="163"/>
      <c r="C188" s="164"/>
      <c r="D188" s="33">
        <f>VLOOKUP(C180,L177:S180,8,FALSE())</f>
        <v>1.0773289550002338</v>
      </c>
      <c r="E188" s="164" t="s">
        <v>5</v>
      </c>
      <c r="K188" s="130"/>
    </row>
    <row r="189" spans="1:19">
      <c r="H189" s="26"/>
      <c r="K189" s="130"/>
    </row>
    <row r="190" spans="1:19">
      <c r="A190" s="187" t="s">
        <v>1948</v>
      </c>
      <c r="F190" s="33">
        <f>D121</f>
        <v>23.208333333333339</v>
      </c>
      <c r="G190" s="187" t="s">
        <v>179</v>
      </c>
      <c r="H190" s="126" t="str">
        <f>IF(D187&gt;F190,"ok","not ok")</f>
        <v>not ok</v>
      </c>
      <c r="K190" s="130"/>
    </row>
    <row r="191" spans="1:19">
      <c r="H191" s="26"/>
      <c r="K191" s="130"/>
    </row>
    <row r="192" spans="1:19">
      <c r="A192" s="392" t="s">
        <v>1999</v>
      </c>
      <c r="B192" s="174"/>
      <c r="C192" s="174"/>
      <c r="K192" s="130"/>
    </row>
    <row r="193" spans="1:15">
      <c r="E193" s="54">
        <f>IL+D</f>
        <v>8.8000000000000007</v>
      </c>
      <c r="H193" s="2359">
        <f>C124</f>
        <v>8.8000000000000007</v>
      </c>
      <c r="K193" s="130"/>
    </row>
    <row r="194" spans="1:15">
      <c r="B194" s="10">
        <f>C125</f>
        <v>7.9</v>
      </c>
      <c r="F194" t="s">
        <v>23</v>
      </c>
      <c r="K194" s="130"/>
    </row>
    <row r="195" spans="1:15" ht="15.75">
      <c r="C195" s="17"/>
      <c r="G195" s="15"/>
      <c r="H195" s="26" t="s">
        <v>169</v>
      </c>
      <c r="I195" s="2357" t="s">
        <v>23</v>
      </c>
      <c r="K195" s="130"/>
    </row>
    <row r="196" spans="1:15">
      <c r="A196" s="657" t="s">
        <v>22</v>
      </c>
      <c r="B196" s="17" t="s">
        <v>226</v>
      </c>
      <c r="K196" s="130"/>
    </row>
    <row r="197" spans="1:15">
      <c r="D197" s="113"/>
      <c r="E197" t="s">
        <v>172</v>
      </c>
      <c r="F197" s="36">
        <f>IL</f>
        <v>7</v>
      </c>
      <c r="K197" s="130"/>
    </row>
    <row r="198" spans="1:15">
      <c r="K198" s="130"/>
    </row>
    <row r="199" spans="1:15">
      <c r="K199" s="130"/>
    </row>
    <row r="200" spans="1:15">
      <c r="K200" s="130"/>
    </row>
    <row r="201" spans="1:15">
      <c r="K201" s="130"/>
    </row>
    <row r="202" spans="1:15">
      <c r="A202" s="1" t="s">
        <v>2000</v>
      </c>
      <c r="H202" s="26"/>
      <c r="K202" s="130"/>
    </row>
    <row r="203" spans="1:15">
      <c r="A203" s="207" t="s">
        <v>1946</v>
      </c>
      <c r="B203" s="127"/>
      <c r="C203" s="2356">
        <f>IF(AND(B205&lt;1.5*D,B206&lt;=O205),5,IF(AND(B205&lt;1.5*D,B206&gt;O206),4,IF(AND(B205&gt;=1.5*D,B206&lt;D),3,1)))</f>
        <v>5</v>
      </c>
      <c r="G203" s="113" t="s">
        <v>168</v>
      </c>
      <c r="H203" s="187" t="str">
        <f>VLOOKUP(C203,L169:AO172,17,FALSE())</f>
        <v xml:space="preserve">H1 &lt; 1.5 D,  H2 &lt;= Hc   </v>
      </c>
      <c r="K203" s="130"/>
      <c r="L203" s="2407" t="s">
        <v>1958</v>
      </c>
      <c r="M203" s="2408"/>
      <c r="N203" s="400"/>
    </row>
    <row r="204" spans="1:15">
      <c r="G204" s="113"/>
      <c r="H204" s="26" t="str">
        <f>VLOOKUP(C203,L169:AO172,20,FALSE())</f>
        <v>Free Wier</v>
      </c>
      <c r="K204" s="130"/>
      <c r="L204" s="2355" t="s">
        <v>1520</v>
      </c>
      <c r="M204" s="381" t="s">
        <v>1895</v>
      </c>
      <c r="N204" s="94" t="s">
        <v>1897</v>
      </c>
      <c r="O204" s="2354" t="s">
        <v>960</v>
      </c>
    </row>
    <row r="205" spans="1:15">
      <c r="A205" s="113" t="s">
        <v>170</v>
      </c>
      <c r="B205" s="33">
        <f>C124-IL</f>
        <v>1.8000000000000007</v>
      </c>
      <c r="C205" s="203" t="s">
        <v>967</v>
      </c>
      <c r="D205" s="33">
        <f>C7*C8</f>
        <v>3</v>
      </c>
      <c r="E205" s="26" t="s">
        <v>5</v>
      </c>
      <c r="H205" s="26" t="str">
        <f>VLOOKUP(C203,L169:AO172,22,FALSE())</f>
        <v>Inlet not submerged</v>
      </c>
      <c r="K205" s="130"/>
      <c r="L205" s="2361">
        <v>5</v>
      </c>
      <c r="M205" s="2395">
        <f>M169</f>
        <v>1.35</v>
      </c>
      <c r="N205" s="2405">
        <f>M205*D205*B205^(3/2)</f>
        <v>9.7805613335840871</v>
      </c>
      <c r="O205" s="2389">
        <f>((N205/D205)^2/g)^(1/3)</f>
        <v>1.0270825443992604</v>
      </c>
    </row>
    <row r="206" spans="1:15">
      <c r="A206" s="113" t="s">
        <v>171</v>
      </c>
      <c r="B206" s="33">
        <f>C125-IL</f>
        <v>0.90000000000000036</v>
      </c>
      <c r="C206" s="203" t="s">
        <v>968</v>
      </c>
      <c r="D206" s="35">
        <f>D</f>
        <v>1.8</v>
      </c>
      <c r="E206" s="26" t="s">
        <v>5</v>
      </c>
      <c r="H206" s="187" t="str">
        <f>VLOOKUP(C203,L169:AO172,24,FALSE())</f>
        <v xml:space="preserve">Outlet not submerged </v>
      </c>
      <c r="K206" s="130"/>
      <c r="L206" s="2361">
        <v>4</v>
      </c>
      <c r="M206" s="2396">
        <f>M170</f>
        <v>0.82</v>
      </c>
      <c r="N206" s="2387">
        <f>M206*D205*B206*SQRT(2*g*B207)</f>
        <v>9.3035430760544173</v>
      </c>
      <c r="O206" s="2365">
        <f>((N206/D205)^2/g)^(1/3)</f>
        <v>0.99340973042232805</v>
      </c>
    </row>
    <row r="207" spans="1:15">
      <c r="A207" s="113" t="s">
        <v>195</v>
      </c>
      <c r="B207" s="33">
        <f>B205-B206</f>
        <v>0.90000000000000036</v>
      </c>
      <c r="C207" s="113" t="s">
        <v>189</v>
      </c>
      <c r="D207" s="33">
        <f>C7*C8*E8</f>
        <v>5.4</v>
      </c>
      <c r="E207" s="30" t="s">
        <v>871</v>
      </c>
      <c r="H207" t="str">
        <f>VLOOKUP(C203,L169:AO172,26,FALSE())</f>
        <v>Outlet control</v>
      </c>
      <c r="K207" s="130"/>
      <c r="L207" s="2361">
        <v>3</v>
      </c>
      <c r="M207" s="2353">
        <f>VLOOKUP(B208,Table!C18:D31,2,TRUE)</f>
        <v>0.49</v>
      </c>
      <c r="N207" s="2387">
        <f>M207*D207*(2*g*B205)^0.5</f>
        <v>15.724454707747423</v>
      </c>
      <c r="O207" s="2365">
        <f>((N207/D205)^2/g)^(1/3)</f>
        <v>1.40954806702256</v>
      </c>
    </row>
    <row r="208" spans="1:15">
      <c r="A208" s="2351" t="s">
        <v>187</v>
      </c>
      <c r="B208" s="33">
        <f>D206/B205</f>
        <v>0.99999999999999967</v>
      </c>
      <c r="C208" s="113" t="str">
        <f>IF(C203=3,"Cq =","C =")</f>
        <v>C =</v>
      </c>
      <c r="D208">
        <f>VLOOKUP(C203,L205:O208,2,FALSE())</f>
        <v>1.35</v>
      </c>
      <c r="E208" t="str">
        <f>VLOOKUP(C203,L169:AO172,3,FALSE())</f>
        <v>( from Table 2 )</v>
      </c>
      <c r="H208" s="2360">
        <f>VLOOKUP(C203,L169:AO172,28,FALSE())</f>
        <v>0</v>
      </c>
      <c r="K208" s="130"/>
      <c r="L208" s="2362">
        <v>1</v>
      </c>
      <c r="M208" s="2406">
        <f>M172</f>
        <v>0.80200000000000005</v>
      </c>
      <c r="N208" s="2393">
        <f>M208*D207*(2*g*B207)^0.5</f>
        <v>18.198637919501564</v>
      </c>
      <c r="O208" s="2379">
        <f>((N208/D205)^2/g)^(1/3)</f>
        <v>1.5537772224288153</v>
      </c>
    </row>
    <row r="209" spans="1:48">
      <c r="H209" s="2360">
        <f>VLOOKUP(C203,L169:AO172,30,FALSE())</f>
        <v>0</v>
      </c>
      <c r="K209" s="130"/>
    </row>
    <row r="210" spans="1:48" ht="15.75">
      <c r="A210" s="26" t="str">
        <f>VLOOKUP(C203,L169:AO172,12,FALSE())</f>
        <v>Q  = C b  H1 3/2  =</v>
      </c>
      <c r="B210" s="2350"/>
      <c r="D210" s="33">
        <f>VLOOKUP(C203,L205:O208,3,FALSE())</f>
        <v>9.7805613335840871</v>
      </c>
      <c r="E210" s="26" t="s">
        <v>198</v>
      </c>
      <c r="F210" s="129">
        <f>D210*35.31</f>
        <v>345.35162068885415</v>
      </c>
      <c r="G210" s="26" t="s">
        <v>54</v>
      </c>
      <c r="K210" s="130"/>
      <c r="L210" s="2373" t="s">
        <v>1950</v>
      </c>
      <c r="M210" s="55"/>
      <c r="N210" s="55"/>
      <c r="O210" s="2373" t="s">
        <v>1949</v>
      </c>
      <c r="P210" s="55"/>
      <c r="Q210" s="2431"/>
    </row>
    <row r="211" spans="1:48" ht="15.75">
      <c r="A211" s="487" t="s">
        <v>1540</v>
      </c>
      <c r="B211" s="163"/>
      <c r="C211" s="164"/>
      <c r="D211" s="33">
        <f>VLOOKUP(C203,L205:O208,4,FALSE())</f>
        <v>1.0270825443992604</v>
      </c>
      <c r="E211" s="164" t="s">
        <v>5</v>
      </c>
      <c r="K211" s="130"/>
      <c r="L211" s="2371" t="s">
        <v>1952</v>
      </c>
      <c r="M211" s="16"/>
      <c r="N211" s="16"/>
      <c r="O211" s="2371" t="s">
        <v>1951</v>
      </c>
      <c r="P211" s="16"/>
      <c r="Q211" s="58"/>
    </row>
    <row r="212" spans="1:48" ht="15.75">
      <c r="H212" s="26"/>
      <c r="K212" s="130"/>
      <c r="L212" s="2371" t="s">
        <v>1954</v>
      </c>
      <c r="M212" s="16"/>
      <c r="N212" s="16"/>
      <c r="O212" s="2371" t="s">
        <v>1953</v>
      </c>
      <c r="P212" s="16"/>
      <c r="Q212" s="58"/>
      <c r="W212" s="10">
        <f>B100</f>
        <v>8.8000000000000007</v>
      </c>
      <c r="AS212" s="46"/>
      <c r="AT212" s="46"/>
      <c r="AU212" s="46"/>
      <c r="AV212" s="46"/>
    </row>
    <row r="213" spans="1:48" ht="15.75">
      <c r="A213" s="187" t="s">
        <v>1962</v>
      </c>
      <c r="F213" s="33">
        <f>C126</f>
        <v>19.340277777777779</v>
      </c>
      <c r="G213" s="187" t="s">
        <v>179</v>
      </c>
      <c r="H213" s="126" t="str">
        <f>IF(D210&gt;F213,"ok","not ok")</f>
        <v>not ok</v>
      </c>
      <c r="K213" s="130"/>
      <c r="L213" s="2386" t="s">
        <v>1956</v>
      </c>
      <c r="M213" s="59"/>
      <c r="N213" s="59"/>
      <c r="O213" s="2386" t="s">
        <v>1955</v>
      </c>
      <c r="P213" s="59"/>
      <c r="Q213" s="60"/>
      <c r="Y213" s="10">
        <f>D26+E8</f>
        <v>8.8000000000000007</v>
      </c>
      <c r="AA213" t="s">
        <v>23</v>
      </c>
      <c r="AC213" s="36">
        <f>B101</f>
        <v>7.9</v>
      </c>
      <c r="AG213" s="10">
        <f>B104</f>
        <v>11.8</v>
      </c>
      <c r="AN213" s="203" t="s">
        <v>1509</v>
      </c>
      <c r="AO213" s="36">
        <f>C16</f>
        <v>13.9</v>
      </c>
    </row>
    <row r="214" spans="1:48">
      <c r="K214" s="130"/>
      <c r="V214" s="7" t="s">
        <v>22</v>
      </c>
      <c r="X214" t="s">
        <v>131</v>
      </c>
      <c r="AJ214" s="33">
        <f>B105</f>
        <v>11.5</v>
      </c>
      <c r="AK214" s="113" t="s">
        <v>195</v>
      </c>
      <c r="AL214" s="171">
        <f>P180</f>
        <v>0.30000000000000071</v>
      </c>
      <c r="AO214" s="1515"/>
      <c r="AQ214" s="1515">
        <f>AP218+AQ216</f>
        <v>8.8000000000000007</v>
      </c>
      <c r="AS214" t="s">
        <v>23</v>
      </c>
    </row>
    <row r="215" spans="1:48">
      <c r="A215" s="1" t="s">
        <v>2001</v>
      </c>
      <c r="E215" s="2437" t="s">
        <v>1984</v>
      </c>
      <c r="F215" s="2437"/>
      <c r="H215" s="26"/>
      <c r="K215" s="130"/>
      <c r="W215" s="26" t="s">
        <v>186</v>
      </c>
      <c r="X215" s="17" t="s">
        <v>136</v>
      </c>
      <c r="AF215" s="7" t="s">
        <v>22</v>
      </c>
      <c r="AI215" s="10">
        <f>D26+E8</f>
        <v>8.8000000000000007</v>
      </c>
      <c r="AN215" s="1516" t="s">
        <v>22</v>
      </c>
      <c r="AU215" s="36" t="str">
        <f>C5</f>
        <v>Koijuri Regulator</v>
      </c>
    </row>
    <row r="216" spans="1:48" ht="15.75">
      <c r="A216" s="207" t="s">
        <v>1946</v>
      </c>
      <c r="B216" s="127"/>
      <c r="C216" s="2356">
        <f>IF(AND(B218&lt;1.5*D,B219&lt;=O218),5,IF(AND(B218&lt;1.5*D,B219&gt;O219),4,IF(AND(B218&gt;=1.5*D,B219&lt;D),3,1)))</f>
        <v>1</v>
      </c>
      <c r="G216" s="113" t="s">
        <v>168</v>
      </c>
      <c r="H216" s="187" t="str">
        <f>VLOOKUP(C216,L169:AO172,17,FALSE())</f>
        <v xml:space="preserve">H1 &gt;  D,  H2 &gt; D   </v>
      </c>
      <c r="K216" s="130"/>
      <c r="L216" s="2407" t="s">
        <v>1959</v>
      </c>
      <c r="M216" s="400"/>
      <c r="AC216" t="s">
        <v>392</v>
      </c>
      <c r="AG216" s="26" t="s">
        <v>186</v>
      </c>
      <c r="AH216" s="17"/>
      <c r="AL216" t="s">
        <v>23</v>
      </c>
      <c r="AO216" s="26" t="s">
        <v>169</v>
      </c>
      <c r="AP216" s="17" t="s">
        <v>180</v>
      </c>
      <c r="AQ216" s="36">
        <f>E8</f>
        <v>1.8</v>
      </c>
      <c r="AT216" s="15"/>
    </row>
    <row r="217" spans="1:48">
      <c r="G217" s="113"/>
      <c r="H217" s="26" t="str">
        <f>VLOOKUP(C216,L169:AO172,20,FALSE())</f>
        <v>Submerged Orifice</v>
      </c>
      <c r="K217" s="130"/>
      <c r="L217" s="2355" t="s">
        <v>1520</v>
      </c>
      <c r="M217" s="381" t="s">
        <v>1895</v>
      </c>
      <c r="N217" s="94" t="s">
        <v>1897</v>
      </c>
      <c r="O217" s="2354" t="s">
        <v>960</v>
      </c>
      <c r="X217" s="36">
        <f>D26</f>
        <v>7</v>
      </c>
      <c r="Y217" s="17" t="s">
        <v>172</v>
      </c>
      <c r="AH217" s="17" t="s">
        <v>136</v>
      </c>
      <c r="AK217" t="s">
        <v>391</v>
      </c>
    </row>
    <row r="218" spans="1:48">
      <c r="A218" s="113" t="s">
        <v>170</v>
      </c>
      <c r="B218" s="33">
        <f>C129-IL</f>
        <v>6.9</v>
      </c>
      <c r="C218" s="203" t="s">
        <v>967</v>
      </c>
      <c r="D218" s="33">
        <f>C7*C8</f>
        <v>3</v>
      </c>
      <c r="E218" s="26" t="s">
        <v>5</v>
      </c>
      <c r="H218" s="26" t="str">
        <f>VLOOKUP(C216,L169:AO172,22,FALSE())</f>
        <v>Inlet submerged</v>
      </c>
      <c r="K218" s="130"/>
      <c r="L218" s="2361">
        <v>5</v>
      </c>
      <c r="M218" s="2395">
        <f>M205</f>
        <v>1.35</v>
      </c>
      <c r="N218" s="2405">
        <f>M218*D218*B218^(3/2)</f>
        <v>73.40550982385453</v>
      </c>
      <c r="O218" s="2389">
        <f>((N218/D218)^2/g)^(1/3)</f>
        <v>3.9371497535304969</v>
      </c>
      <c r="AH218" s="36">
        <f>D26</f>
        <v>7</v>
      </c>
      <c r="AO218" s="203" t="s">
        <v>1501</v>
      </c>
      <c r="AP218" s="36">
        <f>D26</f>
        <v>7</v>
      </c>
      <c r="AQ218" s="113" t="s">
        <v>172</v>
      </c>
    </row>
    <row r="219" spans="1:48">
      <c r="A219" s="113" t="s">
        <v>171</v>
      </c>
      <c r="B219" s="33">
        <f>C130-IL</f>
        <v>3.9000000000000004</v>
      </c>
      <c r="C219" s="203" t="s">
        <v>968</v>
      </c>
      <c r="D219" s="35">
        <f>D</f>
        <v>1.8</v>
      </c>
      <c r="E219" s="26" t="s">
        <v>5</v>
      </c>
      <c r="H219" s="187" t="str">
        <f>VLOOKUP(C216,L169:AO172,24,FALSE())</f>
        <v xml:space="preserve">Outlet submerged </v>
      </c>
      <c r="K219" s="130"/>
      <c r="L219" s="2361">
        <v>4</v>
      </c>
      <c r="M219" s="2396">
        <f>M206</f>
        <v>0.82</v>
      </c>
      <c r="N219" s="2387">
        <f>M219*D218*B219*SQRT(2*g*B220)</f>
        <v>73.605428107986711</v>
      </c>
      <c r="O219" s="2365">
        <f>((N219/D218)^2/g)^(1/3)</f>
        <v>3.9442950062335473</v>
      </c>
    </row>
    <row r="220" spans="1:48">
      <c r="A220" s="113" t="s">
        <v>195</v>
      </c>
      <c r="B220" s="246">
        <f>B218-B219</f>
        <v>3</v>
      </c>
      <c r="C220" s="113" t="s">
        <v>189</v>
      </c>
      <c r="D220" s="33">
        <f>C7*C8*E8</f>
        <v>5.4</v>
      </c>
      <c r="E220" s="30" t="s">
        <v>871</v>
      </c>
      <c r="H220" t="str">
        <f>VLOOKUP(C216,L169:AO172,26,FALSE())</f>
        <v>Pipe flow</v>
      </c>
      <c r="K220" s="130"/>
      <c r="L220" s="2361">
        <v>3</v>
      </c>
      <c r="M220" s="2353">
        <f>VLOOKUP(B221,Table!C18:D31,2,TRUE)</f>
        <v>0.53500000000000003</v>
      </c>
      <c r="N220" s="2387">
        <f>M220*D220*(2*g*B218)^0.5</f>
        <v>33.614107817075855</v>
      </c>
      <c r="O220" s="2365">
        <f>((N220/D218)^2/g)^(1/3)</f>
        <v>2.339073597784302</v>
      </c>
    </row>
    <row r="221" spans="1:48">
      <c r="A221" s="2358" t="s">
        <v>187</v>
      </c>
      <c r="B221" s="33">
        <f>D219/B218</f>
        <v>0.2608695652173913</v>
      </c>
      <c r="C221" s="113" t="str">
        <f>IF(C216=3,"Cq =","C =")</f>
        <v>C =</v>
      </c>
      <c r="D221">
        <f>VLOOKUP(C216,L218:O221,2,FALSE())</f>
        <v>0.80200000000000005</v>
      </c>
      <c r="E221" t="str">
        <f>VLOOKUP(C216,L169:AO172,3,FALSE())</f>
        <v>( BWDB Manual, P11)</v>
      </c>
      <c r="H221" s="2360" t="str">
        <f>VLOOKUP(C216,L169:AO172,28,FALSE())</f>
        <v>Full flow ( outlet control )</v>
      </c>
      <c r="K221" s="130"/>
      <c r="L221" s="2362">
        <v>1</v>
      </c>
      <c r="M221" s="2406">
        <f>M208</f>
        <v>0.80200000000000005</v>
      </c>
      <c r="N221" s="2393">
        <f>M221*D220*(2*g*B220)^0.5</f>
        <v>33.226015014599632</v>
      </c>
      <c r="O221" s="2379">
        <f>((N221/D218)^2/g)^(1/3)</f>
        <v>2.3210348732282999</v>
      </c>
      <c r="AR221" s="46"/>
      <c r="AS221" s="46"/>
      <c r="AT221" s="46"/>
      <c r="AU221" s="46"/>
    </row>
    <row r="222" spans="1:48">
      <c r="H222" s="2360">
        <f>VLOOKUP(C216,L169:AO172,30,FALSE())</f>
        <v>0</v>
      </c>
      <c r="K222" s="130"/>
    </row>
    <row r="223" spans="1:48">
      <c r="A223" s="26" t="str">
        <f>VLOOKUP(C216,L169:AO172,12,FALSE())</f>
        <v>Q = C A √  2g  ΔH =</v>
      </c>
      <c r="B223" s="2357"/>
      <c r="D223" s="33">
        <f>VLOOKUP(C216,L218:O221,3,FALSE())</f>
        <v>33.226015014599632</v>
      </c>
      <c r="E223" s="26" t="s">
        <v>198</v>
      </c>
      <c r="F223" s="129">
        <f>D223*35.31</f>
        <v>1173.2105901655132</v>
      </c>
      <c r="G223" s="26" t="s">
        <v>54</v>
      </c>
      <c r="K223" s="130"/>
    </row>
    <row r="224" spans="1:48" ht="14.25">
      <c r="A224" s="487" t="s">
        <v>1540</v>
      </c>
      <c r="B224" s="163"/>
      <c r="C224" s="164"/>
      <c r="D224" s="33">
        <f>VLOOKUP(C216,L218:O221,4,FALSE())</f>
        <v>2.3210348732282999</v>
      </c>
      <c r="E224" s="164" t="s">
        <v>5</v>
      </c>
      <c r="K224" s="130"/>
    </row>
    <row r="225" spans="1:57">
      <c r="H225" s="26"/>
      <c r="K225" s="130"/>
      <c r="Z225" s="46"/>
      <c r="AA225" s="46"/>
      <c r="AB225" s="46"/>
      <c r="AC225" s="46"/>
    </row>
    <row r="226" spans="1:57">
      <c r="A226" s="187" t="s">
        <v>1962</v>
      </c>
      <c r="F226" s="33">
        <f>C131</f>
        <v>0</v>
      </c>
      <c r="G226" s="187" t="s">
        <v>179</v>
      </c>
      <c r="H226" s="126" t="str">
        <f>IF(D223&gt;F226,"ok","not ok")</f>
        <v>ok</v>
      </c>
      <c r="K226" s="130"/>
    </row>
    <row r="227" spans="1:57" ht="13.5" thickBot="1">
      <c r="K227" s="130"/>
    </row>
    <row r="228" spans="1:57" ht="16.5" thickBot="1">
      <c r="A228" s="1536" t="s">
        <v>1974</v>
      </c>
      <c r="H228" s="46"/>
      <c r="K228" s="130"/>
      <c r="L228" s="392" t="s">
        <v>1699</v>
      </c>
      <c r="M228" s="174"/>
      <c r="N228" s="174"/>
      <c r="O228" s="1837"/>
      <c r="P228" s="1838" t="s">
        <v>1642</v>
      </c>
      <c r="Q228" s="1840">
        <f>'Calc-2'!O26</f>
        <v>480088</v>
      </c>
      <c r="R228" s="1965" t="str">
        <f>'Calc-2'!P26</f>
        <v>Flow Type 5 Completed</v>
      </c>
      <c r="S228" s="1961"/>
      <c r="T228" s="1966"/>
      <c r="U228" s="1981" t="str">
        <f>'Calc-2'!Y26</f>
        <v>Flow Type 4 Completed</v>
      </c>
      <c r="V228" s="1982"/>
      <c r="W228" s="1983"/>
      <c r="X228" s="1984" t="str">
        <f>'Calc-2'!AH26</f>
        <v>Flow Type 3 Completed</v>
      </c>
      <c r="Y228" s="1985"/>
      <c r="Z228" s="1986"/>
      <c r="AA228" s="1987" t="str">
        <f>'Calc-2'!AQ26</f>
        <v>Flow Type 1 Completed</v>
      </c>
      <c r="AB228" s="1988"/>
      <c r="AC228" s="1989"/>
    </row>
    <row r="229" spans="1:57">
      <c r="K229" s="130"/>
      <c r="R229" s="2014" t="s">
        <v>1830</v>
      </c>
      <c r="S229" s="2015">
        <v>0</v>
      </c>
      <c r="U229" s="2014" t="s">
        <v>1830</v>
      </c>
      <c r="V229" s="2015">
        <v>0</v>
      </c>
      <c r="X229" s="2014" t="s">
        <v>1830</v>
      </c>
      <c r="Y229" s="2015">
        <v>0</v>
      </c>
      <c r="AA229" s="2014" t="s">
        <v>1830</v>
      </c>
      <c r="AB229" s="2015">
        <v>0</v>
      </c>
    </row>
    <row r="230" spans="1:57" ht="14.25">
      <c r="A230" s="487" t="s">
        <v>1503</v>
      </c>
      <c r="B230" s="163"/>
      <c r="C230" s="164"/>
      <c r="D230" s="203" t="s">
        <v>1502</v>
      </c>
      <c r="E230" s="80">
        <f>C7*C8</f>
        <v>3</v>
      </c>
      <c r="F230" s="26" t="s">
        <v>5</v>
      </c>
      <c r="G230" s="46"/>
      <c r="H230" s="46"/>
      <c r="K230" s="130"/>
    </row>
    <row r="231" spans="1:57" ht="15.75">
      <c r="G231" s="46"/>
      <c r="H231" s="46"/>
      <c r="K231" s="130"/>
      <c r="L231" s="3064" t="s">
        <v>2173</v>
      </c>
      <c r="M231" s="3064"/>
      <c r="N231" s="1649" t="s">
        <v>991</v>
      </c>
      <c r="P231" t="s">
        <v>2174</v>
      </c>
      <c r="T231" s="109" t="str">
        <f>"Width on R/S ( between abutment ),b  = "&amp;C7&amp;" * "&amp;I36&amp;" + "&amp;D29&amp;" * "&amp;I35&amp;"  ="</f>
        <v>Width on R/S ( between abutment ),b  = 2 * 1.5 + 1 * 0.75  =</v>
      </c>
      <c r="U231" s="46"/>
      <c r="V231" s="46"/>
      <c r="W231" s="46"/>
      <c r="X231" s="109"/>
      <c r="Z231" s="162">
        <f>C7*I36+D29*I35</f>
        <v>3.75</v>
      </c>
      <c r="AA231" s="109" t="s">
        <v>1101</v>
      </c>
      <c r="AB231" s="46"/>
      <c r="AC231" s="46"/>
      <c r="AP231" s="2820" t="s">
        <v>1548</v>
      </c>
      <c r="AQ231" s="3064" t="s">
        <v>1549</v>
      </c>
      <c r="AR231" s="3064"/>
      <c r="AS231" s="2820" t="s">
        <v>991</v>
      </c>
      <c r="BA231" s="17" t="s">
        <v>1712</v>
      </c>
      <c r="BB231" s="36">
        <f>1.76*(I21)^0.5</f>
        <v>0.40134174963489655</v>
      </c>
    </row>
    <row r="232" spans="1:57" ht="15.75">
      <c r="A232" s="41" t="s">
        <v>1504</v>
      </c>
      <c r="C232" s="27" t="s">
        <v>168</v>
      </c>
      <c r="D232" s="1" t="s">
        <v>1507</v>
      </c>
      <c r="G232" s="164"/>
      <c r="H232" s="1852"/>
      <c r="I232" s="1853" t="s">
        <v>1657</v>
      </c>
      <c r="J232" s="1740">
        <v>2</v>
      </c>
      <c r="K232" s="130"/>
      <c r="L232" s="3064"/>
      <c r="M232" s="3064"/>
      <c r="N232" s="1646" t="s">
        <v>992</v>
      </c>
      <c r="P232" t="s">
        <v>2175</v>
      </c>
      <c r="T232" s="187" t="str">
        <f>"Floor witdh at section 1 - 1 , b1 ="&amp;FIXED(Z231,2)&amp;" + 2 *"&amp;FIXED(I46,2)&amp;" * tan ( "&amp;FIXED(I19,2)&amp;" ) ="</f>
        <v>Floor witdh at section 1 - 1 , b1 =3.75 + 2 *2.70 * tan ( 13.10 ) =</v>
      </c>
      <c r="Z232" s="54">
        <f>Z231</f>
        <v>3.75</v>
      </c>
      <c r="AA232" s="187" t="s">
        <v>999</v>
      </c>
      <c r="AP232" s="2821" t="s">
        <v>990</v>
      </c>
      <c r="AQ232" s="3064"/>
      <c r="AR232" s="3064"/>
      <c r="AS232" s="2821" t="s">
        <v>992</v>
      </c>
    </row>
    <row r="233" spans="1:57">
      <c r="I233" s="1736" t="s">
        <v>1653</v>
      </c>
      <c r="J233" s="1739">
        <v>1</v>
      </c>
      <c r="K233" s="130"/>
      <c r="T233" t="str">
        <f>"Width of flow at the end R/S stilling basin = "&amp;FIXED(DATA!H32,2)&amp;" + 2 *( "&amp;FIXED(I49,2)&amp;" - "&amp;I72&amp;"  )* tan ( "&amp;FIXED(I19,2)&amp;" ) ="</f>
        <v>Width of flow at the end R/S stilling basin = 3.75 + 2 *( 18.90 - 1.2  )* tan ( 13.10 ) =</v>
      </c>
      <c r="AB233" s="33">
        <f>J66</f>
        <v>12</v>
      </c>
      <c r="AC233" t="s">
        <v>5</v>
      </c>
      <c r="AX233" s="41" t="s">
        <v>1504</v>
      </c>
    </row>
    <row r="234" spans="1:57" ht="15.75">
      <c r="A234" s="41"/>
      <c r="C234" s="187" t="s">
        <v>1508</v>
      </c>
      <c r="D234" s="1516"/>
      <c r="E234" s="113" t="s">
        <v>177</v>
      </c>
      <c r="F234" s="125">
        <f>Table!E42</f>
        <v>1.35</v>
      </c>
      <c r="G234" s="30" t="s">
        <v>706</v>
      </c>
      <c r="I234" s="1736" t="s">
        <v>1655</v>
      </c>
      <c r="J234" s="1737">
        <v>2</v>
      </c>
      <c r="K234" s="130"/>
      <c r="L234" s="41" t="s">
        <v>1504</v>
      </c>
      <c r="M234" s="529"/>
      <c r="N234" s="207" t="s">
        <v>1656</v>
      </c>
      <c r="O234" s="126"/>
      <c r="P234" s="126"/>
      <c r="Q234" s="126"/>
      <c r="R234" s="126"/>
      <c r="S234" s="126"/>
      <c r="T234" s="187" t="s">
        <v>1134</v>
      </c>
      <c r="U234" s="187"/>
      <c r="W234" s="742">
        <f>I54</f>
        <v>10</v>
      </c>
      <c r="X234" s="187" t="s">
        <v>46</v>
      </c>
      <c r="AD234" s="41" t="s">
        <v>1504</v>
      </c>
    </row>
    <row r="235" spans="1:57">
      <c r="C235" s="46"/>
      <c r="D235" s="46"/>
      <c r="E235" s="46"/>
      <c r="F235" s="46"/>
      <c r="G235" s="46"/>
      <c r="H235" s="46"/>
      <c r="K235" s="130"/>
      <c r="M235" s="16"/>
      <c r="N235" s="16"/>
      <c r="O235" s="16"/>
      <c r="AM235" s="3066" t="s">
        <v>812</v>
      </c>
      <c r="AN235" s="3067"/>
      <c r="AO235" s="3068"/>
      <c r="AP235" s="3066" t="s">
        <v>813</v>
      </c>
      <c r="AQ235" s="3067"/>
      <c r="AR235" s="3067"/>
      <c r="AS235" s="3067"/>
      <c r="AT235" s="3068"/>
      <c r="AU235" s="3069" t="s">
        <v>1694</v>
      </c>
      <c r="AV235" s="3070"/>
      <c r="AW235" s="3070"/>
      <c r="AX235" s="3070"/>
      <c r="AY235" s="3071"/>
      <c r="BA235" s="3066" t="s">
        <v>1715</v>
      </c>
      <c r="BB235" s="3067"/>
      <c r="BC235" s="3067"/>
      <c r="BD235" s="3067"/>
      <c r="BE235" s="3068"/>
    </row>
    <row r="236" spans="1:57" ht="24.75" customHeight="1">
      <c r="A236" s="656" t="s">
        <v>953</v>
      </c>
      <c r="B236" s="94" t="s">
        <v>954</v>
      </c>
      <c r="C236" s="252" t="s">
        <v>186</v>
      </c>
      <c r="D236" s="248" t="s">
        <v>172</v>
      </c>
      <c r="E236" s="1540" t="s">
        <v>461</v>
      </c>
      <c r="F236" s="1541" t="s">
        <v>960</v>
      </c>
      <c r="G236" s="3066" t="s">
        <v>676</v>
      </c>
      <c r="H236" s="3067"/>
      <c r="I236" s="3067"/>
      <c r="J236" s="3068"/>
      <c r="K236" s="130"/>
      <c r="L236" s="1652" t="s">
        <v>1567</v>
      </c>
      <c r="M236" s="1604" t="s">
        <v>1568</v>
      </c>
      <c r="N236" s="1652" t="s">
        <v>1569</v>
      </c>
      <c r="O236" s="1604" t="s">
        <v>1570</v>
      </c>
      <c r="P236" s="2819" t="s">
        <v>2175</v>
      </c>
      <c r="Q236" s="1604" t="s">
        <v>1572</v>
      </c>
      <c r="R236" s="1652" t="s">
        <v>1573</v>
      </c>
      <c r="S236" s="1604" t="s">
        <v>807</v>
      </c>
      <c r="T236" s="1652" t="s">
        <v>1574</v>
      </c>
      <c r="U236" s="1652" t="s">
        <v>1575</v>
      </c>
      <c r="V236" s="1652" t="s">
        <v>458</v>
      </c>
      <c r="W236" s="1604" t="s">
        <v>1576</v>
      </c>
      <c r="X236" s="1652" t="s">
        <v>1577</v>
      </c>
      <c r="Y236" s="1605" t="s">
        <v>1578</v>
      </c>
      <c r="Z236" s="3085" t="s">
        <v>1588</v>
      </c>
      <c r="AA236" s="1605" t="s">
        <v>1595</v>
      </c>
      <c r="AB236" s="3104" t="s">
        <v>2023</v>
      </c>
      <c r="AC236" s="1688" t="s">
        <v>1649</v>
      </c>
      <c r="AD236" s="1651" t="s">
        <v>1590</v>
      </c>
      <c r="AE236" s="1727" t="s">
        <v>1667</v>
      </c>
      <c r="AF236" s="1817" t="s">
        <v>1614</v>
      </c>
      <c r="AG236" s="1604" t="s">
        <v>1647</v>
      </c>
      <c r="AH236" s="1652" t="s">
        <v>1648</v>
      </c>
      <c r="AI236" s="1685" t="s">
        <v>1663</v>
      </c>
      <c r="AJ236" s="1742" t="s">
        <v>1664</v>
      </c>
      <c r="AK236" s="1741" t="s">
        <v>1666</v>
      </c>
      <c r="AL236" s="1742" t="s">
        <v>1665</v>
      </c>
      <c r="AM236" s="1810" t="s">
        <v>1695</v>
      </c>
      <c r="AN236" s="1814" t="s">
        <v>1684</v>
      </c>
      <c r="AO236" s="1777" t="s">
        <v>1688</v>
      </c>
      <c r="AP236" s="1815" t="s">
        <v>1693</v>
      </c>
      <c r="AQ236" s="1784" t="s">
        <v>1695</v>
      </c>
      <c r="AR236" s="1810" t="s">
        <v>1684</v>
      </c>
      <c r="AS236" s="1766" t="s">
        <v>1686</v>
      </c>
      <c r="AT236" s="1766" t="s">
        <v>1688</v>
      </c>
      <c r="AU236" s="1609" t="s">
        <v>1692</v>
      </c>
      <c r="AV236" s="1781" t="s">
        <v>1695</v>
      </c>
      <c r="AW236" s="1809" t="s">
        <v>1684</v>
      </c>
      <c r="AX236" s="1821" t="s">
        <v>1686</v>
      </c>
      <c r="AY236" s="1784" t="s">
        <v>1688</v>
      </c>
      <c r="BA236" s="1864" t="s">
        <v>1713</v>
      </c>
      <c r="BB236" s="1862" t="s">
        <v>1714</v>
      </c>
      <c r="BC236" s="1865" t="s">
        <v>1716</v>
      </c>
      <c r="BD236" s="1866" t="s">
        <v>1718</v>
      </c>
      <c r="BE236" s="1867" t="s">
        <v>1717</v>
      </c>
    </row>
    <row r="237" spans="1:57">
      <c r="A237" s="156" t="s">
        <v>962</v>
      </c>
      <c r="B237" s="156" t="s">
        <v>962</v>
      </c>
      <c r="C237" s="94" t="s">
        <v>952</v>
      </c>
      <c r="D237" s="1524" t="s">
        <v>952</v>
      </c>
      <c r="E237" s="256" t="s">
        <v>179</v>
      </c>
      <c r="F237" s="1525" t="s">
        <v>952</v>
      </c>
      <c r="G237" s="1526" t="s">
        <v>186</v>
      </c>
      <c r="H237" s="94" t="s">
        <v>172</v>
      </c>
      <c r="I237" s="172"/>
      <c r="J237" s="172"/>
      <c r="K237" s="130"/>
      <c r="L237" s="1650" t="s">
        <v>5</v>
      </c>
      <c r="M237" s="1655" t="s">
        <v>201</v>
      </c>
      <c r="N237" s="1656" t="s">
        <v>206</v>
      </c>
      <c r="O237" s="1657" t="s">
        <v>5</v>
      </c>
      <c r="P237" s="2835" t="s">
        <v>5</v>
      </c>
      <c r="Q237" s="1655" t="s">
        <v>201</v>
      </c>
      <c r="R237" s="1650" t="s">
        <v>5</v>
      </c>
      <c r="S237" s="1655" t="s">
        <v>5</v>
      </c>
      <c r="T237" s="1650" t="s">
        <v>5</v>
      </c>
      <c r="U237" s="1650" t="s">
        <v>206</v>
      </c>
      <c r="V237" s="1650"/>
      <c r="W237" s="1655" t="s">
        <v>5</v>
      </c>
      <c r="X237" s="1650" t="s">
        <v>5</v>
      </c>
      <c r="Y237" s="1655" t="s">
        <v>155</v>
      </c>
      <c r="Z237" s="3086"/>
      <c r="AA237" s="1655" t="s">
        <v>5</v>
      </c>
      <c r="AB237" s="3105"/>
      <c r="AC237" s="1656" t="s">
        <v>5</v>
      </c>
      <c r="AD237" s="351" t="s">
        <v>201</v>
      </c>
      <c r="AE237" s="1609" t="s">
        <v>206</v>
      </c>
      <c r="AF237" s="1656"/>
      <c r="AG237" s="102"/>
      <c r="AH237" s="256" t="s">
        <v>5</v>
      </c>
      <c r="AI237" s="101"/>
      <c r="AJ237" s="256" t="s">
        <v>5</v>
      </c>
      <c r="AK237" s="102"/>
      <c r="AL237" s="256" t="s">
        <v>5</v>
      </c>
      <c r="AM237" s="1774" t="s">
        <v>5</v>
      </c>
      <c r="AN237" s="256" t="s">
        <v>5</v>
      </c>
      <c r="AO237" s="256" t="s">
        <v>5</v>
      </c>
      <c r="AP237" s="101"/>
      <c r="AQ237" s="256" t="s">
        <v>5</v>
      </c>
      <c r="AR237" s="1792" t="s">
        <v>5</v>
      </c>
      <c r="AS237" s="256" t="s">
        <v>5</v>
      </c>
      <c r="AT237" s="256" t="s">
        <v>5</v>
      </c>
      <c r="AU237" s="102"/>
      <c r="AV237" s="256" t="s">
        <v>5</v>
      </c>
      <c r="AW237" s="1775" t="s">
        <v>5</v>
      </c>
      <c r="AX237" s="1790" t="s">
        <v>5</v>
      </c>
      <c r="AY237" s="256" t="s">
        <v>5</v>
      </c>
      <c r="BA237" s="1861" t="s">
        <v>201</v>
      </c>
      <c r="BB237" s="1608" t="s">
        <v>5</v>
      </c>
      <c r="BC237" s="1608" t="s">
        <v>5</v>
      </c>
      <c r="BD237" s="1608" t="s">
        <v>5</v>
      </c>
      <c r="BE237" s="1608" t="s">
        <v>5</v>
      </c>
    </row>
    <row r="238" spans="1:57">
      <c r="A238" s="660">
        <f>IL+D/2</f>
        <v>7.9</v>
      </c>
      <c r="B238" s="1537">
        <f>IL+0.2</f>
        <v>7.2</v>
      </c>
      <c r="C238" s="103">
        <f t="shared" ref="C238:C248" si="2">A238-IL</f>
        <v>0.90000000000000036</v>
      </c>
      <c r="D238" s="1521">
        <f t="shared" ref="D238:D248" si="3">B238-IL</f>
        <v>0.20000000000000018</v>
      </c>
      <c r="E238" s="103">
        <f t="shared" ref="E238:E248" si="4">$E$230*$F$234*C238^(3/2)</f>
        <v>3.4579506213941253</v>
      </c>
      <c r="F238" s="505">
        <f t="shared" ref="F238:F248" si="5">((E238/$E$230)^2/$C$18)^(1/3)</f>
        <v>0.51354127219963019</v>
      </c>
      <c r="G238" s="355" t="s">
        <v>1498</v>
      </c>
      <c r="H238" s="147" t="s">
        <v>1594</v>
      </c>
      <c r="I238" s="123" t="str">
        <f t="shared" ref="I238:I248" si="6">IF(AND(C238&lt;1.5*$V$170,D238&lt;=F238),"Type 5","Flow Type 5 not valid")</f>
        <v>Type 5</v>
      </c>
      <c r="J238" s="3074" t="str">
        <f>IF(J232=1,"To avoid excessive     Zr,   H1 considered upto D","")</f>
        <v/>
      </c>
      <c r="K238" s="130"/>
      <c r="L238" s="103">
        <f>C238</f>
        <v>0.90000000000000036</v>
      </c>
      <c r="M238" s="2832">
        <f t="shared" ref="M238:M248" si="7">E238/b</f>
        <v>1.1526502071313751</v>
      </c>
      <c r="N238" s="2841">
        <f t="shared" ref="N238:N248" si="8">M238/L238</f>
        <v>1.2807224523681942</v>
      </c>
      <c r="O238" s="478">
        <f t="shared" ref="O238:O248" si="9">N238^2/2/g</f>
        <v>8.3600917431192717E-2</v>
      </c>
      <c r="P238" s="2841">
        <f>1.5*F238+$I$44</f>
        <v>1.6703119082994453</v>
      </c>
      <c r="Q238" s="2833">
        <f t="shared" ref="Q238:Q248" si="10">E238/b</f>
        <v>1.1526502071313751</v>
      </c>
      <c r="R238" s="441">
        <f t="shared" ref="R238:R248" si="11">Q238^2/(2*g)</f>
        <v>6.7716743119266148E-2</v>
      </c>
      <c r="S238" s="1744">
        <f>'Calc-2'!P34</f>
        <v>0.21569999999999256</v>
      </c>
      <c r="T238" s="103">
        <f>S238+R238/S238^2</f>
        <v>1.6711449114745274</v>
      </c>
      <c r="U238" s="103">
        <f>Q238/S238</f>
        <v>5.3437654479898695</v>
      </c>
      <c r="V238" s="103">
        <f t="shared" ref="V238:V248" si="12">U238/(g*S238)^0.5</f>
        <v>3.6735656992150774</v>
      </c>
      <c r="W238" s="1647">
        <f>0.5*((1+8*V238^2)^0.5-1)*S238</f>
        <v>1.0179339455775664</v>
      </c>
      <c r="X238" s="103">
        <f>W238*1.05</f>
        <v>1.0688306428564449</v>
      </c>
      <c r="Y238" s="1647">
        <f>X238+$I$43</f>
        <v>7.1688306428564443</v>
      </c>
      <c r="Z238" s="123" t="str">
        <f>IF(Hydraulic!$W$234&gt;Y238,"ok","Not ok")</f>
        <v>ok</v>
      </c>
      <c r="AA238" s="1647">
        <f>B238-$I$43</f>
        <v>1.1000000000000005</v>
      </c>
      <c r="AB238" s="2524">
        <f>IF(AND(V238&gt;=2.5,V238&lt;=4.5),IF(X238&gt;AA238,"",AA238-X238),IF(W238&gt;AA238," ",AA238-W238))</f>
        <v>3.116935714355562E-2</v>
      </c>
      <c r="AC238" s="1743" t="str">
        <f>IF(AND(V238&gt;=2.5,V238&lt;=4.5),IF(X238&gt;AA238,X238-AA238,"no"),IF(W238&gt;AA238,W238-AA238,"no "))</f>
        <v>no</v>
      </c>
      <c r="AD238" s="505">
        <f t="shared" ref="AD238:AD248" si="13">E238/$AB$233</f>
        <v>0.28816255178284378</v>
      </c>
      <c r="AE238" s="103">
        <f>AD238/W238</f>
        <v>0.28308570809999167</v>
      </c>
      <c r="AF238" s="1854" t="str">
        <f>IF(V238&lt;2.5,"Type I",IF(AND(V238&gt;=2.5,V238&lt;=4.5),"ERC","Type III"))</f>
        <v>ERC</v>
      </c>
      <c r="AG238" s="75">
        <f>VLOOKUP(V238,Table!$D$178:$G$212,2,TRUE)</f>
        <v>3.17</v>
      </c>
      <c r="AH238" s="103">
        <f>AG238*W238</f>
        <v>3.2268506074808854</v>
      </c>
      <c r="AI238" s="1725">
        <f>VLOOKUP(V238,Table!$D$178:$G$212,4,TRUE)</f>
        <v>1.2</v>
      </c>
      <c r="AJ238" s="103">
        <f>IF(V238&lt;2.5,"-",IF(AND(V238&gt;=2.5,V238&lt;=4.5),N(AI238)*W238,0.8*W238))</f>
        <v>1.2215207346930796</v>
      </c>
      <c r="AK238" s="1726">
        <f>VLOOKUP(V238,Table!$D$178:$G$212,3,TRUE)</f>
        <v>2.4</v>
      </c>
      <c r="AL238" s="103">
        <f>IF(V238&lt;2.5,"-",IF(AND(V238&gt;=2.5,V238&lt;=4.5),N(AK238)*W238,"-"))</f>
        <v>2.4430414693861593</v>
      </c>
      <c r="AM238" s="1769">
        <f>IF(V238&lt;2.5,0,IF(AND(V238&gt;=2.5,V238&lt;=4.5),S238,S238))</f>
        <v>0.21569999999999256</v>
      </c>
      <c r="AN238" s="441">
        <f>IF(V238&lt;2.5,0,IF(AND(V238&gt;=2.5,V238&lt;=4.5),0.7*S238,S238))</f>
        <v>0.1509899999999948</v>
      </c>
      <c r="AO238" s="441">
        <f t="shared" ref="AO238:AO248" si="14">IF(V238&lt;2.5,0,IF(AND(V238&gt;=2.5,V238&lt;=4.5),0.7*S238,S238))</f>
        <v>0.1509899999999948</v>
      </c>
      <c r="AP238" s="1773" t="str">
        <f>VLOOKUP(V238,Table!$D$178:$I$212,5,TRUE)</f>
        <v>-</v>
      </c>
      <c r="AQ238" s="441">
        <f t="shared" ref="AQ238:AQ248" si="15">IF(V238&lt;2.5,0,IF(AND(V238&gt;=2.5,V238&lt;=4.5),S238,S238*AP238))</f>
        <v>0.21569999999999256</v>
      </c>
      <c r="AR238" s="1769">
        <f t="shared" ref="AR238:AR248" si="16">IF(V238&lt;2.5,0,IF(AND(V238&gt;=2.5,V238&lt;=4.5),0.7*S238,S238*AP238*0.75))</f>
        <v>0.1509899999999948</v>
      </c>
      <c r="AS238" s="441">
        <f>IF(V238&lt;2.5,0,IF(AND(V238&gt;=2.5,V238&lt;=4.5),0.2*S238,S238*AP238*0.2))</f>
        <v>4.3139999999998513E-2</v>
      </c>
      <c r="AT238" s="441">
        <f t="shared" ref="AT238:AT248" si="17">IF(V238&lt;2.5,0,IF(AND(V238&gt;=2.5,V238&lt;=4.5),S238*0.7,S238*AP238*0.75))</f>
        <v>0.1509899999999948</v>
      </c>
      <c r="AU238" s="1769" t="str">
        <f>VLOOKUP(V238,Table!$D$178:$I$212,6,TRUE)</f>
        <v>-</v>
      </c>
      <c r="AV238" s="663">
        <f>IF(V238&lt;2.5,0,IF(AND(V238&gt;=2.5,V238&lt;=4.5),W238*0.2,S238*AU238))</f>
        <v>0.20358678911551331</v>
      </c>
      <c r="AW238" s="379">
        <f>IF(V238&lt;2.5,0,IF(AND(V238&gt;=2.5,V238&lt;=4.5),W238*0.15,0))</f>
        <v>0.15269009183663496</v>
      </c>
      <c r="AX238" s="1786">
        <f>IF(V238&lt;2.5,0,IF(AND(V238&gt;=2.5,V238&lt;=4.5),AV238*0.15,0))</f>
        <v>3.0538018367326995E-2</v>
      </c>
      <c r="AY238" s="103">
        <f>IF(V238&lt;2.5,0,IF(AND(V238&gt;=2.5,V238&lt;=4.5),W238*0.15,0))</f>
        <v>0.15269009183663496</v>
      </c>
      <c r="BA238" s="1859">
        <f>E238/$A$65</f>
        <v>0.28816255178284378</v>
      </c>
      <c r="BB238" s="379">
        <f>(1.35*((BA238^2/$BB$231)^(1/3)))</f>
        <v>0.79846156597122953</v>
      </c>
      <c r="BC238" s="1859">
        <f>BB238*1.25</f>
        <v>0.99807695746403691</v>
      </c>
      <c r="BD238" s="379">
        <f t="shared" ref="BD238:BD248" si="18">A238-$D$43</f>
        <v>1.8000000000000007</v>
      </c>
      <c r="BE238" s="1860" t="str">
        <f t="shared" ref="BE238:BE248" si="19">IF(BD238&gt;BB238*1.25,"-",BB238*1.25-BD238)</f>
        <v>-</v>
      </c>
    </row>
    <row r="239" spans="1:57">
      <c r="A239" s="352">
        <f t="shared" ref="A239:A247" si="20">A238-($A$238-$A$248)/10</f>
        <v>8.0790000000000006</v>
      </c>
      <c r="B239" s="1538">
        <f>B238+($B$248-$B$238)/10</f>
        <v>7.2700000000000005</v>
      </c>
      <c r="C239" s="103">
        <f t="shared" si="2"/>
        <v>1.0790000000000006</v>
      </c>
      <c r="D239" s="1521">
        <f t="shared" si="3"/>
        <v>0.27000000000000046</v>
      </c>
      <c r="E239" s="103">
        <f t="shared" si="4"/>
        <v>4.5392822758336528</v>
      </c>
      <c r="F239" s="505">
        <f t="shared" si="5"/>
        <v>0.61567892522600132</v>
      </c>
      <c r="G239" s="123"/>
      <c r="H239" s="147"/>
      <c r="I239" s="123" t="str">
        <f t="shared" si="6"/>
        <v>Type 5</v>
      </c>
      <c r="J239" s="3090"/>
      <c r="K239" s="130"/>
      <c r="L239" s="103">
        <f t="shared" ref="L239:L248" si="21">C239</f>
        <v>1.0790000000000006</v>
      </c>
      <c r="M239" s="2829">
        <f t="shared" si="7"/>
        <v>1.513094091944551</v>
      </c>
      <c r="N239" s="2840">
        <f t="shared" si="8"/>
        <v>1.4023114846566729</v>
      </c>
      <c r="O239" s="298">
        <f t="shared" si="9"/>
        <v>0.10022821100917441</v>
      </c>
      <c r="P239" s="2840">
        <f t="shared" ref="P239:P248" si="22">1.5*F239+$I$44</f>
        <v>1.823518387839002</v>
      </c>
      <c r="Q239" s="2830">
        <f t="shared" si="10"/>
        <v>1.513094091944551</v>
      </c>
      <c r="R239" s="441">
        <f t="shared" si="11"/>
        <v>0.11668979261353239</v>
      </c>
      <c r="S239" s="1744">
        <f>'Calc-2'!P35</f>
        <v>0.27429999999998611</v>
      </c>
      <c r="T239" s="103">
        <f t="shared" ref="T239:T248" si="23">S239+R239/S239^2</f>
        <v>1.8251909180886936</v>
      </c>
      <c r="U239" s="103">
        <f t="shared" ref="U239:U248" si="24">Q239/S239</f>
        <v>5.5162015747161055</v>
      </c>
      <c r="V239" s="103">
        <f t="shared" si="12"/>
        <v>3.3627355907382226</v>
      </c>
      <c r="W239" s="1647">
        <f t="shared" ref="W239:W248" si="25">0.5*((1+8*V239^2)^0.5-1)*S239</f>
        <v>1.1745083540796208</v>
      </c>
      <c r="X239" s="103">
        <f t="shared" ref="X239:X248" si="26">W239*1.05</f>
        <v>1.2332337717836019</v>
      </c>
      <c r="Y239" s="1647">
        <f t="shared" ref="Y239:Y248" si="27">X239+$I$43</f>
        <v>7.3332337717836014</v>
      </c>
      <c r="Z239" s="123" t="str">
        <f>IF(Hydraulic!$W$234&gt;Y239,"ok","Not ok")</f>
        <v>ok</v>
      </c>
      <c r="AA239" s="1647">
        <f t="shared" ref="AA239:AA248" si="28">B239-$I$43</f>
        <v>1.1700000000000008</v>
      </c>
      <c r="AB239" s="2524" t="str">
        <f t="shared" ref="AB239:AB248" si="29">IF(AND(V239&gt;=2.5,V239&lt;=4.5),IF(X239&gt;AA239,"",AA239-X239),IF(W239&gt;AA239," ",AA239-W239))</f>
        <v/>
      </c>
      <c r="AC239" s="1658">
        <f t="shared" ref="AC239:AC248" si="30">IF(AND(V239&gt;=2.5,V239&lt;=4.5),IF(X239&gt;AA239,X239-AA239,"no"),IF(W239&gt;AA239,W239-AA239,"no "))</f>
        <v>6.3233771783601123E-2</v>
      </c>
      <c r="AD239" s="505">
        <f t="shared" si="13"/>
        <v>0.37827352298613776</v>
      </c>
      <c r="AE239" s="103">
        <f>AD239/W239</f>
        <v>0.32206967423621602</v>
      </c>
      <c r="AF239" s="1854" t="str">
        <f t="shared" ref="AF239:AF248" si="31">IF(V239&lt;2.5,"Type I",IF(AND(V239&gt;=2.5,V239&lt;=4.5),"ERC","Type III"))</f>
        <v>ERC</v>
      </c>
      <c r="AG239" s="75">
        <f>VLOOKUP(V239,Table!$D$178:$G$212,2,TRUE)</f>
        <v>3.19</v>
      </c>
      <c r="AH239" s="103">
        <f t="shared" ref="AH239:AH248" si="32">AG239*W239</f>
        <v>3.7466816495139903</v>
      </c>
      <c r="AI239" s="1725">
        <f>VLOOKUP(V239,Table!$D$178:$G$212,4,TRUE)</f>
        <v>1.23</v>
      </c>
      <c r="AJ239" s="103">
        <f t="shared" ref="AJ239:AJ248" si="33">IF(V239&lt;2.5,"-",IF(AND(V239&gt;=2.5,V239&lt;=4.5),N(AI239)*W239,0.8*W239))</f>
        <v>1.4446452755179335</v>
      </c>
      <c r="AK239" s="1726">
        <f>VLOOKUP(V239,Table!$D$178:$G$212,3,TRUE)</f>
        <v>2.5</v>
      </c>
      <c r="AL239" s="103">
        <f t="shared" ref="AL239:AL248" si="34">IF(V239&lt;2.5,"-",IF(AND(V239&gt;=2.5,V239&lt;=4.5),N(AK239)*W239,"-"))</f>
        <v>2.9362708851990522</v>
      </c>
      <c r="AM239" s="1769">
        <f t="shared" ref="AM239:AM248" si="35">IF(V239&lt;2.5,0,IF(AND(V239&gt;=2.5,V239&lt;=4.5),S239,S239))</f>
        <v>0.27429999999998611</v>
      </c>
      <c r="AN239" s="441">
        <f t="shared" ref="AN239:AN248" si="36">IF(V239&lt;2.5,0,IF(AND(V239&gt;=2.5,V239&lt;=4.5),0.7*S239,S239))</f>
        <v>0.19200999999999027</v>
      </c>
      <c r="AO239" s="441">
        <f t="shared" si="14"/>
        <v>0.19200999999999027</v>
      </c>
      <c r="AP239" s="1773" t="str">
        <f>VLOOKUP(V239,Table!$D$178:$I$212,5,TRUE)</f>
        <v>-</v>
      </c>
      <c r="AQ239" s="441">
        <f t="shared" si="15"/>
        <v>0.27429999999998611</v>
      </c>
      <c r="AR239" s="1769">
        <f t="shared" si="16"/>
        <v>0.19200999999999027</v>
      </c>
      <c r="AS239" s="441">
        <f t="shared" ref="AS239:AS248" si="37">IF(V239&lt;2.5,0,IF(AND(V239&gt;=2.5,V239&lt;=4.5),0.2*S239,S239*AP239*0.2))</f>
        <v>5.4859999999997223E-2</v>
      </c>
      <c r="AT239" s="441">
        <f t="shared" si="17"/>
        <v>0.19200999999999027</v>
      </c>
      <c r="AU239" s="1769" t="str">
        <f>VLOOKUP(V239,Table!$D$178:$I$212,6,TRUE)</f>
        <v>-</v>
      </c>
      <c r="AV239" s="441">
        <f t="shared" ref="AV239:AV248" si="38">IF(V239&lt;2.5,0,IF(AND(V239&gt;=2.5,V239&lt;=4.5),W239*0.2,S239*AU239))</f>
        <v>0.23490167081592417</v>
      </c>
      <c r="AW239" s="103">
        <f t="shared" ref="AW239:AW248" si="39">IF(V239&lt;2.5,0,IF(AND(V239&gt;=2.5,V239&lt;=4.5),W239*0.15,0))</f>
        <v>0.17617625311194313</v>
      </c>
      <c r="AX239" s="1786">
        <f t="shared" ref="AX239:AX248" si="40">IF(V239&lt;2.5,0,IF(AND(V239&gt;=2.5,V239&lt;=4.5),AV239*0.15,0))</f>
        <v>3.5235250622388622E-2</v>
      </c>
      <c r="AY239" s="103">
        <f t="shared" ref="AY239:AY248" si="41">IF(V239&lt;2.5,0,IF(AND(V239&gt;=2.5,V239&lt;=4.5),W239*0.15,0))</f>
        <v>0.17617625311194313</v>
      </c>
      <c r="BA239" s="1857">
        <f t="shared" ref="BA239:BA248" si="42">E239/$A$65</f>
        <v>0.37827352298613776</v>
      </c>
      <c r="BB239" s="103">
        <f t="shared" ref="BB239:BB248" si="43">(1.35*((BA239^2/$BB$231)^(1/3)))</f>
        <v>0.95726669964772981</v>
      </c>
      <c r="BC239" s="1857">
        <f t="shared" ref="BC239:BC248" si="44">BB239*1.25</f>
        <v>1.1965833745596623</v>
      </c>
      <c r="BD239" s="103">
        <f t="shared" si="18"/>
        <v>1.979000000000001</v>
      </c>
      <c r="BE239" s="1858" t="str">
        <f t="shared" si="19"/>
        <v>-</v>
      </c>
    </row>
    <row r="240" spans="1:57" ht="12.75" customHeight="1">
      <c r="A240" s="352">
        <f t="shared" si="20"/>
        <v>8.2580000000000009</v>
      </c>
      <c r="B240" s="1538">
        <f t="shared" ref="B240:B247" si="45">B239+($B$248-$B$238)/10</f>
        <v>7.3400000000000007</v>
      </c>
      <c r="C240" s="103">
        <f t="shared" si="2"/>
        <v>1.2580000000000009</v>
      </c>
      <c r="D240" s="1521">
        <f t="shared" si="3"/>
        <v>0.34000000000000075</v>
      </c>
      <c r="E240" s="103">
        <f t="shared" si="4"/>
        <v>5.7144703657102012</v>
      </c>
      <c r="F240" s="505">
        <f t="shared" si="5"/>
        <v>0.71781657825237233</v>
      </c>
      <c r="G240" s="3093" t="str">
        <f>IF(J232=1,"H1 increase from D/2 to  D","H1 increase from D/2 to 1.5 D")</f>
        <v>H1 increase from D/2 to 1.5 D</v>
      </c>
      <c r="H240" s="3076" t="s">
        <v>1593</v>
      </c>
      <c r="I240" s="123" t="str">
        <f t="shared" si="6"/>
        <v>Type 5</v>
      </c>
      <c r="J240" s="3090"/>
      <c r="K240" s="130"/>
      <c r="L240" s="103">
        <f t="shared" si="21"/>
        <v>1.2580000000000009</v>
      </c>
      <c r="M240" s="2829">
        <f t="shared" si="7"/>
        <v>1.9048234552367338</v>
      </c>
      <c r="N240" s="2840">
        <f t="shared" si="8"/>
        <v>1.5141680884234756</v>
      </c>
      <c r="O240" s="298">
        <f t="shared" si="9"/>
        <v>0.11685550458715609</v>
      </c>
      <c r="P240" s="2840">
        <f t="shared" si="22"/>
        <v>1.9767248673785587</v>
      </c>
      <c r="Q240" s="2830">
        <f t="shared" si="10"/>
        <v>1.9048234552367338</v>
      </c>
      <c r="R240" s="441">
        <f t="shared" si="11"/>
        <v>0.18493131476146835</v>
      </c>
      <c r="S240" s="1699">
        <f>'Calc-2'!P36</f>
        <v>0.33549999999997937</v>
      </c>
      <c r="T240" s="103">
        <f t="shared" si="23"/>
        <v>1.9784540158403057</v>
      </c>
      <c r="U240" s="103">
        <f t="shared" si="24"/>
        <v>5.6775661855047721</v>
      </c>
      <c r="V240" s="449">
        <f t="shared" si="12"/>
        <v>3.1295467223822269</v>
      </c>
      <c r="W240" s="1647">
        <f t="shared" si="25"/>
        <v>1.326567353093917</v>
      </c>
      <c r="X240" s="103">
        <f t="shared" si="26"/>
        <v>1.392895720748613</v>
      </c>
      <c r="Y240" s="1647">
        <f t="shared" si="27"/>
        <v>7.4928957207486127</v>
      </c>
      <c r="Z240" s="123" t="str">
        <f>IF(Hydraulic!$W$234&gt;Y240,"ok","Not ok")</f>
        <v>ok</v>
      </c>
      <c r="AA240" s="1647">
        <f t="shared" si="28"/>
        <v>1.2400000000000011</v>
      </c>
      <c r="AB240" s="2524" t="str">
        <f t="shared" si="29"/>
        <v/>
      </c>
      <c r="AC240" s="1658">
        <f t="shared" si="30"/>
        <v>0.15289572074861191</v>
      </c>
      <c r="AD240" s="505">
        <f t="shared" si="13"/>
        <v>0.47620586380918345</v>
      </c>
      <c r="AE240" s="103">
        <f t="shared" ref="AE240:AE248" si="46">AD240/W240</f>
        <v>0.35897601633158049</v>
      </c>
      <c r="AF240" s="1854" t="str">
        <f t="shared" si="31"/>
        <v>ERC</v>
      </c>
      <c r="AG240" s="75">
        <f>VLOOKUP(V240,Table!$D$178:$G$212,2,TRUE)</f>
        <v>3.2</v>
      </c>
      <c r="AH240" s="103">
        <f t="shared" si="32"/>
        <v>4.2450155299005345</v>
      </c>
      <c r="AI240" s="1725">
        <f>VLOOKUP(V240,Table!$D$178:$G$212,4,TRUE)</f>
        <v>1.25</v>
      </c>
      <c r="AJ240" s="103">
        <f t="shared" si="33"/>
        <v>1.6582091913673964</v>
      </c>
      <c r="AK240" s="1726">
        <f>VLOOKUP(V240,Table!$D$178:$G$212,3,TRUE)</f>
        <v>2.6</v>
      </c>
      <c r="AL240" s="103">
        <f t="shared" si="34"/>
        <v>3.4490751180441843</v>
      </c>
      <c r="AM240" s="1769">
        <f t="shared" si="35"/>
        <v>0.33549999999997937</v>
      </c>
      <c r="AN240" s="441">
        <f t="shared" si="36"/>
        <v>0.23484999999998554</v>
      </c>
      <c r="AO240" s="441">
        <f t="shared" si="14"/>
        <v>0.23484999999998554</v>
      </c>
      <c r="AP240" s="1773" t="str">
        <f>VLOOKUP(V240,Table!$D$178:$I$212,5,TRUE)</f>
        <v>-</v>
      </c>
      <c r="AQ240" s="441">
        <f t="shared" si="15"/>
        <v>0.33549999999997937</v>
      </c>
      <c r="AR240" s="1769">
        <f t="shared" si="16"/>
        <v>0.23484999999998554</v>
      </c>
      <c r="AS240" s="441">
        <f t="shared" si="37"/>
        <v>6.7099999999995871E-2</v>
      </c>
      <c r="AT240" s="441">
        <f t="shared" si="17"/>
        <v>0.23484999999998554</v>
      </c>
      <c r="AU240" s="1769" t="str">
        <f>VLOOKUP(V240,Table!$D$178:$I$212,6,TRUE)</f>
        <v>-</v>
      </c>
      <c r="AV240" s="441">
        <f t="shared" si="38"/>
        <v>0.26531347061878341</v>
      </c>
      <c r="AW240" s="103">
        <f t="shared" si="39"/>
        <v>0.19898510296408756</v>
      </c>
      <c r="AX240" s="1786">
        <f t="shared" si="40"/>
        <v>3.9797020592817513E-2</v>
      </c>
      <c r="AY240" s="103">
        <f t="shared" si="41"/>
        <v>0.19898510296408756</v>
      </c>
      <c r="BA240" s="1857">
        <f t="shared" si="42"/>
        <v>0.47620586380918345</v>
      </c>
      <c r="BB240" s="103">
        <f t="shared" si="43"/>
        <v>1.1160718333242301</v>
      </c>
      <c r="BC240" s="1857">
        <f t="shared" si="44"/>
        <v>1.3950897916552876</v>
      </c>
      <c r="BD240" s="103">
        <f t="shared" si="18"/>
        <v>2.1580000000000013</v>
      </c>
      <c r="BE240" s="1858" t="str">
        <f t="shared" si="19"/>
        <v>-</v>
      </c>
    </row>
    <row r="241" spans="1:57">
      <c r="A241" s="352">
        <f t="shared" si="20"/>
        <v>8.4370000000000012</v>
      </c>
      <c r="B241" s="1538">
        <f t="shared" si="45"/>
        <v>7.410000000000001</v>
      </c>
      <c r="C241" s="103">
        <f t="shared" si="2"/>
        <v>1.4370000000000012</v>
      </c>
      <c r="D241" s="1521">
        <f t="shared" si="3"/>
        <v>0.41000000000000103</v>
      </c>
      <c r="E241" s="103">
        <f t="shared" si="4"/>
        <v>6.9765413945831813</v>
      </c>
      <c r="F241" s="505">
        <f t="shared" si="5"/>
        <v>0.81995423127874323</v>
      </c>
      <c r="G241" s="3093"/>
      <c r="H241" s="3076"/>
      <c r="I241" s="123" t="str">
        <f t="shared" si="6"/>
        <v>Type 5</v>
      </c>
      <c r="J241" s="3090"/>
      <c r="K241" s="130"/>
      <c r="L241" s="103">
        <f t="shared" si="21"/>
        <v>1.4370000000000012</v>
      </c>
      <c r="M241" s="2829">
        <f t="shared" si="7"/>
        <v>2.3255137981943936</v>
      </c>
      <c r="N241" s="2840">
        <f t="shared" si="8"/>
        <v>1.6183116201770298</v>
      </c>
      <c r="O241" s="298">
        <f t="shared" si="9"/>
        <v>0.13348279816513778</v>
      </c>
      <c r="P241" s="2840">
        <f t="shared" si="22"/>
        <v>2.1299313469181147</v>
      </c>
      <c r="Q241" s="2830">
        <f t="shared" si="10"/>
        <v>2.3255137981943936</v>
      </c>
      <c r="R241" s="441">
        <f t="shared" si="11"/>
        <v>0.2756378402442668</v>
      </c>
      <c r="S241" s="1699">
        <f>'Calc-2'!P37</f>
        <v>0.3987999999999724</v>
      </c>
      <c r="T241" s="103">
        <f t="shared" si="23"/>
        <v>2.1319196211773521</v>
      </c>
      <c r="U241" s="103">
        <f t="shared" si="24"/>
        <v>5.8312783304778195</v>
      </c>
      <c r="V241" s="103">
        <f t="shared" si="12"/>
        <v>2.9481643653743745</v>
      </c>
      <c r="W241" s="1647">
        <f t="shared" si="25"/>
        <v>1.4752440755282916</v>
      </c>
      <c r="X241" s="103">
        <f t="shared" si="26"/>
        <v>1.5490062793047064</v>
      </c>
      <c r="Y241" s="1647">
        <f t="shared" si="27"/>
        <v>7.6490062793047056</v>
      </c>
      <c r="Z241" s="123" t="str">
        <f>IF(Hydraulic!$W$234&gt;Y241,"ok","Not ok")</f>
        <v>ok</v>
      </c>
      <c r="AA241" s="1647">
        <f t="shared" si="28"/>
        <v>1.3100000000000014</v>
      </c>
      <c r="AB241" s="2524" t="str">
        <f t="shared" si="29"/>
        <v/>
      </c>
      <c r="AC241" s="1658">
        <f t="shared" si="30"/>
        <v>0.23900627930470497</v>
      </c>
      <c r="AD241" s="505">
        <f t="shared" si="13"/>
        <v>0.58137844954859841</v>
      </c>
      <c r="AE241" s="103">
        <f t="shared" si="46"/>
        <v>0.3940896690877434</v>
      </c>
      <c r="AF241" s="1854" t="str">
        <f t="shared" si="31"/>
        <v>ERC</v>
      </c>
      <c r="AG241" s="75">
        <f>VLOOKUP(V241,Table!$D$178:$G$212,2,TRUE)</f>
        <v>3.25</v>
      </c>
      <c r="AH241" s="103">
        <f t="shared" si="32"/>
        <v>4.7945432454669481</v>
      </c>
      <c r="AI241" s="1725">
        <f>VLOOKUP(V241,Table!$D$178:$G$212,4,TRUE)</f>
        <v>1.37</v>
      </c>
      <c r="AJ241" s="103">
        <f t="shared" si="33"/>
        <v>2.0210843834737595</v>
      </c>
      <c r="AK241" s="1726">
        <f>VLOOKUP(V241,Table!$D$178:$G$212,3,TRUE)</f>
        <v>2.75</v>
      </c>
      <c r="AL241" s="103">
        <f t="shared" si="34"/>
        <v>4.0569212077028016</v>
      </c>
      <c r="AM241" s="1769">
        <f t="shared" si="35"/>
        <v>0.3987999999999724</v>
      </c>
      <c r="AN241" s="441">
        <f t="shared" si="36"/>
        <v>0.27915999999998065</v>
      </c>
      <c r="AO241" s="441">
        <f t="shared" si="14"/>
        <v>0.27915999999998065</v>
      </c>
      <c r="AP241" s="1773" t="str">
        <f>VLOOKUP(V241,Table!$D$178:$I$212,5,TRUE)</f>
        <v>-</v>
      </c>
      <c r="AQ241" s="441">
        <f t="shared" si="15"/>
        <v>0.3987999999999724</v>
      </c>
      <c r="AR241" s="1769">
        <f t="shared" si="16"/>
        <v>0.27915999999998065</v>
      </c>
      <c r="AS241" s="441">
        <f t="shared" si="37"/>
        <v>7.9759999999994488E-2</v>
      </c>
      <c r="AT241" s="441">
        <f t="shared" si="17"/>
        <v>0.27915999999998065</v>
      </c>
      <c r="AU241" s="1769" t="str">
        <f>VLOOKUP(V241,Table!$D$178:$I$212,6,TRUE)</f>
        <v>-</v>
      </c>
      <c r="AV241" s="441">
        <f t="shared" si="38"/>
        <v>0.29504881510565834</v>
      </c>
      <c r="AW241" s="103">
        <f t="shared" si="39"/>
        <v>0.22128661132924374</v>
      </c>
      <c r="AX241" s="1786">
        <f t="shared" si="40"/>
        <v>4.4257322265848748E-2</v>
      </c>
      <c r="AY241" s="103">
        <f t="shared" si="41"/>
        <v>0.22128661132924374</v>
      </c>
      <c r="BA241" s="1857">
        <f t="shared" si="42"/>
        <v>0.58137844954859841</v>
      </c>
      <c r="BB241" s="103">
        <f t="shared" si="43"/>
        <v>1.2748769670007303</v>
      </c>
      <c r="BC241" s="1857">
        <f t="shared" si="44"/>
        <v>1.5935962087509128</v>
      </c>
      <c r="BD241" s="103">
        <f t="shared" si="18"/>
        <v>2.3370000000000015</v>
      </c>
      <c r="BE241" s="1858" t="str">
        <f t="shared" si="19"/>
        <v>-</v>
      </c>
    </row>
    <row r="242" spans="1:57">
      <c r="A242" s="352">
        <f t="shared" si="20"/>
        <v>8.6160000000000014</v>
      </c>
      <c r="B242" s="1538">
        <f t="shared" si="45"/>
        <v>7.4800000000000013</v>
      </c>
      <c r="C242" s="103">
        <f t="shared" si="2"/>
        <v>1.6160000000000014</v>
      </c>
      <c r="D242" s="1521">
        <f t="shared" si="3"/>
        <v>0.48000000000000131</v>
      </c>
      <c r="E242" s="103">
        <f t="shared" si="4"/>
        <v>8.3198799135949209</v>
      </c>
      <c r="F242" s="505">
        <f t="shared" si="5"/>
        <v>0.92209188430511435</v>
      </c>
      <c r="G242" s="3093"/>
      <c r="H242" s="3076"/>
      <c r="I242" s="123" t="str">
        <f t="shared" si="6"/>
        <v>Type 5</v>
      </c>
      <c r="J242" s="3090"/>
      <c r="K242" s="130"/>
      <c r="L242" s="103">
        <f t="shared" si="21"/>
        <v>1.6160000000000014</v>
      </c>
      <c r="M242" s="2829">
        <f t="shared" si="7"/>
        <v>2.7732933045316401</v>
      </c>
      <c r="N242" s="2840">
        <f t="shared" si="8"/>
        <v>1.7161468468636372</v>
      </c>
      <c r="O242" s="298">
        <f t="shared" si="9"/>
        <v>0.15011009174311946</v>
      </c>
      <c r="P242" s="2840">
        <f t="shared" si="22"/>
        <v>2.2831378264576716</v>
      </c>
      <c r="Q242" s="2830">
        <f t="shared" si="10"/>
        <v>2.7732933045316401</v>
      </c>
      <c r="R242" s="441">
        <f t="shared" si="11"/>
        <v>0.3920058997431205</v>
      </c>
      <c r="S242" s="1699">
        <f>'Calc-2'!P38</f>
        <v>0.46399999999996522</v>
      </c>
      <c r="T242" s="103">
        <f t="shared" si="23"/>
        <v>2.2847765111435967</v>
      </c>
      <c r="U242" s="103">
        <f t="shared" si="24"/>
        <v>5.9769252252841554</v>
      </c>
      <c r="V242" s="103">
        <f t="shared" si="12"/>
        <v>2.8014593727196901</v>
      </c>
      <c r="W242" s="1647">
        <f t="shared" si="25"/>
        <v>1.6208856426348559</v>
      </c>
      <c r="X242" s="103">
        <f t="shared" si="26"/>
        <v>1.7019299247665989</v>
      </c>
      <c r="Y242" s="1647">
        <f t="shared" si="27"/>
        <v>7.8019299247665987</v>
      </c>
      <c r="Z242" s="123" t="str">
        <f>IF(Hydraulic!$W$234&gt;Y242,"ok","Not ok")</f>
        <v>ok</v>
      </c>
      <c r="AA242" s="1647">
        <f t="shared" si="28"/>
        <v>1.3800000000000017</v>
      </c>
      <c r="AB242" s="2524" t="str">
        <f t="shared" si="29"/>
        <v/>
      </c>
      <c r="AC242" s="1658">
        <f t="shared" si="30"/>
        <v>0.32192992476659721</v>
      </c>
      <c r="AD242" s="505">
        <f t="shared" si="13"/>
        <v>0.69332332613291003</v>
      </c>
      <c r="AE242" s="103">
        <f t="shared" si="46"/>
        <v>0.42774351743030281</v>
      </c>
      <c r="AF242" s="1854" t="str">
        <f t="shared" si="31"/>
        <v>ERC</v>
      </c>
      <c r="AG242" s="75">
        <f>VLOOKUP(V242,Table!$D$178:$G$212,2,TRUE)</f>
        <v>3.25</v>
      </c>
      <c r="AH242" s="103">
        <f t="shared" si="32"/>
        <v>5.2678783385632819</v>
      </c>
      <c r="AI242" s="1725">
        <f>VLOOKUP(V242,Table!$D$178:$G$212,4,TRUE)</f>
        <v>1.37</v>
      </c>
      <c r="AJ242" s="103">
        <f t="shared" si="33"/>
        <v>2.2206133304097526</v>
      </c>
      <c r="AK242" s="1726">
        <f>VLOOKUP(V242,Table!$D$178:$G$212,3,TRUE)</f>
        <v>2.75</v>
      </c>
      <c r="AL242" s="103">
        <f t="shared" si="34"/>
        <v>4.4574355172458535</v>
      </c>
      <c r="AM242" s="1769">
        <f t="shared" si="35"/>
        <v>0.46399999999996522</v>
      </c>
      <c r="AN242" s="441">
        <f t="shared" si="36"/>
        <v>0.32479999999997561</v>
      </c>
      <c r="AO242" s="441">
        <f t="shared" si="14"/>
        <v>0.32479999999997561</v>
      </c>
      <c r="AP242" s="1773" t="str">
        <f>VLOOKUP(V242,Table!$D$178:$I$212,5,TRUE)</f>
        <v>-</v>
      </c>
      <c r="AQ242" s="441">
        <f t="shared" si="15"/>
        <v>0.46399999999996522</v>
      </c>
      <c r="AR242" s="1769">
        <f t="shared" si="16"/>
        <v>0.32479999999997561</v>
      </c>
      <c r="AS242" s="441">
        <f t="shared" si="37"/>
        <v>9.2799999999993055E-2</v>
      </c>
      <c r="AT242" s="441">
        <f t="shared" si="17"/>
        <v>0.32479999999997561</v>
      </c>
      <c r="AU242" s="1769" t="str">
        <f>VLOOKUP(V242,Table!$D$178:$I$212,6,TRUE)</f>
        <v>-</v>
      </c>
      <c r="AV242" s="441">
        <f t="shared" si="38"/>
        <v>0.32417712852697123</v>
      </c>
      <c r="AW242" s="103">
        <f t="shared" si="39"/>
        <v>0.24313284639522836</v>
      </c>
      <c r="AX242" s="1786">
        <f t="shared" si="40"/>
        <v>4.8626569279045684E-2</v>
      </c>
      <c r="AY242" s="103">
        <f t="shared" si="41"/>
        <v>0.24313284639522836</v>
      </c>
      <c r="BA242" s="1857">
        <f t="shared" si="42"/>
        <v>0.69332332613291003</v>
      </c>
      <c r="BB242" s="103">
        <f t="shared" si="43"/>
        <v>1.4336821006772305</v>
      </c>
      <c r="BC242" s="1857">
        <f t="shared" si="44"/>
        <v>1.792102625846538</v>
      </c>
      <c r="BD242" s="103">
        <f t="shared" si="18"/>
        <v>2.5160000000000018</v>
      </c>
      <c r="BE242" s="1858" t="str">
        <f t="shared" si="19"/>
        <v>-</v>
      </c>
    </row>
    <row r="243" spans="1:57">
      <c r="A243" s="352">
        <f t="shared" si="20"/>
        <v>8.7950000000000017</v>
      </c>
      <c r="B243" s="1538">
        <f t="shared" si="45"/>
        <v>7.5500000000000016</v>
      </c>
      <c r="C243" s="103">
        <f t="shared" si="2"/>
        <v>1.7950000000000017</v>
      </c>
      <c r="D243" s="1521">
        <f t="shared" si="3"/>
        <v>0.5500000000000016</v>
      </c>
      <c r="E243" s="103">
        <f t="shared" si="4"/>
        <v>9.7398373080451304</v>
      </c>
      <c r="F243" s="505">
        <f t="shared" si="5"/>
        <v>1.0242295373314854</v>
      </c>
      <c r="G243" s="3093"/>
      <c r="H243" s="3076"/>
      <c r="I243" s="123" t="str">
        <f t="shared" si="6"/>
        <v>Type 5</v>
      </c>
      <c r="J243" s="3090"/>
      <c r="K243" s="130"/>
      <c r="L243" s="103">
        <f t="shared" si="21"/>
        <v>1.7950000000000017</v>
      </c>
      <c r="M243" s="2829">
        <f t="shared" si="7"/>
        <v>3.2466124360150435</v>
      </c>
      <c r="N243" s="2840">
        <f t="shared" si="8"/>
        <v>1.8086977359415266</v>
      </c>
      <c r="O243" s="298">
        <f t="shared" si="9"/>
        <v>0.16673738532110113</v>
      </c>
      <c r="P243" s="2840">
        <f t="shared" si="22"/>
        <v>2.4363443059972281</v>
      </c>
      <c r="Q243" s="2830">
        <f t="shared" si="10"/>
        <v>3.2466124360150435</v>
      </c>
      <c r="R243" s="441">
        <f t="shared" si="11"/>
        <v>0.53723202393922187</v>
      </c>
      <c r="S243" s="1699">
        <f>'Calc-2'!P39</f>
        <v>0.53069999999995787</v>
      </c>
      <c r="T243" s="103">
        <f t="shared" si="23"/>
        <v>2.4381963580221697</v>
      </c>
      <c r="U243" s="103">
        <f t="shared" si="24"/>
        <v>6.117603987215567</v>
      </c>
      <c r="V243" s="103">
        <f t="shared" si="12"/>
        <v>2.6811574142834638</v>
      </c>
      <c r="W243" s="1647">
        <f t="shared" si="25"/>
        <v>1.7643405900430502</v>
      </c>
      <c r="X243" s="103">
        <f t="shared" si="26"/>
        <v>1.8525576195452027</v>
      </c>
      <c r="Y243" s="1647">
        <f t="shared" si="27"/>
        <v>7.9525576195452023</v>
      </c>
      <c r="Z243" s="123" t="str">
        <f>IF(Hydraulic!$W$234&gt;Y243,"ok","Not ok")</f>
        <v>ok</v>
      </c>
      <c r="AA243" s="1647">
        <f t="shared" si="28"/>
        <v>1.450000000000002</v>
      </c>
      <c r="AB243" s="2524" t="str">
        <f t="shared" si="29"/>
        <v/>
      </c>
      <c r="AC243" s="1658">
        <f t="shared" si="30"/>
        <v>0.40255761954520075</v>
      </c>
      <c r="AD243" s="505">
        <f t="shared" si="13"/>
        <v>0.81165310900376086</v>
      </c>
      <c r="AE243" s="103">
        <f t="shared" si="46"/>
        <v>0.46003198791904254</v>
      </c>
      <c r="AF243" s="1854" t="str">
        <f t="shared" si="31"/>
        <v>ERC</v>
      </c>
      <c r="AG243" s="75">
        <f>VLOOKUP(V243,Table!$D$178:$G$212,2,TRUE)</f>
        <v>3.25</v>
      </c>
      <c r="AH243" s="103">
        <f t="shared" si="32"/>
        <v>5.7341069176399131</v>
      </c>
      <c r="AI243" s="1725">
        <f>VLOOKUP(V243,Table!$D$178:$G$212,4,TRUE)</f>
        <v>1.37</v>
      </c>
      <c r="AJ243" s="103">
        <f t="shared" si="33"/>
        <v>2.417146608358979</v>
      </c>
      <c r="AK243" s="1726">
        <f>VLOOKUP(V243,Table!$D$178:$G$212,3,TRUE)</f>
        <v>2.75</v>
      </c>
      <c r="AL243" s="103">
        <f t="shared" si="34"/>
        <v>4.8519366226183882</v>
      </c>
      <c r="AM243" s="1769">
        <f t="shared" si="35"/>
        <v>0.53069999999995787</v>
      </c>
      <c r="AN243" s="441">
        <f t="shared" si="36"/>
        <v>0.37148999999997051</v>
      </c>
      <c r="AO243" s="441">
        <f t="shared" si="14"/>
        <v>0.37148999999997051</v>
      </c>
      <c r="AP243" s="1773" t="str">
        <f>VLOOKUP(V243,Table!$D$178:$I$212,5,TRUE)</f>
        <v>-</v>
      </c>
      <c r="AQ243" s="441">
        <f t="shared" si="15"/>
        <v>0.53069999999995787</v>
      </c>
      <c r="AR243" s="1769">
        <f t="shared" si="16"/>
        <v>0.37148999999997051</v>
      </c>
      <c r="AS243" s="441">
        <f t="shared" si="37"/>
        <v>0.10613999999999157</v>
      </c>
      <c r="AT243" s="441">
        <f t="shared" si="17"/>
        <v>0.37148999999997051</v>
      </c>
      <c r="AU243" s="1769" t="str">
        <f>VLOOKUP(V243,Table!$D$178:$I$212,6,TRUE)</f>
        <v>-</v>
      </c>
      <c r="AV243" s="441">
        <f t="shared" si="38"/>
        <v>0.35286811800861007</v>
      </c>
      <c r="AW243" s="103">
        <f t="shared" si="39"/>
        <v>0.26465108850645752</v>
      </c>
      <c r="AX243" s="1786">
        <f t="shared" si="40"/>
        <v>5.2930217701291506E-2</v>
      </c>
      <c r="AY243" s="103">
        <f t="shared" si="41"/>
        <v>0.26465108850645752</v>
      </c>
      <c r="BA243" s="1857">
        <f t="shared" si="42"/>
        <v>0.81165310900376086</v>
      </c>
      <c r="BB243" s="103">
        <f t="shared" si="43"/>
        <v>1.5924872343537311</v>
      </c>
      <c r="BC243" s="1857">
        <f t="shared" si="44"/>
        <v>1.9906090429421639</v>
      </c>
      <c r="BD243" s="103">
        <f t="shared" si="18"/>
        <v>2.6950000000000021</v>
      </c>
      <c r="BE243" s="1858" t="str">
        <f t="shared" si="19"/>
        <v>-</v>
      </c>
    </row>
    <row r="244" spans="1:57">
      <c r="A244" s="352">
        <f t="shared" si="20"/>
        <v>8.974000000000002</v>
      </c>
      <c r="B244" s="1538">
        <f t="shared" si="45"/>
        <v>7.6200000000000019</v>
      </c>
      <c r="C244" s="103">
        <f t="shared" si="2"/>
        <v>1.974000000000002</v>
      </c>
      <c r="D244" s="1521">
        <f t="shared" si="3"/>
        <v>0.62000000000000188</v>
      </c>
      <c r="E244" s="103">
        <f t="shared" si="4"/>
        <v>11.232482372550619</v>
      </c>
      <c r="F244" s="505">
        <f t="shared" si="5"/>
        <v>1.126367190357856</v>
      </c>
      <c r="G244" s="3093"/>
      <c r="H244" s="3076"/>
      <c r="I244" s="123" t="str">
        <f t="shared" si="6"/>
        <v>Type 5</v>
      </c>
      <c r="J244" s="3090"/>
      <c r="K244" s="130"/>
      <c r="L244" s="103">
        <f t="shared" si="21"/>
        <v>1.974000000000002</v>
      </c>
      <c r="M244" s="2829">
        <f t="shared" si="7"/>
        <v>3.7441607908502061</v>
      </c>
      <c r="N244" s="2840">
        <f t="shared" si="8"/>
        <v>1.8967379892858167</v>
      </c>
      <c r="O244" s="298">
        <f t="shared" si="9"/>
        <v>0.1833646788990827</v>
      </c>
      <c r="P244" s="2840">
        <f t="shared" si="22"/>
        <v>2.5895507855367841</v>
      </c>
      <c r="Q244" s="2830">
        <f t="shared" si="10"/>
        <v>3.7441607908502061</v>
      </c>
      <c r="R244" s="441">
        <f t="shared" si="11"/>
        <v>0.71451274351376348</v>
      </c>
      <c r="S244" s="1699">
        <f>'Calc-2'!P40</f>
        <v>0.59879999999995037</v>
      </c>
      <c r="T244" s="103">
        <f t="shared" si="23"/>
        <v>2.5915205321181891</v>
      </c>
      <c r="U244" s="103">
        <f t="shared" si="24"/>
        <v>6.2527735318144897</v>
      </c>
      <c r="V244" s="103">
        <f t="shared" si="12"/>
        <v>2.579866895816191</v>
      </c>
      <c r="W244" s="1647">
        <f t="shared" si="25"/>
        <v>1.9057314197864272</v>
      </c>
      <c r="X244" s="103">
        <f t="shared" si="26"/>
        <v>2.0010179907757486</v>
      </c>
      <c r="Y244" s="1647">
        <f t="shared" si="27"/>
        <v>8.1010179907757482</v>
      </c>
      <c r="Z244" s="123" t="str">
        <f>IF(Hydraulic!$W$234&gt;Y244,"ok","Not ok")</f>
        <v>ok</v>
      </c>
      <c r="AA244" s="1647">
        <f t="shared" si="28"/>
        <v>1.5200000000000022</v>
      </c>
      <c r="AB244" s="2524" t="str">
        <f t="shared" si="29"/>
        <v/>
      </c>
      <c r="AC244" s="1658">
        <f t="shared" si="30"/>
        <v>0.48101799077574636</v>
      </c>
      <c r="AD244" s="505">
        <f t="shared" si="13"/>
        <v>0.93604019771255154</v>
      </c>
      <c r="AE244" s="103">
        <f t="shared" si="46"/>
        <v>0.49117109997454539</v>
      </c>
      <c r="AF244" s="1854" t="str">
        <f t="shared" si="31"/>
        <v>ERC</v>
      </c>
      <c r="AG244" s="75">
        <f>VLOOKUP(V244,Table!$D$178:$G$212,2,TRUE)</f>
        <v>3.25</v>
      </c>
      <c r="AH244" s="103">
        <f t="shared" si="32"/>
        <v>6.1936271143058885</v>
      </c>
      <c r="AI244" s="1725">
        <f>VLOOKUP(V244,Table!$D$178:$G$212,4,TRUE)</f>
        <v>1.37</v>
      </c>
      <c r="AJ244" s="103">
        <f t="shared" si="33"/>
        <v>2.6108520451074053</v>
      </c>
      <c r="AK244" s="1726">
        <f>VLOOKUP(V244,Table!$D$178:$G$212,3,TRUE)</f>
        <v>2.75</v>
      </c>
      <c r="AL244" s="103">
        <f t="shared" si="34"/>
        <v>5.2407614044126749</v>
      </c>
      <c r="AM244" s="1769">
        <f t="shared" si="35"/>
        <v>0.59879999999995037</v>
      </c>
      <c r="AN244" s="441">
        <f t="shared" si="36"/>
        <v>0.41915999999996523</v>
      </c>
      <c r="AO244" s="441">
        <f t="shared" si="14"/>
        <v>0.41915999999996523</v>
      </c>
      <c r="AP244" s="1773" t="str">
        <f>VLOOKUP(V244,Table!$D$178:$I$212,5,TRUE)</f>
        <v>-</v>
      </c>
      <c r="AQ244" s="441">
        <f t="shared" si="15"/>
        <v>0.59879999999995037</v>
      </c>
      <c r="AR244" s="1769">
        <f t="shared" si="16"/>
        <v>0.41915999999996523</v>
      </c>
      <c r="AS244" s="441">
        <f t="shared" si="37"/>
        <v>0.11975999999999008</v>
      </c>
      <c r="AT244" s="441">
        <f t="shared" si="17"/>
        <v>0.41915999999996523</v>
      </c>
      <c r="AU244" s="1769" t="str">
        <f>VLOOKUP(V244,Table!$D$178:$I$212,6,TRUE)</f>
        <v>-</v>
      </c>
      <c r="AV244" s="441">
        <f t="shared" si="38"/>
        <v>0.38114628395728545</v>
      </c>
      <c r="AW244" s="103">
        <f t="shared" si="39"/>
        <v>0.28585971296796409</v>
      </c>
      <c r="AX244" s="1786">
        <f t="shared" si="40"/>
        <v>5.7171942593592817E-2</v>
      </c>
      <c r="AY244" s="103">
        <f t="shared" si="41"/>
        <v>0.28585971296796409</v>
      </c>
      <c r="BA244" s="1857">
        <f t="shared" si="42"/>
        <v>0.93604019771255154</v>
      </c>
      <c r="BB244" s="103">
        <f t="shared" si="43"/>
        <v>1.7512923680302308</v>
      </c>
      <c r="BC244" s="1857">
        <f t="shared" si="44"/>
        <v>2.1891154600377885</v>
      </c>
      <c r="BD244" s="103">
        <f t="shared" si="18"/>
        <v>2.8740000000000023</v>
      </c>
      <c r="BE244" s="1858" t="str">
        <f t="shared" si="19"/>
        <v>-</v>
      </c>
    </row>
    <row r="245" spans="1:57">
      <c r="A245" s="352">
        <f t="shared" si="20"/>
        <v>9.1530000000000022</v>
      </c>
      <c r="B245" s="1538">
        <f t="shared" si="45"/>
        <v>7.6900000000000022</v>
      </c>
      <c r="C245" s="103">
        <f t="shared" si="2"/>
        <v>2.1530000000000022</v>
      </c>
      <c r="D245" s="1521">
        <f t="shared" si="3"/>
        <v>0.69000000000000217</v>
      </c>
      <c r="E245" s="103">
        <f t="shared" si="4"/>
        <v>12.794433694061768</v>
      </c>
      <c r="F245" s="505">
        <f t="shared" si="5"/>
        <v>1.2285048433842272</v>
      </c>
      <c r="G245" s="3093"/>
      <c r="H245" s="3076"/>
      <c r="I245" s="123" t="str">
        <f t="shared" si="6"/>
        <v>Type 5</v>
      </c>
      <c r="J245" s="3090"/>
      <c r="K245" s="130"/>
      <c r="L245" s="103">
        <f t="shared" si="21"/>
        <v>2.1530000000000022</v>
      </c>
      <c r="M245" s="2829">
        <f t="shared" si="7"/>
        <v>4.2648112313539226</v>
      </c>
      <c r="N245" s="2840">
        <f t="shared" si="8"/>
        <v>1.9808691274286661</v>
      </c>
      <c r="O245" s="298">
        <f t="shared" si="9"/>
        <v>0.19999197247706446</v>
      </c>
      <c r="P245" s="2840">
        <f t="shared" si="22"/>
        <v>2.7427572650763405</v>
      </c>
      <c r="Q245" s="2830">
        <f t="shared" si="10"/>
        <v>4.2648112313539226</v>
      </c>
      <c r="R245" s="441">
        <f t="shared" si="11"/>
        <v>0.92704458914793886</v>
      </c>
      <c r="S245" s="1699">
        <f>'Calc-2'!P41</f>
        <v>0.66819999999994273</v>
      </c>
      <c r="T245" s="103">
        <f t="shared" si="23"/>
        <v>2.7444884153070332</v>
      </c>
      <c r="U245" s="103">
        <f t="shared" si="24"/>
        <v>6.382537011904053</v>
      </c>
      <c r="V245" s="103">
        <f t="shared" si="12"/>
        <v>2.4929042763292459</v>
      </c>
      <c r="W245" s="1647">
        <f t="shared" si="25"/>
        <v>2.0452121876778659</v>
      </c>
      <c r="X245" s="103">
        <f t="shared" si="26"/>
        <v>2.1474727970617593</v>
      </c>
      <c r="Y245" s="1647">
        <f t="shared" si="27"/>
        <v>8.247472797061759</v>
      </c>
      <c r="Z245" s="123" t="str">
        <f>IF(Hydraulic!$W$234&gt;Y245,"ok","Not ok")</f>
        <v>ok</v>
      </c>
      <c r="AA245" s="1647">
        <f t="shared" si="28"/>
        <v>1.5900000000000025</v>
      </c>
      <c r="AB245" s="2524" t="str">
        <f t="shared" si="29"/>
        <v xml:space="preserve"> </v>
      </c>
      <c r="AC245" s="1658">
        <f t="shared" si="30"/>
        <v>0.45521218767786342</v>
      </c>
      <c r="AD245" s="505">
        <f t="shared" si="13"/>
        <v>1.0662028078384806</v>
      </c>
      <c r="AE245" s="103">
        <f t="shared" si="46"/>
        <v>0.52131647477079013</v>
      </c>
      <c r="AF245" s="1854" t="str">
        <f t="shared" si="31"/>
        <v>Type I</v>
      </c>
      <c r="AG245" s="75">
        <f>VLOOKUP(V245,Table!$D$178:$G$212,2,TRUE)</f>
        <v>5</v>
      </c>
      <c r="AH245" s="103">
        <f t="shared" si="32"/>
        <v>10.226060938389329</v>
      </c>
      <c r="AI245" s="1725" t="str">
        <f>VLOOKUP(V245,Table!$D$178:$G$212,4,TRUE)</f>
        <v>-</v>
      </c>
      <c r="AJ245" s="103" t="str">
        <f t="shared" si="33"/>
        <v>-</v>
      </c>
      <c r="AK245" s="1726" t="str">
        <f>VLOOKUP(V245,Table!$D$178:$G$212,3,TRUE)</f>
        <v>-</v>
      </c>
      <c r="AL245" s="103" t="str">
        <f t="shared" si="34"/>
        <v>-</v>
      </c>
      <c r="AM245" s="1769">
        <f t="shared" si="35"/>
        <v>0</v>
      </c>
      <c r="AN245" s="441">
        <f t="shared" si="36"/>
        <v>0</v>
      </c>
      <c r="AO245" s="441">
        <f t="shared" si="14"/>
        <v>0</v>
      </c>
      <c r="AP245" s="1773" t="str">
        <f>VLOOKUP(V245,Table!$D$178:$I$212,5,TRUE)</f>
        <v>-</v>
      </c>
      <c r="AQ245" s="441">
        <f t="shared" si="15"/>
        <v>0</v>
      </c>
      <c r="AR245" s="1769">
        <f t="shared" si="16"/>
        <v>0</v>
      </c>
      <c r="AS245" s="441">
        <f t="shared" si="37"/>
        <v>0</v>
      </c>
      <c r="AT245" s="441">
        <f t="shared" si="17"/>
        <v>0</v>
      </c>
      <c r="AU245" s="1769" t="str">
        <f>VLOOKUP(V245,Table!$D$178:$I$212,6,TRUE)</f>
        <v>-</v>
      </c>
      <c r="AV245" s="441">
        <f t="shared" si="38"/>
        <v>0</v>
      </c>
      <c r="AW245" s="103">
        <f t="shared" si="39"/>
        <v>0</v>
      </c>
      <c r="AX245" s="1786">
        <f t="shared" si="40"/>
        <v>0</v>
      </c>
      <c r="AY245" s="103">
        <f t="shared" si="41"/>
        <v>0</v>
      </c>
      <c r="BA245" s="1857">
        <f t="shared" si="42"/>
        <v>1.0662028078384806</v>
      </c>
      <c r="BB245" s="103">
        <f t="shared" si="43"/>
        <v>1.9100975017067314</v>
      </c>
      <c r="BC245" s="1857">
        <f t="shared" si="44"/>
        <v>2.3876218771334141</v>
      </c>
      <c r="BD245" s="103">
        <f t="shared" si="18"/>
        <v>3.0530000000000026</v>
      </c>
      <c r="BE245" s="1858" t="str">
        <f t="shared" si="19"/>
        <v>-</v>
      </c>
    </row>
    <row r="246" spans="1:57">
      <c r="A246" s="352">
        <f t="shared" si="20"/>
        <v>9.3320000000000025</v>
      </c>
      <c r="B246" s="1538">
        <f t="shared" si="45"/>
        <v>7.7600000000000025</v>
      </c>
      <c r="C246" s="103">
        <f t="shared" si="2"/>
        <v>2.3320000000000025</v>
      </c>
      <c r="D246" s="1521">
        <f t="shared" si="3"/>
        <v>0.76000000000000245</v>
      </c>
      <c r="E246" s="103">
        <f t="shared" si="4"/>
        <v>14.422742252467827</v>
      </c>
      <c r="F246" s="505">
        <f t="shared" si="5"/>
        <v>1.3306424964105983</v>
      </c>
      <c r="G246" s="123"/>
      <c r="H246" s="3076"/>
      <c r="I246" s="123" t="str">
        <f t="shared" si="6"/>
        <v>Type 5</v>
      </c>
      <c r="J246" s="3090"/>
      <c r="K246" s="130"/>
      <c r="L246" s="103">
        <f t="shared" si="21"/>
        <v>2.3320000000000025</v>
      </c>
      <c r="M246" s="2829">
        <f t="shared" si="7"/>
        <v>4.8075807508226092</v>
      </c>
      <c r="N246" s="2840">
        <f t="shared" si="8"/>
        <v>2.0615697902326775</v>
      </c>
      <c r="O246" s="298">
        <f t="shared" si="9"/>
        <v>0.21661926605504617</v>
      </c>
      <c r="P246" s="2840">
        <f t="shared" si="22"/>
        <v>2.8959637446158975</v>
      </c>
      <c r="Q246" s="2830">
        <f t="shared" si="10"/>
        <v>4.8075807508226092</v>
      </c>
      <c r="R246" s="441">
        <f t="shared" si="11"/>
        <v>1.1780240915229399</v>
      </c>
      <c r="S246" s="1699">
        <f>'Calc-2'!P42</f>
        <v>0.73869999999993496</v>
      </c>
      <c r="T246" s="103">
        <f t="shared" si="23"/>
        <v>2.8975276616606989</v>
      </c>
      <c r="U246" s="103">
        <f t="shared" si="24"/>
        <v>6.5081640054460976</v>
      </c>
      <c r="V246" s="103">
        <f t="shared" si="12"/>
        <v>2.417630552683248</v>
      </c>
      <c r="W246" s="1647">
        <f t="shared" si="25"/>
        <v>2.1831631531835058</v>
      </c>
      <c r="X246" s="103">
        <f t="shared" si="26"/>
        <v>2.2923213108426812</v>
      </c>
      <c r="Y246" s="1647">
        <f t="shared" si="27"/>
        <v>8.3923213108426804</v>
      </c>
      <c r="Z246" s="123" t="str">
        <f>IF(Hydraulic!$W$234&gt;Y246,"ok","Not ok")</f>
        <v>ok</v>
      </c>
      <c r="AA246" s="1647">
        <f t="shared" si="28"/>
        <v>1.6600000000000028</v>
      </c>
      <c r="AB246" s="2524" t="str">
        <f t="shared" si="29"/>
        <v xml:space="preserve"> </v>
      </c>
      <c r="AC246" s="1658">
        <f t="shared" si="30"/>
        <v>0.52316315318350304</v>
      </c>
      <c r="AD246" s="505">
        <f t="shared" si="13"/>
        <v>1.2018951877056523</v>
      </c>
      <c r="AE246" s="103">
        <f t="shared" si="46"/>
        <v>0.5505292565757347</v>
      </c>
      <c r="AF246" s="1854" t="str">
        <f t="shared" si="31"/>
        <v>Type I</v>
      </c>
      <c r="AG246" s="75">
        <f>VLOOKUP(V246,Table!$D$178:$G$212,2,TRUE)</f>
        <v>4.9000000000000004</v>
      </c>
      <c r="AH246" s="103">
        <f t="shared" si="32"/>
        <v>10.69749945059918</v>
      </c>
      <c r="AI246" s="1725" t="str">
        <f>VLOOKUP(V246,Table!$D$178:$G$212,4,TRUE)</f>
        <v>-</v>
      </c>
      <c r="AJ246" s="103" t="str">
        <f t="shared" si="33"/>
        <v>-</v>
      </c>
      <c r="AK246" s="1726" t="str">
        <f>VLOOKUP(V246,Table!$D$178:$G$212,3,TRUE)</f>
        <v>-</v>
      </c>
      <c r="AL246" s="103" t="str">
        <f t="shared" si="34"/>
        <v>-</v>
      </c>
      <c r="AM246" s="1769">
        <f t="shared" si="35"/>
        <v>0</v>
      </c>
      <c r="AN246" s="441">
        <f t="shared" si="36"/>
        <v>0</v>
      </c>
      <c r="AO246" s="441">
        <f t="shared" si="14"/>
        <v>0</v>
      </c>
      <c r="AP246" s="1773" t="str">
        <f>VLOOKUP(V246,Table!$D$178:$I$212,5,TRUE)</f>
        <v>-</v>
      </c>
      <c r="AQ246" s="441">
        <f t="shared" si="15"/>
        <v>0</v>
      </c>
      <c r="AR246" s="1769">
        <f t="shared" si="16"/>
        <v>0</v>
      </c>
      <c r="AS246" s="441">
        <f t="shared" si="37"/>
        <v>0</v>
      </c>
      <c r="AT246" s="441">
        <f t="shared" si="17"/>
        <v>0</v>
      </c>
      <c r="AU246" s="1769" t="str">
        <f>VLOOKUP(V246,Table!$D$178:$I$212,6,TRUE)</f>
        <v>-</v>
      </c>
      <c r="AV246" s="441">
        <f t="shared" si="38"/>
        <v>0</v>
      </c>
      <c r="AW246" s="103">
        <f t="shared" si="39"/>
        <v>0</v>
      </c>
      <c r="AX246" s="1786">
        <f t="shared" si="40"/>
        <v>0</v>
      </c>
      <c r="AY246" s="103">
        <f t="shared" si="41"/>
        <v>0</v>
      </c>
      <c r="BA246" s="1857">
        <f t="shared" si="42"/>
        <v>1.2018951877056523</v>
      </c>
      <c r="BB246" s="103">
        <f t="shared" si="43"/>
        <v>2.0689026353832314</v>
      </c>
      <c r="BC246" s="1857">
        <f t="shared" si="44"/>
        <v>2.5861282942290393</v>
      </c>
      <c r="BD246" s="103">
        <f t="shared" si="18"/>
        <v>3.2320000000000029</v>
      </c>
      <c r="BE246" s="1858" t="str">
        <f t="shared" si="19"/>
        <v>-</v>
      </c>
    </row>
    <row r="247" spans="1:57">
      <c r="A247" s="352">
        <f t="shared" si="20"/>
        <v>9.5110000000000028</v>
      </c>
      <c r="B247" s="1538">
        <f t="shared" si="45"/>
        <v>7.8300000000000027</v>
      </c>
      <c r="C247" s="103">
        <f t="shared" si="2"/>
        <v>2.5110000000000028</v>
      </c>
      <c r="D247" s="1521">
        <f t="shared" si="3"/>
        <v>0.83000000000000274</v>
      </c>
      <c r="E247" s="103">
        <f t="shared" si="4"/>
        <v>16.114806397393622</v>
      </c>
      <c r="F247" s="505">
        <f t="shared" si="5"/>
        <v>1.4327801494369694</v>
      </c>
      <c r="G247" s="123"/>
      <c r="H247" s="1607"/>
      <c r="I247" s="123" t="str">
        <f t="shared" si="6"/>
        <v>Type 5</v>
      </c>
      <c r="J247" s="3090"/>
      <c r="K247" s="130"/>
      <c r="L247" s="103">
        <f t="shared" si="21"/>
        <v>2.5110000000000028</v>
      </c>
      <c r="M247" s="2829">
        <f t="shared" si="7"/>
        <v>5.3716021324645409</v>
      </c>
      <c r="N247" s="2840">
        <f t="shared" si="8"/>
        <v>2.139228248691571</v>
      </c>
      <c r="O247" s="298">
        <f t="shared" si="9"/>
        <v>0.23324655963302782</v>
      </c>
      <c r="P247" s="2840">
        <f t="shared" si="22"/>
        <v>3.0491702241554539</v>
      </c>
      <c r="Q247" s="2830">
        <f t="shared" si="10"/>
        <v>5.3716021324645409</v>
      </c>
      <c r="R247" s="441">
        <f t="shared" si="11"/>
        <v>1.4706477813199594</v>
      </c>
      <c r="S247" s="1699">
        <f>'Calc-2'!P43</f>
        <v>0.8100999999999271</v>
      </c>
      <c r="T247" s="103">
        <f t="shared" si="23"/>
        <v>3.0510460838974605</v>
      </c>
      <c r="U247" s="103">
        <f t="shared" si="24"/>
        <v>6.6307889550241015</v>
      </c>
      <c r="V247" s="103">
        <f t="shared" si="12"/>
        <v>2.3521303493519476</v>
      </c>
      <c r="W247" s="1647">
        <f t="shared" si="25"/>
        <v>2.3199504023414539</v>
      </c>
      <c r="X247" s="103">
        <f t="shared" si="26"/>
        <v>2.4359479224585265</v>
      </c>
      <c r="Y247" s="1647">
        <f t="shared" si="27"/>
        <v>8.5359479224585257</v>
      </c>
      <c r="Z247" s="123" t="str">
        <f>IF(Hydraulic!$W$234&gt;Y247,"ok","Not ok")</f>
        <v>ok</v>
      </c>
      <c r="AA247" s="1647">
        <f t="shared" si="28"/>
        <v>1.7300000000000031</v>
      </c>
      <c r="AB247" s="2524" t="str">
        <f t="shared" si="29"/>
        <v xml:space="preserve"> </v>
      </c>
      <c r="AC247" s="1658">
        <f t="shared" si="30"/>
        <v>0.5899504023414508</v>
      </c>
      <c r="AD247" s="505">
        <f t="shared" si="13"/>
        <v>1.3429005331161352</v>
      </c>
      <c r="AE247" s="103">
        <f t="shared" si="46"/>
        <v>0.57884881149217127</v>
      </c>
      <c r="AF247" s="1854" t="str">
        <f t="shared" si="31"/>
        <v>Type I</v>
      </c>
      <c r="AG247" s="75">
        <f>VLOOKUP(V247,Table!$D$178:$G$212,2,TRUE)</f>
        <v>4.8</v>
      </c>
      <c r="AH247" s="103">
        <f t="shared" si="32"/>
        <v>11.135761931238978</v>
      </c>
      <c r="AI247" s="1725" t="str">
        <f>VLOOKUP(V247,Table!$D$178:$G$212,4,TRUE)</f>
        <v>-</v>
      </c>
      <c r="AJ247" s="103" t="str">
        <f t="shared" si="33"/>
        <v>-</v>
      </c>
      <c r="AK247" s="1726" t="str">
        <f>VLOOKUP(V247,Table!$D$178:$G$212,3,TRUE)</f>
        <v>-</v>
      </c>
      <c r="AL247" s="103" t="str">
        <f t="shared" si="34"/>
        <v>-</v>
      </c>
      <c r="AM247" s="1769">
        <f t="shared" si="35"/>
        <v>0</v>
      </c>
      <c r="AN247" s="441">
        <f t="shared" si="36"/>
        <v>0</v>
      </c>
      <c r="AO247" s="441">
        <f t="shared" si="14"/>
        <v>0</v>
      </c>
      <c r="AP247" s="1773" t="str">
        <f>VLOOKUP(V247,Table!$D$178:$I$212,5,TRUE)</f>
        <v>-</v>
      </c>
      <c r="AQ247" s="441">
        <f t="shared" si="15"/>
        <v>0</v>
      </c>
      <c r="AR247" s="1769">
        <f t="shared" si="16"/>
        <v>0</v>
      </c>
      <c r="AS247" s="441">
        <f t="shared" si="37"/>
        <v>0</v>
      </c>
      <c r="AT247" s="441">
        <f t="shared" si="17"/>
        <v>0</v>
      </c>
      <c r="AU247" s="1769" t="str">
        <f>VLOOKUP(V247,Table!$D$178:$I$212,6,TRUE)</f>
        <v>-</v>
      </c>
      <c r="AV247" s="441">
        <f t="shared" si="38"/>
        <v>0</v>
      </c>
      <c r="AW247" s="103">
        <f t="shared" si="39"/>
        <v>0</v>
      </c>
      <c r="AX247" s="1786">
        <f t="shared" si="40"/>
        <v>0</v>
      </c>
      <c r="AY247" s="103">
        <f t="shared" si="41"/>
        <v>0</v>
      </c>
      <c r="BA247" s="1857">
        <f t="shared" si="42"/>
        <v>1.3429005331161352</v>
      </c>
      <c r="BB247" s="103">
        <f t="shared" si="43"/>
        <v>2.2277077690597316</v>
      </c>
      <c r="BC247" s="1857">
        <f t="shared" si="44"/>
        <v>2.7846347113246646</v>
      </c>
      <c r="BD247" s="103">
        <f t="shared" si="18"/>
        <v>3.4110000000000031</v>
      </c>
      <c r="BE247" s="1858" t="str">
        <f t="shared" si="19"/>
        <v>-</v>
      </c>
    </row>
    <row r="248" spans="1:57">
      <c r="A248" s="353">
        <f>IL+IF(J232=1,D,1.5*D-0.01)</f>
        <v>9.6900000000000013</v>
      </c>
      <c r="B248" s="1539">
        <f>IL+D/2</f>
        <v>7.9</v>
      </c>
      <c r="C248" s="138">
        <f t="shared" si="2"/>
        <v>2.6900000000000013</v>
      </c>
      <c r="D248" s="353">
        <f t="shared" si="3"/>
        <v>0.90000000000000036</v>
      </c>
      <c r="E248" s="138">
        <f t="shared" si="4"/>
        <v>17.868308548167079</v>
      </c>
      <c r="F248" s="506">
        <f t="shared" si="5"/>
        <v>1.5349178024633394</v>
      </c>
      <c r="G248" s="354" t="str">
        <f>IF(J232=1,"H1=D","H1=1.5D")</f>
        <v>H1=1.5D</v>
      </c>
      <c r="H248" s="354" t="s">
        <v>1592</v>
      </c>
      <c r="I248" s="104" t="str">
        <f t="shared" si="6"/>
        <v>Type 5</v>
      </c>
      <c r="J248" s="3091"/>
      <c r="K248" s="130"/>
      <c r="L248" s="138">
        <f t="shared" si="21"/>
        <v>2.6900000000000013</v>
      </c>
      <c r="M248" s="2838">
        <f t="shared" si="7"/>
        <v>5.9561028493890262</v>
      </c>
      <c r="N248" s="2842">
        <f t="shared" si="8"/>
        <v>2.2141646280256593</v>
      </c>
      <c r="O248" s="472">
        <f t="shared" si="9"/>
        <v>0.24987385321100947</v>
      </c>
      <c r="P248" s="2842">
        <f t="shared" si="22"/>
        <v>3.202376703695009</v>
      </c>
      <c r="Q248" s="2839">
        <f t="shared" si="10"/>
        <v>5.9561028493890262</v>
      </c>
      <c r="R248" s="658">
        <f t="shared" si="11"/>
        <v>1.8081121892201875</v>
      </c>
      <c r="S248" s="1745">
        <f>'Calc-2'!P44</f>
        <v>0.88249999999991913</v>
      </c>
      <c r="T248" s="138">
        <f t="shared" si="23"/>
        <v>3.2041457099830102</v>
      </c>
      <c r="U248" s="138">
        <f t="shared" si="24"/>
        <v>6.7491250418012152</v>
      </c>
      <c r="V248" s="138">
        <f t="shared" si="12"/>
        <v>2.2938003449788416</v>
      </c>
      <c r="W248" s="121">
        <f t="shared" si="25"/>
        <v>2.4553188182295553</v>
      </c>
      <c r="X248" s="138">
        <f t="shared" si="26"/>
        <v>2.5780847591410332</v>
      </c>
      <c r="Y248" s="121">
        <f t="shared" si="27"/>
        <v>8.6780847591410328</v>
      </c>
      <c r="Z248" s="104" t="str">
        <f>IF(Hydraulic!$W$234&gt;Y248,"ok","Not ok")</f>
        <v>ok</v>
      </c>
      <c r="AA248" s="121">
        <f t="shared" si="28"/>
        <v>1.8000000000000007</v>
      </c>
      <c r="AB248" s="2524" t="str">
        <f t="shared" si="29"/>
        <v xml:space="preserve"> </v>
      </c>
      <c r="AC248" s="1682">
        <f t="shared" si="30"/>
        <v>0.65531881822955462</v>
      </c>
      <c r="AD248" s="506">
        <f t="shared" si="13"/>
        <v>1.4890257123472566</v>
      </c>
      <c r="AE248" s="103">
        <f t="shared" si="46"/>
        <v>0.60644902865239347</v>
      </c>
      <c r="AF248" s="1854" t="str">
        <f t="shared" si="31"/>
        <v>Type I</v>
      </c>
      <c r="AG248" s="77">
        <f>VLOOKUP(V248,Table!$D$178:$G$212,2,TRUE)</f>
        <v>4.7</v>
      </c>
      <c r="AH248" s="138">
        <f t="shared" si="32"/>
        <v>11.539998445678911</v>
      </c>
      <c r="AI248" s="1725" t="str">
        <f>VLOOKUP(V248,Table!$D$178:$G$212,4,TRUE)</f>
        <v>-</v>
      </c>
      <c r="AJ248" s="103" t="str">
        <f t="shared" si="33"/>
        <v>-</v>
      </c>
      <c r="AK248" s="1726" t="str">
        <f>VLOOKUP(V248,Table!$D$178:$G$212,3,TRUE)</f>
        <v>-</v>
      </c>
      <c r="AL248" s="103" t="str">
        <f t="shared" si="34"/>
        <v>-</v>
      </c>
      <c r="AM248" s="1769">
        <f t="shared" si="35"/>
        <v>0</v>
      </c>
      <c r="AN248" s="441">
        <f t="shared" si="36"/>
        <v>0</v>
      </c>
      <c r="AO248" s="441">
        <f t="shared" si="14"/>
        <v>0</v>
      </c>
      <c r="AP248" s="1773" t="str">
        <f>VLOOKUP(V248,Table!$D$178:$I$212,5,TRUE)</f>
        <v>-</v>
      </c>
      <c r="AQ248" s="441">
        <f t="shared" si="15"/>
        <v>0</v>
      </c>
      <c r="AR248" s="1769">
        <f t="shared" si="16"/>
        <v>0</v>
      </c>
      <c r="AS248" s="441">
        <f t="shared" si="37"/>
        <v>0</v>
      </c>
      <c r="AT248" s="441">
        <f t="shared" si="17"/>
        <v>0</v>
      </c>
      <c r="AU248" s="1769" t="str">
        <f>VLOOKUP(V248,Table!$D$178:$I$212,6,TRUE)</f>
        <v>-</v>
      </c>
      <c r="AV248" s="658">
        <f t="shared" si="38"/>
        <v>0</v>
      </c>
      <c r="AW248" s="103">
        <f t="shared" si="39"/>
        <v>0</v>
      </c>
      <c r="AX248" s="1786">
        <f t="shared" si="40"/>
        <v>0</v>
      </c>
      <c r="AY248" s="103">
        <f t="shared" si="41"/>
        <v>0</v>
      </c>
      <c r="BA248" s="353">
        <f t="shared" si="42"/>
        <v>1.4890257123472566</v>
      </c>
      <c r="BB248" s="138">
        <f t="shared" si="43"/>
        <v>2.3865129027362308</v>
      </c>
      <c r="BC248" s="1857">
        <f t="shared" si="44"/>
        <v>2.9831411284202884</v>
      </c>
      <c r="BD248" s="103">
        <f t="shared" si="18"/>
        <v>3.5900000000000016</v>
      </c>
      <c r="BE248" s="1858" t="str">
        <f t="shared" si="19"/>
        <v>-</v>
      </c>
    </row>
    <row r="249" spans="1:57">
      <c r="A249" s="1514"/>
      <c r="B249" s="1534"/>
      <c r="C249" s="1514"/>
      <c r="D249" s="455" t="s">
        <v>1334</v>
      </c>
      <c r="E249" s="457">
        <f>MAX(E238:E248)</f>
        <v>17.868308548167079</v>
      </c>
      <c r="F249" s="1542">
        <f>((E249/$T$169)^2/$C$18)^(1/3)</f>
        <v>1.5349178024633394</v>
      </c>
      <c r="G249" s="16"/>
      <c r="H249" s="241"/>
      <c r="I249" s="16"/>
      <c r="K249" s="130"/>
      <c r="L249" s="457">
        <f t="shared" ref="L249" si="47">MAX(L238:L248)</f>
        <v>2.6900000000000013</v>
      </c>
      <c r="R249" s="172" t="s">
        <v>1652</v>
      </c>
      <c r="S249" s="1746">
        <f>MAX(S238:S248)</f>
        <v>0.88249999999991913</v>
      </c>
      <c r="T249" s="1732"/>
      <c r="U249" s="457">
        <f t="shared" ref="U249:V249" si="48">MAX(U238:U248)</f>
        <v>6.7491250418012152</v>
      </c>
      <c r="V249" s="457">
        <f t="shared" si="48"/>
        <v>3.6735656992150774</v>
      </c>
      <c r="W249" s="457">
        <f t="shared" ref="W249" si="49">MAX(W238:W248)</f>
        <v>2.4553188182295553</v>
      </c>
      <c r="X249" s="457">
        <f t="shared" ref="X249" si="50">MAX(X238:X248)</f>
        <v>2.5780847591410332</v>
      </c>
      <c r="Y249" s="1732"/>
      <c r="Z249" s="1732"/>
      <c r="AA249" s="1732"/>
      <c r="AB249" s="1732"/>
      <c r="AC249" s="1732"/>
      <c r="AD249" s="1732"/>
      <c r="AE249" s="457">
        <f>MAX(AE238:AE248)</f>
        <v>0.60644902865239347</v>
      </c>
      <c r="AF249" s="457"/>
      <c r="AG249" s="1732"/>
      <c r="AH249" s="457">
        <f>MAX(AH238:AH248)</f>
        <v>11.539998445678911</v>
      </c>
      <c r="AI249" s="457">
        <f>MAX(AI238:AI248)</f>
        <v>1.37</v>
      </c>
      <c r="AJ249" s="457">
        <f>MAX(AJ238:AJ248)</f>
        <v>2.6108520451074053</v>
      </c>
      <c r="AK249" s="102"/>
      <c r="AL249" s="457">
        <f>MAX(AL238:AL248)</f>
        <v>5.2407614044126749</v>
      </c>
      <c r="AM249" s="1812">
        <f>MAX(AM238:AM248)</f>
        <v>0.59879999999995037</v>
      </c>
      <c r="AN249" s="1811">
        <f>MAX(AN238:AN248)</f>
        <v>0.41915999999996523</v>
      </c>
      <c r="AO249" s="1811">
        <f>MAX(AO238:AO248)</f>
        <v>0.41915999999996523</v>
      </c>
      <c r="AP249" s="1812"/>
      <c r="AQ249" s="1811">
        <f t="shared" ref="AQ249:BD249" si="51">MAX(AQ238:AQ248)</f>
        <v>0.59879999999995037</v>
      </c>
      <c r="AR249" s="1813">
        <f t="shared" si="51"/>
        <v>0.41915999999996523</v>
      </c>
      <c r="AS249" s="1811">
        <f t="shared" si="51"/>
        <v>0.11975999999999008</v>
      </c>
      <c r="AT249" s="1811">
        <f t="shared" si="51"/>
        <v>0.41915999999996523</v>
      </c>
      <c r="AU249" s="1811">
        <f t="shared" si="51"/>
        <v>0</v>
      </c>
      <c r="AV249" s="1812">
        <f t="shared" si="51"/>
        <v>0.38114628395728545</v>
      </c>
      <c r="AW249" s="1811">
        <f t="shared" si="51"/>
        <v>0.28585971296796409</v>
      </c>
      <c r="AX249" s="1813">
        <f t="shared" si="51"/>
        <v>5.7171942593592817E-2</v>
      </c>
      <c r="AY249" s="1811">
        <f t="shared" si="51"/>
        <v>0.28585971296796409</v>
      </c>
      <c r="BA249" s="1812">
        <f t="shared" si="51"/>
        <v>1.4890257123472566</v>
      </c>
      <c r="BB249" s="457">
        <f t="shared" si="51"/>
        <v>2.3865129027362308</v>
      </c>
      <c r="BC249" s="457">
        <f t="shared" si="51"/>
        <v>2.9831411284202884</v>
      </c>
      <c r="BD249" s="457">
        <f t="shared" si="51"/>
        <v>3.5900000000000016</v>
      </c>
      <c r="BE249" s="1043">
        <f>MAX(BE238:BE248)</f>
        <v>0</v>
      </c>
    </row>
    <row r="250" spans="1:57">
      <c r="A250" s="1514"/>
      <c r="B250" s="1534"/>
      <c r="C250" s="1514"/>
      <c r="D250" s="1514"/>
      <c r="E250" s="1514"/>
      <c r="F250" s="505"/>
      <c r="G250" s="16"/>
      <c r="H250" s="241"/>
      <c r="I250" s="16"/>
      <c r="K250" s="130"/>
    </row>
    <row r="251" spans="1:57">
      <c r="A251" s="1514"/>
      <c r="B251" s="1534"/>
      <c r="C251" s="1514"/>
      <c r="D251" s="1514"/>
      <c r="E251" s="1514"/>
      <c r="F251" s="505"/>
      <c r="G251" s="16"/>
      <c r="H251" s="241"/>
      <c r="I251" s="16"/>
      <c r="K251" s="130"/>
      <c r="T251" s="1686"/>
      <c r="U251" s="1687"/>
      <c r="V251" s="1687"/>
      <c r="W251" s="1687"/>
      <c r="X251" s="1687"/>
      <c r="Y251" s="1687"/>
    </row>
    <row r="252" spans="1:57" ht="14.25">
      <c r="A252" s="41" t="s">
        <v>1505</v>
      </c>
      <c r="B252" s="1534"/>
      <c r="C252" s="27" t="s">
        <v>168</v>
      </c>
      <c r="D252" s="1" t="s">
        <v>1510</v>
      </c>
      <c r="E252" s="1"/>
      <c r="F252" s="6" t="s">
        <v>1515</v>
      </c>
      <c r="I252" s="16"/>
      <c r="K252" s="130"/>
      <c r="AX252" s="41" t="s">
        <v>1505</v>
      </c>
    </row>
    <row r="253" spans="1:57" ht="15.75">
      <c r="C253" s="187" t="s">
        <v>1511</v>
      </c>
      <c r="D253" s="1516"/>
      <c r="F253" s="113" t="s">
        <v>177</v>
      </c>
      <c r="G253" s="125">
        <v>0.82</v>
      </c>
      <c r="H253" s="30" t="s">
        <v>969</v>
      </c>
      <c r="K253" s="130"/>
      <c r="L253" s="41" t="s">
        <v>1505</v>
      </c>
      <c r="O253" s="1841" t="str">
        <f>'Calc-2'!Y26</f>
        <v>Flow Type 4 Completed</v>
      </c>
      <c r="P253" s="102"/>
      <c r="Q253" s="93"/>
      <c r="R253" s="1856">
        <f>Q228</f>
        <v>480088</v>
      </c>
      <c r="AD253" s="41" t="s">
        <v>1505</v>
      </c>
    </row>
    <row r="254" spans="1:57">
      <c r="C254" s="46"/>
      <c r="D254" s="46"/>
      <c r="E254" s="46"/>
      <c r="F254" s="46"/>
      <c r="G254" s="46"/>
      <c r="H254" s="46"/>
      <c r="K254" s="130"/>
      <c r="AM254" s="3066" t="s">
        <v>61</v>
      </c>
      <c r="AN254" s="3067"/>
      <c r="AO254" s="3068"/>
      <c r="AP254" s="3066" t="s">
        <v>813</v>
      </c>
      <c r="AQ254" s="3067"/>
      <c r="AR254" s="3067"/>
      <c r="AS254" s="3067"/>
      <c r="AT254" s="3068"/>
      <c r="AU254" s="3069" t="s">
        <v>1694</v>
      </c>
      <c r="AV254" s="3070"/>
      <c r="AW254" s="3070"/>
      <c r="AX254" s="3070"/>
      <c r="AY254" s="3071"/>
      <c r="BA254" s="3066" t="s">
        <v>1715</v>
      </c>
      <c r="BB254" s="3067"/>
      <c r="BC254" s="3067"/>
      <c r="BD254" s="3067"/>
      <c r="BE254" s="3068"/>
    </row>
    <row r="255" spans="1:57" ht="38.25">
      <c r="A255" s="1524" t="s">
        <v>953</v>
      </c>
      <c r="B255" s="94" t="s">
        <v>954</v>
      </c>
      <c r="C255" s="1526" t="s">
        <v>186</v>
      </c>
      <c r="D255" s="94" t="s">
        <v>172</v>
      </c>
      <c r="E255" s="458" t="s">
        <v>461</v>
      </c>
      <c r="F255" s="661" t="s">
        <v>960</v>
      </c>
      <c r="G255" s="3066" t="s">
        <v>676</v>
      </c>
      <c r="H255" s="3068"/>
      <c r="I255" s="381" t="s">
        <v>676</v>
      </c>
      <c r="K255" s="130"/>
      <c r="L255" s="1652" t="s">
        <v>1567</v>
      </c>
      <c r="M255" s="1604" t="s">
        <v>1568</v>
      </c>
      <c r="N255" s="1652" t="s">
        <v>1569</v>
      </c>
      <c r="O255" s="1604" t="s">
        <v>1570</v>
      </c>
      <c r="P255" s="2819" t="s">
        <v>2175</v>
      </c>
      <c r="Q255" s="1604" t="s">
        <v>1572</v>
      </c>
      <c r="R255" s="1652" t="s">
        <v>1573</v>
      </c>
      <c r="S255" s="1604" t="s">
        <v>807</v>
      </c>
      <c r="T255" s="1652" t="s">
        <v>1574</v>
      </c>
      <c r="U255" s="1652" t="s">
        <v>1575</v>
      </c>
      <c r="V255" s="1652" t="s">
        <v>458</v>
      </c>
      <c r="W255" s="1604" t="s">
        <v>1576</v>
      </c>
      <c r="X255" s="1652" t="s">
        <v>1577</v>
      </c>
      <c r="Y255" s="1605" t="s">
        <v>1578</v>
      </c>
      <c r="Z255" s="3085" t="s">
        <v>1588</v>
      </c>
      <c r="AA255" s="1605" t="s">
        <v>1595</v>
      </c>
      <c r="AB255" s="2526" t="s">
        <v>2024</v>
      </c>
      <c r="AC255" s="1784" t="s">
        <v>1649</v>
      </c>
      <c r="AD255" s="1651" t="s">
        <v>1590</v>
      </c>
      <c r="AE255" s="1727" t="s">
        <v>1667</v>
      </c>
      <c r="AF255" s="1817" t="s">
        <v>1614</v>
      </c>
      <c r="AG255" s="1685" t="s">
        <v>1647</v>
      </c>
      <c r="AH255" s="1702" t="s">
        <v>1648</v>
      </c>
      <c r="AI255" s="1685" t="s">
        <v>1663</v>
      </c>
      <c r="AJ255" s="1742" t="s">
        <v>1664</v>
      </c>
      <c r="AK255" s="1741" t="s">
        <v>1666</v>
      </c>
      <c r="AL255" s="1742" t="s">
        <v>1665</v>
      </c>
      <c r="AM255" s="1810" t="s">
        <v>1683</v>
      </c>
      <c r="AN255" s="1814" t="s">
        <v>1684</v>
      </c>
      <c r="AO255" s="1200" t="s">
        <v>1688</v>
      </c>
      <c r="AP255" s="1815" t="s">
        <v>1693</v>
      </c>
      <c r="AQ255" s="1766" t="s">
        <v>1683</v>
      </c>
      <c r="AR255" s="1809" t="s">
        <v>1684</v>
      </c>
      <c r="AS255" s="1816" t="s">
        <v>1686</v>
      </c>
      <c r="AT255" s="1816" t="s">
        <v>1688</v>
      </c>
      <c r="AU255" s="1609" t="s">
        <v>1692</v>
      </c>
      <c r="AV255" s="1781" t="s">
        <v>1695</v>
      </c>
      <c r="AW255" s="1809" t="s">
        <v>1684</v>
      </c>
      <c r="AX255" s="1821" t="s">
        <v>1686</v>
      </c>
      <c r="AY255" s="1784" t="s">
        <v>1688</v>
      </c>
      <c r="BA255" s="1864" t="s">
        <v>1713</v>
      </c>
      <c r="BB255" s="1862" t="s">
        <v>1714</v>
      </c>
      <c r="BC255" s="1865" t="s">
        <v>1716</v>
      </c>
      <c r="BD255" s="1866" t="s">
        <v>1718</v>
      </c>
      <c r="BE255" s="1867" t="s">
        <v>1717</v>
      </c>
    </row>
    <row r="256" spans="1:57">
      <c r="A256" s="156" t="s">
        <v>962</v>
      </c>
      <c r="B256" s="156" t="s">
        <v>962</v>
      </c>
      <c r="C256" s="94" t="s">
        <v>952</v>
      </c>
      <c r="D256" s="104" t="s">
        <v>952</v>
      </c>
      <c r="E256" s="517" t="s">
        <v>179</v>
      </c>
      <c r="F256" s="104" t="s">
        <v>952</v>
      </c>
      <c r="G256" s="1526" t="s">
        <v>186</v>
      </c>
      <c r="H256" s="94" t="s">
        <v>172</v>
      </c>
      <c r="I256" s="1530"/>
      <c r="K256" s="130"/>
      <c r="L256" s="1650" t="s">
        <v>5</v>
      </c>
      <c r="M256" s="1655" t="s">
        <v>201</v>
      </c>
      <c r="N256" s="1656" t="s">
        <v>206</v>
      </c>
      <c r="O256" s="1657" t="s">
        <v>5</v>
      </c>
      <c r="P256" s="2835" t="s">
        <v>5</v>
      </c>
      <c r="Q256" s="1655" t="s">
        <v>201</v>
      </c>
      <c r="R256" s="1650" t="s">
        <v>5</v>
      </c>
      <c r="S256" s="1655" t="s">
        <v>5</v>
      </c>
      <c r="T256" s="1650" t="s">
        <v>5</v>
      </c>
      <c r="U256" s="1650" t="s">
        <v>206</v>
      </c>
      <c r="V256" s="1650"/>
      <c r="W256" s="1655" t="s">
        <v>5</v>
      </c>
      <c r="X256" s="1650" t="s">
        <v>5</v>
      </c>
      <c r="Y256" s="1655" t="s">
        <v>155</v>
      </c>
      <c r="Z256" s="3086"/>
      <c r="AA256" s="1655" t="s">
        <v>5</v>
      </c>
      <c r="AB256" s="2517" t="s">
        <v>5</v>
      </c>
      <c r="AC256" s="1656" t="s">
        <v>5</v>
      </c>
      <c r="AD256" s="351" t="s">
        <v>201</v>
      </c>
      <c r="AE256" s="1609" t="s">
        <v>206</v>
      </c>
      <c r="AF256" s="1656"/>
      <c r="AG256" s="101"/>
      <c r="AH256" s="256" t="s">
        <v>5</v>
      </c>
      <c r="AI256" s="101"/>
      <c r="AJ256" s="256" t="s">
        <v>5</v>
      </c>
      <c r="AK256" s="102"/>
      <c r="AL256" s="256" t="s">
        <v>5</v>
      </c>
      <c r="AM256" s="256" t="s">
        <v>5</v>
      </c>
      <c r="AN256" s="256" t="s">
        <v>5</v>
      </c>
      <c r="AO256" s="256" t="s">
        <v>5</v>
      </c>
      <c r="AQ256" s="256" t="s">
        <v>5</v>
      </c>
      <c r="AR256" s="1775" t="s">
        <v>5</v>
      </c>
      <c r="AS256" s="256" t="s">
        <v>5</v>
      </c>
      <c r="AT256" s="256" t="s">
        <v>5</v>
      </c>
      <c r="AU256" s="102"/>
      <c r="AV256" s="256" t="s">
        <v>5</v>
      </c>
      <c r="AW256" s="1792" t="s">
        <v>5</v>
      </c>
      <c r="AX256" s="1790" t="s">
        <v>5</v>
      </c>
      <c r="AY256" s="256" t="s">
        <v>5</v>
      </c>
      <c r="BA256" s="1861" t="s">
        <v>201</v>
      </c>
      <c r="BB256" s="1608" t="s">
        <v>5</v>
      </c>
      <c r="BC256" s="1608" t="s">
        <v>5</v>
      </c>
      <c r="BD256" s="1608" t="s">
        <v>5</v>
      </c>
      <c r="BE256" s="1608" t="s">
        <v>5</v>
      </c>
    </row>
    <row r="257" spans="1:57">
      <c r="A257" s="1521">
        <f>IL+D/2</f>
        <v>7.9</v>
      </c>
      <c r="B257" s="379">
        <f>IL+D/2-0.01</f>
        <v>7.8900000000000006</v>
      </c>
      <c r="C257" s="1523">
        <f t="shared" ref="C257:C267" si="52">A257-IL</f>
        <v>0.90000000000000036</v>
      </c>
      <c r="D257" s="379">
        <f t="shared" ref="D257:D267" si="53">B257-IL</f>
        <v>0.89000000000000057</v>
      </c>
      <c r="E257" s="1523">
        <f t="shared" ref="E257:E267" si="54">$G$253*$E$230*D257*SQRT(2*$C$18*(C257-D257))</f>
        <v>0.96978310824224045</v>
      </c>
      <c r="F257" s="663">
        <f t="shared" ref="F257:F267" si="55">((E257/$E$230)^2/$C$18)^(1/3)</f>
        <v>0.22002865191570908</v>
      </c>
      <c r="G257" s="380" t="s">
        <v>1497</v>
      </c>
      <c r="H257" s="355" t="s">
        <v>1497</v>
      </c>
      <c r="I257" s="123" t="str">
        <f t="shared" ref="I257:I267" si="56">IF(AND(C257&lt;1.5*$V$170,D257&gt;F257),"Type 4","Type 4 not valid")</f>
        <v>Type 4</v>
      </c>
      <c r="K257" s="130"/>
      <c r="L257" s="103">
        <f>C257</f>
        <v>0.90000000000000036</v>
      </c>
      <c r="M257" s="1647">
        <f t="shared" ref="M257:M267" si="57">E257/b</f>
        <v>0.3232610360807468</v>
      </c>
      <c r="N257" s="103">
        <f t="shared" ref="N257:N267" si="58">M257/L257</f>
        <v>0.35917892897860743</v>
      </c>
      <c r="O257" s="298">
        <f t="shared" ref="O257:O267" si="59">N257^2/2/g</f>
        <v>6.5754079012344301E-3</v>
      </c>
      <c r="P257" s="2841">
        <f>1.5*F257+$I$44</f>
        <v>1.2300429778735635</v>
      </c>
      <c r="Q257" s="1647">
        <f t="shared" ref="Q257:Q267" si="60">E257/b</f>
        <v>0.3232610360807468</v>
      </c>
      <c r="R257" s="441">
        <f t="shared" ref="R257:R267" si="61">Q257^2/(2*g)</f>
        <v>5.3260803999998921E-3</v>
      </c>
      <c r="S257" s="1744">
        <f>'Calc-2'!Y34</f>
        <v>6.7700000000000912E-2</v>
      </c>
      <c r="T257" s="103">
        <f>S257+R257/S257^2</f>
        <v>1.2297648922498365</v>
      </c>
      <c r="U257" s="103">
        <f>Q257/S257</f>
        <v>4.7749045211335668</v>
      </c>
      <c r="V257" s="103">
        <f t="shared" ref="V257:V267" si="62">U257/(g*S257)^0.5</f>
        <v>5.859166692909282</v>
      </c>
      <c r="W257" s="1647">
        <f>0.5*((1+8*V257^2)^0.5-1)*S257</f>
        <v>0.52814020927526772</v>
      </c>
      <c r="X257" s="103">
        <f>W257*1.05</f>
        <v>0.55454721973903109</v>
      </c>
      <c r="Y257" s="1647">
        <f>X257+$I$43</f>
        <v>6.6545472197390305</v>
      </c>
      <c r="Z257" s="123" t="str">
        <f>IF(Hydraulic!$W$234&gt;Y257,"ok","Not ok")</f>
        <v>ok</v>
      </c>
      <c r="AA257" s="1647">
        <f>B257-$I$43</f>
        <v>1.7900000000000009</v>
      </c>
      <c r="AB257" s="2524">
        <f>IF(AND(V257&gt;=2.5,V257&lt;=4.5),IF(X257&gt;AA257,"",AA257-X257),IF(W257&gt;AA257," ",AA257-W257))</f>
        <v>1.2618597907247331</v>
      </c>
      <c r="AC257" s="1743" t="str">
        <f>IF(AND(V257&gt;=2.5,V257&lt;=4.5),IF(X257&gt;AA257,X257-AA257,"no"),IF(W257&gt;AA257,W257-AA257,"no"))</f>
        <v>no</v>
      </c>
      <c r="AD257" s="505">
        <f t="shared" ref="AD257:AD267" si="63">E257/$AB$233</f>
        <v>8.08152590201867E-2</v>
      </c>
      <c r="AE257" s="103">
        <f>IF(W257=0,0,AD257/W257)</f>
        <v>0.15301856893472321</v>
      </c>
      <c r="AF257" s="1854" t="str">
        <f>IF(V257&lt;2.5,"Type I",IF(AND(V257&gt;=2.5,V257&lt;=4.5),"ERC","Type III"))</f>
        <v>Type III</v>
      </c>
      <c r="AG257" s="75">
        <f>VLOOKUP(V257,Table!$D$178:$G$212,2,TRUE)</f>
        <v>2.4</v>
      </c>
      <c r="AH257" s="103">
        <f>AG257*W257</f>
        <v>1.2675365022606424</v>
      </c>
      <c r="AI257" s="1725" t="str">
        <f>VLOOKUP(V257,Table!$D$178:$G$212,4,TRUE)</f>
        <v>-</v>
      </c>
      <c r="AJ257" s="103">
        <f>IF(V257&lt;2.5,"-",IF(AND(V257&gt;=2.5,V257&lt;=4.5),N(AI257)*W257,0.8*W257))</f>
        <v>0.42251216742021419</v>
      </c>
      <c r="AK257" s="1726" t="str">
        <f>VLOOKUP(V257,Table!$D$178:$G$212,3,TRUE)</f>
        <v>-</v>
      </c>
      <c r="AL257" s="103" t="str">
        <f>IF(V257&lt;2.5,"-",IF(AND(V257&gt;=2.5,V257&lt;=4.5),N(AK257)*W257,"-"))</f>
        <v>-</v>
      </c>
      <c r="AM257" s="1769">
        <f>IF(V257&lt;2.5,0,IF(AND(V257&gt;=2.5,V257&lt;=4.5),S257,S257))</f>
        <v>6.7700000000000912E-2</v>
      </c>
      <c r="AN257" s="473">
        <f>IF(V257&lt;2.5,0,IF(AND(V257&gt;=2.5,V257&lt;=4.5),0.7*S257,S257))</f>
        <v>6.7700000000000912E-2</v>
      </c>
      <c r="AO257" s="1723">
        <f t="shared" ref="AO257:AO267" si="64">IF(V257&lt;2.5,0,IF(AND(V257&gt;=2.5,V257&lt;=4.5),0.7*S257,S257))</f>
        <v>6.7700000000000912E-2</v>
      </c>
      <c r="AP257" s="1773">
        <f>VLOOKUP(V257,Table!$D$178:$I$212,5,TRUE)</f>
        <v>1.5652173913043477</v>
      </c>
      <c r="AQ257" s="441">
        <f t="shared" ref="AQ257:AQ267" si="65">IF(V257&lt;2.5,0,IF(AND(V257&gt;=2.5,V257&lt;=4.5),S257,S257*AP257))</f>
        <v>0.10596521739130577</v>
      </c>
      <c r="AR257" s="1769">
        <f t="shared" ref="AR257:AR267" si="66">IF(V257&lt;2.5,0,IF(AND(V257&gt;=2.5,V257&lt;=4.5),0.7*S257,S257*AP257*0.75))</f>
        <v>7.9473913043479325E-2</v>
      </c>
      <c r="AS257" s="441">
        <f t="shared" ref="AS257:AS267" si="67">IF(V257&lt;2.5,0,IF(AND(V257&gt;=2.5,V257&lt;=4.5),0.2*S257,S257*AP257*0.2))</f>
        <v>2.1193043478261155E-2</v>
      </c>
      <c r="AT257" s="441">
        <f t="shared" ref="AT257:AT267" si="68">IF(V257&lt;2.5,0,IF(AND(V257&gt;=2.5,V257&lt;=4.5),S257*0.7,S257*AP257*0.75))</f>
        <v>7.9473913043479325E-2</v>
      </c>
      <c r="AU257" s="1785">
        <f>VLOOKUP(V257,Table!$D$178:$I$212,6,TRUE)</f>
        <v>1.3108695652173912</v>
      </c>
      <c r="AV257" s="663">
        <f>IF(V257&lt;2.5,0,IF(AND(V257&gt;=2.5,V257&lt;=4.5),W257*0.2,S257*AU257))</f>
        <v>8.8745869565218585E-2</v>
      </c>
      <c r="AW257" s="379">
        <f>IF(V257&lt;2.5,0,IF(AND(V257&gt;=2.5,V257&lt;=4.5),W257*0.15,0))</f>
        <v>0</v>
      </c>
      <c r="AX257" s="1786">
        <f>IF(V257&lt;2.5,0,IF(AND(V257&gt;=2.5,V257&lt;=4.5),AV257*0.15,0))</f>
        <v>0</v>
      </c>
      <c r="AY257" s="103">
        <f>IF(V257&lt;2.5,0,IF(AND(V257&gt;=2.5,V257&lt;=4.5),W257*0.15,0))</f>
        <v>0</v>
      </c>
      <c r="BA257" s="1859">
        <f>E257/$A$65</f>
        <v>8.08152590201867E-2</v>
      </c>
      <c r="BB257" s="1860">
        <f>(1.35*((BA257^2/$BB$231)^(1/3)))</f>
        <v>0.34210380251358147</v>
      </c>
      <c r="BC257" s="1859">
        <f>BB257*1.25</f>
        <v>0.42762975314197682</v>
      </c>
      <c r="BD257" s="379">
        <f t="shared" ref="BD257:BD267" si="69">A257-$D$43</f>
        <v>1.8000000000000007</v>
      </c>
      <c r="BE257" s="1860" t="str">
        <f t="shared" ref="BE257:BE267" si="70">IF(BD257&gt;BB257*1.25,"-",BB257*1.25-BD257)</f>
        <v>-</v>
      </c>
    </row>
    <row r="258" spans="1:57">
      <c r="A258" s="1521">
        <f t="shared" ref="A258:A266" si="71">A257-($A$257-$A$267)/10</f>
        <v>8.0790000000000006</v>
      </c>
      <c r="B258" s="103">
        <f t="shared" ref="B258:B266" si="72">B257-($B$257-$B$267)/10</f>
        <v>7.98</v>
      </c>
      <c r="C258" s="1523">
        <f t="shared" si="52"/>
        <v>1.0790000000000006</v>
      </c>
      <c r="D258" s="103">
        <f t="shared" si="53"/>
        <v>0.98000000000000043</v>
      </c>
      <c r="E258" s="1523">
        <f t="shared" si="54"/>
        <v>3.3599149302330904</v>
      </c>
      <c r="F258" s="441">
        <f t="shared" si="55"/>
        <v>0.50378861505817507</v>
      </c>
      <c r="G258" s="147"/>
      <c r="H258" s="123"/>
      <c r="I258" s="123" t="str">
        <f t="shared" si="56"/>
        <v>Type 4</v>
      </c>
      <c r="K258" s="130"/>
      <c r="L258" s="103">
        <f t="shared" ref="L258:L267" si="73">C258</f>
        <v>1.0790000000000006</v>
      </c>
      <c r="M258" s="2832">
        <f t="shared" si="57"/>
        <v>1.1199716434110301</v>
      </c>
      <c r="N258" s="2841">
        <f t="shared" si="58"/>
        <v>1.037971865997247</v>
      </c>
      <c r="O258" s="478">
        <f t="shared" si="59"/>
        <v>5.4912619500601778E-2</v>
      </c>
      <c r="P258" s="2841">
        <f t="shared" ref="P258:P267" si="74">1.5*F258+$I$44</f>
        <v>1.6556829225872627</v>
      </c>
      <c r="Q258" s="2833">
        <f t="shared" si="60"/>
        <v>1.1199716434110301</v>
      </c>
      <c r="R258" s="441">
        <f t="shared" si="61"/>
        <v>6.3931523040000174E-2</v>
      </c>
      <c r="S258" s="1744">
        <f>'Calc-2'!Y35</f>
        <v>0.21019999999999317</v>
      </c>
      <c r="T258" s="103">
        <f t="shared" ref="T258:T267" si="75">S258+R258/S258^2</f>
        <v>1.6571370170768454</v>
      </c>
      <c r="U258" s="103">
        <f t="shared" ref="U258:U267" si="76">Q258/S258</f>
        <v>5.3281238982448453</v>
      </c>
      <c r="V258" s="103">
        <f t="shared" si="62"/>
        <v>3.7104232758006508</v>
      </c>
      <c r="W258" s="1647">
        <f t="shared" ref="W258:W267" si="77">0.5*((1+8*V258^2)^0.5-1)*S258</f>
        <v>1.0028849520450107</v>
      </c>
      <c r="X258" s="103">
        <f t="shared" ref="X258:X267" si="78">W258*1.05</f>
        <v>1.0530291996472614</v>
      </c>
      <c r="Y258" s="1647">
        <f t="shared" ref="Y258:Y267" si="79">X258+$I$43</f>
        <v>7.1530291996472606</v>
      </c>
      <c r="Z258" s="123" t="str">
        <f>IF(Hydraulic!$W$234&gt;Y258,"ok","Not ok")</f>
        <v>ok</v>
      </c>
      <c r="AA258" s="1647">
        <f t="shared" ref="AA258:AA267" si="80">B258-$I$43</f>
        <v>1.8800000000000008</v>
      </c>
      <c r="AB258" s="2524">
        <f t="shared" ref="AB258:AB267" si="81">IF(AND(V258&gt;=2.5,V258&lt;=4.5),IF(X258&gt;AA258,"",AA258-X258),IF(W258&gt;AA258," ",AA258-W258))</f>
        <v>0.8269708003527394</v>
      </c>
      <c r="AC258" s="1658" t="str">
        <f t="shared" ref="AC258:AC267" si="82">IF(AND(V258&gt;=2.5,V258&lt;=4.5),IF(X258&gt;AA258,X258-AA258,"no"),IF(W258&gt;AA258,W258-AA258,"no"))</f>
        <v>no</v>
      </c>
      <c r="AD258" s="505">
        <f t="shared" si="63"/>
        <v>0.27999291085275752</v>
      </c>
      <c r="AE258" s="103">
        <f>AD258/W258</f>
        <v>0.27918746839487035</v>
      </c>
      <c r="AF258" s="1854" t="str">
        <f t="shared" ref="AF258:AF267" si="83">IF(V258&lt;2.5,"Type I",IF(AND(V258&gt;=2.5,V258&lt;=4.5),"ERC","Type III"))</f>
        <v>ERC</v>
      </c>
      <c r="AG258" s="75">
        <f>VLOOKUP(V258,Table!$D$178:$G$212,2,TRUE)</f>
        <v>3.17</v>
      </c>
      <c r="AH258" s="103">
        <f t="shared" ref="AH258:AH267" si="84">AG258*W258</f>
        <v>3.179145297982684</v>
      </c>
      <c r="AI258" s="1725">
        <f>VLOOKUP(V258,Table!$D$178:$G$212,4,TRUE)</f>
        <v>1.2</v>
      </c>
      <c r="AJ258" s="103">
        <f t="shared" ref="AJ258:AJ267" si="85">IF(V258&lt;2.5,"-",IF(AND(V258&gt;=2.5,V258&lt;=4.5),N(AI258)*W258,0.8*W258))</f>
        <v>1.2034619424540127</v>
      </c>
      <c r="AK258" s="1726">
        <f>VLOOKUP(V258,Table!$D$178:$G$212,3,TRUE)</f>
        <v>2.4</v>
      </c>
      <c r="AL258" s="103">
        <f t="shared" ref="AL258:AL267" si="86">IF(V258&lt;2.5,"-",IF(AND(V258&gt;=2.5,V258&lt;=4.5),N(AK258)*W258,"-"))</f>
        <v>2.4069238849080254</v>
      </c>
      <c r="AM258" s="1769">
        <f t="shared" ref="AM258:AM267" si="87">IF(V258&lt;2.5,0,IF(AND(V258&gt;=2.5,V258&lt;=4.5),S258,S258))</f>
        <v>0.21019999999999317</v>
      </c>
      <c r="AN258" s="297">
        <f t="shared" ref="AN258:AN267" si="88">IF(V258&lt;2.5,0,IF(AND(V258&gt;=2.5,V258&lt;=4.5),0.7*S258,S258))</f>
        <v>0.14713999999999522</v>
      </c>
      <c r="AO258" s="442">
        <f t="shared" si="64"/>
        <v>0.14713999999999522</v>
      </c>
      <c r="AP258" s="1773" t="str">
        <f>VLOOKUP(V258,Table!$D$178:$I$212,5,TRUE)</f>
        <v>-</v>
      </c>
      <c r="AQ258" s="441">
        <f t="shared" si="65"/>
        <v>0.21019999999999317</v>
      </c>
      <c r="AR258" s="1769">
        <f t="shared" si="66"/>
        <v>0.14713999999999522</v>
      </c>
      <c r="AS258" s="441">
        <f t="shared" si="67"/>
        <v>4.2039999999998634E-2</v>
      </c>
      <c r="AT258" s="441">
        <f t="shared" si="68"/>
        <v>0.14713999999999522</v>
      </c>
      <c r="AU258" s="1785" t="str">
        <f>VLOOKUP(V258,Table!$D$178:$I$212,6,TRUE)</f>
        <v>-</v>
      </c>
      <c r="AV258" s="441">
        <f t="shared" ref="AV258:AV267" si="89">IF(V258&lt;2.5,0,IF(AND(V258&gt;=2.5,V258&lt;=4.5),W258*0.2,S258*AU258))</f>
        <v>0.20057699040900215</v>
      </c>
      <c r="AW258" s="103">
        <f t="shared" ref="AW258:AW267" si="90">IF(V258&lt;2.5,0,IF(AND(V258&gt;=2.5,V258&lt;=4.5),W258*0.15,0))</f>
        <v>0.15043274280675159</v>
      </c>
      <c r="AX258" s="1786">
        <f t="shared" ref="AX258:AX267" si="91">IF(V258&lt;2.5,0,IF(AND(V258&gt;=2.5,V258&lt;=4.5),AV258*0.15,0))</f>
        <v>3.0086548561350322E-2</v>
      </c>
      <c r="AY258" s="103">
        <f t="shared" ref="AY258:AY267" si="92">IF(V258&lt;2.5,0,IF(AND(V258&gt;=2.5,V258&lt;=4.5),W258*0.15,0))</f>
        <v>0.15043274280675159</v>
      </c>
      <c r="BA258" s="1857">
        <f t="shared" ref="BA258:BA267" si="93">E258/$A$65</f>
        <v>0.27999291085275752</v>
      </c>
      <c r="BB258" s="1858">
        <f t="shared" ref="BB258:BB267" si="94">(1.35*((BA258^2/$BB$231)^(1/3)))</f>
        <v>0.78329799039298531</v>
      </c>
      <c r="BC258" s="1857">
        <f t="shared" ref="BC258:BC267" si="95">BB258*1.25</f>
        <v>0.97912248799123169</v>
      </c>
      <c r="BD258" s="103">
        <f t="shared" si="69"/>
        <v>1.979000000000001</v>
      </c>
      <c r="BE258" s="1858" t="str">
        <f t="shared" si="70"/>
        <v>-</v>
      </c>
    </row>
    <row r="259" spans="1:57">
      <c r="A259" s="1521">
        <f t="shared" si="71"/>
        <v>8.2580000000000009</v>
      </c>
      <c r="B259" s="103">
        <f t="shared" si="72"/>
        <v>8.07</v>
      </c>
      <c r="C259" s="1523">
        <f t="shared" si="52"/>
        <v>1.2580000000000009</v>
      </c>
      <c r="D259" s="103">
        <f t="shared" si="53"/>
        <v>1.0700000000000003</v>
      </c>
      <c r="E259" s="1523">
        <f t="shared" si="54"/>
        <v>5.0553043956769308</v>
      </c>
      <c r="F259" s="441">
        <f t="shared" si="55"/>
        <v>0.66149673003477749</v>
      </c>
      <c r="G259" s="3074" t="s">
        <v>1506</v>
      </c>
      <c r="H259" s="3074" t="s">
        <v>1512</v>
      </c>
      <c r="I259" s="123" t="str">
        <f t="shared" si="56"/>
        <v>Type 4</v>
      </c>
      <c r="K259" s="130"/>
      <c r="L259" s="103">
        <f t="shared" si="73"/>
        <v>1.2580000000000009</v>
      </c>
      <c r="M259" s="2829">
        <f t="shared" si="57"/>
        <v>1.6851014652256435</v>
      </c>
      <c r="N259" s="2840">
        <f t="shared" si="58"/>
        <v>1.3395083189393022</v>
      </c>
      <c r="O259" s="298">
        <f t="shared" si="59"/>
        <v>9.1451709302120043E-2</v>
      </c>
      <c r="P259" s="2840">
        <f t="shared" si="74"/>
        <v>1.8922450950521661</v>
      </c>
      <c r="Q259" s="2830">
        <f t="shared" si="60"/>
        <v>1.6851014652256435</v>
      </c>
      <c r="R259" s="441">
        <f t="shared" si="61"/>
        <v>0.14472818288000053</v>
      </c>
      <c r="S259" s="1744">
        <f>'Calc-2'!Y36</f>
        <v>0.30149999999998311</v>
      </c>
      <c r="T259" s="103">
        <f t="shared" si="75"/>
        <v>1.8936298194490808</v>
      </c>
      <c r="U259" s="103">
        <f t="shared" si="76"/>
        <v>5.5890595861550176</v>
      </c>
      <c r="V259" s="103">
        <f t="shared" si="62"/>
        <v>3.249829508934615</v>
      </c>
      <c r="W259" s="1647">
        <f t="shared" si="77"/>
        <v>1.2431058479109398</v>
      </c>
      <c r="X259" s="103">
        <f t="shared" si="78"/>
        <v>1.3052611403064869</v>
      </c>
      <c r="Y259" s="1647">
        <f t="shared" si="79"/>
        <v>7.4052611403064867</v>
      </c>
      <c r="Z259" s="123" t="str">
        <f>IF(Hydraulic!$W$234&gt;Y259,"ok","Not ok")</f>
        <v>ok</v>
      </c>
      <c r="AA259" s="1647">
        <f t="shared" si="80"/>
        <v>1.9700000000000006</v>
      </c>
      <c r="AB259" s="2524">
        <f t="shared" si="81"/>
        <v>0.66473885969351376</v>
      </c>
      <c r="AC259" s="1658" t="str">
        <f t="shared" si="82"/>
        <v>no</v>
      </c>
      <c r="AD259" s="505">
        <f t="shared" si="63"/>
        <v>0.42127536630641088</v>
      </c>
      <c r="AE259" s="103">
        <f t="shared" ref="AE259:AE267" si="96">AD259/W259</f>
        <v>0.33888937697008764</v>
      </c>
      <c r="AF259" s="1854" t="str">
        <f t="shared" si="83"/>
        <v>ERC</v>
      </c>
      <c r="AG259" s="75">
        <f>VLOOKUP(V259,Table!$D$178:$G$212,2,TRUE)</f>
        <v>3.2</v>
      </c>
      <c r="AH259" s="103">
        <f t="shared" si="84"/>
        <v>3.9779387133150075</v>
      </c>
      <c r="AI259" s="1725">
        <f>VLOOKUP(V259,Table!$D$178:$G$212,4,TRUE)</f>
        <v>1.25</v>
      </c>
      <c r="AJ259" s="103">
        <f t="shared" si="85"/>
        <v>1.5538823098886747</v>
      </c>
      <c r="AK259" s="1726">
        <f>VLOOKUP(V259,Table!$D$178:$G$212,3,TRUE)</f>
        <v>2.6</v>
      </c>
      <c r="AL259" s="103">
        <f t="shared" si="86"/>
        <v>3.2320752045684435</v>
      </c>
      <c r="AM259" s="1769">
        <f t="shared" si="87"/>
        <v>0.30149999999998311</v>
      </c>
      <c r="AN259" s="297">
        <f t="shared" si="88"/>
        <v>0.21104999999998816</v>
      </c>
      <c r="AO259" s="442">
        <f t="shared" si="64"/>
        <v>0.21104999999998816</v>
      </c>
      <c r="AP259" s="1773" t="str">
        <f>VLOOKUP(V259,Table!$D$178:$I$212,5,TRUE)</f>
        <v>-</v>
      </c>
      <c r="AQ259" s="441">
        <f t="shared" si="65"/>
        <v>0.30149999999998311</v>
      </c>
      <c r="AR259" s="1769">
        <f t="shared" si="66"/>
        <v>0.21104999999998816</v>
      </c>
      <c r="AS259" s="441">
        <f t="shared" si="67"/>
        <v>6.0299999999996627E-2</v>
      </c>
      <c r="AT259" s="441">
        <f t="shared" si="68"/>
        <v>0.21104999999998816</v>
      </c>
      <c r="AU259" s="1785" t="str">
        <f>VLOOKUP(V259,Table!$D$178:$I$212,6,TRUE)</f>
        <v>-</v>
      </c>
      <c r="AV259" s="441">
        <f t="shared" si="89"/>
        <v>0.24862116958218797</v>
      </c>
      <c r="AW259" s="103">
        <f t="shared" si="90"/>
        <v>0.18646587718664095</v>
      </c>
      <c r="AX259" s="1786">
        <f t="shared" si="91"/>
        <v>3.7293175437328192E-2</v>
      </c>
      <c r="AY259" s="103">
        <f t="shared" si="92"/>
        <v>0.18646587718664095</v>
      </c>
      <c r="BA259" s="1857">
        <f t="shared" si="93"/>
        <v>0.42127536630641088</v>
      </c>
      <c r="BB259" s="1858">
        <f t="shared" si="94"/>
        <v>1.0285049002704019</v>
      </c>
      <c r="BC259" s="1857">
        <f t="shared" si="95"/>
        <v>1.2856311253380024</v>
      </c>
      <c r="BD259" s="103">
        <f t="shared" si="69"/>
        <v>2.1580000000000013</v>
      </c>
      <c r="BE259" s="1858" t="str">
        <f t="shared" si="70"/>
        <v>-</v>
      </c>
    </row>
    <row r="260" spans="1:57">
      <c r="A260" s="1521">
        <f t="shared" si="71"/>
        <v>8.4370000000000012</v>
      </c>
      <c r="B260" s="103">
        <f t="shared" si="72"/>
        <v>8.16</v>
      </c>
      <c r="C260" s="1523">
        <f t="shared" si="52"/>
        <v>1.4370000000000012</v>
      </c>
      <c r="D260" s="103">
        <f t="shared" si="53"/>
        <v>1.1600000000000001</v>
      </c>
      <c r="E260" s="1523">
        <f t="shared" si="54"/>
        <v>6.652463224177235</v>
      </c>
      <c r="F260" s="441">
        <f t="shared" si="55"/>
        <v>0.79436082097480465</v>
      </c>
      <c r="G260" s="3074"/>
      <c r="H260" s="3074"/>
      <c r="I260" s="123" t="str">
        <f t="shared" si="56"/>
        <v>Type 4</v>
      </c>
      <c r="K260" s="130"/>
      <c r="L260" s="103">
        <f t="shared" si="73"/>
        <v>1.4370000000000012</v>
      </c>
      <c r="M260" s="2829">
        <f t="shared" si="57"/>
        <v>2.2174877413924117</v>
      </c>
      <c r="N260" s="2840">
        <f t="shared" si="58"/>
        <v>1.5431369111986151</v>
      </c>
      <c r="O260" s="298">
        <f t="shared" si="59"/>
        <v>0.12136959871068309</v>
      </c>
      <c r="P260" s="2840">
        <f t="shared" si="74"/>
        <v>2.0915412314622071</v>
      </c>
      <c r="Q260" s="2830">
        <f t="shared" si="60"/>
        <v>2.2174877413924117</v>
      </c>
      <c r="R260" s="441">
        <f t="shared" si="61"/>
        <v>0.25062445888000096</v>
      </c>
      <c r="S260" s="1699">
        <f>'Calc-2'!Y37</f>
        <v>0.38279999999997416</v>
      </c>
      <c r="T260" s="103">
        <f t="shared" si="75"/>
        <v>2.0931287419653173</v>
      </c>
      <c r="U260" s="103">
        <f t="shared" si="76"/>
        <v>5.7928101917256045</v>
      </c>
      <c r="V260" s="449">
        <f t="shared" si="62"/>
        <v>2.9892953758577709</v>
      </c>
      <c r="W260" s="1647">
        <f t="shared" si="77"/>
        <v>1.438167221595106</v>
      </c>
      <c r="X260" s="103">
        <f t="shared" si="78"/>
        <v>1.5100755826748613</v>
      </c>
      <c r="Y260" s="1647">
        <f t="shared" si="79"/>
        <v>7.6100755826748614</v>
      </c>
      <c r="Z260" s="123" t="str">
        <f>IF(Hydraulic!$W$234&gt;Y260,"ok","Not ok")</f>
        <v>ok</v>
      </c>
      <c r="AA260" s="1647">
        <f t="shared" si="80"/>
        <v>2.0600000000000005</v>
      </c>
      <c r="AB260" s="2524">
        <f t="shared" si="81"/>
        <v>0.54992441732513919</v>
      </c>
      <c r="AC260" s="1658" t="str">
        <f t="shared" si="82"/>
        <v>no</v>
      </c>
      <c r="AD260" s="505">
        <f t="shared" si="63"/>
        <v>0.55437193534810292</v>
      </c>
      <c r="AE260" s="103">
        <f t="shared" si="96"/>
        <v>0.38547112395819705</v>
      </c>
      <c r="AF260" s="1854" t="str">
        <f t="shared" si="83"/>
        <v>ERC</v>
      </c>
      <c r="AG260" s="75">
        <f>VLOOKUP(V260,Table!$D$178:$G$212,2,TRUE)</f>
        <v>3.25</v>
      </c>
      <c r="AH260" s="103">
        <f t="shared" si="84"/>
        <v>4.6740434701840945</v>
      </c>
      <c r="AI260" s="1725">
        <f>VLOOKUP(V260,Table!$D$178:$G$212,4,TRUE)</f>
        <v>1.37</v>
      </c>
      <c r="AJ260" s="103">
        <f t="shared" si="85"/>
        <v>1.9702890935852955</v>
      </c>
      <c r="AK260" s="1726">
        <f>VLOOKUP(V260,Table!$D$178:$G$212,3,TRUE)</f>
        <v>2.75</v>
      </c>
      <c r="AL260" s="103">
        <f t="shared" si="86"/>
        <v>3.9549598593865416</v>
      </c>
      <c r="AM260" s="1769">
        <f t="shared" si="87"/>
        <v>0.38279999999997416</v>
      </c>
      <c r="AN260" s="297">
        <f t="shared" si="88"/>
        <v>0.26795999999998188</v>
      </c>
      <c r="AO260" s="442">
        <f t="shared" si="64"/>
        <v>0.26795999999998188</v>
      </c>
      <c r="AP260" s="1773" t="str">
        <f>VLOOKUP(V260,Table!$D$178:$I$212,5,TRUE)</f>
        <v>-</v>
      </c>
      <c r="AQ260" s="441">
        <f t="shared" si="65"/>
        <v>0.38279999999997416</v>
      </c>
      <c r="AR260" s="1769">
        <f t="shared" si="66"/>
        <v>0.26795999999998188</v>
      </c>
      <c r="AS260" s="441">
        <f t="shared" si="67"/>
        <v>7.6559999999994841E-2</v>
      </c>
      <c r="AT260" s="441">
        <f t="shared" si="68"/>
        <v>0.26795999999998188</v>
      </c>
      <c r="AU260" s="1785" t="str">
        <f>VLOOKUP(V260,Table!$D$178:$I$212,6,TRUE)</f>
        <v>-</v>
      </c>
      <c r="AV260" s="441">
        <f t="shared" si="89"/>
        <v>0.28763344431902121</v>
      </c>
      <c r="AW260" s="103">
        <f t="shared" si="90"/>
        <v>0.2157250832392659</v>
      </c>
      <c r="AX260" s="1786">
        <f t="shared" si="91"/>
        <v>4.3145016647853182E-2</v>
      </c>
      <c r="AY260" s="103">
        <f t="shared" si="92"/>
        <v>0.2157250832392659</v>
      </c>
      <c r="BA260" s="1857">
        <f t="shared" si="93"/>
        <v>0.55437193534810292</v>
      </c>
      <c r="BB260" s="1858">
        <f t="shared" si="94"/>
        <v>1.2350839540997476</v>
      </c>
      <c r="BC260" s="1857">
        <f t="shared" si="95"/>
        <v>1.5438549426246846</v>
      </c>
      <c r="BD260" s="103">
        <f t="shared" si="69"/>
        <v>2.3370000000000015</v>
      </c>
      <c r="BE260" s="1858" t="str">
        <f t="shared" si="70"/>
        <v>-</v>
      </c>
    </row>
    <row r="261" spans="1:57">
      <c r="A261" s="1521">
        <f t="shared" si="71"/>
        <v>8.6160000000000014</v>
      </c>
      <c r="B261" s="103">
        <f t="shared" si="72"/>
        <v>8.25</v>
      </c>
      <c r="C261" s="1523">
        <f t="shared" si="52"/>
        <v>1.6160000000000014</v>
      </c>
      <c r="D261" s="103">
        <f t="shared" si="53"/>
        <v>1.25</v>
      </c>
      <c r="E261" s="1523">
        <f t="shared" si="54"/>
        <v>8.2401508890917938</v>
      </c>
      <c r="F261" s="441">
        <f t="shared" si="55"/>
        <v>0.91619152602855192</v>
      </c>
      <c r="G261" s="3074"/>
      <c r="H261" s="3074"/>
      <c r="I261" s="123" t="str">
        <f t="shared" si="56"/>
        <v>Type 4</v>
      </c>
      <c r="K261" s="130"/>
      <c r="L261" s="103">
        <f t="shared" si="73"/>
        <v>1.6160000000000014</v>
      </c>
      <c r="M261" s="2829">
        <f t="shared" si="57"/>
        <v>2.7467169630305981</v>
      </c>
      <c r="N261" s="2840">
        <f t="shared" si="58"/>
        <v>1.6997010909842796</v>
      </c>
      <c r="O261" s="298">
        <f t="shared" si="59"/>
        <v>0.1472468806673369</v>
      </c>
      <c r="P261" s="2840">
        <f t="shared" si="74"/>
        <v>2.2742872890428281</v>
      </c>
      <c r="Q261" s="2830">
        <f t="shared" si="60"/>
        <v>2.7467169630305981</v>
      </c>
      <c r="R261" s="441">
        <f t="shared" si="61"/>
        <v>0.38452875000000158</v>
      </c>
      <c r="S261" s="1699">
        <f>'Calc-2'!Y38</f>
        <v>0.46019999999996564</v>
      </c>
      <c r="T261" s="103">
        <f t="shared" si="75"/>
        <v>2.2758644381703728</v>
      </c>
      <c r="U261" s="103">
        <f t="shared" si="76"/>
        <v>5.9685288201451616</v>
      </c>
      <c r="V261" s="103">
        <f t="shared" si="62"/>
        <v>2.809050096234937</v>
      </c>
      <c r="W261" s="1647">
        <f t="shared" si="77"/>
        <v>1.6125125766920976</v>
      </c>
      <c r="X261" s="103">
        <f t="shared" si="78"/>
        <v>1.6931382055267026</v>
      </c>
      <c r="Y261" s="1647">
        <f t="shared" si="79"/>
        <v>7.7931382055267022</v>
      </c>
      <c r="Z261" s="123" t="str">
        <f>IF(Hydraulic!$W$234&gt;Y261,"ok","Not ok")</f>
        <v>ok</v>
      </c>
      <c r="AA261" s="1647">
        <f t="shared" si="80"/>
        <v>2.1500000000000004</v>
      </c>
      <c r="AB261" s="2524">
        <f t="shared" si="81"/>
        <v>0.45686179447329778</v>
      </c>
      <c r="AC261" s="1658" t="str">
        <f t="shared" si="82"/>
        <v>no</v>
      </c>
      <c r="AD261" s="505">
        <f t="shared" si="63"/>
        <v>0.68667924075764952</v>
      </c>
      <c r="AE261" s="103">
        <f t="shared" si="96"/>
        <v>0.4258442697955887</v>
      </c>
      <c r="AF261" s="1854" t="str">
        <f t="shared" si="83"/>
        <v>ERC</v>
      </c>
      <c r="AG261" s="75">
        <f>VLOOKUP(V261,Table!$D$178:$G$212,2,TRUE)</f>
        <v>3.25</v>
      </c>
      <c r="AH261" s="103">
        <f t="shared" si="84"/>
        <v>5.2406658742493173</v>
      </c>
      <c r="AI261" s="1725">
        <f>VLOOKUP(V261,Table!$D$178:$G$212,4,TRUE)</f>
        <v>1.37</v>
      </c>
      <c r="AJ261" s="103">
        <f t="shared" si="85"/>
        <v>2.2091422300681738</v>
      </c>
      <c r="AK261" s="1726">
        <f>VLOOKUP(V261,Table!$D$178:$G$212,3,TRUE)</f>
        <v>2.75</v>
      </c>
      <c r="AL261" s="103">
        <f t="shared" si="86"/>
        <v>4.4344095859032686</v>
      </c>
      <c r="AM261" s="1769">
        <f t="shared" si="87"/>
        <v>0.46019999999996564</v>
      </c>
      <c r="AN261" s="297">
        <f t="shared" si="88"/>
        <v>0.32213999999997595</v>
      </c>
      <c r="AO261" s="442">
        <f t="shared" si="64"/>
        <v>0.32213999999997595</v>
      </c>
      <c r="AP261" s="1773" t="str">
        <f>VLOOKUP(V261,Table!$D$178:$I$212,5,TRUE)</f>
        <v>-</v>
      </c>
      <c r="AQ261" s="441">
        <f t="shared" si="65"/>
        <v>0.46019999999996564</v>
      </c>
      <c r="AR261" s="1769">
        <f t="shared" si="66"/>
        <v>0.32213999999997595</v>
      </c>
      <c r="AS261" s="441">
        <f t="shared" si="67"/>
        <v>9.2039999999993127E-2</v>
      </c>
      <c r="AT261" s="441">
        <f t="shared" si="68"/>
        <v>0.32213999999997595</v>
      </c>
      <c r="AU261" s="1785" t="str">
        <f>VLOOKUP(V261,Table!$D$178:$I$212,6,TRUE)</f>
        <v>-</v>
      </c>
      <c r="AV261" s="441">
        <f t="shared" si="89"/>
        <v>0.32250251533841956</v>
      </c>
      <c r="AW261" s="103">
        <f t="shared" si="90"/>
        <v>0.24187688650381461</v>
      </c>
      <c r="AX261" s="1786">
        <f t="shared" si="91"/>
        <v>4.8375377300762933E-2</v>
      </c>
      <c r="AY261" s="103">
        <f t="shared" si="92"/>
        <v>0.24187688650381461</v>
      </c>
      <c r="BA261" s="1857">
        <f t="shared" si="93"/>
        <v>0.68667924075764952</v>
      </c>
      <c r="BB261" s="1858">
        <f t="shared" si="94"/>
        <v>1.4245081363547216</v>
      </c>
      <c r="BC261" s="1857">
        <f t="shared" si="95"/>
        <v>1.780635170443402</v>
      </c>
      <c r="BD261" s="103">
        <f t="shared" si="69"/>
        <v>2.5160000000000018</v>
      </c>
      <c r="BE261" s="1858" t="str">
        <f t="shared" si="70"/>
        <v>-</v>
      </c>
    </row>
    <row r="262" spans="1:57">
      <c r="A262" s="1521">
        <f t="shared" si="71"/>
        <v>8.7950000000000017</v>
      </c>
      <c r="B262" s="103">
        <f t="shared" si="72"/>
        <v>8.34</v>
      </c>
      <c r="C262" s="1523">
        <f t="shared" si="52"/>
        <v>1.7950000000000017</v>
      </c>
      <c r="D262" s="103">
        <f t="shared" si="53"/>
        <v>1.3399999999999999</v>
      </c>
      <c r="E262" s="1523">
        <f t="shared" si="54"/>
        <v>9.8490673060557548</v>
      </c>
      <c r="F262" s="441">
        <f t="shared" si="55"/>
        <v>1.0318729582412625</v>
      </c>
      <c r="G262" s="3074"/>
      <c r="H262" s="3074"/>
      <c r="I262" s="123" t="str">
        <f t="shared" si="56"/>
        <v>Type 4</v>
      </c>
      <c r="K262" s="130"/>
      <c r="L262" s="103">
        <f t="shared" si="73"/>
        <v>1.7950000000000017</v>
      </c>
      <c r="M262" s="2829">
        <f t="shared" si="57"/>
        <v>3.2830224353519184</v>
      </c>
      <c r="N262" s="2840">
        <f t="shared" si="58"/>
        <v>1.8289818581347717</v>
      </c>
      <c r="O262" s="298">
        <f t="shared" si="59"/>
        <v>0.17049819762416524</v>
      </c>
      <c r="P262" s="2840">
        <f t="shared" si="74"/>
        <v>2.4478094373618937</v>
      </c>
      <c r="Q262" s="2830">
        <f t="shared" si="60"/>
        <v>3.2830224353519184</v>
      </c>
      <c r="R262" s="441">
        <f t="shared" si="61"/>
        <v>0.54934945520000211</v>
      </c>
      <c r="S262" s="1699">
        <f>'Calc-2'!Y39</f>
        <v>0.53579999999995731</v>
      </c>
      <c r="T262" s="103">
        <f t="shared" si="75"/>
        <v>2.4493652673576669</v>
      </c>
      <c r="U262" s="103">
        <f t="shared" si="76"/>
        <v>6.1273281734829785</v>
      </c>
      <c r="V262" s="103">
        <f t="shared" si="62"/>
        <v>2.6726081165544771</v>
      </c>
      <c r="W262" s="1647">
        <f t="shared" si="77"/>
        <v>1.7748734801002266</v>
      </c>
      <c r="X262" s="103">
        <f t="shared" si="78"/>
        <v>1.863617154105238</v>
      </c>
      <c r="Y262" s="1647">
        <f t="shared" si="79"/>
        <v>7.9636171541052381</v>
      </c>
      <c r="Z262" s="123" t="str">
        <f>IF(Hydraulic!$W$234&gt;Y262,"ok","Not ok")</f>
        <v>ok</v>
      </c>
      <c r="AA262" s="1647">
        <f t="shared" si="80"/>
        <v>2.2400000000000002</v>
      </c>
      <c r="AB262" s="2524">
        <f t="shared" si="81"/>
        <v>0.37638284589476223</v>
      </c>
      <c r="AC262" s="1658" t="str">
        <f t="shared" si="82"/>
        <v>no</v>
      </c>
      <c r="AD262" s="505">
        <f t="shared" si="63"/>
        <v>0.8207556088379796</v>
      </c>
      <c r="AE262" s="103">
        <f t="shared" si="96"/>
        <v>0.46243048760390049</v>
      </c>
      <c r="AF262" s="1854" t="str">
        <f t="shared" si="83"/>
        <v>ERC</v>
      </c>
      <c r="AG262" s="75">
        <f>VLOOKUP(V262,Table!$D$178:$G$212,2,TRUE)</f>
        <v>3.25</v>
      </c>
      <c r="AH262" s="103">
        <f t="shared" si="84"/>
        <v>5.7683388103257363</v>
      </c>
      <c r="AI262" s="1725">
        <f>VLOOKUP(V262,Table!$D$178:$G$212,4,TRUE)</f>
        <v>1.37</v>
      </c>
      <c r="AJ262" s="103">
        <f t="shared" si="85"/>
        <v>2.4315766677373105</v>
      </c>
      <c r="AK262" s="1726">
        <f>VLOOKUP(V262,Table!$D$178:$G$212,3,TRUE)</f>
        <v>2.75</v>
      </c>
      <c r="AL262" s="103">
        <f t="shared" si="86"/>
        <v>4.8809020702756234</v>
      </c>
      <c r="AM262" s="1769">
        <f t="shared" si="87"/>
        <v>0.53579999999995731</v>
      </c>
      <c r="AN262" s="297">
        <f t="shared" si="88"/>
        <v>0.37505999999997008</v>
      </c>
      <c r="AO262" s="442">
        <f t="shared" si="64"/>
        <v>0.37505999999997008</v>
      </c>
      <c r="AP262" s="1773" t="str">
        <f>VLOOKUP(V262,Table!$D$178:$I$212,5,TRUE)</f>
        <v>-</v>
      </c>
      <c r="AQ262" s="441">
        <f t="shared" si="65"/>
        <v>0.53579999999995731</v>
      </c>
      <c r="AR262" s="1769">
        <f t="shared" si="66"/>
        <v>0.37505999999997008</v>
      </c>
      <c r="AS262" s="441">
        <f t="shared" si="67"/>
        <v>0.10715999999999147</v>
      </c>
      <c r="AT262" s="441">
        <f t="shared" si="68"/>
        <v>0.37505999999997008</v>
      </c>
      <c r="AU262" s="1785" t="str">
        <f>VLOOKUP(V262,Table!$D$178:$I$212,6,TRUE)</f>
        <v>-</v>
      </c>
      <c r="AV262" s="441">
        <f t="shared" si="89"/>
        <v>0.35497469602004533</v>
      </c>
      <c r="AW262" s="103">
        <f t="shared" si="90"/>
        <v>0.26623102201503396</v>
      </c>
      <c r="AX262" s="1786">
        <f t="shared" si="91"/>
        <v>5.32462044030068E-2</v>
      </c>
      <c r="AY262" s="103">
        <f t="shared" si="92"/>
        <v>0.26623102201503396</v>
      </c>
      <c r="BA262" s="1857">
        <f t="shared" si="93"/>
        <v>0.8207556088379796</v>
      </c>
      <c r="BB262" s="1858">
        <f t="shared" si="94"/>
        <v>1.604371338240566</v>
      </c>
      <c r="BC262" s="1857">
        <f t="shared" si="95"/>
        <v>2.0054641728007074</v>
      </c>
      <c r="BD262" s="103">
        <f t="shared" si="69"/>
        <v>2.6950000000000021</v>
      </c>
      <c r="BE262" s="1858" t="str">
        <f t="shared" si="70"/>
        <v>-</v>
      </c>
    </row>
    <row r="263" spans="1:57">
      <c r="A263" s="1521">
        <f t="shared" si="71"/>
        <v>8.974000000000002</v>
      </c>
      <c r="B263" s="103">
        <f t="shared" si="72"/>
        <v>8.43</v>
      </c>
      <c r="C263" s="1523">
        <f t="shared" si="52"/>
        <v>1.974000000000002</v>
      </c>
      <c r="D263" s="103">
        <f t="shared" si="53"/>
        <v>1.4299999999999997</v>
      </c>
      <c r="E263" s="1523">
        <f t="shared" si="54"/>
        <v>11.492647754544455</v>
      </c>
      <c r="F263" s="441">
        <f t="shared" si="55"/>
        <v>1.1436932510899049</v>
      </c>
      <c r="G263" s="3074"/>
      <c r="H263" s="3074"/>
      <c r="I263" s="123" t="str">
        <f t="shared" si="56"/>
        <v>Type 4</v>
      </c>
      <c r="K263" s="130"/>
      <c r="L263" s="103">
        <f t="shared" si="73"/>
        <v>1.974000000000002</v>
      </c>
      <c r="M263" s="2829">
        <f t="shared" si="57"/>
        <v>3.8308825848481516</v>
      </c>
      <c r="N263" s="2840">
        <f t="shared" si="58"/>
        <v>1.940670002456002</v>
      </c>
      <c r="O263" s="298">
        <f t="shared" si="59"/>
        <v>0.19195718952255753</v>
      </c>
      <c r="P263" s="2840">
        <f t="shared" si="74"/>
        <v>2.6155398766348572</v>
      </c>
      <c r="Q263" s="2830">
        <f t="shared" si="60"/>
        <v>3.8308825848481516</v>
      </c>
      <c r="R263" s="441">
        <f t="shared" si="61"/>
        <v>0.74799497344000276</v>
      </c>
      <c r="S263" s="1699">
        <f>'Calc-2'!Y40</f>
        <v>0.61049999999994908</v>
      </c>
      <c r="T263" s="103">
        <f t="shared" si="75"/>
        <v>2.6174074393315143</v>
      </c>
      <c r="U263" s="103">
        <f t="shared" si="76"/>
        <v>6.2749919489737449</v>
      </c>
      <c r="V263" s="103">
        <f t="shared" si="62"/>
        <v>2.5641051744977434</v>
      </c>
      <c r="W263" s="1647">
        <f t="shared" si="77"/>
        <v>1.9294861207416354</v>
      </c>
      <c r="X263" s="103">
        <f t="shared" si="78"/>
        <v>2.0259604267787172</v>
      </c>
      <c r="Y263" s="1647">
        <f t="shared" si="79"/>
        <v>8.1259604267787164</v>
      </c>
      <c r="Z263" s="123" t="str">
        <f>IF(Hydraulic!$W$234&gt;Y263,"ok","Not ok")</f>
        <v>ok</v>
      </c>
      <c r="AA263" s="1647">
        <f t="shared" si="80"/>
        <v>2.33</v>
      </c>
      <c r="AB263" s="2524">
        <f t="shared" si="81"/>
        <v>0.30403957322128283</v>
      </c>
      <c r="AC263" s="1658" t="str">
        <f t="shared" si="82"/>
        <v>no</v>
      </c>
      <c r="AD263" s="505">
        <f t="shared" si="63"/>
        <v>0.9577206462120379</v>
      </c>
      <c r="AE263" s="103">
        <f t="shared" si="96"/>
        <v>0.49636047438574959</v>
      </c>
      <c r="AF263" s="1854" t="str">
        <f t="shared" si="83"/>
        <v>ERC</v>
      </c>
      <c r="AG263" s="75">
        <f>VLOOKUP(V263,Table!$D$178:$G$212,2,TRUE)</f>
        <v>3.25</v>
      </c>
      <c r="AH263" s="103">
        <f t="shared" si="84"/>
        <v>6.2708298924103154</v>
      </c>
      <c r="AI263" s="1725">
        <f>VLOOKUP(V263,Table!$D$178:$G$212,4,TRUE)</f>
        <v>1.37</v>
      </c>
      <c r="AJ263" s="103">
        <f t="shared" si="85"/>
        <v>2.6433959854160407</v>
      </c>
      <c r="AK263" s="1726">
        <f>VLOOKUP(V263,Table!$D$178:$G$212,3,TRUE)</f>
        <v>2.75</v>
      </c>
      <c r="AL263" s="103">
        <f t="shared" si="86"/>
        <v>5.3060868320394974</v>
      </c>
      <c r="AM263" s="1769">
        <f t="shared" si="87"/>
        <v>0.61049999999994908</v>
      </c>
      <c r="AN263" s="297">
        <f t="shared" si="88"/>
        <v>0.42734999999996431</v>
      </c>
      <c r="AO263" s="442">
        <f t="shared" si="64"/>
        <v>0.42734999999996431</v>
      </c>
      <c r="AP263" s="1773" t="str">
        <f>VLOOKUP(V263,Table!$D$178:$I$212,5,TRUE)</f>
        <v>-</v>
      </c>
      <c r="AQ263" s="441">
        <f t="shared" si="65"/>
        <v>0.61049999999994908</v>
      </c>
      <c r="AR263" s="1769">
        <f t="shared" si="66"/>
        <v>0.42734999999996431</v>
      </c>
      <c r="AS263" s="441">
        <f t="shared" si="67"/>
        <v>0.12209999999998983</v>
      </c>
      <c r="AT263" s="441">
        <f t="shared" si="68"/>
        <v>0.42734999999996431</v>
      </c>
      <c r="AU263" s="1785" t="str">
        <f>VLOOKUP(V263,Table!$D$178:$I$212,6,TRUE)</f>
        <v>-</v>
      </c>
      <c r="AV263" s="441">
        <f t="shared" si="89"/>
        <v>0.38589722414832711</v>
      </c>
      <c r="AW263" s="103">
        <f t="shared" si="90"/>
        <v>0.28942291811124532</v>
      </c>
      <c r="AX263" s="1786">
        <f t="shared" si="91"/>
        <v>5.7884583622249061E-2</v>
      </c>
      <c r="AY263" s="103">
        <f t="shared" si="92"/>
        <v>0.28942291811124532</v>
      </c>
      <c r="BA263" s="1857">
        <f t="shared" si="93"/>
        <v>0.9577206462120379</v>
      </c>
      <c r="BB263" s="1858">
        <f t="shared" si="94"/>
        <v>1.7782311835317945</v>
      </c>
      <c r="BC263" s="1857">
        <f t="shared" si="95"/>
        <v>2.2227889794147431</v>
      </c>
      <c r="BD263" s="103">
        <f t="shared" si="69"/>
        <v>2.8740000000000023</v>
      </c>
      <c r="BE263" s="1858" t="str">
        <f t="shared" si="70"/>
        <v>-</v>
      </c>
    </row>
    <row r="264" spans="1:57">
      <c r="A264" s="1521">
        <f t="shared" si="71"/>
        <v>9.1530000000000022</v>
      </c>
      <c r="B264" s="103">
        <f t="shared" si="72"/>
        <v>8.52</v>
      </c>
      <c r="C264" s="1523">
        <f t="shared" si="52"/>
        <v>2.1530000000000022</v>
      </c>
      <c r="D264" s="103">
        <f t="shared" si="53"/>
        <v>1.5199999999999996</v>
      </c>
      <c r="E264" s="1523">
        <f t="shared" si="54"/>
        <v>13.177409783254639</v>
      </c>
      <c r="F264" s="441">
        <f t="shared" si="55"/>
        <v>1.2528993832319666</v>
      </c>
      <c r="G264" s="3074"/>
      <c r="H264" s="3074"/>
      <c r="I264" s="123" t="str">
        <f t="shared" si="56"/>
        <v>Type 4</v>
      </c>
      <c r="K264" s="130"/>
      <c r="L264" s="103">
        <f t="shared" si="73"/>
        <v>2.1530000000000022</v>
      </c>
      <c r="M264" s="2829">
        <f t="shared" si="57"/>
        <v>4.392469927751546</v>
      </c>
      <c r="N264" s="2840">
        <f t="shared" si="58"/>
        <v>2.0401625303072648</v>
      </c>
      <c r="O264" s="298">
        <f t="shared" si="59"/>
        <v>0.21214389144086343</v>
      </c>
      <c r="P264" s="2840">
        <f t="shared" si="74"/>
        <v>2.7793490748479499</v>
      </c>
      <c r="Q264" s="2830">
        <f t="shared" si="60"/>
        <v>4.392469927751546</v>
      </c>
      <c r="R264" s="441">
        <f t="shared" si="61"/>
        <v>0.98337370368000354</v>
      </c>
      <c r="S264" s="1699">
        <f>'Calc-2'!Y41</f>
        <v>0.68489999999994089</v>
      </c>
      <c r="T264" s="103">
        <f t="shared" si="75"/>
        <v>2.7812522467354164</v>
      </c>
      <c r="U264" s="103">
        <f t="shared" si="76"/>
        <v>6.4133011063687038</v>
      </c>
      <c r="V264" s="103">
        <f t="shared" si="62"/>
        <v>2.4741928290768422</v>
      </c>
      <c r="W264" s="1647">
        <f t="shared" si="77"/>
        <v>2.0783842813286779</v>
      </c>
      <c r="X264" s="103">
        <f t="shared" si="78"/>
        <v>2.1823034953951117</v>
      </c>
      <c r="Y264" s="1647">
        <f t="shared" si="79"/>
        <v>8.2823034953951122</v>
      </c>
      <c r="Z264" s="123" t="str">
        <f>IF(Hydraulic!$W$234&gt;Y264,"ok","Not ok")</f>
        <v>ok</v>
      </c>
      <c r="AA264" s="1647">
        <f t="shared" si="80"/>
        <v>2.42</v>
      </c>
      <c r="AB264" s="2524">
        <f t="shared" si="81"/>
        <v>0.34161571867132201</v>
      </c>
      <c r="AC264" s="1658" t="str">
        <f t="shared" si="82"/>
        <v>no</v>
      </c>
      <c r="AD264" s="505">
        <f t="shared" si="63"/>
        <v>1.0981174819378865</v>
      </c>
      <c r="AE264" s="103">
        <f t="shared" si="96"/>
        <v>0.52835151410781334</v>
      </c>
      <c r="AF264" s="1854" t="str">
        <f t="shared" si="83"/>
        <v>Type I</v>
      </c>
      <c r="AG264" s="75">
        <f>VLOOKUP(V264,Table!$D$178:$G$212,2,TRUE)</f>
        <v>4.95</v>
      </c>
      <c r="AH264" s="103">
        <f t="shared" si="84"/>
        <v>10.288002192576956</v>
      </c>
      <c r="AI264" s="1725" t="str">
        <f>VLOOKUP(V264,Table!$D$178:$G$212,4,TRUE)</f>
        <v>-</v>
      </c>
      <c r="AJ264" s="103" t="str">
        <f t="shared" si="85"/>
        <v>-</v>
      </c>
      <c r="AK264" s="1726" t="str">
        <f>VLOOKUP(V264,Table!$D$178:$G$212,3,TRUE)</f>
        <v>-</v>
      </c>
      <c r="AL264" s="103" t="str">
        <f t="shared" si="86"/>
        <v>-</v>
      </c>
      <c r="AM264" s="1769">
        <f t="shared" si="87"/>
        <v>0</v>
      </c>
      <c r="AN264" s="297">
        <f t="shared" si="88"/>
        <v>0</v>
      </c>
      <c r="AO264" s="442">
        <f t="shared" si="64"/>
        <v>0</v>
      </c>
      <c r="AP264" s="1773" t="str">
        <f>VLOOKUP(V264,Table!$D$178:$I$212,5,TRUE)</f>
        <v>-</v>
      </c>
      <c r="AQ264" s="441">
        <f t="shared" si="65"/>
        <v>0</v>
      </c>
      <c r="AR264" s="1769">
        <f t="shared" si="66"/>
        <v>0</v>
      </c>
      <c r="AS264" s="441">
        <f t="shared" si="67"/>
        <v>0</v>
      </c>
      <c r="AT264" s="441">
        <f t="shared" si="68"/>
        <v>0</v>
      </c>
      <c r="AU264" s="1785" t="str">
        <f>VLOOKUP(V264,Table!$D$178:$I$212,6,TRUE)</f>
        <v>-</v>
      </c>
      <c r="AV264" s="441">
        <f t="shared" si="89"/>
        <v>0</v>
      </c>
      <c r="AW264" s="103">
        <f t="shared" si="90"/>
        <v>0</v>
      </c>
      <c r="AX264" s="1786">
        <f t="shared" si="91"/>
        <v>0</v>
      </c>
      <c r="AY264" s="103">
        <f t="shared" si="92"/>
        <v>0</v>
      </c>
      <c r="BA264" s="1857">
        <f t="shared" si="93"/>
        <v>1.0981174819378865</v>
      </c>
      <c r="BB264" s="1858">
        <f t="shared" si="94"/>
        <v>1.9480264930895344</v>
      </c>
      <c r="BC264" s="1857">
        <f t="shared" si="95"/>
        <v>2.4350331163619181</v>
      </c>
      <c r="BD264" s="103">
        <f t="shared" si="69"/>
        <v>3.0530000000000026</v>
      </c>
      <c r="BE264" s="1858" t="str">
        <f t="shared" si="70"/>
        <v>-</v>
      </c>
    </row>
    <row r="265" spans="1:57">
      <c r="A265" s="1521">
        <f t="shared" si="71"/>
        <v>9.3320000000000025</v>
      </c>
      <c r="B265" s="103">
        <f t="shared" si="72"/>
        <v>8.61</v>
      </c>
      <c r="C265" s="1523">
        <f t="shared" si="52"/>
        <v>2.3320000000000025</v>
      </c>
      <c r="D265" s="103">
        <f t="shared" si="53"/>
        <v>1.6099999999999994</v>
      </c>
      <c r="E265" s="1523">
        <f t="shared" si="54"/>
        <v>14.906616666598469</v>
      </c>
      <c r="F265" s="441">
        <f t="shared" si="55"/>
        <v>1.3602400257150766</v>
      </c>
      <c r="G265" s="147"/>
      <c r="H265" s="123"/>
      <c r="I265" s="123" t="str">
        <f t="shared" si="56"/>
        <v>Type 4</v>
      </c>
      <c r="K265" s="130"/>
      <c r="L265" s="103">
        <f t="shared" si="73"/>
        <v>2.3320000000000025</v>
      </c>
      <c r="M265" s="2829">
        <f t="shared" si="57"/>
        <v>4.9688722221994892</v>
      </c>
      <c r="N265" s="2840">
        <f t="shared" si="58"/>
        <v>2.1307342290735352</v>
      </c>
      <c r="O265" s="298">
        <f t="shared" si="59"/>
        <v>0.2313979793550251</v>
      </c>
      <c r="P265" s="2840">
        <f t="shared" si="74"/>
        <v>2.940360038572615</v>
      </c>
      <c r="Q265" s="2830">
        <f t="shared" si="60"/>
        <v>4.9688722221994892</v>
      </c>
      <c r="R265" s="441">
        <f t="shared" si="61"/>
        <v>1.2583940448800044</v>
      </c>
      <c r="S265" s="1699">
        <f>'Calc-2'!Y42</f>
        <v>0.7592999999999327</v>
      </c>
      <c r="T265" s="103">
        <f t="shared" si="75"/>
        <v>2.9419789226822202</v>
      </c>
      <c r="U265" s="103">
        <f t="shared" si="76"/>
        <v>6.5440171502698927</v>
      </c>
      <c r="V265" s="103">
        <f t="shared" si="62"/>
        <v>2.3977462763606465</v>
      </c>
      <c r="W265" s="1647">
        <f t="shared" si="77"/>
        <v>2.2229192203033148</v>
      </c>
      <c r="X265" s="103">
        <f t="shared" si="78"/>
        <v>2.3340651813184805</v>
      </c>
      <c r="Y265" s="1647">
        <f t="shared" si="79"/>
        <v>8.4340651813184806</v>
      </c>
      <c r="Z265" s="123" t="str">
        <f>IF(Hydraulic!$W$234&gt;Y265,"ok","Not ok")</f>
        <v>ok</v>
      </c>
      <c r="AA265" s="1647">
        <f t="shared" si="80"/>
        <v>2.5099999999999998</v>
      </c>
      <c r="AB265" s="2524">
        <f t="shared" si="81"/>
        <v>0.287080779696685</v>
      </c>
      <c r="AC265" s="1658" t="str">
        <f t="shared" si="82"/>
        <v>no</v>
      </c>
      <c r="AD265" s="505">
        <f t="shared" si="63"/>
        <v>1.2422180555498723</v>
      </c>
      <c r="AE265" s="103">
        <f t="shared" si="96"/>
        <v>0.55882285069287096</v>
      </c>
      <c r="AF265" s="1854" t="str">
        <f t="shared" si="83"/>
        <v>Type I</v>
      </c>
      <c r="AG265" s="75">
        <f>VLOOKUP(V265,Table!$D$178:$G$212,2,TRUE)</f>
        <v>4.8</v>
      </c>
      <c r="AH265" s="103">
        <f t="shared" si="84"/>
        <v>10.670012257455911</v>
      </c>
      <c r="AI265" s="1725" t="str">
        <f>VLOOKUP(V265,Table!$D$178:$G$212,4,TRUE)</f>
        <v>-</v>
      </c>
      <c r="AJ265" s="103" t="str">
        <f t="shared" si="85"/>
        <v>-</v>
      </c>
      <c r="AK265" s="1726" t="str">
        <f>VLOOKUP(V265,Table!$D$178:$G$212,3,TRUE)</f>
        <v>-</v>
      </c>
      <c r="AL265" s="103" t="str">
        <f t="shared" si="86"/>
        <v>-</v>
      </c>
      <c r="AM265" s="1769">
        <f t="shared" si="87"/>
        <v>0</v>
      </c>
      <c r="AN265" s="297">
        <f t="shared" si="88"/>
        <v>0</v>
      </c>
      <c r="AO265" s="442">
        <f t="shared" si="64"/>
        <v>0</v>
      </c>
      <c r="AP265" s="1773" t="str">
        <f>VLOOKUP(V265,Table!$D$178:$I$212,5,TRUE)</f>
        <v>-</v>
      </c>
      <c r="AQ265" s="441">
        <f t="shared" si="65"/>
        <v>0</v>
      </c>
      <c r="AR265" s="1769">
        <f t="shared" si="66"/>
        <v>0</v>
      </c>
      <c r="AS265" s="441">
        <f t="shared" si="67"/>
        <v>0</v>
      </c>
      <c r="AT265" s="441">
        <f t="shared" si="68"/>
        <v>0</v>
      </c>
      <c r="AU265" s="1785" t="str">
        <f>VLOOKUP(V265,Table!$D$178:$I$212,6,TRUE)</f>
        <v>-</v>
      </c>
      <c r="AV265" s="441">
        <f t="shared" si="89"/>
        <v>0</v>
      </c>
      <c r="AW265" s="103">
        <f t="shared" si="90"/>
        <v>0</v>
      </c>
      <c r="AX265" s="1786">
        <f t="shared" si="91"/>
        <v>0</v>
      </c>
      <c r="AY265" s="103">
        <f t="shared" si="92"/>
        <v>0</v>
      </c>
      <c r="BA265" s="1857">
        <f t="shared" si="93"/>
        <v>1.2422180555498723</v>
      </c>
      <c r="BB265" s="1858">
        <f t="shared" si="94"/>
        <v>2.1149213117324743</v>
      </c>
      <c r="BC265" s="1857">
        <f t="shared" si="95"/>
        <v>2.6436516396655927</v>
      </c>
      <c r="BD265" s="103">
        <f t="shared" si="69"/>
        <v>3.2320000000000029</v>
      </c>
      <c r="BE265" s="1858" t="str">
        <f t="shared" si="70"/>
        <v>-</v>
      </c>
    </row>
    <row r="266" spans="1:57">
      <c r="A266" s="1521">
        <f t="shared" si="71"/>
        <v>9.5110000000000028</v>
      </c>
      <c r="B266" s="103">
        <f t="shared" si="72"/>
        <v>8.6999999999999993</v>
      </c>
      <c r="C266" s="1523">
        <f t="shared" si="52"/>
        <v>2.5110000000000028</v>
      </c>
      <c r="D266" s="103">
        <f t="shared" si="53"/>
        <v>1.6999999999999993</v>
      </c>
      <c r="E266" s="1523">
        <f t="shared" si="54"/>
        <v>16.681840217604325</v>
      </c>
      <c r="F266" s="441">
        <f t="shared" si="55"/>
        <v>1.4661963447424649</v>
      </c>
      <c r="G266" s="147"/>
      <c r="H266" s="123"/>
      <c r="I266" s="123" t="str">
        <f t="shared" si="56"/>
        <v>Type 4</v>
      </c>
      <c r="K266" s="130"/>
      <c r="L266" s="103">
        <f t="shared" si="73"/>
        <v>2.5110000000000028</v>
      </c>
      <c r="M266" s="2829">
        <f t="shared" si="57"/>
        <v>5.560613405868108</v>
      </c>
      <c r="N266" s="2840">
        <f t="shared" si="58"/>
        <v>2.2145015555030274</v>
      </c>
      <c r="O266" s="298">
        <f t="shared" si="59"/>
        <v>0.24994990516438978</v>
      </c>
      <c r="P266" s="2840">
        <f t="shared" si="74"/>
        <v>3.0992945171136972</v>
      </c>
      <c r="Q266" s="2830">
        <f t="shared" si="60"/>
        <v>5.560613405868108</v>
      </c>
      <c r="R266" s="441">
        <f t="shared" si="61"/>
        <v>1.575964396000006</v>
      </c>
      <c r="S266" s="1699">
        <f>'Calc-2'!Y43</f>
        <v>0.8336999999999245</v>
      </c>
      <c r="T266" s="103">
        <f t="shared" si="75"/>
        <v>3.1010929854458698</v>
      </c>
      <c r="U266" s="103">
        <f t="shared" si="76"/>
        <v>6.669801374437581</v>
      </c>
      <c r="V266" s="103">
        <f t="shared" si="62"/>
        <v>2.3322413792607879</v>
      </c>
      <c r="W266" s="1647">
        <f t="shared" si="77"/>
        <v>2.3643486715020257</v>
      </c>
      <c r="X266" s="103">
        <f t="shared" si="78"/>
        <v>2.4825661050771268</v>
      </c>
      <c r="Y266" s="1647">
        <f t="shared" si="79"/>
        <v>8.5825661050771274</v>
      </c>
      <c r="Z266" s="123" t="str">
        <f>IF(Hydraulic!$W$234&gt;Y266,"ok","Not ok")</f>
        <v>ok</v>
      </c>
      <c r="AA266" s="1647">
        <f t="shared" si="80"/>
        <v>2.5999999999999996</v>
      </c>
      <c r="AB266" s="2524">
        <f t="shared" si="81"/>
        <v>0.23565132849797399</v>
      </c>
      <c r="AC266" s="1658" t="str">
        <f t="shared" si="82"/>
        <v>no</v>
      </c>
      <c r="AD266" s="505">
        <f t="shared" si="63"/>
        <v>1.390153351467027</v>
      </c>
      <c r="AE266" s="103">
        <f t="shared" si="96"/>
        <v>0.58796461292821467</v>
      </c>
      <c r="AF266" s="1854" t="str">
        <f t="shared" si="83"/>
        <v>Type I</v>
      </c>
      <c r="AG266" s="75">
        <f>VLOOKUP(V266,Table!$D$178:$G$212,2,TRUE)</f>
        <v>4.8</v>
      </c>
      <c r="AH266" s="103">
        <f t="shared" si="84"/>
        <v>11.348873623209723</v>
      </c>
      <c r="AI266" s="1725" t="str">
        <f>VLOOKUP(V266,Table!$D$178:$G$212,4,TRUE)</f>
        <v>-</v>
      </c>
      <c r="AJ266" s="103" t="str">
        <f t="shared" si="85"/>
        <v>-</v>
      </c>
      <c r="AK266" s="1726" t="str">
        <f>VLOOKUP(V266,Table!$D$178:$G$212,3,TRUE)</f>
        <v>-</v>
      </c>
      <c r="AL266" s="103" t="str">
        <f t="shared" si="86"/>
        <v>-</v>
      </c>
      <c r="AM266" s="1769">
        <f t="shared" si="87"/>
        <v>0</v>
      </c>
      <c r="AN266" s="297">
        <f t="shared" si="88"/>
        <v>0</v>
      </c>
      <c r="AO266" s="442">
        <f t="shared" si="64"/>
        <v>0</v>
      </c>
      <c r="AP266" s="1773" t="str">
        <f>VLOOKUP(V266,Table!$D$178:$I$212,5,TRUE)</f>
        <v>-</v>
      </c>
      <c r="AQ266" s="441">
        <f t="shared" si="65"/>
        <v>0</v>
      </c>
      <c r="AR266" s="1769">
        <f t="shared" si="66"/>
        <v>0</v>
      </c>
      <c r="AS266" s="441">
        <f t="shared" si="67"/>
        <v>0</v>
      </c>
      <c r="AT266" s="441">
        <f t="shared" si="68"/>
        <v>0</v>
      </c>
      <c r="AU266" s="1785" t="str">
        <f>VLOOKUP(V266,Table!$D$178:$I$212,6,TRUE)</f>
        <v>-</v>
      </c>
      <c r="AV266" s="441">
        <f t="shared" si="89"/>
        <v>0</v>
      </c>
      <c r="AW266" s="103">
        <f t="shared" si="90"/>
        <v>0</v>
      </c>
      <c r="AX266" s="1786">
        <f t="shared" si="91"/>
        <v>0</v>
      </c>
      <c r="AY266" s="103">
        <f t="shared" si="92"/>
        <v>0</v>
      </c>
      <c r="BA266" s="1857">
        <f t="shared" si="93"/>
        <v>1.390153351467027</v>
      </c>
      <c r="BB266" s="1858">
        <f t="shared" si="94"/>
        <v>2.2796637637904813</v>
      </c>
      <c r="BC266" s="1857">
        <f t="shared" si="95"/>
        <v>2.8495797047381015</v>
      </c>
      <c r="BD266" s="103">
        <f t="shared" si="69"/>
        <v>3.4110000000000031</v>
      </c>
      <c r="BE266" s="1858" t="str">
        <f t="shared" si="70"/>
        <v>-</v>
      </c>
    </row>
    <row r="267" spans="1:57">
      <c r="A267" s="353">
        <f>IL+1.5*D-0.01</f>
        <v>9.69</v>
      </c>
      <c r="B267" s="138">
        <f>IL+D-0.01</f>
        <v>8.7900000000000009</v>
      </c>
      <c r="C267" s="121">
        <f t="shared" si="52"/>
        <v>2.6899999999999995</v>
      </c>
      <c r="D267" s="138">
        <f t="shared" si="53"/>
        <v>1.7900000000000009</v>
      </c>
      <c r="E267" s="121">
        <f t="shared" si="54"/>
        <v>18.503713451263774</v>
      </c>
      <c r="F267" s="658">
        <f t="shared" si="55"/>
        <v>1.5710937125989626</v>
      </c>
      <c r="G267" s="517" t="s">
        <v>1499</v>
      </c>
      <c r="H267" s="354" t="s">
        <v>136</v>
      </c>
      <c r="I267" s="104" t="str">
        <f t="shared" si="56"/>
        <v>Type 4</v>
      </c>
      <c r="K267" s="130"/>
      <c r="L267" s="138">
        <f t="shared" si="73"/>
        <v>2.6899999999999995</v>
      </c>
      <c r="M267" s="2838">
        <f t="shared" si="57"/>
        <v>6.1679044837545911</v>
      </c>
      <c r="N267" s="2842">
        <f t="shared" si="58"/>
        <v>2.2929012950760566</v>
      </c>
      <c r="O267" s="472">
        <f t="shared" si="59"/>
        <v>0.26796107792871848</v>
      </c>
      <c r="P267" s="2842">
        <f t="shared" si="74"/>
        <v>3.2566405688984439</v>
      </c>
      <c r="Q267" s="2839">
        <f t="shared" si="60"/>
        <v>6.1679044837545911</v>
      </c>
      <c r="R267" s="658">
        <f t="shared" si="61"/>
        <v>1.9389931559999993</v>
      </c>
      <c r="S267" s="1699">
        <f>'Calc-2'!Y44</f>
        <v>0.90829999999991629</v>
      </c>
      <c r="T267" s="138">
        <f t="shared" si="75"/>
        <v>3.2585694086124182</v>
      </c>
      <c r="U267" s="138">
        <f t="shared" si="76"/>
        <v>6.7906027565288554</v>
      </c>
      <c r="V267" s="138">
        <f t="shared" si="62"/>
        <v>2.2748835204523101</v>
      </c>
      <c r="W267" s="121">
        <f t="shared" si="77"/>
        <v>2.5030870614934417</v>
      </c>
      <c r="X267" s="138">
        <f t="shared" si="78"/>
        <v>2.6282414145681141</v>
      </c>
      <c r="Y267" s="121">
        <f t="shared" si="79"/>
        <v>8.7282414145681138</v>
      </c>
      <c r="Z267" s="104" t="str">
        <f>IF(Hydraulic!$W$234&gt;Y267,"ok","Not ok")</f>
        <v>ok</v>
      </c>
      <c r="AA267" s="121">
        <f t="shared" si="80"/>
        <v>2.6900000000000013</v>
      </c>
      <c r="AB267" s="2524">
        <f t="shared" si="81"/>
        <v>0.18691293850655955</v>
      </c>
      <c r="AC267" s="1682" t="str">
        <f t="shared" si="82"/>
        <v>no</v>
      </c>
      <c r="AD267" s="506">
        <f t="shared" si="63"/>
        <v>1.5419761209386478</v>
      </c>
      <c r="AE267" s="103">
        <f t="shared" si="96"/>
        <v>0.61602975967549578</v>
      </c>
      <c r="AF267" s="1854" t="str">
        <f t="shared" si="83"/>
        <v>Type I</v>
      </c>
      <c r="AG267" s="77">
        <f>VLOOKUP(V267,Table!$D$178:$G$212,2,TRUE)</f>
        <v>4.7</v>
      </c>
      <c r="AH267" s="138">
        <f t="shared" si="84"/>
        <v>11.764509189019176</v>
      </c>
      <c r="AI267" s="1725" t="str">
        <f>VLOOKUP(V267,Table!$D$178:$G$212,4,TRUE)</f>
        <v>-</v>
      </c>
      <c r="AJ267" s="103" t="str">
        <f t="shared" si="85"/>
        <v>-</v>
      </c>
      <c r="AK267" s="1726" t="str">
        <f>VLOOKUP(V267,Table!$D$178:$G$212,3,TRUE)</f>
        <v>-</v>
      </c>
      <c r="AL267" s="103" t="str">
        <f t="shared" si="86"/>
        <v>-</v>
      </c>
      <c r="AM267" s="1769">
        <f t="shared" si="87"/>
        <v>0</v>
      </c>
      <c r="AN267" s="297">
        <f t="shared" si="88"/>
        <v>0</v>
      </c>
      <c r="AO267" s="442">
        <f t="shared" si="64"/>
        <v>0</v>
      </c>
      <c r="AP267" s="1773" t="str">
        <f>VLOOKUP(V267,Table!$D$178:$I$212,5,TRUE)</f>
        <v>-</v>
      </c>
      <c r="AQ267" s="441">
        <f t="shared" si="65"/>
        <v>0</v>
      </c>
      <c r="AR267" s="1769">
        <f t="shared" si="66"/>
        <v>0</v>
      </c>
      <c r="AS267" s="441">
        <f t="shared" si="67"/>
        <v>0</v>
      </c>
      <c r="AT267" s="441">
        <f t="shared" si="68"/>
        <v>0</v>
      </c>
      <c r="AU267" s="1785" t="str">
        <f>VLOOKUP(V267,Table!$D$178:$I$212,6,TRUE)</f>
        <v>-</v>
      </c>
      <c r="AV267" s="658">
        <f t="shared" si="89"/>
        <v>0</v>
      </c>
      <c r="AW267" s="103">
        <f t="shared" si="90"/>
        <v>0</v>
      </c>
      <c r="AX267" s="1786">
        <f t="shared" si="91"/>
        <v>0</v>
      </c>
      <c r="AY267" s="103">
        <f t="shared" si="92"/>
        <v>0</v>
      </c>
      <c r="BA267" s="353">
        <f t="shared" si="93"/>
        <v>1.5419761209386478</v>
      </c>
      <c r="BB267" s="170">
        <f t="shared" si="94"/>
        <v>2.4427597429046979</v>
      </c>
      <c r="BC267" s="1857">
        <f t="shared" si="95"/>
        <v>3.0534496786308725</v>
      </c>
      <c r="BD267" s="103">
        <f t="shared" si="69"/>
        <v>3.59</v>
      </c>
      <c r="BE267" s="1858" t="str">
        <f t="shared" si="70"/>
        <v>-</v>
      </c>
    </row>
    <row r="268" spans="1:57">
      <c r="A268" s="1514"/>
      <c r="B268" s="1514"/>
      <c r="C268" s="1514"/>
      <c r="D268" s="455" t="s">
        <v>1334</v>
      </c>
      <c r="E268" s="457">
        <f>MAX(E257:E267)</f>
        <v>18.503713451263774</v>
      </c>
      <c r="F268" s="1542">
        <f>((E268/$T$169)^2/$C$18)^(1/3)</f>
        <v>1.5710937125989626</v>
      </c>
      <c r="G268" s="16"/>
      <c r="H268" s="1517"/>
      <c r="I268" s="1517"/>
      <c r="K268" s="130"/>
      <c r="L268" s="457">
        <f t="shared" ref="L268" si="97">MAX(L257:L267)</f>
        <v>2.6899999999999995</v>
      </c>
      <c r="N268" s="33"/>
      <c r="O268" s="33"/>
      <c r="P268" s="16"/>
      <c r="R268" s="172" t="s">
        <v>1652</v>
      </c>
      <c r="S268" s="1746">
        <f>MAX(S257:S267)</f>
        <v>0.90829999999991629</v>
      </c>
      <c r="T268" s="1732"/>
      <c r="U268" s="457">
        <f t="shared" ref="U268:V268" si="98">MAX(U257:U267)</f>
        <v>6.7906027565288554</v>
      </c>
      <c r="V268" s="457">
        <f t="shared" si="98"/>
        <v>5.859166692909282</v>
      </c>
      <c r="W268" s="457">
        <f t="shared" ref="W268" si="99">MAX(W257:W267)</f>
        <v>2.5030870614934417</v>
      </c>
      <c r="X268" s="457">
        <f t="shared" ref="X268" si="100">MAX(X257:X267)</f>
        <v>2.6282414145681141</v>
      </c>
      <c r="Y268" s="1732"/>
      <c r="Z268" s="1732"/>
      <c r="AA268" s="1732"/>
      <c r="AB268" s="1732"/>
      <c r="AC268" s="1732"/>
      <c r="AD268" s="1732"/>
      <c r="AE268" s="457">
        <f>MAX(AE257:AE267)</f>
        <v>0.61602975967549578</v>
      </c>
      <c r="AF268" s="456"/>
      <c r="AG268" s="1732"/>
      <c r="AH268" s="457">
        <f>MAX(AH257:AH267)</f>
        <v>11.764509189019176</v>
      </c>
      <c r="AI268" s="101"/>
      <c r="AJ268" s="457">
        <f>MAX(AJ257:AJ267)</f>
        <v>2.6433959854160407</v>
      </c>
      <c r="AK268" s="102"/>
      <c r="AL268" s="457">
        <f>MAX(AL257:AL267)</f>
        <v>5.3060868320394974</v>
      </c>
      <c r="AM268" s="1812">
        <f>MAX(AM257:AM267)</f>
        <v>0.61049999999994908</v>
      </c>
      <c r="AN268" s="1812">
        <f>MAX(AN257:AN267)</f>
        <v>0.42734999999996431</v>
      </c>
      <c r="AO268" s="1542">
        <f t="shared" ref="AO268" si="101">MAX(AO257:AO267)</f>
        <v>0.42734999999996431</v>
      </c>
      <c r="AP268" s="1812"/>
      <c r="AQ268" s="1811">
        <f t="shared" ref="AQ268" si="102">MAX(AQ257:AQ267)</f>
        <v>0.61049999999994908</v>
      </c>
      <c r="AR268" s="1813">
        <f t="shared" ref="AR268" si="103">MAX(AR257:AR267)</f>
        <v>0.42734999999996431</v>
      </c>
      <c r="AS268" s="1811">
        <f t="shared" ref="AS268" si="104">MAX(AS257:AS267)</f>
        <v>0.12209999999998983</v>
      </c>
      <c r="AT268" s="1811">
        <f t="shared" ref="AT268:BD268" si="105">MAX(AT257:AT267)</f>
        <v>0.42734999999996431</v>
      </c>
      <c r="AU268" s="1811">
        <f t="shared" si="105"/>
        <v>1.3108695652173912</v>
      </c>
      <c r="AV268" s="1812">
        <f t="shared" si="105"/>
        <v>0.38589722414832711</v>
      </c>
      <c r="AW268" s="1811">
        <f t="shared" si="105"/>
        <v>0.28942291811124532</v>
      </c>
      <c r="AX268" s="1813">
        <f t="shared" si="105"/>
        <v>5.7884583622249061E-2</v>
      </c>
      <c r="AY268" s="1811">
        <f t="shared" si="105"/>
        <v>0.28942291811124532</v>
      </c>
      <c r="BA268" s="1811">
        <f t="shared" si="105"/>
        <v>1.5419761209386478</v>
      </c>
      <c r="BB268" s="457">
        <f t="shared" si="105"/>
        <v>2.4427597429046979</v>
      </c>
      <c r="BC268" s="457">
        <f t="shared" si="105"/>
        <v>3.0534496786308725</v>
      </c>
      <c r="BD268" s="457">
        <f t="shared" si="105"/>
        <v>3.59</v>
      </c>
      <c r="BE268" s="1043">
        <f>MAX(BE257:BE267)</f>
        <v>0</v>
      </c>
    </row>
    <row r="269" spans="1:57" ht="15">
      <c r="A269" s="1514"/>
      <c r="B269" s="1514"/>
      <c r="C269" s="1514"/>
      <c r="D269" s="1514"/>
      <c r="E269" s="1514"/>
      <c r="F269" s="505"/>
      <c r="G269" s="16"/>
      <c r="H269" s="1734"/>
      <c r="I269" s="1735" t="s">
        <v>1654</v>
      </c>
      <c r="J269" s="1733">
        <v>2</v>
      </c>
      <c r="K269" s="130"/>
      <c r="P269" s="16"/>
    </row>
    <row r="270" spans="1:57" ht="14.25">
      <c r="A270" s="1543" t="s">
        <v>1513</v>
      </c>
      <c r="B270" s="1514"/>
      <c r="C270" s="27" t="s">
        <v>168</v>
      </c>
      <c r="D270" s="1" t="s">
        <v>1514</v>
      </c>
      <c r="E270" s="1"/>
      <c r="F270" s="1"/>
      <c r="G270" s="1738" t="s">
        <v>2210</v>
      </c>
      <c r="H270" s="2865">
        <f>IL+D*2</f>
        <v>10.6</v>
      </c>
      <c r="I270" s="2867" t="s">
        <v>46</v>
      </c>
      <c r="J270" s="1739">
        <v>1</v>
      </c>
      <c r="K270" s="130"/>
      <c r="N270" s="1841" t="str">
        <f>'Calc-2'!AH26</f>
        <v>Flow Type 3 Completed</v>
      </c>
      <c r="O270" s="102"/>
      <c r="P270" s="93"/>
      <c r="Q270" s="1856">
        <f>R253</f>
        <v>480088</v>
      </c>
      <c r="U270" s="1686"/>
      <c r="V270" s="1687"/>
      <c r="W270" s="1687"/>
      <c r="X270" s="1687"/>
      <c r="Y270" s="1687"/>
      <c r="Z270" s="1687"/>
      <c r="AX270" s="41" t="s">
        <v>1513</v>
      </c>
    </row>
    <row r="271" spans="1:57" ht="15.75">
      <c r="A271" s="187" t="s">
        <v>2209</v>
      </c>
      <c r="B271" s="1514"/>
      <c r="C271" s="203" t="s">
        <v>1517</v>
      </c>
      <c r="D271" s="80">
        <f>C7*C8*E8</f>
        <v>5.4</v>
      </c>
      <c r="E271" s="187" t="s">
        <v>1518</v>
      </c>
      <c r="G271" s="1738" t="s">
        <v>2211</v>
      </c>
      <c r="H271" s="2865">
        <f>D97</f>
        <v>11.8</v>
      </c>
      <c r="I271" s="2867" t="s">
        <v>46</v>
      </c>
      <c r="J271" s="1737">
        <v>2</v>
      </c>
      <c r="K271" s="130"/>
      <c r="L271" s="1543" t="s">
        <v>1513</v>
      </c>
      <c r="N271" s="207" t="s">
        <v>1658</v>
      </c>
      <c r="O271" s="126"/>
      <c r="P271" s="126"/>
      <c r="Q271" s="126"/>
      <c r="R271" s="126"/>
      <c r="S271" s="126"/>
      <c r="AD271" s="1543" t="s">
        <v>1513</v>
      </c>
    </row>
    <row r="272" spans="1:57">
      <c r="A272" s="1514"/>
      <c r="B272" s="1514"/>
      <c r="C272" s="1514"/>
      <c r="D272" s="1514"/>
      <c r="E272" s="1514"/>
      <c r="F272" s="505"/>
      <c r="G272" s="2868"/>
      <c r="H272" s="2869" t="s">
        <v>2212</v>
      </c>
      <c r="I272" s="2866"/>
      <c r="J272" s="1737">
        <v>3</v>
      </c>
      <c r="K272" s="130"/>
      <c r="R272" s="16"/>
      <c r="AM272" s="3066" t="s">
        <v>61</v>
      </c>
      <c r="AN272" s="3067"/>
      <c r="AO272" s="3067"/>
      <c r="AP272" s="3066" t="s">
        <v>813</v>
      </c>
      <c r="AQ272" s="3067"/>
      <c r="AR272" s="3067"/>
      <c r="AS272" s="3067"/>
      <c r="AT272" s="3068"/>
      <c r="AU272" s="3069" t="s">
        <v>1694</v>
      </c>
      <c r="AV272" s="3070"/>
      <c r="AW272" s="3070"/>
      <c r="AX272" s="3070"/>
      <c r="AY272" s="3071"/>
      <c r="BA272" s="3066" t="s">
        <v>1715</v>
      </c>
      <c r="BB272" s="3067"/>
      <c r="BC272" s="3067"/>
      <c r="BD272" s="3067"/>
      <c r="BE272" s="3068"/>
    </row>
    <row r="273" spans="1:59" ht="38.25">
      <c r="A273" s="1701" t="s">
        <v>953</v>
      </c>
      <c r="B273" s="94" t="s">
        <v>954</v>
      </c>
      <c r="C273" s="1526" t="s">
        <v>186</v>
      </c>
      <c r="D273" s="94" t="s">
        <v>172</v>
      </c>
      <c r="E273" s="659" t="s">
        <v>956</v>
      </c>
      <c r="F273" s="256" t="s">
        <v>957</v>
      </c>
      <c r="G273" s="1533" t="s">
        <v>461</v>
      </c>
      <c r="H273" s="3066" t="s">
        <v>676</v>
      </c>
      <c r="I273" s="3068"/>
      <c r="J273" s="381" t="s">
        <v>676</v>
      </c>
      <c r="K273" s="130"/>
      <c r="L273" s="1652" t="s">
        <v>1567</v>
      </c>
      <c r="M273" s="1604" t="s">
        <v>1568</v>
      </c>
      <c r="N273" s="1652" t="s">
        <v>1569</v>
      </c>
      <c r="O273" s="1656" t="s">
        <v>2176</v>
      </c>
      <c r="P273" s="2819" t="s">
        <v>2175</v>
      </c>
      <c r="Q273" s="1604" t="s">
        <v>1572</v>
      </c>
      <c r="R273" s="1652" t="s">
        <v>1573</v>
      </c>
      <c r="S273" s="1604" t="s">
        <v>807</v>
      </c>
      <c r="T273" s="1652" t="s">
        <v>1574</v>
      </c>
      <c r="U273" s="1652" t="s">
        <v>1575</v>
      </c>
      <c r="V273" s="1652" t="s">
        <v>458</v>
      </c>
      <c r="W273" s="1604" t="s">
        <v>1576</v>
      </c>
      <c r="X273" s="1652" t="s">
        <v>1577</v>
      </c>
      <c r="Y273" s="1605" t="s">
        <v>1578</v>
      </c>
      <c r="Z273" s="3085" t="s">
        <v>1588</v>
      </c>
      <c r="AA273" s="1605" t="s">
        <v>1595</v>
      </c>
      <c r="AB273" s="2526" t="s">
        <v>2024</v>
      </c>
      <c r="AC273" s="1784" t="s">
        <v>1649</v>
      </c>
      <c r="AD273" s="1655" t="s">
        <v>1590</v>
      </c>
      <c r="AE273" s="1727" t="s">
        <v>1667</v>
      </c>
      <c r="AF273" s="1817" t="s">
        <v>1614</v>
      </c>
      <c r="AG273" s="1685" t="s">
        <v>1647</v>
      </c>
      <c r="AH273" s="1702" t="s">
        <v>1648</v>
      </c>
      <c r="AI273" s="1685" t="s">
        <v>1663</v>
      </c>
      <c r="AJ273" s="1742" t="s">
        <v>1664</v>
      </c>
      <c r="AK273" s="1741" t="s">
        <v>1666</v>
      </c>
      <c r="AL273" s="1742" t="s">
        <v>1665</v>
      </c>
      <c r="AM273" s="1810" t="s">
        <v>1683</v>
      </c>
      <c r="AN273" s="1814" t="s">
        <v>1684</v>
      </c>
      <c r="AO273" s="1200" t="s">
        <v>1688</v>
      </c>
      <c r="AP273" s="1815" t="s">
        <v>1693</v>
      </c>
      <c r="AQ273" s="1781" t="s">
        <v>1695</v>
      </c>
      <c r="AR273" s="1809" t="s">
        <v>1684</v>
      </c>
      <c r="AS273" s="1816" t="s">
        <v>1686</v>
      </c>
      <c r="AT273" s="1816" t="s">
        <v>1688</v>
      </c>
      <c r="AU273" s="1609" t="s">
        <v>1692</v>
      </c>
      <c r="AV273" s="1781" t="s">
        <v>1695</v>
      </c>
      <c r="AW273" s="1809" t="s">
        <v>1684</v>
      </c>
      <c r="AX273" s="1821" t="s">
        <v>1686</v>
      </c>
      <c r="AY273" s="1784" t="s">
        <v>1688</v>
      </c>
      <c r="BA273" s="1864" t="s">
        <v>1713</v>
      </c>
      <c r="BB273" s="1862" t="s">
        <v>1714</v>
      </c>
      <c r="BC273" s="1865" t="s">
        <v>1716</v>
      </c>
      <c r="BD273" s="1866" t="s">
        <v>1718</v>
      </c>
      <c r="BE273" s="1867" t="s">
        <v>1717</v>
      </c>
      <c r="BG273" s="2843" t="s">
        <v>1570</v>
      </c>
    </row>
    <row r="274" spans="1:59" ht="12.75" customHeight="1">
      <c r="A274" s="156" t="s">
        <v>962</v>
      </c>
      <c r="B274" s="367" t="s">
        <v>962</v>
      </c>
      <c r="C274" s="77" t="s">
        <v>952</v>
      </c>
      <c r="D274" s="104" t="s">
        <v>952</v>
      </c>
      <c r="E274" s="1528"/>
      <c r="F274" s="1530"/>
      <c r="G274" s="517" t="s">
        <v>179</v>
      </c>
      <c r="H274" s="1526" t="s">
        <v>186</v>
      </c>
      <c r="I274" s="94" t="s">
        <v>172</v>
      </c>
      <c r="J274" s="172"/>
      <c r="K274" s="130"/>
      <c r="L274" s="1650" t="s">
        <v>5</v>
      </c>
      <c r="M274" s="1604" t="s">
        <v>201</v>
      </c>
      <c r="N274" s="1656" t="s">
        <v>206</v>
      </c>
      <c r="O274" s="2823" t="s">
        <v>5</v>
      </c>
      <c r="P274" s="2823" t="s">
        <v>5</v>
      </c>
      <c r="Q274" s="1604" t="s">
        <v>201</v>
      </c>
      <c r="R274" s="1650" t="s">
        <v>5</v>
      </c>
      <c r="S274" s="1655" t="s">
        <v>5</v>
      </c>
      <c r="T274" s="1650" t="s">
        <v>5</v>
      </c>
      <c r="U274" s="1650" t="s">
        <v>206</v>
      </c>
      <c r="V274" s="1650"/>
      <c r="W274" s="1655" t="s">
        <v>5</v>
      </c>
      <c r="X274" s="1650" t="s">
        <v>5</v>
      </c>
      <c r="Y274" s="1655" t="s">
        <v>155</v>
      </c>
      <c r="Z274" s="3086"/>
      <c r="AA274" s="1655" t="s">
        <v>5</v>
      </c>
      <c r="AB274" s="2517" t="s">
        <v>5</v>
      </c>
      <c r="AC274" s="1656" t="s">
        <v>5</v>
      </c>
      <c r="AD274" s="280" t="s">
        <v>201</v>
      </c>
      <c r="AE274" s="1609" t="s">
        <v>206</v>
      </c>
      <c r="AF274" s="1656"/>
      <c r="AG274" s="101"/>
      <c r="AH274" s="1656" t="s">
        <v>5</v>
      </c>
      <c r="AI274" s="101"/>
      <c r="AJ274" s="256" t="s">
        <v>5</v>
      </c>
      <c r="AK274" s="102"/>
      <c r="AL274" s="256" t="s">
        <v>5</v>
      </c>
      <c r="AM274" s="256" t="s">
        <v>5</v>
      </c>
      <c r="AN274" s="256" t="s">
        <v>5</v>
      </c>
      <c r="AO274" s="256" t="s">
        <v>5</v>
      </c>
      <c r="AQ274" s="256" t="s">
        <v>5</v>
      </c>
      <c r="AR274" s="1775" t="s">
        <v>5</v>
      </c>
      <c r="AS274" s="256" t="s">
        <v>5</v>
      </c>
      <c r="AT274" s="256" t="s">
        <v>5</v>
      </c>
      <c r="AU274" s="102"/>
      <c r="AV274" s="256" t="s">
        <v>5</v>
      </c>
      <c r="AW274" s="1792" t="s">
        <v>5</v>
      </c>
      <c r="AX274" s="1790" t="s">
        <v>5</v>
      </c>
      <c r="AY274" s="256" t="s">
        <v>5</v>
      </c>
      <c r="BA274" s="1861" t="s">
        <v>201</v>
      </c>
      <c r="BB274" s="1608" t="s">
        <v>5</v>
      </c>
      <c r="BC274" s="1608" t="s">
        <v>5</v>
      </c>
      <c r="BD274" s="1608" t="s">
        <v>5</v>
      </c>
      <c r="BE274" s="1608" t="s">
        <v>5</v>
      </c>
      <c r="BG274" s="2844" t="s">
        <v>5</v>
      </c>
    </row>
    <row r="275" spans="1:59">
      <c r="A275" s="297">
        <f>IL+1.5*D</f>
        <v>9.6999999999999993</v>
      </c>
      <c r="B275" s="379">
        <f t="shared" ref="B275:B285" si="106">IL+D-0.01</f>
        <v>8.7900000000000009</v>
      </c>
      <c r="C275" s="505">
        <f t="shared" ref="C275:C285" si="107">A275-IL</f>
        <v>2.6999999999999993</v>
      </c>
      <c r="D275" s="379">
        <f t="shared" ref="D275:D285" si="108">B275-IL</f>
        <v>1.7900000000000009</v>
      </c>
      <c r="E275" s="298">
        <f t="shared" ref="E275:E285" si="109">D/C275</f>
        <v>0.66666666666666685</v>
      </c>
      <c r="F275" s="123">
        <f>VLOOKUP(E275,Table!$C$18:$D$31,2,TRUE)</f>
        <v>0.49</v>
      </c>
      <c r="G275" s="1522">
        <f t="shared" ref="G275:G285" si="110">F275*$D$271*(2*$C$18*C275)^0.5</f>
        <v>19.258445258742977</v>
      </c>
      <c r="H275" s="380" t="s">
        <v>1500</v>
      </c>
      <c r="I275" s="380"/>
      <c r="J275" s="1529" t="str">
        <f t="shared" ref="J275:J285" si="111">IF(AND(C275&gt;=1.5*$V$171,D275&lt;=$V$171)," Type 3","Flow Type 3 not valid")</f>
        <v xml:space="preserve"> Type 3</v>
      </c>
      <c r="K275" s="130"/>
      <c r="L275" s="2829">
        <f>C275</f>
        <v>2.6999999999999993</v>
      </c>
      <c r="M275" s="2841">
        <f t="shared" ref="M275:M285" si="112">G275/b</f>
        <v>6.4194817529143258</v>
      </c>
      <c r="N275" s="2834">
        <f t="shared" ref="N275:N285" si="113">M275/L275</f>
        <v>2.3775858344127139</v>
      </c>
      <c r="O275" s="473">
        <f t="shared" ref="O275:O285" si="114">((G275/$E$230)^2/$C$18)^(1/3)</f>
        <v>1.6135297478842425</v>
      </c>
      <c r="P275" s="2832">
        <f>1.5*O275+$I$44</f>
        <v>3.3202946218263638</v>
      </c>
      <c r="Q275" s="2841">
        <f t="shared" ref="Q275:Q285" si="115">G275/b</f>
        <v>6.4194817529143258</v>
      </c>
      <c r="R275" s="2837">
        <f t="shared" ref="R275:R285" si="116">Q275^2/(2*g)</f>
        <v>2.1003947999999992</v>
      </c>
      <c r="S275" s="1744">
        <f>'Calc-2'!AH34</f>
        <v>0.93879999999991293</v>
      </c>
      <c r="T275" s="103">
        <f>S275+R275/S275^2</f>
        <v>3.3219686245523801</v>
      </c>
      <c r="U275" s="103">
        <f>Q275/S275</f>
        <v>6.8379652246643809</v>
      </c>
      <c r="V275" s="103">
        <f t="shared" ref="V275:V285" si="117">U275/(g*S275)^0.5</f>
        <v>2.2532316538054582</v>
      </c>
      <c r="W275" s="1647">
        <f>0.5*((1+8*V275^2)^0.5-1)*S275</f>
        <v>2.5587365852482304</v>
      </c>
      <c r="X275" s="103">
        <f>W275*1.05</f>
        <v>2.6866734145106421</v>
      </c>
      <c r="Y275" s="1647">
        <f>X275+$I$43</f>
        <v>8.7866734145106413</v>
      </c>
      <c r="Z275" s="123" t="str">
        <f>IF(Hydraulic!$W$234&gt;Y275,"ok","Not ok")</f>
        <v>ok</v>
      </c>
      <c r="AA275" s="1647">
        <f>B275-$I$43</f>
        <v>2.6900000000000013</v>
      </c>
      <c r="AB275" s="2524">
        <f>IF(AND(V275&gt;=2.5,V275&lt;=4.5),IF(X275&gt;AA275,"",AA275-X275),IF(W275&gt;AA275," ",AA275-W275))</f>
        <v>0.13126341475177083</v>
      </c>
      <c r="AC275" s="1743" t="str">
        <f>IF(AND(V275&gt;=2.5,V275&lt;=4.5),IF(X275&gt;AA275,X275-AA275,"no"),IF(W275&gt;AA275,W275-AA275,"no"))</f>
        <v>no</v>
      </c>
      <c r="AD275" s="505">
        <f t="shared" ref="AD275:AD285" si="118">E275/$AB$233</f>
        <v>5.5555555555555573E-2</v>
      </c>
      <c r="AE275" s="103">
        <f>AD275/W275</f>
        <v>2.1712104276715129E-2</v>
      </c>
      <c r="AF275" s="1854" t="str">
        <f>IF(V275&lt;2.5,"Type I",IF(AND(V275&gt;=2.5,V275&lt;=4.5),"ERC","Type III"))</f>
        <v>Type I</v>
      </c>
      <c r="AG275" s="1700">
        <f>VLOOKUP(V275,Table!$D$178:$G$212,2,TRUE)</f>
        <v>4.7</v>
      </c>
      <c r="AH275" s="103">
        <f>AG275*W275</f>
        <v>12.026061950666683</v>
      </c>
      <c r="AI275" s="1725" t="str">
        <f>VLOOKUP(V275,Table!$D$178:$G$212,4,TRUE)</f>
        <v>-</v>
      </c>
      <c r="AJ275" s="103" t="str">
        <f>IF(V275&lt;2.5,"-",IF(AND(V275&gt;=2.5,V275&lt;=4.5),N(AI275)*W275,0.8*W275))</f>
        <v>-</v>
      </c>
      <c r="AK275" s="1726" t="str">
        <f>VLOOKUP(V275,Table!$D$178:$G$212,3,TRUE)</f>
        <v>-</v>
      </c>
      <c r="AL275" s="103" t="str">
        <f>IF(V275&lt;2.5,"-",IF(AND(V275&gt;=2.5,V275&lt;=4.5),N(AK275)*W275,"-"))</f>
        <v>-</v>
      </c>
      <c r="AM275" s="1769">
        <f>IF(V275&lt;2.5,0,IF(AND(V275&gt;=2.5,V275&lt;=4.5),S275,S275))</f>
        <v>0</v>
      </c>
      <c r="AN275" s="473">
        <f>IF(V275&lt;2.5,0,IF(AND(V275&gt;=2.5,V275&lt;=4.5),0.7*S275,S275))</f>
        <v>0</v>
      </c>
      <c r="AO275" s="1723">
        <f t="shared" ref="AO275:AO285" si="119">IF(V275&lt;2.5,0,IF(AND(V275&gt;=2.5,V275&lt;=4.5),0.7*S275,S275))</f>
        <v>0</v>
      </c>
      <c r="AP275" s="1773" t="str">
        <f>VLOOKUP(V275,Table!$D$178:$I$212,5,TRUE)</f>
        <v>-</v>
      </c>
      <c r="AQ275" s="441">
        <f t="shared" ref="AQ275:AQ285" si="120">IF(V275&lt;2.5,0,IF(AND(V275&gt;=2.5,V275&lt;=4.5),S275,S275*AP275))</f>
        <v>0</v>
      </c>
      <c r="AR275" s="1769">
        <f t="shared" ref="AR275:AR285" si="121">IF(V275&lt;2.5,0,IF(AND(V275&gt;=2.5,V275&lt;=4.5),0.7*S275,S275*AP275*0.75))</f>
        <v>0</v>
      </c>
      <c r="AS275" s="441">
        <f t="shared" ref="AS275:AS285" si="122">IF(V275&lt;2.5,0,IF(AND(V275&gt;=2.5,V275&lt;=4.5),0.2*S275,S275*AP275*0.2))</f>
        <v>0</v>
      </c>
      <c r="AT275" s="441">
        <f t="shared" ref="AT275:AT285" si="123">IF(V275&lt;2.5,0,IF(AND(V275&gt;=2.5,V275&lt;=4.5),S275*0.7,S275*AP275*0.75))</f>
        <v>0</v>
      </c>
      <c r="AU275" s="1785" t="str">
        <f>VLOOKUP(V275,Table!$D$178:$I$212,6,TRUE)</f>
        <v>-</v>
      </c>
      <c r="AV275" s="663">
        <f>IF(V275&lt;2.5,0,IF(AND(V275&gt;=2.5,V275&lt;=4.5),W275*0.2,S275*AU275))</f>
        <v>0</v>
      </c>
      <c r="AW275" s="379">
        <f>IF(V275&lt;2.5,0,IF(AND(V275&gt;=2.5,V275&lt;=4.5),W275*0.15,0))</f>
        <v>0</v>
      </c>
      <c r="AX275" s="1786">
        <f>IF(V275&lt;2.5,0,IF(AND(V275&gt;=2.5,V275&lt;=4.5),AV275*0.15,0))</f>
        <v>0</v>
      </c>
      <c r="AY275" s="103">
        <f>IF(V275&lt;2.5,0,IF(AND(V275&gt;=2.5,V275&lt;=4.5),W275*0.15,0))</f>
        <v>0</v>
      </c>
      <c r="BA275" s="1859">
        <f>G275/$A$65</f>
        <v>1.6048704382285814</v>
      </c>
      <c r="BB275" s="1860">
        <f>(1.35*((BA275^2/$BB$231)^(1/3)))</f>
        <v>2.5087399182513903</v>
      </c>
      <c r="BC275" s="1859">
        <f>BB275*1.25</f>
        <v>3.1359248978142378</v>
      </c>
      <c r="BD275" s="379">
        <f t="shared" ref="BD275:BD285" si="124">A275-$D$43</f>
        <v>3.5999999999999996</v>
      </c>
      <c r="BE275" s="1860" t="str">
        <f t="shared" ref="BE275:BE285" si="125">IF(BD275&gt;BB275*1.25,"-",BB275*1.25-BD275)</f>
        <v>-</v>
      </c>
      <c r="BG275" s="2845">
        <f t="shared" ref="BG275:BG285" si="126">N275^2/2/g</f>
        <v>0.28812000000000004</v>
      </c>
    </row>
    <row r="276" spans="1:59">
      <c r="A276" s="297">
        <f t="shared" ref="A276:A284" si="127">A275-($A$275-$A$285)/10</f>
        <v>9.91</v>
      </c>
      <c r="B276" s="103">
        <f t="shared" si="106"/>
        <v>8.7900000000000009</v>
      </c>
      <c r="C276" s="505">
        <f t="shared" si="107"/>
        <v>2.91</v>
      </c>
      <c r="D276" s="103">
        <f t="shared" si="108"/>
        <v>1.7900000000000009</v>
      </c>
      <c r="E276" s="298">
        <f t="shared" si="109"/>
        <v>0.61855670103092786</v>
      </c>
      <c r="F276" s="123">
        <f>VLOOKUP(E276,Table!$C$18:$D$31,2,TRUE)</f>
        <v>0.49299999999999999</v>
      </c>
      <c r="G276" s="1522">
        <f t="shared" si="110"/>
        <v>20.115770638300891</v>
      </c>
      <c r="H276" s="147"/>
      <c r="I276" s="58"/>
      <c r="J276" s="1529" t="str">
        <f t="shared" si="111"/>
        <v xml:space="preserve"> Type 3</v>
      </c>
      <c r="K276" s="130"/>
      <c r="L276" s="2829">
        <f t="shared" ref="L276:L285" si="128">C276</f>
        <v>2.91</v>
      </c>
      <c r="M276" s="2840">
        <f t="shared" si="112"/>
        <v>6.7052568794336302</v>
      </c>
      <c r="N276" s="2831">
        <f t="shared" si="113"/>
        <v>2.3042119860596668</v>
      </c>
      <c r="O276" s="2824">
        <f t="shared" si="114"/>
        <v>1.6610674876765457</v>
      </c>
      <c r="P276" s="2829">
        <f t="shared" ref="P276:P285" si="129">1.5*O276+$I$44</f>
        <v>3.3916012315148185</v>
      </c>
      <c r="Q276" s="2840">
        <f t="shared" si="115"/>
        <v>6.7052568794336302</v>
      </c>
      <c r="R276" s="2837">
        <f t="shared" si="116"/>
        <v>2.2915631916000012</v>
      </c>
      <c r="S276" s="1744">
        <f>'Calc-2'!AH35</f>
        <v>0.97299999999990916</v>
      </c>
      <c r="T276" s="103">
        <f t="shared" ref="T276:T285" si="130">S276+R276/S276^2</f>
        <v>3.3935059648540853</v>
      </c>
      <c r="U276" s="103">
        <f t="shared" ref="U276:U285" si="131">Q276/S276</f>
        <v>6.8913225893466148</v>
      </c>
      <c r="V276" s="103">
        <f t="shared" si="117"/>
        <v>2.2305484256676684</v>
      </c>
      <c r="W276" s="1647">
        <f t="shared" ref="W276:W285" si="132">0.5*((1+8*V276^2)^0.5-1)*S276</f>
        <v>2.6211182946449219</v>
      </c>
      <c r="X276" s="103">
        <f t="shared" ref="X276:X285" si="133">W276*1.05</f>
        <v>2.7521742093771682</v>
      </c>
      <c r="Y276" s="1647">
        <f t="shared" ref="Y276:Y285" si="134">X276+$I$43</f>
        <v>8.8521742093771678</v>
      </c>
      <c r="Z276" s="123" t="str">
        <f>IF(Hydraulic!$W$234&gt;Y276,"ok","Not ok")</f>
        <v>ok</v>
      </c>
      <c r="AA276" s="1647">
        <f t="shared" ref="AA276:AA285" si="135">B276-$I$43</f>
        <v>2.6900000000000013</v>
      </c>
      <c r="AB276" s="2524">
        <f t="shared" ref="AB276:AB285" si="136">IF(AND(V276&gt;=2.5,V276&lt;=4.5),IF(X276&gt;AA276,"",AA276-X276),IF(W276&gt;AA276," ",AA276-W276))</f>
        <v>6.8881705355079426E-2</v>
      </c>
      <c r="AC276" s="1658" t="str">
        <f t="shared" ref="AC276:AC285" si="137">IF(AND(V276&gt;=2.5,V276&lt;=4.5),IF(X276&gt;AA276,X276-AA276,"no"),IF(W276&gt;AA276,W276-AA276,"no"))</f>
        <v>no</v>
      </c>
      <c r="AD276" s="505">
        <f t="shared" si="118"/>
        <v>5.1546391752577324E-2</v>
      </c>
      <c r="AE276" s="103">
        <f t="shared" ref="AE276:AE285" si="138">AD276/W276</f>
        <v>1.9665801371074793E-2</v>
      </c>
      <c r="AF276" s="1854" t="str">
        <f t="shared" ref="AF276:AF285" si="139">IF(V276&lt;2.5,"Type I",IF(AND(V276&gt;=2.5,V276&lt;=4.5),"ERC","Type III"))</f>
        <v>Type I</v>
      </c>
      <c r="AG276" s="1700">
        <f>VLOOKUP(V276,Table!$D$178:$G$212,2,TRUE)</f>
        <v>4.7</v>
      </c>
      <c r="AH276" s="103">
        <f t="shared" ref="AH276:AH285" si="140">AG276*W276</f>
        <v>12.319255984831134</v>
      </c>
      <c r="AI276" s="1725" t="str">
        <f>VLOOKUP(V276,Table!$D$178:$G$212,4,TRUE)</f>
        <v>-</v>
      </c>
      <c r="AJ276" s="103" t="str">
        <f t="shared" ref="AJ276:AJ285" si="141">IF(V276&lt;2.5,"-",IF(AND(V276&gt;=2.5,V276&lt;=4.5),N(AI276)*W276,0.8*W276))</f>
        <v>-</v>
      </c>
      <c r="AK276" s="1726" t="str">
        <f>VLOOKUP(V276,Table!$D$178:$G$212,3,TRUE)</f>
        <v>-</v>
      </c>
      <c r="AL276" s="103" t="str">
        <f t="shared" ref="AL276:AL285" si="142">IF(V276&lt;2.5,"-",IF(AND(V276&gt;=2.5,V276&lt;=4.5),N(AK276)*W276,"-"))</f>
        <v>-</v>
      </c>
      <c r="AM276" s="1769">
        <f t="shared" ref="AM276:AM285" si="143">IF(V276&lt;2.5,0,IF(AND(V276&gt;=2.5,V276&lt;=4.5),S276,S276))</f>
        <v>0</v>
      </c>
      <c r="AN276" s="297">
        <f t="shared" ref="AN276:AN285" si="144">IF(V276&lt;2.5,0,IF(AND(V276&gt;=2.5,V276&lt;=4.5),0.7*S276,S276))</f>
        <v>0</v>
      </c>
      <c r="AO276" s="442">
        <f t="shared" si="119"/>
        <v>0</v>
      </c>
      <c r="AP276" s="1773" t="str">
        <f>VLOOKUP(V276,Table!$D$178:$I$212,5,TRUE)</f>
        <v>-</v>
      </c>
      <c r="AQ276" s="441">
        <f t="shared" si="120"/>
        <v>0</v>
      </c>
      <c r="AR276" s="1769">
        <f t="shared" si="121"/>
        <v>0</v>
      </c>
      <c r="AS276" s="441">
        <f t="shared" si="122"/>
        <v>0</v>
      </c>
      <c r="AT276" s="441">
        <f t="shared" si="123"/>
        <v>0</v>
      </c>
      <c r="AU276" s="1785" t="str">
        <f>VLOOKUP(V276,Table!$D$178:$I$212,6,TRUE)</f>
        <v>-</v>
      </c>
      <c r="AV276" s="441">
        <f t="shared" ref="AV276:AV285" si="145">IF(V276&lt;2.5,0,IF(AND(V276&gt;=2.5,V276&lt;=4.5),W276*0.2,S276*AU276))</f>
        <v>0</v>
      </c>
      <c r="AW276" s="103">
        <f t="shared" ref="AW276:AW285" si="146">IF(V276&lt;2.5,0,IF(AND(V276&gt;=2.5,V276&lt;=4.5),W276*0.15,0))</f>
        <v>0</v>
      </c>
      <c r="AX276" s="1786">
        <f t="shared" ref="AX276:AX285" si="147">IF(V276&lt;2.5,0,IF(AND(V276&gt;=2.5,V276&lt;=4.5),AV276*0.15,0))</f>
        <v>0</v>
      </c>
      <c r="AY276" s="103">
        <f t="shared" ref="AY276:AY285" si="148">IF(V276&lt;2.5,0,IF(AND(V276&gt;=2.5,V276&lt;=4.5),W276*0.15,0))</f>
        <v>0</v>
      </c>
      <c r="BA276" s="1857">
        <f t="shared" ref="BA276:BA285" si="149">G276/$A$65</f>
        <v>1.6763142198584076</v>
      </c>
      <c r="BB276" s="1858">
        <f t="shared" ref="BB276:BB285" si="150">(1.35*((BA276^2/$BB$231)^(1/3)))</f>
        <v>2.5826522992265657</v>
      </c>
      <c r="BC276" s="1857">
        <f t="shared" ref="BC276:BC285" si="151">BB276*1.25</f>
        <v>3.2283153740332073</v>
      </c>
      <c r="BD276" s="103">
        <f t="shared" si="124"/>
        <v>3.8100000000000005</v>
      </c>
      <c r="BE276" s="1858" t="str">
        <f t="shared" si="125"/>
        <v>-</v>
      </c>
      <c r="BG276" s="2846">
        <f t="shared" si="126"/>
        <v>0.27061125773195893</v>
      </c>
    </row>
    <row r="277" spans="1:59">
      <c r="A277" s="297">
        <f t="shared" si="127"/>
        <v>10.120000000000001</v>
      </c>
      <c r="B277" s="103">
        <f t="shared" si="106"/>
        <v>8.7900000000000009</v>
      </c>
      <c r="C277" s="505">
        <f t="shared" si="107"/>
        <v>3.120000000000001</v>
      </c>
      <c r="D277" s="103">
        <f t="shared" si="108"/>
        <v>1.7900000000000009</v>
      </c>
      <c r="E277" s="298">
        <f t="shared" si="109"/>
        <v>0.57692307692307676</v>
      </c>
      <c r="F277" s="123">
        <f>VLOOKUP(E277,Table!$C$18:$D$31,2,TRUE)</f>
        <v>0.496</v>
      </c>
      <c r="G277" s="1522">
        <f t="shared" si="110"/>
        <v>20.955703008357041</v>
      </c>
      <c r="H277" s="3074" t="str">
        <f>IF(J269=1,"H1 increase from 1.5D  to  2D","H1 increase from 1.5D to HFL")</f>
        <v>H1 increase from 1.5D to HFL</v>
      </c>
      <c r="I277" s="3075" t="s">
        <v>1516</v>
      </c>
      <c r="J277" s="1529" t="str">
        <f t="shared" si="111"/>
        <v xml:space="preserve"> Type 3</v>
      </c>
      <c r="K277" s="130"/>
      <c r="L277" s="2829">
        <f t="shared" si="128"/>
        <v>3.120000000000001</v>
      </c>
      <c r="M277" s="2840">
        <f t="shared" si="112"/>
        <v>6.9852343361190137</v>
      </c>
      <c r="N277" s="2831">
        <f t="shared" si="113"/>
        <v>2.2388571590125035</v>
      </c>
      <c r="O277" s="2824">
        <f t="shared" si="114"/>
        <v>1.7069900290064071</v>
      </c>
      <c r="P277" s="2829">
        <f t="shared" si="129"/>
        <v>3.4604850435096104</v>
      </c>
      <c r="Q277" s="2840">
        <f t="shared" si="115"/>
        <v>6.9852343361190137</v>
      </c>
      <c r="R277" s="2837">
        <f t="shared" si="116"/>
        <v>2.4869265408000021</v>
      </c>
      <c r="S277" s="1744">
        <f>'Calc-2'!AH36</f>
        <v>1.0062999999999056</v>
      </c>
      <c r="T277" s="103">
        <f t="shared" si="130"/>
        <v>3.4621849167766401</v>
      </c>
      <c r="U277" s="103">
        <f t="shared" si="131"/>
        <v>6.9415028680509483</v>
      </c>
      <c r="V277" s="103">
        <f t="shared" si="117"/>
        <v>2.2093029242869737</v>
      </c>
      <c r="W277" s="1647">
        <f t="shared" si="132"/>
        <v>2.6809649303235017</v>
      </c>
      <c r="X277" s="103">
        <f t="shared" si="133"/>
        <v>2.8150131768396771</v>
      </c>
      <c r="Y277" s="1647">
        <f t="shared" si="134"/>
        <v>8.9150131768396772</v>
      </c>
      <c r="Z277" s="123" t="str">
        <f>IF(Hydraulic!$W$234&gt;Y277,"ok","Not ok")</f>
        <v>ok</v>
      </c>
      <c r="AA277" s="1647">
        <f t="shared" si="135"/>
        <v>2.6900000000000013</v>
      </c>
      <c r="AB277" s="2524">
        <f t="shared" si="136"/>
        <v>9.0350696764995853E-3</v>
      </c>
      <c r="AC277" s="1658" t="str">
        <f t="shared" si="137"/>
        <v>no</v>
      </c>
      <c r="AD277" s="505">
        <f t="shared" si="118"/>
        <v>4.8076923076923066E-2</v>
      </c>
      <c r="AE277" s="103">
        <f t="shared" si="138"/>
        <v>1.7932693760049224E-2</v>
      </c>
      <c r="AF277" s="1854" t="str">
        <f t="shared" si="139"/>
        <v>Type I</v>
      </c>
      <c r="AG277" s="1700">
        <f>VLOOKUP(V277,Table!$D$178:$G$212,2,TRUE)</f>
        <v>4.7</v>
      </c>
      <c r="AH277" s="103">
        <f t="shared" si="140"/>
        <v>12.600535172520459</v>
      </c>
      <c r="AI277" s="1725" t="str">
        <f>VLOOKUP(V277,Table!$D$178:$G$212,4,TRUE)</f>
        <v>-</v>
      </c>
      <c r="AJ277" s="103" t="str">
        <f t="shared" si="141"/>
        <v>-</v>
      </c>
      <c r="AK277" s="1726" t="str">
        <f>VLOOKUP(V277,Table!$D$178:$G$212,3,TRUE)</f>
        <v>-</v>
      </c>
      <c r="AL277" s="103" t="str">
        <f t="shared" si="142"/>
        <v>-</v>
      </c>
      <c r="AM277" s="1769">
        <f t="shared" si="143"/>
        <v>0</v>
      </c>
      <c r="AN277" s="297">
        <f t="shared" si="144"/>
        <v>0</v>
      </c>
      <c r="AO277" s="442">
        <f t="shared" si="119"/>
        <v>0</v>
      </c>
      <c r="AP277" s="1773" t="str">
        <f>VLOOKUP(V277,Table!$D$178:$I$212,5,TRUE)</f>
        <v>-</v>
      </c>
      <c r="AQ277" s="441">
        <f t="shared" si="120"/>
        <v>0</v>
      </c>
      <c r="AR277" s="1769">
        <f t="shared" si="121"/>
        <v>0</v>
      </c>
      <c r="AS277" s="441">
        <f t="shared" si="122"/>
        <v>0</v>
      </c>
      <c r="AT277" s="441">
        <f t="shared" si="123"/>
        <v>0</v>
      </c>
      <c r="AU277" s="1785" t="str">
        <f>VLOOKUP(V277,Table!$D$178:$I$212,6,TRUE)</f>
        <v>-</v>
      </c>
      <c r="AV277" s="441">
        <f t="shared" si="145"/>
        <v>0</v>
      </c>
      <c r="AW277" s="103">
        <f t="shared" si="146"/>
        <v>0</v>
      </c>
      <c r="AX277" s="1786">
        <f t="shared" si="147"/>
        <v>0</v>
      </c>
      <c r="AY277" s="103">
        <f t="shared" si="148"/>
        <v>0</v>
      </c>
      <c r="BA277" s="1857">
        <f t="shared" si="149"/>
        <v>1.7463085840297534</v>
      </c>
      <c r="BB277" s="1858">
        <f t="shared" si="150"/>
        <v>2.6540533457414126</v>
      </c>
      <c r="BC277" s="1857">
        <f t="shared" si="151"/>
        <v>3.317566682176766</v>
      </c>
      <c r="BD277" s="103">
        <f t="shared" si="124"/>
        <v>4.0200000000000014</v>
      </c>
      <c r="BE277" s="1858" t="str">
        <f t="shared" si="125"/>
        <v>-</v>
      </c>
      <c r="BG277" s="2846">
        <f t="shared" si="126"/>
        <v>0.25547815384615385</v>
      </c>
    </row>
    <row r="278" spans="1:59">
      <c r="A278" s="297">
        <f t="shared" si="127"/>
        <v>10.330000000000002</v>
      </c>
      <c r="B278" s="103">
        <f t="shared" si="106"/>
        <v>8.7900000000000009</v>
      </c>
      <c r="C278" s="505">
        <f t="shared" si="107"/>
        <v>3.3300000000000018</v>
      </c>
      <c r="D278" s="103">
        <f t="shared" si="108"/>
        <v>1.7900000000000009</v>
      </c>
      <c r="E278" s="298">
        <f t="shared" si="109"/>
        <v>0.54054054054054024</v>
      </c>
      <c r="F278" s="123">
        <f>VLOOKUP(E278,Table!$C$18:$D$31,2,TRUE)</f>
        <v>0.502</v>
      </c>
      <c r="G278" s="1522">
        <f t="shared" si="110"/>
        <v>21.911347938904726</v>
      </c>
      <c r="H278" s="3074"/>
      <c r="I278" s="3075"/>
      <c r="J278" s="1529" t="str">
        <f t="shared" si="111"/>
        <v xml:space="preserve"> Type 3</v>
      </c>
      <c r="K278" s="130"/>
      <c r="L278" s="2829">
        <f t="shared" si="128"/>
        <v>3.3300000000000018</v>
      </c>
      <c r="M278" s="2840">
        <f t="shared" si="112"/>
        <v>7.3037826463015749</v>
      </c>
      <c r="N278" s="2831">
        <f t="shared" si="113"/>
        <v>2.1933281220124838</v>
      </c>
      <c r="O278" s="2824">
        <f t="shared" si="114"/>
        <v>1.7584994003398908</v>
      </c>
      <c r="P278" s="2829">
        <f t="shared" si="129"/>
        <v>3.5377491005098363</v>
      </c>
      <c r="Q278" s="2840">
        <f t="shared" si="115"/>
        <v>7.3037826463015749</v>
      </c>
      <c r="R278" s="2837">
        <f t="shared" si="116"/>
        <v>2.7189215568000016</v>
      </c>
      <c r="S278" s="1744">
        <f>'Calc-2'!AH37</f>
        <v>1.0436999999999015</v>
      </c>
      <c r="T278" s="103">
        <f t="shared" si="130"/>
        <v>3.5397041958319564</v>
      </c>
      <c r="U278" s="103">
        <f t="shared" si="131"/>
        <v>6.9979713004716535</v>
      </c>
      <c r="V278" s="449">
        <f t="shared" si="117"/>
        <v>2.1870051797572247</v>
      </c>
      <c r="W278" s="1647">
        <f t="shared" si="132"/>
        <v>2.7481111219797332</v>
      </c>
      <c r="X278" s="103">
        <f t="shared" si="133"/>
        <v>2.8855166780787198</v>
      </c>
      <c r="Y278" s="1647">
        <f t="shared" si="134"/>
        <v>8.985516678078719</v>
      </c>
      <c r="Z278" s="123" t="str">
        <f>IF(Hydraulic!$W$234&gt;Y278,"ok","Not ok")</f>
        <v>ok</v>
      </c>
      <c r="AA278" s="1647">
        <f t="shared" si="135"/>
        <v>2.6900000000000013</v>
      </c>
      <c r="AB278" s="2524" t="str">
        <f t="shared" si="136"/>
        <v xml:space="preserve"> </v>
      </c>
      <c r="AC278" s="1658">
        <f t="shared" si="137"/>
        <v>5.8111121979731895E-2</v>
      </c>
      <c r="AD278" s="505">
        <f t="shared" si="118"/>
        <v>4.5045045045045022E-2</v>
      </c>
      <c r="AE278" s="103">
        <f t="shared" si="138"/>
        <v>1.6391274968748232E-2</v>
      </c>
      <c r="AF278" s="1854" t="str">
        <f t="shared" si="139"/>
        <v>Type I</v>
      </c>
      <c r="AG278" s="1700">
        <f>VLOOKUP(V278,Table!$D$178:$G$212,2,TRUE)</f>
        <v>4.5999999999999996</v>
      </c>
      <c r="AH278" s="103">
        <f t="shared" si="140"/>
        <v>12.641311161106772</v>
      </c>
      <c r="AI278" s="1725" t="str">
        <f>VLOOKUP(V278,Table!$D$178:$G$212,4,TRUE)</f>
        <v>-</v>
      </c>
      <c r="AJ278" s="103" t="str">
        <f t="shared" si="141"/>
        <v>-</v>
      </c>
      <c r="AK278" s="1726" t="str">
        <f>VLOOKUP(V278,Table!$D$178:$G$212,3,TRUE)</f>
        <v>-</v>
      </c>
      <c r="AL278" s="103" t="str">
        <f t="shared" si="142"/>
        <v>-</v>
      </c>
      <c r="AM278" s="1769">
        <f t="shared" si="143"/>
        <v>0</v>
      </c>
      <c r="AN278" s="297">
        <f t="shared" si="144"/>
        <v>0</v>
      </c>
      <c r="AO278" s="442">
        <f t="shared" si="119"/>
        <v>0</v>
      </c>
      <c r="AP278" s="1773" t="str">
        <f>VLOOKUP(V278,Table!$D$178:$I$212,5,TRUE)</f>
        <v>-</v>
      </c>
      <c r="AQ278" s="441">
        <f t="shared" si="120"/>
        <v>0</v>
      </c>
      <c r="AR278" s="1769">
        <f t="shared" si="121"/>
        <v>0</v>
      </c>
      <c r="AS278" s="441">
        <f t="shared" si="122"/>
        <v>0</v>
      </c>
      <c r="AT278" s="441">
        <f t="shared" si="123"/>
        <v>0</v>
      </c>
      <c r="AU278" s="1785" t="str">
        <f>VLOOKUP(V278,Table!$D$178:$I$212,6,TRUE)</f>
        <v>-</v>
      </c>
      <c r="AV278" s="441">
        <f t="shared" si="145"/>
        <v>0</v>
      </c>
      <c r="AW278" s="103">
        <f t="shared" si="146"/>
        <v>0</v>
      </c>
      <c r="AX278" s="1786">
        <f t="shared" si="147"/>
        <v>0</v>
      </c>
      <c r="AY278" s="103">
        <f t="shared" si="148"/>
        <v>0</v>
      </c>
      <c r="BA278" s="1857">
        <f t="shared" si="149"/>
        <v>1.8259456615753937</v>
      </c>
      <c r="BB278" s="1858">
        <f t="shared" si="150"/>
        <v>2.7341408781825032</v>
      </c>
      <c r="BC278" s="1857">
        <f t="shared" si="151"/>
        <v>3.4176760977281289</v>
      </c>
      <c r="BD278" s="103">
        <f t="shared" si="124"/>
        <v>4.2300000000000022</v>
      </c>
      <c r="BE278" s="1858" t="str">
        <f t="shared" si="125"/>
        <v>-</v>
      </c>
      <c r="BG278" s="2846">
        <f t="shared" si="126"/>
        <v>0.24519308108108098</v>
      </c>
    </row>
    <row r="279" spans="1:59">
      <c r="A279" s="297">
        <f t="shared" si="127"/>
        <v>10.540000000000003</v>
      </c>
      <c r="B279" s="103">
        <f t="shared" si="106"/>
        <v>8.7900000000000009</v>
      </c>
      <c r="C279" s="505">
        <f t="shared" si="107"/>
        <v>3.5400000000000027</v>
      </c>
      <c r="D279" s="103">
        <f t="shared" si="108"/>
        <v>1.7900000000000009</v>
      </c>
      <c r="E279" s="298">
        <f t="shared" si="109"/>
        <v>0.50847457627118609</v>
      </c>
      <c r="F279" s="123">
        <f>VLOOKUP(E279,Table!$C$18:$D$31,2,TRUE)</f>
        <v>0.502</v>
      </c>
      <c r="G279" s="1522">
        <f t="shared" si="110"/>
        <v>22.591684247613603</v>
      </c>
      <c r="H279" s="3074"/>
      <c r="I279" s="3075"/>
      <c r="J279" s="1529" t="str">
        <f t="shared" si="111"/>
        <v xml:space="preserve"> Type 3</v>
      </c>
      <c r="K279" s="130"/>
      <c r="L279" s="2829">
        <f t="shared" si="128"/>
        <v>3.5400000000000027</v>
      </c>
      <c r="M279" s="2840">
        <f t="shared" si="112"/>
        <v>7.5305614158712011</v>
      </c>
      <c r="N279" s="2831">
        <f t="shared" si="113"/>
        <v>2.1272772361218064</v>
      </c>
      <c r="O279" s="2824">
        <f t="shared" si="114"/>
        <v>1.7947139315742082</v>
      </c>
      <c r="P279" s="2829">
        <f t="shared" si="129"/>
        <v>3.5920708973613125</v>
      </c>
      <c r="Q279" s="2840">
        <f t="shared" si="115"/>
        <v>7.5305614158712011</v>
      </c>
      <c r="R279" s="2837">
        <f t="shared" si="116"/>
        <v>2.8903850784000031</v>
      </c>
      <c r="S279" s="1744">
        <f>'Calc-2'!AH38</f>
        <v>1.0701999999998986</v>
      </c>
      <c r="T279" s="103">
        <f t="shared" si="130"/>
        <v>3.5938307655581667</v>
      </c>
      <c r="U279" s="103">
        <f t="shared" si="131"/>
        <v>7.0365926143449027</v>
      </c>
      <c r="V279" s="103">
        <f t="shared" si="117"/>
        <v>2.1716779967445876</v>
      </c>
      <c r="W279" s="1647">
        <f t="shared" si="132"/>
        <v>2.7949886761768217</v>
      </c>
      <c r="X279" s="103">
        <f t="shared" si="133"/>
        <v>2.9347381099856631</v>
      </c>
      <c r="Y279" s="1647">
        <f t="shared" si="134"/>
        <v>9.0347381099856623</v>
      </c>
      <c r="Z279" s="123" t="str">
        <f>IF(Hydraulic!$W$234&gt;Y279,"ok","Not ok")</f>
        <v>ok</v>
      </c>
      <c r="AA279" s="1647">
        <f t="shared" si="135"/>
        <v>2.6900000000000013</v>
      </c>
      <c r="AB279" s="2524" t="str">
        <f t="shared" si="136"/>
        <v xml:space="preserve"> </v>
      </c>
      <c r="AC279" s="1658">
        <f t="shared" si="137"/>
        <v>0.10498867617682039</v>
      </c>
      <c r="AD279" s="505">
        <f t="shared" si="118"/>
        <v>4.2372881355932174E-2</v>
      </c>
      <c r="AE279" s="103">
        <f t="shared" si="138"/>
        <v>1.5160305198049218E-2</v>
      </c>
      <c r="AF279" s="1854" t="str">
        <f t="shared" si="139"/>
        <v>Type I</v>
      </c>
      <c r="AG279" s="1700">
        <f>VLOOKUP(V279,Table!$D$178:$G$212,2,TRUE)</f>
        <v>4.5999999999999996</v>
      </c>
      <c r="AH279" s="103">
        <f t="shared" si="140"/>
        <v>12.856947910413378</v>
      </c>
      <c r="AI279" s="1725" t="str">
        <f>VLOOKUP(V279,Table!$D$178:$G$212,4,TRUE)</f>
        <v>-</v>
      </c>
      <c r="AJ279" s="103" t="str">
        <f t="shared" si="141"/>
        <v>-</v>
      </c>
      <c r="AK279" s="1726" t="str">
        <f>VLOOKUP(V279,Table!$D$178:$G$212,3,TRUE)</f>
        <v>-</v>
      </c>
      <c r="AL279" s="103" t="str">
        <f t="shared" si="142"/>
        <v>-</v>
      </c>
      <c r="AM279" s="1769">
        <f t="shared" si="143"/>
        <v>0</v>
      </c>
      <c r="AN279" s="297">
        <f t="shared" si="144"/>
        <v>0</v>
      </c>
      <c r="AO279" s="442">
        <f t="shared" si="119"/>
        <v>0</v>
      </c>
      <c r="AP279" s="1773" t="str">
        <f>VLOOKUP(V279,Table!$D$178:$I$212,5,TRUE)</f>
        <v>-</v>
      </c>
      <c r="AQ279" s="441">
        <f t="shared" si="120"/>
        <v>0</v>
      </c>
      <c r="AR279" s="1769">
        <f t="shared" si="121"/>
        <v>0</v>
      </c>
      <c r="AS279" s="441">
        <f t="shared" si="122"/>
        <v>0</v>
      </c>
      <c r="AT279" s="441">
        <f t="shared" si="123"/>
        <v>0</v>
      </c>
      <c r="AU279" s="1785" t="str">
        <f>VLOOKUP(V279,Table!$D$178:$I$212,6,TRUE)</f>
        <v>-</v>
      </c>
      <c r="AV279" s="441">
        <f t="shared" si="145"/>
        <v>0</v>
      </c>
      <c r="AW279" s="103">
        <f t="shared" si="146"/>
        <v>0</v>
      </c>
      <c r="AX279" s="1786">
        <f t="shared" si="147"/>
        <v>0</v>
      </c>
      <c r="AY279" s="103">
        <f t="shared" si="148"/>
        <v>0</v>
      </c>
      <c r="BA279" s="1857">
        <f t="shared" si="149"/>
        <v>1.8826403539678003</v>
      </c>
      <c r="BB279" s="1858">
        <f t="shared" si="150"/>
        <v>2.7904477670064782</v>
      </c>
      <c r="BC279" s="1857">
        <f t="shared" si="151"/>
        <v>3.4880597087580978</v>
      </c>
      <c r="BD279" s="103">
        <f t="shared" si="124"/>
        <v>4.4400000000000031</v>
      </c>
      <c r="BE279" s="1858" t="str">
        <f t="shared" si="125"/>
        <v>-</v>
      </c>
      <c r="BG279" s="2846">
        <f t="shared" si="126"/>
        <v>0.23064772881355922</v>
      </c>
    </row>
    <row r="280" spans="1:59">
      <c r="A280" s="297">
        <f t="shared" si="127"/>
        <v>10.750000000000004</v>
      </c>
      <c r="B280" s="103">
        <f t="shared" si="106"/>
        <v>8.7900000000000009</v>
      </c>
      <c r="C280" s="505">
        <f t="shared" si="107"/>
        <v>3.7500000000000036</v>
      </c>
      <c r="D280" s="103">
        <f t="shared" si="108"/>
        <v>1.7900000000000009</v>
      </c>
      <c r="E280" s="298">
        <f t="shared" si="109"/>
        <v>0.47999999999999954</v>
      </c>
      <c r="F280" s="123">
        <f>VLOOKUP(E280,Table!$C$18:$D$31,2,TRUE)</f>
        <v>0.51200000000000001</v>
      </c>
      <c r="G280" s="1522">
        <f t="shared" si="110"/>
        <v>23.715312740252884</v>
      </c>
      <c r="H280" s="3074"/>
      <c r="I280" s="3075"/>
      <c r="J280" s="1529" t="str">
        <f t="shared" si="111"/>
        <v xml:space="preserve"> Type 3</v>
      </c>
      <c r="K280" s="130"/>
      <c r="L280" s="2829">
        <f t="shared" si="128"/>
        <v>3.7500000000000036</v>
      </c>
      <c r="M280" s="2840">
        <f t="shared" si="112"/>
        <v>7.9051042467509616</v>
      </c>
      <c r="N280" s="2831">
        <f t="shared" si="113"/>
        <v>2.1080277991335876</v>
      </c>
      <c r="O280" s="2824">
        <f t="shared" si="114"/>
        <v>1.8537396184428099</v>
      </c>
      <c r="P280" s="2829">
        <f t="shared" si="129"/>
        <v>3.6806094276642147</v>
      </c>
      <c r="Q280" s="2840">
        <f t="shared" si="115"/>
        <v>7.9051042467509616</v>
      </c>
      <c r="R280" s="2837">
        <f t="shared" si="116"/>
        <v>3.1850496000000041</v>
      </c>
      <c r="S280" s="1744">
        <f>'Calc-2'!AH39</f>
        <v>1.1134999999998938</v>
      </c>
      <c r="T280" s="103">
        <f t="shared" si="130"/>
        <v>3.6823323225858582</v>
      </c>
      <c r="U280" s="103">
        <f t="shared" si="131"/>
        <v>7.0993302620132157</v>
      </c>
      <c r="V280" s="103">
        <f t="shared" si="117"/>
        <v>2.1480172549774048</v>
      </c>
      <c r="W280" s="1647">
        <f t="shared" si="132"/>
        <v>2.8713033437064692</v>
      </c>
      <c r="X280" s="103">
        <f t="shared" si="133"/>
        <v>3.0148685108917928</v>
      </c>
      <c r="Y280" s="1647">
        <f t="shared" si="134"/>
        <v>9.1148685108917924</v>
      </c>
      <c r="Z280" s="123" t="str">
        <f>IF(Hydraulic!$W$234&gt;Y280,"ok","Not ok")</f>
        <v>ok</v>
      </c>
      <c r="AA280" s="1647">
        <f t="shared" si="135"/>
        <v>2.6900000000000013</v>
      </c>
      <c r="AB280" s="2524" t="str">
        <f t="shared" si="136"/>
        <v xml:space="preserve"> </v>
      </c>
      <c r="AC280" s="1658">
        <f t="shared" si="137"/>
        <v>0.18130334370646795</v>
      </c>
      <c r="AD280" s="505">
        <f t="shared" si="118"/>
        <v>3.9999999999999959E-2</v>
      </c>
      <c r="AE280" s="103">
        <f t="shared" si="138"/>
        <v>1.3930955810598994E-2</v>
      </c>
      <c r="AF280" s="1854" t="str">
        <f t="shared" si="139"/>
        <v>Type I</v>
      </c>
      <c r="AG280" s="1700">
        <f>VLOOKUP(V280,Table!$D$178:$G$212,2,TRUE)</f>
        <v>4.5999999999999996</v>
      </c>
      <c r="AH280" s="103">
        <f t="shared" si="140"/>
        <v>13.207995381049757</v>
      </c>
      <c r="AI280" s="1725" t="str">
        <f>VLOOKUP(V280,Table!$D$178:$G$212,4,TRUE)</f>
        <v>-</v>
      </c>
      <c r="AJ280" s="103" t="str">
        <f t="shared" si="141"/>
        <v>-</v>
      </c>
      <c r="AK280" s="1726" t="str">
        <f>VLOOKUP(V280,Table!$D$178:$G$212,3,TRUE)</f>
        <v>-</v>
      </c>
      <c r="AL280" s="103" t="str">
        <f t="shared" si="142"/>
        <v>-</v>
      </c>
      <c r="AM280" s="1769">
        <f t="shared" si="143"/>
        <v>0</v>
      </c>
      <c r="AN280" s="297">
        <f t="shared" si="144"/>
        <v>0</v>
      </c>
      <c r="AO280" s="442">
        <f t="shared" si="119"/>
        <v>0</v>
      </c>
      <c r="AP280" s="1773" t="str">
        <f>VLOOKUP(V280,Table!$D$178:$I$212,5,TRUE)</f>
        <v>-</v>
      </c>
      <c r="AQ280" s="441">
        <f t="shared" si="120"/>
        <v>0</v>
      </c>
      <c r="AR280" s="1769">
        <f t="shared" si="121"/>
        <v>0</v>
      </c>
      <c r="AS280" s="441">
        <f t="shared" si="122"/>
        <v>0</v>
      </c>
      <c r="AT280" s="441">
        <f t="shared" si="123"/>
        <v>0</v>
      </c>
      <c r="AU280" s="1785" t="str">
        <f>VLOOKUP(V280,Table!$D$178:$I$212,6,TRUE)</f>
        <v>-</v>
      </c>
      <c r="AV280" s="441">
        <f t="shared" si="145"/>
        <v>0</v>
      </c>
      <c r="AW280" s="103">
        <f t="shared" si="146"/>
        <v>0</v>
      </c>
      <c r="AX280" s="1786">
        <f t="shared" si="147"/>
        <v>0</v>
      </c>
      <c r="AY280" s="103">
        <f t="shared" si="148"/>
        <v>0</v>
      </c>
      <c r="BA280" s="1857">
        <f t="shared" si="149"/>
        <v>1.9762760616877404</v>
      </c>
      <c r="BB280" s="1858">
        <f t="shared" si="150"/>
        <v>2.8822217780178274</v>
      </c>
      <c r="BC280" s="1857">
        <f t="shared" si="151"/>
        <v>3.6027772225222843</v>
      </c>
      <c r="BD280" s="103">
        <f t="shared" si="124"/>
        <v>4.6500000000000039</v>
      </c>
      <c r="BE280" s="1858" t="str">
        <f t="shared" si="125"/>
        <v>-</v>
      </c>
      <c r="BG280" s="2846">
        <f t="shared" si="126"/>
        <v>0.22649241599999986</v>
      </c>
    </row>
    <row r="281" spans="1:59">
      <c r="A281" s="297">
        <f t="shared" si="127"/>
        <v>10.960000000000004</v>
      </c>
      <c r="B281" s="103">
        <f t="shared" si="106"/>
        <v>8.7900000000000009</v>
      </c>
      <c r="C281" s="1699">
        <f t="shared" si="107"/>
        <v>3.9600000000000044</v>
      </c>
      <c r="D281" s="103">
        <f t="shared" si="108"/>
        <v>1.7900000000000009</v>
      </c>
      <c r="E281" s="298">
        <f t="shared" si="109"/>
        <v>0.45454545454545403</v>
      </c>
      <c r="F281" s="123">
        <f>VLOOKUP(E281,Table!$C$18:$D$31,2,TRUE)</f>
        <v>0.51200000000000001</v>
      </c>
      <c r="G281" s="1522">
        <f t="shared" si="110"/>
        <v>24.370296625946281</v>
      </c>
      <c r="H281" s="3074"/>
      <c r="I281" s="3075"/>
      <c r="J281" s="1529" t="str">
        <f t="shared" si="111"/>
        <v xml:space="preserve"> Type 3</v>
      </c>
      <c r="K281" s="130"/>
      <c r="L281" s="2829">
        <f t="shared" si="128"/>
        <v>3.9600000000000044</v>
      </c>
      <c r="M281" s="2840">
        <f t="shared" si="112"/>
        <v>8.1234322086487598</v>
      </c>
      <c r="N281" s="2831">
        <f t="shared" si="113"/>
        <v>2.0513717698607956</v>
      </c>
      <c r="O281" s="2824">
        <f t="shared" si="114"/>
        <v>1.8877162074638887</v>
      </c>
      <c r="P281" s="2829">
        <f t="shared" si="129"/>
        <v>3.7315743111958328</v>
      </c>
      <c r="Q281" s="2840">
        <f t="shared" si="115"/>
        <v>8.1234322086487598</v>
      </c>
      <c r="R281" s="2837">
        <f t="shared" si="116"/>
        <v>3.3634123776000036</v>
      </c>
      <c r="S281" s="1744">
        <f>'Calc-2'!AH40</f>
        <v>1.138499999999891</v>
      </c>
      <c r="T281" s="103">
        <f t="shared" si="130"/>
        <v>3.7333606977147742</v>
      </c>
      <c r="U281" s="103">
        <f t="shared" si="131"/>
        <v>7.1352061560382412</v>
      </c>
      <c r="V281" s="103">
        <f t="shared" si="117"/>
        <v>2.1350374853988399</v>
      </c>
      <c r="W281" s="1647">
        <f t="shared" si="132"/>
        <v>2.9151496871617302</v>
      </c>
      <c r="X281" s="103">
        <f t="shared" si="133"/>
        <v>3.0609071715198168</v>
      </c>
      <c r="Y281" s="1647">
        <f t="shared" si="134"/>
        <v>9.1609071715198169</v>
      </c>
      <c r="Z281" s="123" t="str">
        <f>IF(Hydraulic!$W$234&gt;Y281,"ok","Not ok")</f>
        <v>ok</v>
      </c>
      <c r="AA281" s="1647">
        <f t="shared" si="135"/>
        <v>2.6900000000000013</v>
      </c>
      <c r="AB281" s="2524" t="str">
        <f t="shared" si="136"/>
        <v xml:space="preserve"> </v>
      </c>
      <c r="AC281" s="1658">
        <f t="shared" si="137"/>
        <v>0.2251496871617289</v>
      </c>
      <c r="AD281" s="505">
        <f t="shared" si="118"/>
        <v>3.7878787878787838E-2</v>
      </c>
      <c r="AE281" s="103">
        <f t="shared" si="138"/>
        <v>1.2993771141703419E-2</v>
      </c>
      <c r="AF281" s="1854" t="str">
        <f t="shared" si="139"/>
        <v>Type I</v>
      </c>
      <c r="AG281" s="1700">
        <f>VLOOKUP(V281,Table!$D$178:$G$212,2,TRUE)</f>
        <v>4.5999999999999996</v>
      </c>
      <c r="AH281" s="103">
        <f t="shared" si="140"/>
        <v>13.409688560943957</v>
      </c>
      <c r="AI281" s="1725" t="str">
        <f>VLOOKUP(V281,Table!$D$178:$G$212,4,TRUE)</f>
        <v>-</v>
      </c>
      <c r="AJ281" s="103" t="str">
        <f t="shared" si="141"/>
        <v>-</v>
      </c>
      <c r="AK281" s="1726" t="str">
        <f>VLOOKUP(V281,Table!$D$178:$G$212,3,TRUE)</f>
        <v>-</v>
      </c>
      <c r="AL281" s="103" t="str">
        <f t="shared" si="142"/>
        <v>-</v>
      </c>
      <c r="AM281" s="1769">
        <f t="shared" si="143"/>
        <v>0</v>
      </c>
      <c r="AN281" s="297">
        <f t="shared" si="144"/>
        <v>0</v>
      </c>
      <c r="AO281" s="442">
        <f t="shared" si="119"/>
        <v>0</v>
      </c>
      <c r="AP281" s="1773" t="str">
        <f>VLOOKUP(V281,Table!$D$178:$I$212,5,TRUE)</f>
        <v>-</v>
      </c>
      <c r="AQ281" s="441">
        <f t="shared" si="120"/>
        <v>0</v>
      </c>
      <c r="AR281" s="1769">
        <f t="shared" si="121"/>
        <v>0</v>
      </c>
      <c r="AS281" s="441">
        <f t="shared" si="122"/>
        <v>0</v>
      </c>
      <c r="AT281" s="441">
        <f t="shared" si="123"/>
        <v>0</v>
      </c>
      <c r="AU281" s="1785" t="str">
        <f>VLOOKUP(V281,Table!$D$178:$I$212,6,TRUE)</f>
        <v>-</v>
      </c>
      <c r="AV281" s="441">
        <f t="shared" si="145"/>
        <v>0</v>
      </c>
      <c r="AW281" s="103">
        <f t="shared" si="146"/>
        <v>0</v>
      </c>
      <c r="AX281" s="1786">
        <f t="shared" si="147"/>
        <v>0</v>
      </c>
      <c r="AY281" s="103">
        <f t="shared" si="148"/>
        <v>0</v>
      </c>
      <c r="BA281" s="1857">
        <f t="shared" si="149"/>
        <v>2.03085805216219</v>
      </c>
      <c r="BB281" s="1858">
        <f t="shared" si="150"/>
        <v>2.9350490811865306</v>
      </c>
      <c r="BC281" s="1857">
        <f t="shared" si="151"/>
        <v>3.6688113514831633</v>
      </c>
      <c r="BD281" s="103">
        <f t="shared" si="124"/>
        <v>4.8600000000000048</v>
      </c>
      <c r="BE281" s="1858" t="str">
        <f t="shared" si="125"/>
        <v>-</v>
      </c>
      <c r="BG281" s="2846">
        <f t="shared" si="126"/>
        <v>0.21448145454545425</v>
      </c>
    </row>
    <row r="282" spans="1:59">
      <c r="A282" s="297">
        <f t="shared" si="127"/>
        <v>11.170000000000005</v>
      </c>
      <c r="B282" s="103">
        <f t="shared" si="106"/>
        <v>8.7900000000000009</v>
      </c>
      <c r="C282" s="505">
        <f t="shared" si="107"/>
        <v>4.1700000000000053</v>
      </c>
      <c r="D282" s="103">
        <f t="shared" si="108"/>
        <v>1.7900000000000009</v>
      </c>
      <c r="E282" s="298">
        <f t="shared" si="109"/>
        <v>0.43165467625899229</v>
      </c>
      <c r="F282" s="123">
        <f>VLOOKUP(E282,Table!$C$18:$D$31,2,TRUE)</f>
        <v>0.51200000000000001</v>
      </c>
      <c r="G282" s="1522">
        <f t="shared" si="110"/>
        <v>25.008131815575847</v>
      </c>
      <c r="H282" s="3074"/>
      <c r="I282" s="3075"/>
      <c r="J282" s="1529" t="str">
        <f t="shared" si="111"/>
        <v xml:space="preserve"> Type 3</v>
      </c>
      <c r="K282" s="130"/>
      <c r="L282" s="2829">
        <f t="shared" si="128"/>
        <v>4.1700000000000053</v>
      </c>
      <c r="M282" s="2840">
        <f t="shared" si="112"/>
        <v>8.3360439385252825</v>
      </c>
      <c r="N282" s="2831">
        <f t="shared" si="113"/>
        <v>1.9990513042027032</v>
      </c>
      <c r="O282" s="2824">
        <f t="shared" si="114"/>
        <v>1.9205118635273166</v>
      </c>
      <c r="P282" s="2829">
        <f t="shared" si="129"/>
        <v>3.7807677952909748</v>
      </c>
      <c r="Q282" s="2840">
        <f t="shared" si="115"/>
        <v>8.3360439385252825</v>
      </c>
      <c r="R282" s="2837">
        <f t="shared" si="116"/>
        <v>3.5417751552000052</v>
      </c>
      <c r="S282" s="1744">
        <f>'Calc-2'!AH41</f>
        <v>1.1626999999998884</v>
      </c>
      <c r="T282" s="103">
        <f t="shared" si="130"/>
        <v>3.7826055941194925</v>
      </c>
      <c r="U282" s="103">
        <f t="shared" si="131"/>
        <v>7.1695570125794124</v>
      </c>
      <c r="V282" s="103">
        <f t="shared" si="117"/>
        <v>2.1228728496635747</v>
      </c>
      <c r="W282" s="1647">
        <f t="shared" si="132"/>
        <v>2.9573820836184552</v>
      </c>
      <c r="X282" s="103">
        <f t="shared" si="133"/>
        <v>3.1052511877993783</v>
      </c>
      <c r="Y282" s="1647">
        <f t="shared" si="134"/>
        <v>9.2052511877993783</v>
      </c>
      <c r="Z282" s="123" t="str">
        <f>IF(Hydraulic!$W$234&gt;Y282,"ok","Not ok")</f>
        <v>ok</v>
      </c>
      <c r="AA282" s="1647">
        <f t="shared" si="135"/>
        <v>2.6900000000000013</v>
      </c>
      <c r="AB282" s="2524" t="str">
        <f t="shared" si="136"/>
        <v xml:space="preserve"> </v>
      </c>
      <c r="AC282" s="1658">
        <f t="shared" si="137"/>
        <v>0.26738208361845395</v>
      </c>
      <c r="AD282" s="505">
        <f t="shared" si="118"/>
        <v>3.5971223021582691E-2</v>
      </c>
      <c r="AE282" s="103">
        <f t="shared" si="138"/>
        <v>1.2163197721672373E-2</v>
      </c>
      <c r="AF282" s="1854" t="str">
        <f t="shared" si="139"/>
        <v>Type I</v>
      </c>
      <c r="AG282" s="1700">
        <f>VLOOKUP(V282,Table!$D$178:$G$212,2,TRUE)</f>
        <v>4.5999999999999996</v>
      </c>
      <c r="AH282" s="103">
        <f t="shared" si="140"/>
        <v>13.603957584644894</v>
      </c>
      <c r="AI282" s="1725" t="str">
        <f>VLOOKUP(V282,Table!$D$178:$G$212,4,TRUE)</f>
        <v>-</v>
      </c>
      <c r="AJ282" s="103" t="str">
        <f t="shared" si="141"/>
        <v>-</v>
      </c>
      <c r="AK282" s="1726" t="str">
        <f>VLOOKUP(V282,Table!$D$178:$G$212,3,TRUE)</f>
        <v>-</v>
      </c>
      <c r="AL282" s="103" t="str">
        <f t="shared" si="142"/>
        <v>-</v>
      </c>
      <c r="AM282" s="1769">
        <f t="shared" si="143"/>
        <v>0</v>
      </c>
      <c r="AN282" s="297">
        <f t="shared" si="144"/>
        <v>0</v>
      </c>
      <c r="AO282" s="442">
        <f t="shared" si="119"/>
        <v>0</v>
      </c>
      <c r="AP282" s="1773" t="str">
        <f>VLOOKUP(V282,Table!$D$178:$I$212,5,TRUE)</f>
        <v>-</v>
      </c>
      <c r="AQ282" s="441">
        <f t="shared" si="120"/>
        <v>0</v>
      </c>
      <c r="AR282" s="1769">
        <f t="shared" si="121"/>
        <v>0</v>
      </c>
      <c r="AS282" s="441">
        <f t="shared" si="122"/>
        <v>0</v>
      </c>
      <c r="AT282" s="441">
        <f t="shared" si="123"/>
        <v>0</v>
      </c>
      <c r="AU282" s="1785" t="str">
        <f>VLOOKUP(V282,Table!$D$178:$I$212,6,TRUE)</f>
        <v>-</v>
      </c>
      <c r="AV282" s="441">
        <f t="shared" si="145"/>
        <v>0</v>
      </c>
      <c r="AW282" s="103">
        <f t="shared" si="146"/>
        <v>0</v>
      </c>
      <c r="AX282" s="1786">
        <f t="shared" si="147"/>
        <v>0</v>
      </c>
      <c r="AY282" s="103">
        <f t="shared" si="148"/>
        <v>0</v>
      </c>
      <c r="BA282" s="1857">
        <f t="shared" si="149"/>
        <v>2.0840109846313206</v>
      </c>
      <c r="BB282" s="1858">
        <f t="shared" si="150"/>
        <v>2.9860402523251168</v>
      </c>
      <c r="BC282" s="1857">
        <f t="shared" si="151"/>
        <v>3.7325503154063959</v>
      </c>
      <c r="BD282" s="103">
        <f t="shared" si="124"/>
        <v>5.0700000000000056</v>
      </c>
      <c r="BE282" s="1858" t="str">
        <f t="shared" si="125"/>
        <v>-</v>
      </c>
      <c r="BG282" s="2846">
        <f t="shared" si="126"/>
        <v>0.20368023021582712</v>
      </c>
    </row>
    <row r="283" spans="1:59">
      <c r="A283" s="297">
        <f t="shared" si="127"/>
        <v>11.380000000000006</v>
      </c>
      <c r="B283" s="103">
        <f t="shared" si="106"/>
        <v>8.7900000000000009</v>
      </c>
      <c r="C283" s="505">
        <f t="shared" si="107"/>
        <v>4.3800000000000061</v>
      </c>
      <c r="D283" s="103">
        <f t="shared" si="108"/>
        <v>1.7900000000000009</v>
      </c>
      <c r="E283" s="298">
        <f t="shared" si="109"/>
        <v>0.41095890410958846</v>
      </c>
      <c r="F283" s="123">
        <f>VLOOKUP(E283,Table!$C$18:$D$31,2,TRUE)</f>
        <v>0.51200000000000001</v>
      </c>
      <c r="G283" s="1522">
        <f t="shared" si="110"/>
        <v>25.63009863761404</v>
      </c>
      <c r="H283" s="147"/>
      <c r="I283" s="3075"/>
      <c r="J283" s="1529" t="str">
        <f t="shared" si="111"/>
        <v xml:space="preserve"> Type 3</v>
      </c>
      <c r="K283" s="130"/>
      <c r="L283" s="2829">
        <f t="shared" si="128"/>
        <v>4.3800000000000061</v>
      </c>
      <c r="M283" s="2840">
        <f t="shared" si="112"/>
        <v>8.5433662125380128</v>
      </c>
      <c r="N283" s="2831">
        <f t="shared" si="113"/>
        <v>1.9505402311730595</v>
      </c>
      <c r="O283" s="2824">
        <f t="shared" si="114"/>
        <v>1.9522241433913397</v>
      </c>
      <c r="P283" s="2829">
        <f t="shared" si="129"/>
        <v>3.8283362150870093</v>
      </c>
      <c r="Q283" s="2840">
        <f t="shared" si="115"/>
        <v>8.5433662125380128</v>
      </c>
      <c r="R283" s="2837">
        <f t="shared" si="116"/>
        <v>3.720137932800005</v>
      </c>
      <c r="S283" s="1744">
        <f>'Calc-2'!AH42</f>
        <v>1.1861999999998858</v>
      </c>
      <c r="T283" s="103">
        <f t="shared" si="130"/>
        <v>3.8300889106365994</v>
      </c>
      <c r="U283" s="103">
        <f t="shared" si="131"/>
        <v>7.2022982739325876</v>
      </c>
      <c r="V283" s="103">
        <f t="shared" si="117"/>
        <v>2.1113373941738214</v>
      </c>
      <c r="W283" s="1647">
        <f t="shared" si="132"/>
        <v>2.9980685720929636</v>
      </c>
      <c r="X283" s="103">
        <f t="shared" si="133"/>
        <v>3.147972000697612</v>
      </c>
      <c r="Y283" s="1647">
        <f t="shared" si="134"/>
        <v>9.2479720006976116</v>
      </c>
      <c r="Z283" s="123" t="str">
        <f>IF(Hydraulic!$W$234&gt;Y283,"ok","Not ok")</f>
        <v>ok</v>
      </c>
      <c r="AA283" s="1647">
        <f t="shared" si="135"/>
        <v>2.6900000000000013</v>
      </c>
      <c r="AB283" s="2524" t="str">
        <f t="shared" si="136"/>
        <v xml:space="preserve"> </v>
      </c>
      <c r="AC283" s="1658">
        <f t="shared" si="137"/>
        <v>0.30806857209296235</v>
      </c>
      <c r="AD283" s="505">
        <f t="shared" si="118"/>
        <v>3.4246575342465703E-2</v>
      </c>
      <c r="AE283" s="103">
        <f t="shared" si="138"/>
        <v>1.1422879270088887E-2</v>
      </c>
      <c r="AF283" s="1854" t="str">
        <f t="shared" si="139"/>
        <v>Type I</v>
      </c>
      <c r="AG283" s="1700">
        <f>VLOOKUP(V283,Table!$D$178:$G$212,2,TRUE)</f>
        <v>4.5999999999999996</v>
      </c>
      <c r="AH283" s="103">
        <f t="shared" si="140"/>
        <v>13.791115431627631</v>
      </c>
      <c r="AI283" s="1725" t="str">
        <f>VLOOKUP(V283,Table!$D$178:$G$212,4,TRUE)</f>
        <v>-</v>
      </c>
      <c r="AJ283" s="103" t="str">
        <f t="shared" si="141"/>
        <v>-</v>
      </c>
      <c r="AK283" s="1726" t="str">
        <f>VLOOKUP(V283,Table!$D$178:$G$212,3,TRUE)</f>
        <v>-</v>
      </c>
      <c r="AL283" s="103" t="str">
        <f t="shared" si="142"/>
        <v>-</v>
      </c>
      <c r="AM283" s="1769">
        <f t="shared" si="143"/>
        <v>0</v>
      </c>
      <c r="AN283" s="297">
        <f t="shared" si="144"/>
        <v>0</v>
      </c>
      <c r="AO283" s="442">
        <f t="shared" si="119"/>
        <v>0</v>
      </c>
      <c r="AP283" s="1773" t="str">
        <f>VLOOKUP(V283,Table!$D$178:$I$212,5,TRUE)</f>
        <v>-</v>
      </c>
      <c r="AQ283" s="441">
        <f t="shared" si="120"/>
        <v>0</v>
      </c>
      <c r="AR283" s="1769">
        <f t="shared" si="121"/>
        <v>0</v>
      </c>
      <c r="AS283" s="441">
        <f t="shared" si="122"/>
        <v>0</v>
      </c>
      <c r="AT283" s="441">
        <f t="shared" si="123"/>
        <v>0</v>
      </c>
      <c r="AU283" s="1785" t="str">
        <f>VLOOKUP(V283,Table!$D$178:$I$212,6,TRUE)</f>
        <v>-</v>
      </c>
      <c r="AV283" s="441">
        <f t="shared" si="145"/>
        <v>0</v>
      </c>
      <c r="AW283" s="103">
        <f t="shared" si="146"/>
        <v>0</v>
      </c>
      <c r="AX283" s="1786">
        <f t="shared" si="147"/>
        <v>0</v>
      </c>
      <c r="AY283" s="103">
        <f t="shared" si="148"/>
        <v>0</v>
      </c>
      <c r="BA283" s="1857">
        <f t="shared" si="149"/>
        <v>2.1358415531345032</v>
      </c>
      <c r="BB283" s="1858">
        <f t="shared" si="150"/>
        <v>3.0353469741243004</v>
      </c>
      <c r="BC283" s="1857">
        <f t="shared" si="151"/>
        <v>3.7941837176553754</v>
      </c>
      <c r="BD283" s="103">
        <f t="shared" si="124"/>
        <v>5.2800000000000065</v>
      </c>
      <c r="BE283" s="1858" t="str">
        <f t="shared" si="125"/>
        <v>-</v>
      </c>
      <c r="BG283" s="2846">
        <f t="shared" si="126"/>
        <v>0.19391473972602713</v>
      </c>
    </row>
    <row r="284" spans="1:59">
      <c r="A284" s="297">
        <f t="shared" si="127"/>
        <v>11.590000000000007</v>
      </c>
      <c r="B284" s="103">
        <f t="shared" si="106"/>
        <v>8.7900000000000009</v>
      </c>
      <c r="C284" s="505">
        <f t="shared" si="107"/>
        <v>4.590000000000007</v>
      </c>
      <c r="D284" s="103">
        <f t="shared" si="108"/>
        <v>1.7900000000000009</v>
      </c>
      <c r="E284" s="298">
        <f t="shared" si="109"/>
        <v>0.39215686274509748</v>
      </c>
      <c r="F284" s="123">
        <f>VLOOKUP(E284,Table!$C$18:$D$31,2,TRUE)</f>
        <v>0.52600000000000002</v>
      </c>
      <c r="G284" s="1522">
        <f t="shared" si="110"/>
        <v>26.95475248757683</v>
      </c>
      <c r="H284" s="147"/>
      <c r="I284" s="58"/>
      <c r="J284" s="1529" t="str">
        <f t="shared" si="111"/>
        <v xml:space="preserve"> Type 3</v>
      </c>
      <c r="K284" s="130"/>
      <c r="L284" s="2829">
        <f t="shared" si="128"/>
        <v>4.590000000000007</v>
      </c>
      <c r="M284" s="2840">
        <f t="shared" si="112"/>
        <v>8.9849174958589426</v>
      </c>
      <c r="N284" s="2831">
        <f t="shared" si="113"/>
        <v>1.9574983651108777</v>
      </c>
      <c r="O284" s="2824">
        <f t="shared" si="114"/>
        <v>2.018922864875671</v>
      </c>
      <c r="P284" s="2829">
        <f t="shared" si="129"/>
        <v>3.9283842973135061</v>
      </c>
      <c r="Q284" s="2840">
        <f t="shared" si="115"/>
        <v>8.9849174958589426</v>
      </c>
      <c r="R284" s="2837">
        <f t="shared" si="116"/>
        <v>4.1146148016000064</v>
      </c>
      <c r="S284" s="1744">
        <f>'Calc-2'!AH43</f>
        <v>1.2356999999998803</v>
      </c>
      <c r="T284" s="103">
        <f t="shared" si="130"/>
        <v>3.9303545090552241</v>
      </c>
      <c r="U284" s="103">
        <f t="shared" si="131"/>
        <v>7.2711155586791394</v>
      </c>
      <c r="V284" s="103">
        <f t="shared" si="117"/>
        <v>2.0883823775866173</v>
      </c>
      <c r="W284" s="1647">
        <f t="shared" si="132"/>
        <v>3.0836195635460566</v>
      </c>
      <c r="X284" s="103">
        <f t="shared" si="133"/>
        <v>3.2378005417233595</v>
      </c>
      <c r="Y284" s="1647">
        <f t="shared" si="134"/>
        <v>9.3378005417233592</v>
      </c>
      <c r="Z284" s="123" t="str">
        <f>IF(Hydraulic!$W$234&gt;Y284,"ok","Not ok")</f>
        <v>ok</v>
      </c>
      <c r="AA284" s="1647">
        <f t="shared" si="135"/>
        <v>2.6900000000000013</v>
      </c>
      <c r="AB284" s="2524" t="str">
        <f t="shared" si="136"/>
        <v xml:space="preserve"> </v>
      </c>
      <c r="AC284" s="1658">
        <f t="shared" si="137"/>
        <v>0.39361956354605532</v>
      </c>
      <c r="AD284" s="505">
        <f t="shared" si="118"/>
        <v>3.2679738562091457E-2</v>
      </c>
      <c r="AE284" s="103">
        <f t="shared" si="138"/>
        <v>1.059785031474858E-2</v>
      </c>
      <c r="AF284" s="1854" t="str">
        <f t="shared" si="139"/>
        <v>Type I</v>
      </c>
      <c r="AG284" s="1700">
        <f>VLOOKUP(V284,Table!$D$178:$G$212,2,TRUE)</f>
        <v>4.5</v>
      </c>
      <c r="AH284" s="103">
        <f t="shared" si="140"/>
        <v>13.876288035957256</v>
      </c>
      <c r="AI284" s="1725" t="str">
        <f>VLOOKUP(V284,Table!$D$178:$G$212,4,TRUE)</f>
        <v>-</v>
      </c>
      <c r="AJ284" s="103" t="str">
        <f t="shared" si="141"/>
        <v>-</v>
      </c>
      <c r="AK284" s="1726" t="str">
        <f>VLOOKUP(V284,Table!$D$178:$G$212,3,TRUE)</f>
        <v>-</v>
      </c>
      <c r="AL284" s="103" t="str">
        <f t="shared" si="142"/>
        <v>-</v>
      </c>
      <c r="AM284" s="1769">
        <f t="shared" si="143"/>
        <v>0</v>
      </c>
      <c r="AN284" s="297">
        <f t="shared" si="144"/>
        <v>0</v>
      </c>
      <c r="AO284" s="442">
        <f t="shared" si="119"/>
        <v>0</v>
      </c>
      <c r="AP284" s="1773" t="str">
        <f>VLOOKUP(V284,Table!$D$178:$I$212,5,TRUE)</f>
        <v>-</v>
      </c>
      <c r="AQ284" s="441">
        <f t="shared" si="120"/>
        <v>0</v>
      </c>
      <c r="AR284" s="1769">
        <f t="shared" si="121"/>
        <v>0</v>
      </c>
      <c r="AS284" s="441">
        <f t="shared" si="122"/>
        <v>0</v>
      </c>
      <c r="AT284" s="441">
        <f t="shared" si="123"/>
        <v>0</v>
      </c>
      <c r="AU284" s="1785" t="str">
        <f>VLOOKUP(V284,Table!$D$178:$I$212,6,TRUE)</f>
        <v>-</v>
      </c>
      <c r="AV284" s="441">
        <f t="shared" si="145"/>
        <v>0</v>
      </c>
      <c r="AW284" s="103">
        <f t="shared" si="146"/>
        <v>0</v>
      </c>
      <c r="AX284" s="1786">
        <f t="shared" si="147"/>
        <v>0</v>
      </c>
      <c r="AY284" s="103">
        <f t="shared" si="148"/>
        <v>0</v>
      </c>
      <c r="BA284" s="1857">
        <f t="shared" si="149"/>
        <v>2.2462293739647357</v>
      </c>
      <c r="BB284" s="1858">
        <f t="shared" si="150"/>
        <v>3.1390511328505255</v>
      </c>
      <c r="BC284" s="1857">
        <f t="shared" si="151"/>
        <v>3.9238139160631569</v>
      </c>
      <c r="BD284" s="103">
        <f t="shared" si="124"/>
        <v>5.4900000000000073</v>
      </c>
      <c r="BE284" s="1858" t="str">
        <f t="shared" si="125"/>
        <v>-</v>
      </c>
      <c r="BG284" s="2846">
        <f t="shared" si="126"/>
        <v>0.19530070588235265</v>
      </c>
    </row>
    <row r="285" spans="1:59">
      <c r="A285" s="1519">
        <f>IF(J269=3,I272,IF(J269=1,IL+2*D,D97))</f>
        <v>11.8</v>
      </c>
      <c r="B285" s="138">
        <f t="shared" si="106"/>
        <v>8.7900000000000009</v>
      </c>
      <c r="C285" s="506">
        <f t="shared" si="107"/>
        <v>4.8000000000000007</v>
      </c>
      <c r="D285" s="138">
        <f t="shared" si="108"/>
        <v>1.7900000000000009</v>
      </c>
      <c r="E285" s="472">
        <f t="shared" si="109"/>
        <v>0.37499999999999994</v>
      </c>
      <c r="F285" s="104">
        <f>VLOOKUP(E285,Table!$C$18:$D$31,2,TRUE)</f>
        <v>0.52600000000000002</v>
      </c>
      <c r="G285" s="170">
        <f t="shared" si="110"/>
        <v>27.564468588023974</v>
      </c>
      <c r="H285" s="517" t="str">
        <f>IF(J269=1,"2D","HFL ")</f>
        <v xml:space="preserve">HFL </v>
      </c>
      <c r="I285" s="517"/>
      <c r="J285" s="1530" t="str">
        <f t="shared" si="111"/>
        <v xml:space="preserve"> Type 3</v>
      </c>
      <c r="K285" s="130"/>
      <c r="L285" s="2838">
        <f t="shared" si="128"/>
        <v>4.8000000000000007</v>
      </c>
      <c r="M285" s="2842">
        <f t="shared" si="112"/>
        <v>9.1881561960079914</v>
      </c>
      <c r="N285" s="121">
        <f t="shared" si="113"/>
        <v>1.9141992075016645</v>
      </c>
      <c r="O285" s="2822">
        <f t="shared" si="114"/>
        <v>2.0492545617285898</v>
      </c>
      <c r="P285" s="2838">
        <f t="shared" si="129"/>
        <v>3.9738818425928844</v>
      </c>
      <c r="Q285" s="2842">
        <f t="shared" si="115"/>
        <v>9.1881561960079914</v>
      </c>
      <c r="R285" s="2828">
        <f t="shared" si="116"/>
        <v>4.3028651520000025</v>
      </c>
      <c r="S285" s="1744">
        <f>'Calc-2'!AH44</f>
        <v>1.2583999999998778</v>
      </c>
      <c r="T285" s="138">
        <f t="shared" si="130"/>
        <v>3.9755919336519141</v>
      </c>
      <c r="U285" s="138">
        <f t="shared" si="131"/>
        <v>7.3014591513103015</v>
      </c>
      <c r="V285" s="138">
        <f t="shared" si="117"/>
        <v>2.0780969328041858</v>
      </c>
      <c r="W285" s="121">
        <f t="shared" si="132"/>
        <v>3.1222197255479078</v>
      </c>
      <c r="X285" s="138">
        <f t="shared" si="133"/>
        <v>3.2783307118253036</v>
      </c>
      <c r="Y285" s="121">
        <f t="shared" si="134"/>
        <v>9.3783307118253028</v>
      </c>
      <c r="Z285" s="104" t="str">
        <f>IF(Hydraulic!$W$234&gt;Y285,"ok","Not ok")</f>
        <v>ok</v>
      </c>
      <c r="AA285" s="121">
        <f t="shared" si="135"/>
        <v>2.6900000000000013</v>
      </c>
      <c r="AB285" s="2524" t="str">
        <f t="shared" si="136"/>
        <v xml:space="preserve"> </v>
      </c>
      <c r="AC285" s="1682">
        <f t="shared" si="137"/>
        <v>0.43221972554790655</v>
      </c>
      <c r="AD285" s="505">
        <f t="shared" si="118"/>
        <v>3.1249999999999997E-2</v>
      </c>
      <c r="AE285" s="103">
        <f t="shared" si="138"/>
        <v>1.0008904800739493E-2</v>
      </c>
      <c r="AF285" s="1854" t="str">
        <f t="shared" si="139"/>
        <v>Type I</v>
      </c>
      <c r="AG285" s="1700">
        <f>VLOOKUP(V285,Table!$D$178:$G$212,2,TRUE)</f>
        <v>4.5</v>
      </c>
      <c r="AH285" s="103">
        <f t="shared" si="140"/>
        <v>14.049988764965585</v>
      </c>
      <c r="AI285" s="1725" t="str">
        <f>VLOOKUP(V285,Table!$D$178:$G$212,4,TRUE)</f>
        <v>-</v>
      </c>
      <c r="AJ285" s="103" t="str">
        <f t="shared" si="141"/>
        <v>-</v>
      </c>
      <c r="AK285" s="1726" t="str">
        <f>VLOOKUP(V285,Table!$D$178:$G$212,3,TRUE)</f>
        <v>-</v>
      </c>
      <c r="AL285" s="103" t="str">
        <f t="shared" si="142"/>
        <v>-</v>
      </c>
      <c r="AM285" s="1769">
        <f t="shared" si="143"/>
        <v>0</v>
      </c>
      <c r="AN285" s="297">
        <f t="shared" si="144"/>
        <v>0</v>
      </c>
      <c r="AO285" s="442">
        <f t="shared" si="119"/>
        <v>0</v>
      </c>
      <c r="AP285" s="1773" t="str">
        <f>VLOOKUP(V285,Table!$D$178:$I$212,5,TRUE)</f>
        <v>-</v>
      </c>
      <c r="AQ285" s="441">
        <f t="shared" si="120"/>
        <v>0</v>
      </c>
      <c r="AR285" s="1769">
        <f t="shared" si="121"/>
        <v>0</v>
      </c>
      <c r="AS285" s="441">
        <f t="shared" si="122"/>
        <v>0</v>
      </c>
      <c r="AT285" s="441">
        <f t="shared" si="123"/>
        <v>0</v>
      </c>
      <c r="AU285" s="1785" t="str">
        <f>VLOOKUP(V285,Table!$D$178:$I$212,6,TRUE)</f>
        <v>-</v>
      </c>
      <c r="AV285" s="658">
        <f t="shared" si="145"/>
        <v>0</v>
      </c>
      <c r="AW285" s="103">
        <f t="shared" si="146"/>
        <v>0</v>
      </c>
      <c r="AX285" s="1786">
        <f t="shared" si="147"/>
        <v>0</v>
      </c>
      <c r="AY285" s="103">
        <f t="shared" si="148"/>
        <v>0</v>
      </c>
      <c r="BA285" s="353">
        <f t="shared" si="149"/>
        <v>2.2970390490019978</v>
      </c>
      <c r="BB285" s="170">
        <f t="shared" si="150"/>
        <v>3.1862113037633937</v>
      </c>
      <c r="BC285" s="1857">
        <f t="shared" si="151"/>
        <v>3.982764129704242</v>
      </c>
      <c r="BD285" s="103">
        <f t="shared" si="124"/>
        <v>5.7000000000000011</v>
      </c>
      <c r="BE285" s="1858" t="str">
        <f t="shared" si="125"/>
        <v>-</v>
      </c>
      <c r="BG285" s="2847">
        <f t="shared" si="126"/>
        <v>0.18675630000000001</v>
      </c>
    </row>
    <row r="286" spans="1:59">
      <c r="A286" s="505"/>
      <c r="B286" s="1514"/>
      <c r="C286" s="505"/>
      <c r="D286" s="1514"/>
      <c r="E286" s="298"/>
      <c r="F286" s="455" t="s">
        <v>1334</v>
      </c>
      <c r="G286" s="457">
        <f>MAX(G275:G285)</f>
        <v>27.564468588023974</v>
      </c>
      <c r="H286" s="16"/>
      <c r="I286" s="1517"/>
      <c r="J286" s="1517"/>
      <c r="K286" s="130"/>
      <c r="L286" s="457">
        <f t="shared" ref="L286" si="152">MAX(L275:L285)</f>
        <v>4.8000000000000007</v>
      </c>
      <c r="R286" s="172" t="s">
        <v>1652</v>
      </c>
      <c r="S286" s="1746">
        <f>MAX(S275:S285)</f>
        <v>1.2583999999998778</v>
      </c>
      <c r="T286" s="1732"/>
      <c r="U286" s="457">
        <f t="shared" ref="U286:X286" si="153">MAX(U275:U285)</f>
        <v>7.3014591513103015</v>
      </c>
      <c r="V286" s="457">
        <f t="shared" si="153"/>
        <v>2.2532316538054582</v>
      </c>
      <c r="W286" s="457">
        <f t="shared" si="153"/>
        <v>3.1222197255479078</v>
      </c>
      <c r="X286" s="457">
        <f t="shared" si="153"/>
        <v>3.2783307118253036</v>
      </c>
      <c r="Y286" s="1732"/>
      <c r="Z286" s="1732"/>
      <c r="AA286" s="1732"/>
      <c r="AB286" s="1732"/>
      <c r="AC286" s="1732"/>
      <c r="AD286" s="1732"/>
      <c r="AE286" s="457">
        <f>MAX(AE275:AE285)</f>
        <v>2.1712104276715129E-2</v>
      </c>
      <c r="AF286" s="455"/>
      <c r="AG286" s="531"/>
      <c r="AH286" s="457">
        <f>MAX(AH275:AH285)</f>
        <v>14.049988764965585</v>
      </c>
      <c r="AI286" s="101"/>
      <c r="AJ286" s="457">
        <f>MAX(AJ275:AJ285)</f>
        <v>0</v>
      </c>
      <c r="AK286" s="102"/>
      <c r="AL286" s="457">
        <f>MAX(AL275:AL285)</f>
        <v>0</v>
      </c>
      <c r="AM286" s="1812">
        <f>MAX(AM275:AM285)</f>
        <v>0</v>
      </c>
      <c r="AN286" s="1812">
        <f>MAX(AN275:AN285)</f>
        <v>0</v>
      </c>
      <c r="AO286" s="1542">
        <f t="shared" ref="AO286" si="154">MAX(AO275:AO285)</f>
        <v>0</v>
      </c>
      <c r="AP286" s="1812"/>
      <c r="AQ286" s="1811">
        <f t="shared" ref="AQ286" si="155">MAX(AQ275:AQ285)</f>
        <v>0</v>
      </c>
      <c r="AR286" s="1813">
        <f t="shared" ref="AR286" si="156">MAX(AR275:AR285)</f>
        <v>0</v>
      </c>
      <c r="AS286" s="1811">
        <f t="shared" ref="AS286" si="157">MAX(AS275:AS285)</f>
        <v>0</v>
      </c>
      <c r="AT286" s="1811">
        <f t="shared" ref="AT286:AY286" si="158">MAX(AT275:AT285)</f>
        <v>0</v>
      </c>
      <c r="AU286" s="1811">
        <f t="shared" si="158"/>
        <v>0</v>
      </c>
      <c r="AV286" s="1812">
        <f t="shared" si="158"/>
        <v>0</v>
      </c>
      <c r="AW286" s="1811">
        <f t="shared" si="158"/>
        <v>0</v>
      </c>
      <c r="AX286" s="1813">
        <f t="shared" si="158"/>
        <v>0</v>
      </c>
      <c r="AY286" s="1811">
        <f t="shared" si="158"/>
        <v>0</v>
      </c>
      <c r="BA286" s="1811">
        <f t="shared" ref="BA286:BD286" si="159">MAX(BA275:BA285)</f>
        <v>2.2970390490019978</v>
      </c>
      <c r="BB286" s="457">
        <f t="shared" si="159"/>
        <v>3.1862113037633937</v>
      </c>
      <c r="BC286" s="457">
        <f t="shared" si="159"/>
        <v>3.982764129704242</v>
      </c>
      <c r="BD286" s="457">
        <f t="shared" si="159"/>
        <v>5.7000000000000011</v>
      </c>
      <c r="BE286" s="1043">
        <f>MAX(BE275:BE285)</f>
        <v>0</v>
      </c>
    </row>
    <row r="287" spans="1:59">
      <c r="A287" s="505"/>
      <c r="B287" s="1514"/>
      <c r="C287" s="505"/>
      <c r="D287" s="1514"/>
      <c r="E287" s="298"/>
      <c r="F287" s="1514"/>
      <c r="G287" s="1514"/>
      <c r="H287" s="16"/>
      <c r="I287" s="1517"/>
      <c r="J287" s="1517"/>
      <c r="K287" s="130"/>
    </row>
    <row r="288" spans="1:59">
      <c r="A288" s="505"/>
      <c r="B288" s="1514"/>
      <c r="C288" s="505"/>
      <c r="D288" s="1514"/>
      <c r="E288" s="298"/>
      <c r="F288" s="1514"/>
      <c r="G288" s="1514"/>
      <c r="H288" s="16"/>
      <c r="I288" s="1517"/>
      <c r="J288" s="1517"/>
      <c r="K288" s="130"/>
    </row>
    <row r="289" spans="1:59" ht="14.25">
      <c r="A289" s="1543" t="s">
        <v>1529</v>
      </c>
      <c r="B289" s="1514"/>
      <c r="C289" s="27" t="s">
        <v>168</v>
      </c>
      <c r="D289" s="1" t="s">
        <v>1519</v>
      </c>
      <c r="E289" s="1"/>
      <c r="G289" s="187" t="s">
        <v>1537</v>
      </c>
      <c r="H289" s="16"/>
      <c r="J289" s="1517"/>
      <c r="K289" s="130"/>
    </row>
    <row r="290" spans="1:59">
      <c r="A290" s="1535"/>
      <c r="B290" s="2251" t="str">
        <f>"( Max possible Head Difference = "&amp;D97-(IL+D+0.2)&amp;" )"</f>
        <v>( Max possible Head Difference = 2.8 )</v>
      </c>
      <c r="D290" s="1514"/>
      <c r="E290" s="298"/>
      <c r="F290" s="113" t="s">
        <v>177</v>
      </c>
      <c r="G290" s="1544">
        <v>0.80200000000000005</v>
      </c>
      <c r="H290" s="1102" t="s">
        <v>971</v>
      </c>
      <c r="I290" s="1517"/>
      <c r="J290" s="1532"/>
      <c r="K290" s="130"/>
      <c r="N290" s="1841" t="str">
        <f>'Calc-2'!AQ26</f>
        <v>Flow Type 1 Completed</v>
      </c>
      <c r="O290" s="102"/>
      <c r="P290" s="93"/>
      <c r="Q290" s="1856">
        <f>Q270</f>
        <v>480088</v>
      </c>
      <c r="T290" s="1686"/>
      <c r="U290" s="1687"/>
      <c r="V290" s="1687"/>
      <c r="W290" s="1687"/>
      <c r="X290" s="1687"/>
      <c r="Y290" s="1687"/>
    </row>
    <row r="291" spans="1:59">
      <c r="A291" s="187" t="s">
        <v>1893</v>
      </c>
      <c r="B291" s="187"/>
      <c r="C291" s="2228"/>
      <c r="D291" s="298"/>
      <c r="E291" s="203"/>
      <c r="F291" s="187" t="s">
        <v>1894</v>
      </c>
      <c r="G291" s="16"/>
      <c r="H291" s="1102"/>
      <c r="I291" s="1532"/>
      <c r="J291" s="1532"/>
      <c r="K291" s="130"/>
      <c r="AX291" s="41" t="s">
        <v>1529</v>
      </c>
    </row>
    <row r="292" spans="1:59">
      <c r="A292" s="187" t="s">
        <v>994</v>
      </c>
      <c r="D292" s="577">
        <v>0.3</v>
      </c>
      <c r="E292" t="s">
        <v>5</v>
      </c>
      <c r="F292" s="187" t="s">
        <v>2021</v>
      </c>
      <c r="I292" s="742">
        <f>C15</f>
        <v>10</v>
      </c>
      <c r="J292" t="s">
        <v>155</v>
      </c>
      <c r="K292" s="130"/>
      <c r="L292" s="1543" t="s">
        <v>1529</v>
      </c>
      <c r="N292" s="207" t="s">
        <v>1659</v>
      </c>
      <c r="O292" s="126"/>
      <c r="P292" s="126"/>
      <c r="Q292" s="126"/>
      <c r="R292" s="126"/>
      <c r="S292" s="126"/>
      <c r="AD292" s="1543" t="s">
        <v>1529</v>
      </c>
    </row>
    <row r="293" spans="1:59">
      <c r="A293" s="187" t="s">
        <v>993</v>
      </c>
      <c r="D293" s="577">
        <v>3</v>
      </c>
      <c r="E293" t="s">
        <v>5</v>
      </c>
      <c r="F293" s="187" t="s">
        <v>2189</v>
      </c>
      <c r="I293" s="742">
        <f>F92</f>
        <v>1.8</v>
      </c>
      <c r="J293" t="s">
        <v>5</v>
      </c>
      <c r="K293" s="130"/>
    </row>
    <row r="294" spans="1:59">
      <c r="C294" s="46"/>
      <c r="D294" s="46"/>
      <c r="E294" s="46"/>
      <c r="F294" s="46"/>
      <c r="G294" s="46"/>
      <c r="H294" s="46"/>
      <c r="K294" s="130"/>
      <c r="AM294" s="3066" t="s">
        <v>61</v>
      </c>
      <c r="AN294" s="3067"/>
      <c r="AO294" s="3067"/>
      <c r="AP294" s="3066" t="s">
        <v>813</v>
      </c>
      <c r="AQ294" s="3067"/>
      <c r="AR294" s="3067"/>
      <c r="AS294" s="3067"/>
      <c r="AT294" s="3068"/>
      <c r="AU294" s="3069" t="s">
        <v>1694</v>
      </c>
      <c r="AV294" s="3070"/>
      <c r="AW294" s="3070"/>
      <c r="AX294" s="3070"/>
      <c r="AY294" s="3071"/>
      <c r="BA294" s="3066" t="s">
        <v>1715</v>
      </c>
      <c r="BB294" s="3067"/>
      <c r="BC294" s="3067"/>
      <c r="BD294" s="3067"/>
      <c r="BE294" s="3068"/>
    </row>
    <row r="295" spans="1:59" ht="38.25">
      <c r="A295" s="1524" t="s">
        <v>953</v>
      </c>
      <c r="B295" s="1689" t="s">
        <v>954</v>
      </c>
      <c r="C295" s="94" t="s">
        <v>186</v>
      </c>
      <c r="D295" s="94" t="s">
        <v>172</v>
      </c>
      <c r="E295" s="1527" t="s">
        <v>955</v>
      </c>
      <c r="F295" s="94" t="s">
        <v>461</v>
      </c>
      <c r="G295" s="3066" t="s">
        <v>676</v>
      </c>
      <c r="H295" s="3067"/>
      <c r="I295" s="3068"/>
      <c r="J295" s="381" t="s">
        <v>676</v>
      </c>
      <c r="K295" s="130"/>
      <c r="L295" s="1652" t="s">
        <v>1567</v>
      </c>
      <c r="M295" s="1604" t="s">
        <v>1568</v>
      </c>
      <c r="N295" s="1652" t="s">
        <v>1569</v>
      </c>
      <c r="O295" s="1656" t="s">
        <v>2176</v>
      </c>
      <c r="P295" s="2819" t="s">
        <v>2175</v>
      </c>
      <c r="Q295" s="1604" t="s">
        <v>1572</v>
      </c>
      <c r="R295" s="1652" t="s">
        <v>1573</v>
      </c>
      <c r="S295" s="1604" t="s">
        <v>807</v>
      </c>
      <c r="T295" s="1652" t="s">
        <v>1574</v>
      </c>
      <c r="U295" s="1652" t="s">
        <v>1575</v>
      </c>
      <c r="V295" s="1652" t="s">
        <v>458</v>
      </c>
      <c r="W295" s="1604" t="s">
        <v>1576</v>
      </c>
      <c r="X295" s="1652" t="s">
        <v>1577</v>
      </c>
      <c r="Y295" s="1605" t="s">
        <v>1578</v>
      </c>
      <c r="Z295" s="3085" t="s">
        <v>1588</v>
      </c>
      <c r="AA295" s="1605" t="s">
        <v>1595</v>
      </c>
      <c r="AB295" s="2526" t="s">
        <v>2024</v>
      </c>
      <c r="AC295" s="1784" t="s">
        <v>1649</v>
      </c>
      <c r="AD295" s="1655" t="s">
        <v>1590</v>
      </c>
      <c r="AE295" s="1727" t="s">
        <v>1667</v>
      </c>
      <c r="AF295" s="1817" t="s">
        <v>1614</v>
      </c>
      <c r="AG295" s="1685" t="s">
        <v>1647</v>
      </c>
      <c r="AH295" s="1697" t="s">
        <v>1648</v>
      </c>
      <c r="AI295" s="1685" t="s">
        <v>1663</v>
      </c>
      <c r="AJ295" s="1742" t="s">
        <v>1664</v>
      </c>
      <c r="AK295" s="1741" t="s">
        <v>1666</v>
      </c>
      <c r="AL295" s="1742" t="s">
        <v>1665</v>
      </c>
      <c r="AM295" s="1810" t="s">
        <v>1683</v>
      </c>
      <c r="AN295" s="1814" t="s">
        <v>1684</v>
      </c>
      <c r="AO295" s="1200" t="s">
        <v>1688</v>
      </c>
      <c r="AP295" s="1815" t="s">
        <v>1693</v>
      </c>
      <c r="AQ295" s="1781" t="s">
        <v>1695</v>
      </c>
      <c r="AR295" s="1809" t="s">
        <v>1684</v>
      </c>
      <c r="AS295" s="1816" t="s">
        <v>1686</v>
      </c>
      <c r="AT295" s="1816" t="s">
        <v>1688</v>
      </c>
      <c r="AU295" s="1609" t="s">
        <v>1692</v>
      </c>
      <c r="AV295" s="1781" t="s">
        <v>1695</v>
      </c>
      <c r="AW295" s="1809" t="s">
        <v>1684</v>
      </c>
      <c r="AX295" s="1821" t="s">
        <v>1686</v>
      </c>
      <c r="AY295" s="1784" t="s">
        <v>1688</v>
      </c>
      <c r="BA295" s="1864" t="s">
        <v>1713</v>
      </c>
      <c r="BB295" s="1862" t="s">
        <v>1714</v>
      </c>
      <c r="BC295" s="1865" t="s">
        <v>1716</v>
      </c>
      <c r="BD295" s="1866" t="s">
        <v>1718</v>
      </c>
      <c r="BE295" s="1867" t="s">
        <v>1717</v>
      </c>
      <c r="BG295" s="2843" t="s">
        <v>1570</v>
      </c>
    </row>
    <row r="296" spans="1:59">
      <c r="A296" s="156" t="s">
        <v>962</v>
      </c>
      <c r="B296" s="156" t="s">
        <v>962</v>
      </c>
      <c r="C296" s="104" t="s">
        <v>952</v>
      </c>
      <c r="D296" s="104" t="s">
        <v>952</v>
      </c>
      <c r="E296" s="77" t="s">
        <v>952</v>
      </c>
      <c r="F296" s="354" t="s">
        <v>179</v>
      </c>
      <c r="G296" s="77" t="s">
        <v>186</v>
      </c>
      <c r="H296" s="104" t="s">
        <v>172</v>
      </c>
      <c r="I296" s="172"/>
      <c r="J296" s="1530"/>
      <c r="K296" s="130"/>
      <c r="L296" s="1650" t="s">
        <v>5</v>
      </c>
      <c r="M296" s="1604" t="s">
        <v>201</v>
      </c>
      <c r="N296" s="1656" t="s">
        <v>206</v>
      </c>
      <c r="O296" s="2823" t="s">
        <v>5</v>
      </c>
      <c r="P296" s="2823" t="s">
        <v>5</v>
      </c>
      <c r="Q296" s="1604" t="s">
        <v>201</v>
      </c>
      <c r="R296" s="1650" t="s">
        <v>5</v>
      </c>
      <c r="S296" s="1655" t="s">
        <v>5</v>
      </c>
      <c r="T296" s="1650" t="s">
        <v>5</v>
      </c>
      <c r="U296" s="1650" t="s">
        <v>206</v>
      </c>
      <c r="V296" s="1650"/>
      <c r="W296" s="1655" t="s">
        <v>5</v>
      </c>
      <c r="X296" s="1650" t="s">
        <v>5</v>
      </c>
      <c r="Y296" s="1655" t="s">
        <v>155</v>
      </c>
      <c r="Z296" s="3086"/>
      <c r="AA296" s="1655" t="s">
        <v>5</v>
      </c>
      <c r="AB296" s="2517" t="s">
        <v>5</v>
      </c>
      <c r="AC296" s="1703" t="s">
        <v>5</v>
      </c>
      <c r="AD296" s="1690" t="s">
        <v>201</v>
      </c>
      <c r="AE296" s="1704" t="s">
        <v>206</v>
      </c>
      <c r="AF296" s="1656"/>
      <c r="AG296" s="101"/>
      <c r="AH296" s="256" t="s">
        <v>5</v>
      </c>
      <c r="AI296" s="101"/>
      <c r="AJ296" s="256" t="s">
        <v>5</v>
      </c>
      <c r="AK296" s="102"/>
      <c r="AL296" s="256" t="s">
        <v>5</v>
      </c>
      <c r="AM296" s="256" t="s">
        <v>5</v>
      </c>
      <c r="AN296" s="256" t="s">
        <v>5</v>
      </c>
      <c r="AO296" s="256" t="s">
        <v>5</v>
      </c>
      <c r="AP296" s="172"/>
      <c r="AQ296" s="256" t="s">
        <v>5</v>
      </c>
      <c r="AR296" s="1792" t="s">
        <v>5</v>
      </c>
      <c r="AS296" s="256" t="s">
        <v>5</v>
      </c>
      <c r="AT296" s="256" t="s">
        <v>5</v>
      </c>
      <c r="AU296" s="102"/>
      <c r="AV296" s="256" t="s">
        <v>5</v>
      </c>
      <c r="AW296" s="1792" t="s">
        <v>5</v>
      </c>
      <c r="AX296" s="1790" t="s">
        <v>5</v>
      </c>
      <c r="AY296" s="256" t="s">
        <v>5</v>
      </c>
      <c r="BA296" s="1861" t="s">
        <v>201</v>
      </c>
      <c r="BB296" s="1608" t="s">
        <v>5</v>
      </c>
      <c r="BC296" s="1608" t="s">
        <v>5</v>
      </c>
      <c r="BD296" s="1608" t="s">
        <v>5</v>
      </c>
      <c r="BE296" s="1608" t="s">
        <v>5</v>
      </c>
      <c r="BG296" s="2844" t="s">
        <v>5</v>
      </c>
    </row>
    <row r="297" spans="1:59">
      <c r="A297" s="1692">
        <f>I292+I293</f>
        <v>11.8</v>
      </c>
      <c r="B297" s="1692">
        <f>A297-D292</f>
        <v>11.5</v>
      </c>
      <c r="C297" s="103">
        <f t="shared" ref="C297:D307" si="160">A297-IL</f>
        <v>4.8000000000000007</v>
      </c>
      <c r="D297" s="441">
        <f t="shared" si="160"/>
        <v>4.5</v>
      </c>
      <c r="E297" s="505">
        <f t="shared" ref="E297:E307" si="161">A297-B297</f>
        <v>0.30000000000000071</v>
      </c>
      <c r="F297" s="103">
        <f t="shared" ref="F297:F318" si="162">$G$290*$D$271*(2*$C$18*E297)^0.5</f>
        <v>10.50698850170877</v>
      </c>
      <c r="G297" s="1698"/>
      <c r="H297" s="123"/>
      <c r="I297" s="147" t="str">
        <f t="shared" ref="I297:I307" si="163">IF(C297&gt;D297&gt;D,"ok","Not ok")</f>
        <v>ok</v>
      </c>
      <c r="J297" s="123" t="str">
        <f t="shared" ref="J297:J307" si="164">IF(C297&gt;D297&gt;$E$8,"Type 1","Flow Type 1 not valid")</f>
        <v>Type 1</v>
      </c>
      <c r="K297" s="130"/>
      <c r="L297" s="2829">
        <f t="shared" ref="L297:L307" si="165">C297</f>
        <v>4.8000000000000007</v>
      </c>
      <c r="M297" s="2841">
        <f t="shared" ref="M297:M318" si="166">F297/b</f>
        <v>3.5023295005695902</v>
      </c>
      <c r="N297" s="2834">
        <f t="shared" ref="N297:N307" si="167">M297/L297</f>
        <v>0.72965197928533121</v>
      </c>
      <c r="O297" s="473">
        <f t="shared" ref="O297:O318" si="168">((F297/$E$230)^2/$C$18)^(1/3)</f>
        <v>1.0773289550002338</v>
      </c>
      <c r="P297" s="2832">
        <f>1.5*O297+$I$44</f>
        <v>2.5159934325003506</v>
      </c>
      <c r="Q297" s="2841">
        <f t="shared" ref="Q297:Q318" si="169">F297/b</f>
        <v>3.5023295005695902</v>
      </c>
      <c r="R297" s="1256">
        <f t="shared" ref="R297:R307" si="170">Q297^2/(2*g)</f>
        <v>0.62519428800000176</v>
      </c>
      <c r="S297" s="1720">
        <f>'Calc-2'!AQ34</f>
        <v>0.56599999999995398</v>
      </c>
      <c r="T297" s="1695">
        <f t="shared" ref="T297:T307" si="171">S297+R297/S297^2</f>
        <v>2.5175610383451184</v>
      </c>
      <c r="U297" s="103">
        <f t="shared" ref="U297:U307" si="172">Q297/S297</f>
        <v>6.1878613084273413</v>
      </c>
      <c r="V297" s="103">
        <f t="shared" ref="V297:V307" si="173">U297/(g*S297)^0.5</f>
        <v>2.6260189261529527</v>
      </c>
      <c r="W297" s="368">
        <f t="shared" ref="W297:W307" si="174">0.5*((1+8*V297^2)^0.5-1)*S297</f>
        <v>1.8379486535070046</v>
      </c>
      <c r="X297" s="103">
        <f t="shared" ref="X297:X307" si="175">W297*1.05</f>
        <v>1.929846086182355</v>
      </c>
      <c r="Y297" s="1694">
        <f t="shared" ref="Y297:Y307" si="176">X297+$I$43</f>
        <v>8.0298460861823546</v>
      </c>
      <c r="Z297" s="123" t="str">
        <f>IF(Hydraulic!$W$234&gt;Y297,"ok","Not ok")</f>
        <v>ok</v>
      </c>
      <c r="AA297" s="1694">
        <f t="shared" ref="AA297:AA307" si="177">B297-$I$43</f>
        <v>5.4</v>
      </c>
      <c r="AB297" s="2524">
        <f>IF(AND(V297&gt;=2.5,V297&lt;=4.5),IF(X297&gt;AA297,"",AA297-X297),IF(W297&gt;AA297," ",AA297-W297))</f>
        <v>3.4701539138176454</v>
      </c>
      <c r="AC297" s="1743" t="str">
        <f>IF(AND(V297&gt;=2.5,V297&lt;=4.5),IF(X297&gt;AA297,X297-AA297,"no"),IF(W297&gt;AA297,W297-AA297,"no"))</f>
        <v>no</v>
      </c>
      <c r="AD297" s="1723">
        <f t="shared" ref="AD297:AD318" si="178">F297/$AB$233</f>
        <v>0.87558237514239756</v>
      </c>
      <c r="AE297" s="379">
        <f>AD297/W297</f>
        <v>0.47639109692846521</v>
      </c>
      <c r="AF297" s="1854" t="str">
        <f>IF(V297&lt;2.5,"Type I",IF(AND(V297&gt;=2.5,V297&lt;=4.5),"ERC","Type III"))</f>
        <v>ERC</v>
      </c>
      <c r="AG297" s="379">
        <f>VLOOKUP(V297,Table!$D$178:$G$212,2,TRUE)</f>
        <v>3.25</v>
      </c>
      <c r="AH297" s="379">
        <f t="shared" ref="AH297:AH307" si="179">AG297*W297</f>
        <v>5.9733331238977652</v>
      </c>
      <c r="AI297" s="248">
        <f>VLOOKUP(V297,Table!$D$178:$G$212,4,TRUE)</f>
        <v>1.37</v>
      </c>
      <c r="AJ297" s="103">
        <f>IF(V297&lt;2.5,"-",IF(AND(V297&gt;=2.5,V297&lt;=4.5),N(AI297)*W297,0.8*W297))</f>
        <v>2.5179896553045964</v>
      </c>
      <c r="AK297" s="252">
        <f>VLOOKUP(V297,Table!$D$178:$G$212,3,TRUE)</f>
        <v>2.75</v>
      </c>
      <c r="AL297" s="103">
        <f>IF(V297&lt;2.5,"-",IF(AND(V297&gt;=2.5,V297&lt;=4.5),N(AK297)*W297,"-"))</f>
        <v>5.0543587971442632</v>
      </c>
      <c r="AM297" s="1769">
        <f>IF(V297&lt;2.5,0,IF(AND(V297&gt;=2.5,V297&lt;=4.5),S297,S297))</f>
        <v>0.56599999999995398</v>
      </c>
      <c r="AN297" s="473">
        <f>IF(V297&lt;2.5,0,IF(AND(V297&gt;=2.5,V297&lt;=4.5),0.7*S297,S297))</f>
        <v>0.39619999999996774</v>
      </c>
      <c r="AO297" s="1723">
        <f t="shared" ref="AO297:AO318" si="180">IF(V297&lt;2.5,0,IF(AND(V297&gt;=2.5,V297&lt;=4.5),0.7*S297,S297))</f>
        <v>0.39619999999996774</v>
      </c>
      <c r="AP297" s="1786" t="str">
        <f>VLOOKUP(V297,Table!$D$178:$I$212,5,TRUE)</f>
        <v>-</v>
      </c>
      <c r="AQ297" s="441">
        <f t="shared" ref="AQ297:AQ307" si="181">IF(V297&lt;2.5,0,IF(AND(V297&gt;=2.5,V297&lt;=4.5),S297,S297*AP297))</f>
        <v>0.56599999999995398</v>
      </c>
      <c r="AR297" s="1785">
        <f t="shared" ref="AR297:AR307" si="182">IF(V297&lt;2.5,0,IF(AND(V297&gt;=2.5,V297&lt;=4.5),0.7*S297,S297*AP297*0.75))</f>
        <v>0.39619999999996774</v>
      </c>
      <c r="AS297" s="441">
        <f t="shared" ref="AS297:AS307" si="183">IF(V297&lt;2.5,0,IF(AND(V297&gt;=2.5,V297&lt;=4.5),0.2*S297,S297*AP297*0.2))</f>
        <v>0.11319999999999081</v>
      </c>
      <c r="AT297" s="441">
        <f t="shared" ref="AT297:AT307" si="184">IF(V297&lt;2.5,0,IF(AND(V297&gt;=2.5,V297&lt;=4.5),S297*0.7,S297*AP297*0.75))</f>
        <v>0.39619999999996774</v>
      </c>
      <c r="AU297" s="1785" t="str">
        <f>VLOOKUP(V297,Table!$D$178:$I$212,6,TRUE)</f>
        <v>-</v>
      </c>
      <c r="AV297" s="663">
        <f>IF(V297&lt;2.5,0,IF(AND(V297&gt;=2.5,V297&lt;=4.5),W297*0.2,S297*AU297))</f>
        <v>0.36758973070140094</v>
      </c>
      <c r="AW297" s="1789">
        <f>IF(V297&lt;2.5,0,IF(AND(V297&gt;=2.5,V297&lt;=4.5),W297*0.15,0))</f>
        <v>0.27569229802605066</v>
      </c>
      <c r="AX297" s="1786">
        <f>IF(V297&lt;2.5,0,IF(AND(V297&gt;=2.5,V297&lt;=4.5),AV297*0.15,0))</f>
        <v>5.513845960521014E-2</v>
      </c>
      <c r="AY297" s="103">
        <f>IF(V297&lt;2.5,0,IF(AND(V297&gt;=2.5,V297&lt;=4.5),W297*0.15,0))</f>
        <v>0.27569229802605066</v>
      </c>
      <c r="BA297" s="1859">
        <f>F297/$A$65</f>
        <v>0.87558237514239756</v>
      </c>
      <c r="BB297" s="1860">
        <f>(1.35*((BA297^2/$BB$231)^(1/3)))</f>
        <v>1.6750469943557817</v>
      </c>
      <c r="BC297" s="1859">
        <f>BB297*1.25</f>
        <v>2.0938087429447272</v>
      </c>
      <c r="BD297" s="379">
        <f t="shared" ref="BD297:BD307" si="185">A297-$D$43</f>
        <v>5.7000000000000011</v>
      </c>
      <c r="BE297" s="1860" t="str">
        <f t="shared" ref="BE297:BE307" si="186">IF(BD297&gt;BB297*1.25,"-",BB297*1.25-BD297)</f>
        <v>-</v>
      </c>
      <c r="BG297" s="2845">
        <f t="shared" ref="BG297:BG318" si="187">N297^2/2/g</f>
        <v>2.713516875000007E-2</v>
      </c>
    </row>
    <row r="298" spans="1:59">
      <c r="A298" s="1692">
        <f>+A297</f>
        <v>11.8</v>
      </c>
      <c r="B298" s="449">
        <f>B297-($D$293-$D$292)/10</f>
        <v>11.23</v>
      </c>
      <c r="C298" s="103">
        <f t="shared" si="160"/>
        <v>4.8000000000000007</v>
      </c>
      <c r="D298" s="441">
        <f t="shared" si="160"/>
        <v>4.2300000000000004</v>
      </c>
      <c r="E298" s="505">
        <f t="shared" si="161"/>
        <v>0.57000000000000028</v>
      </c>
      <c r="F298" s="103">
        <f t="shared" si="162"/>
        <v>14.482884174520494</v>
      </c>
      <c r="G298" s="1698"/>
      <c r="H298" s="123"/>
      <c r="I298" s="147" t="str">
        <f t="shared" si="163"/>
        <v>ok</v>
      </c>
      <c r="J298" s="123" t="str">
        <f t="shared" si="164"/>
        <v>Type 1</v>
      </c>
      <c r="K298" s="130"/>
      <c r="L298" s="1692">
        <f t="shared" si="165"/>
        <v>4.8000000000000007</v>
      </c>
      <c r="M298" s="2840">
        <f t="shared" si="166"/>
        <v>4.8276280581734978</v>
      </c>
      <c r="N298" s="2831">
        <f t="shared" si="167"/>
        <v>1.0057558454528119</v>
      </c>
      <c r="O298" s="2836">
        <f t="shared" si="168"/>
        <v>1.3343390602831262</v>
      </c>
      <c r="P298" s="2829">
        <f t="shared" ref="P298:P318" si="188">1.5*O298+$I$44</f>
        <v>2.9015085904246893</v>
      </c>
      <c r="Q298" s="2840">
        <f t="shared" si="169"/>
        <v>4.8276280581734978</v>
      </c>
      <c r="R298" s="2663">
        <f t="shared" si="170"/>
        <v>1.1878691472000009</v>
      </c>
      <c r="S298" s="1721">
        <f>'Calc-2'!AQ35</f>
        <v>0.74119999999993469</v>
      </c>
      <c r="T298" s="1693">
        <f t="shared" si="171"/>
        <v>2.9034095497772432</v>
      </c>
      <c r="U298" s="1693">
        <f t="shared" si="172"/>
        <v>6.5132596575471169</v>
      </c>
      <c r="V298" s="103">
        <f t="shared" si="173"/>
        <v>2.4154396056073266</v>
      </c>
      <c r="W298" s="368">
        <f t="shared" si="174"/>
        <v>2.1882792924206762</v>
      </c>
      <c r="X298" s="103">
        <f t="shared" si="175"/>
        <v>2.2976932570417099</v>
      </c>
      <c r="Y298" s="1694">
        <f t="shared" si="176"/>
        <v>8.3976932570417091</v>
      </c>
      <c r="Z298" s="123" t="str">
        <f>IF(Hydraulic!$W$234&gt;Y298,"ok","Not ok")</f>
        <v>ok</v>
      </c>
      <c r="AA298" s="1694">
        <f t="shared" si="177"/>
        <v>5.1300000000000008</v>
      </c>
      <c r="AB298" s="2524">
        <f t="shared" ref="AB298:AB318" si="189">IF(AND(V298&gt;=2.5,V298&lt;=4.5),IF(X298&gt;AA298,"",AA298-X298),IF(W298&gt;AA298," ",AA298-W298))</f>
        <v>2.9417207075793246</v>
      </c>
      <c r="AC298" s="1658" t="str">
        <f t="shared" ref="AC298:AC318" si="190">IF(AND(V298&gt;=2.5,V298&lt;=4.5),IF(X298&gt;AA298,X298-AA298,"no"),IF(W298&gt;AA298,W298-AA298,"no"))</f>
        <v>no</v>
      </c>
      <c r="AD298" s="1723">
        <f t="shared" si="178"/>
        <v>1.2069070145433745</v>
      </c>
      <c r="AE298" s="103">
        <f>AD298/W298</f>
        <v>0.55153243862591828</v>
      </c>
      <c r="AF298" s="1854" t="str">
        <f t="shared" ref="AF298:AF318" si="191">IF(V298&lt;2.5,"Type I",IF(AND(V298&gt;=2.5,V298&lt;=4.5),"ERC","Type III"))</f>
        <v>Type I</v>
      </c>
      <c r="AG298" s="103">
        <f>VLOOKUP(V298,Table!$D$178:$G$212,2,TRUE)</f>
        <v>4.9000000000000004</v>
      </c>
      <c r="AH298" s="103">
        <f t="shared" si="179"/>
        <v>10.722568532861315</v>
      </c>
      <c r="AI298" s="1725" t="str">
        <f>VLOOKUP(V298,Table!$D$178:$G$212,4,TRUE)</f>
        <v>-</v>
      </c>
      <c r="AJ298" s="103" t="str">
        <f t="shared" ref="AJ298:AJ318" si="192">IF(V298&lt;2.5,"-",IF(AND(V298&gt;=2.5,V298&lt;=4.5),N(AI298)*W298,0.8*W298))</f>
        <v>-</v>
      </c>
      <c r="AK298" s="1726" t="str">
        <f>VLOOKUP(V298,Table!$D$178:$G$212,3,TRUE)</f>
        <v>-</v>
      </c>
      <c r="AL298" s="103" t="str">
        <f t="shared" ref="AL298:AL318" si="193">IF(V298&lt;2.5,"-",IF(AND(V298&gt;=2.5,V298&lt;=4.5),N(AK298)*W298,"-"))</f>
        <v>-</v>
      </c>
      <c r="AM298" s="1769">
        <f t="shared" ref="AM298:AM307" si="194">IF(V298&lt;2.5,0,IF(AND(V298&gt;=2.5,V298&lt;=4.5),S298,S298))</f>
        <v>0</v>
      </c>
      <c r="AN298" s="297">
        <f t="shared" ref="AN298:AN307" si="195">IF(V298&lt;2.5,0,IF(AND(V298&gt;=2.5,V298&lt;=4.5),0.7*S298,S298))</f>
        <v>0</v>
      </c>
      <c r="AO298" s="442">
        <f t="shared" si="180"/>
        <v>0</v>
      </c>
      <c r="AP298" s="1786" t="str">
        <f>VLOOKUP(V298,Table!$D$178:$I$212,5,TRUE)</f>
        <v>-</v>
      </c>
      <c r="AQ298" s="441">
        <f t="shared" si="181"/>
        <v>0</v>
      </c>
      <c r="AR298" s="1785">
        <f t="shared" si="182"/>
        <v>0</v>
      </c>
      <c r="AS298" s="441">
        <f t="shared" si="183"/>
        <v>0</v>
      </c>
      <c r="AT298" s="441">
        <f t="shared" si="184"/>
        <v>0</v>
      </c>
      <c r="AU298" s="1785" t="str">
        <f>VLOOKUP(V298,Table!$D$178:$I$212,6,TRUE)</f>
        <v>-</v>
      </c>
      <c r="AV298" s="441">
        <f t="shared" ref="AV298:AV307" si="196">IF(V298&lt;2.5,0,IF(AND(V298&gt;=2.5,V298&lt;=4.5),W298*0.2,S298*AU298))</f>
        <v>0</v>
      </c>
      <c r="AW298" s="1787">
        <f t="shared" ref="AW298:AW307" si="197">IF(V298&lt;2.5,0,IF(AND(V298&gt;=2.5,V298&lt;=4.5),W298*0.15,0))</f>
        <v>0</v>
      </c>
      <c r="AX298" s="1786">
        <f t="shared" ref="AX298:AX307" si="198">IF(V298&lt;2.5,0,IF(AND(V298&gt;=2.5,V298&lt;=4.5),AV298*0.15,0))</f>
        <v>0</v>
      </c>
      <c r="AY298" s="103">
        <f t="shared" ref="AY298:AY307" si="199">IF(V298&lt;2.5,0,IF(AND(V298&gt;=2.5,V298&lt;=4.5),W298*0.15,0))</f>
        <v>0</v>
      </c>
      <c r="BA298" s="1857">
        <f t="shared" ref="BA298:BA318" si="200">F298/$A$65</f>
        <v>1.2069070145433745</v>
      </c>
      <c r="BB298" s="1858">
        <f t="shared" ref="BB298:BB318" si="201">(1.35*((BA298^2/$BB$231)^(1/3)))</f>
        <v>2.0746501075693109</v>
      </c>
      <c r="BC298" s="1857">
        <f t="shared" ref="BC298:BC318" si="202">BB298*1.25</f>
        <v>2.5933126344616388</v>
      </c>
      <c r="BD298" s="103">
        <f t="shared" si="185"/>
        <v>5.7000000000000011</v>
      </c>
      <c r="BE298" s="1858" t="str">
        <f t="shared" si="186"/>
        <v>-</v>
      </c>
      <c r="BG298" s="2848">
        <f t="shared" si="187"/>
        <v>5.1556820625000027E-2</v>
      </c>
    </row>
    <row r="299" spans="1:59" ht="12.75" customHeight="1">
      <c r="A299" s="2853">
        <f t="shared" ref="A299:A306" si="203">+A298</f>
        <v>11.8</v>
      </c>
      <c r="B299" s="449">
        <f t="shared" ref="B299:B306" si="204">B298-($D$293-$D$292)/10</f>
        <v>10.96</v>
      </c>
      <c r="C299" s="103">
        <f t="shared" si="160"/>
        <v>4.8000000000000007</v>
      </c>
      <c r="D299" s="441">
        <f t="shared" si="160"/>
        <v>3.9600000000000009</v>
      </c>
      <c r="E299" s="505">
        <f t="shared" si="161"/>
        <v>0.83999999999999986</v>
      </c>
      <c r="F299" s="103">
        <f t="shared" si="162"/>
        <v>17.581554557265751</v>
      </c>
      <c r="G299" s="3074" t="s">
        <v>2213</v>
      </c>
      <c r="H299" s="3074" t="str">
        <f>"Assuming max ΔH  = "&amp;D293&amp;" m,    H2 decrease from HFL to (near to) D "</f>
        <v xml:space="preserve">Assuming max ΔH  = 3 m,    H2 decrease from HFL to (near to) D </v>
      </c>
      <c r="I299" s="147" t="str">
        <f t="shared" si="163"/>
        <v>ok</v>
      </c>
      <c r="J299" s="123" t="str">
        <f t="shared" si="164"/>
        <v>Type 1</v>
      </c>
      <c r="K299" s="130"/>
      <c r="L299" s="1692">
        <f t="shared" si="165"/>
        <v>4.8000000000000007</v>
      </c>
      <c r="M299" s="2840">
        <f t="shared" si="166"/>
        <v>5.8605181857552502</v>
      </c>
      <c r="N299" s="2831">
        <f t="shared" si="167"/>
        <v>1.2209412886990103</v>
      </c>
      <c r="O299" s="2836">
        <f t="shared" si="168"/>
        <v>1.5184517957179871</v>
      </c>
      <c r="P299" s="2829">
        <f t="shared" si="188"/>
        <v>3.1776776935769804</v>
      </c>
      <c r="Q299" s="2840">
        <f t="shared" si="169"/>
        <v>5.8605181857552502</v>
      </c>
      <c r="R299" s="2663">
        <f t="shared" si="170"/>
        <v>1.7505440064000002</v>
      </c>
      <c r="S299" s="1721">
        <f>'Calc-2'!AQ36</f>
        <v>0.87079999999992042</v>
      </c>
      <c r="T299" s="1693">
        <f t="shared" si="171"/>
        <v>3.1793335582318982</v>
      </c>
      <c r="U299" s="1693">
        <f t="shared" si="172"/>
        <v>6.7300392578729742</v>
      </c>
      <c r="V299" s="103">
        <f t="shared" si="173"/>
        <v>2.3026285424452788</v>
      </c>
      <c r="W299" s="368">
        <f t="shared" si="174"/>
        <v>2.4335122067489423</v>
      </c>
      <c r="X299" s="103">
        <f t="shared" si="175"/>
        <v>2.5551878170863893</v>
      </c>
      <c r="Y299" s="1694">
        <f t="shared" si="176"/>
        <v>8.6551878170863894</v>
      </c>
      <c r="Z299" s="123" t="str">
        <f>IF(Hydraulic!$W$234&gt;Y299,"ok","Not ok")</f>
        <v>ok</v>
      </c>
      <c r="AA299" s="1694">
        <f t="shared" si="177"/>
        <v>4.8600000000000012</v>
      </c>
      <c r="AB299" s="2524">
        <f t="shared" si="189"/>
        <v>2.4264877932510589</v>
      </c>
      <c r="AC299" s="1658" t="str">
        <f t="shared" si="190"/>
        <v>no</v>
      </c>
      <c r="AD299" s="442">
        <f t="shared" si="178"/>
        <v>1.4651295464388125</v>
      </c>
      <c r="AE299" s="103">
        <f t="shared" ref="AE299:AE318" si="205">AD299/W299</f>
        <v>0.60206377530201771</v>
      </c>
      <c r="AF299" s="1854" t="str">
        <f t="shared" si="191"/>
        <v>Type I</v>
      </c>
      <c r="AG299" s="103">
        <f>VLOOKUP(V299,Table!$D$178:$G$212,2,TRUE)</f>
        <v>4.8</v>
      </c>
      <c r="AH299" s="103">
        <f t="shared" si="179"/>
        <v>11.680858592394923</v>
      </c>
      <c r="AI299" s="1725" t="str">
        <f>VLOOKUP(V299,Table!$D$178:$G$212,4,TRUE)</f>
        <v>-</v>
      </c>
      <c r="AJ299" s="103" t="str">
        <f t="shared" si="192"/>
        <v>-</v>
      </c>
      <c r="AK299" s="1726" t="str">
        <f>VLOOKUP(V299,Table!$D$178:$G$212,3,TRUE)</f>
        <v>-</v>
      </c>
      <c r="AL299" s="103" t="str">
        <f t="shared" si="193"/>
        <v>-</v>
      </c>
      <c r="AM299" s="1769">
        <f t="shared" si="194"/>
        <v>0</v>
      </c>
      <c r="AN299" s="297">
        <f t="shared" si="195"/>
        <v>0</v>
      </c>
      <c r="AO299" s="442">
        <f t="shared" si="180"/>
        <v>0</v>
      </c>
      <c r="AP299" s="1786" t="str">
        <f>VLOOKUP(V299,Table!$D$178:$I$212,5,TRUE)</f>
        <v>-</v>
      </c>
      <c r="AQ299" s="441">
        <f t="shared" si="181"/>
        <v>0</v>
      </c>
      <c r="AR299" s="1785">
        <f t="shared" si="182"/>
        <v>0</v>
      </c>
      <c r="AS299" s="441">
        <f t="shared" si="183"/>
        <v>0</v>
      </c>
      <c r="AT299" s="441">
        <f t="shared" si="184"/>
        <v>0</v>
      </c>
      <c r="AU299" s="1785" t="str">
        <f>VLOOKUP(V299,Table!$D$178:$I$212,6,TRUE)</f>
        <v>-</v>
      </c>
      <c r="AV299" s="441">
        <f t="shared" si="196"/>
        <v>0</v>
      </c>
      <c r="AW299" s="1787">
        <f t="shared" si="197"/>
        <v>0</v>
      </c>
      <c r="AX299" s="1786">
        <f t="shared" si="198"/>
        <v>0</v>
      </c>
      <c r="AY299" s="103">
        <f t="shared" si="199"/>
        <v>0</v>
      </c>
      <c r="BA299" s="1857">
        <f t="shared" si="200"/>
        <v>1.4651295464388125</v>
      </c>
      <c r="BB299" s="1858">
        <f t="shared" si="201"/>
        <v>2.3609113118945193</v>
      </c>
      <c r="BC299" s="1857">
        <f t="shared" si="202"/>
        <v>2.951139139868149</v>
      </c>
      <c r="BD299" s="103">
        <f t="shared" si="185"/>
        <v>5.7000000000000011</v>
      </c>
      <c r="BE299" s="1858" t="str">
        <f t="shared" si="186"/>
        <v>-</v>
      </c>
      <c r="BG299" s="2848">
        <f t="shared" si="187"/>
        <v>7.5978472500000005E-2</v>
      </c>
    </row>
    <row r="300" spans="1:59">
      <c r="A300" s="2853">
        <f t="shared" si="203"/>
        <v>11.8</v>
      </c>
      <c r="B300" s="449">
        <f t="shared" si="204"/>
        <v>10.690000000000001</v>
      </c>
      <c r="C300" s="103">
        <f t="shared" si="160"/>
        <v>4.8000000000000007</v>
      </c>
      <c r="D300" s="441">
        <f t="shared" si="160"/>
        <v>3.6900000000000013</v>
      </c>
      <c r="E300" s="505">
        <f t="shared" si="161"/>
        <v>1.1099999999999994</v>
      </c>
      <c r="F300" s="103">
        <f t="shared" si="162"/>
        <v>20.210595916193267</v>
      </c>
      <c r="G300" s="3074"/>
      <c r="H300" s="3074"/>
      <c r="I300" s="147" t="str">
        <f t="shared" si="163"/>
        <v>ok</v>
      </c>
      <c r="J300" s="123" t="str">
        <f t="shared" si="164"/>
        <v>Type 1</v>
      </c>
      <c r="K300" s="130"/>
      <c r="L300" s="1692">
        <f t="shared" si="165"/>
        <v>4.8000000000000007</v>
      </c>
      <c r="M300" s="2840">
        <f t="shared" si="166"/>
        <v>6.7368653053977559</v>
      </c>
      <c r="N300" s="2831">
        <f t="shared" si="167"/>
        <v>1.403513605291199</v>
      </c>
      <c r="O300" s="2836">
        <f t="shared" si="168"/>
        <v>1.6662835507951963</v>
      </c>
      <c r="P300" s="2829">
        <f t="shared" si="188"/>
        <v>3.3994253261927945</v>
      </c>
      <c r="Q300" s="2840">
        <f t="shared" si="169"/>
        <v>6.7368653053977559</v>
      </c>
      <c r="R300" s="2663">
        <f t="shared" si="170"/>
        <v>2.3132188655999997</v>
      </c>
      <c r="S300" s="1721">
        <f>'Calc-2'!AQ37</f>
        <v>0.97679999999990874</v>
      </c>
      <c r="T300" s="1693">
        <f t="shared" si="171"/>
        <v>3.4012064105431357</v>
      </c>
      <c r="U300" s="1693">
        <f t="shared" si="172"/>
        <v>6.8968727532743506</v>
      </c>
      <c r="V300" s="103">
        <f t="shared" si="173"/>
        <v>2.227998449183664</v>
      </c>
      <c r="W300" s="368">
        <f t="shared" si="174"/>
        <v>2.6278758682879562</v>
      </c>
      <c r="X300" s="103">
        <f t="shared" si="175"/>
        <v>2.759269661702354</v>
      </c>
      <c r="Y300" s="1694">
        <f t="shared" si="176"/>
        <v>8.8592696617023527</v>
      </c>
      <c r="Z300" s="123" t="str">
        <f>IF(Hydraulic!$W$234&gt;Y300,"ok","Not ok")</f>
        <v>ok</v>
      </c>
      <c r="AA300" s="1694">
        <f t="shared" si="177"/>
        <v>4.5900000000000016</v>
      </c>
      <c r="AB300" s="2524">
        <f t="shared" si="189"/>
        <v>1.9621241317120455</v>
      </c>
      <c r="AC300" s="1658" t="str">
        <f t="shared" si="190"/>
        <v>no</v>
      </c>
      <c r="AD300" s="442">
        <f t="shared" si="178"/>
        <v>1.684216326349439</v>
      </c>
      <c r="AE300" s="103">
        <f t="shared" si="205"/>
        <v>0.64090406501837349</v>
      </c>
      <c r="AF300" s="1854" t="str">
        <f t="shared" si="191"/>
        <v>Type I</v>
      </c>
      <c r="AG300" s="103">
        <f>VLOOKUP(V300,Table!$D$178:$G$212,2,TRUE)</f>
        <v>4.7</v>
      </c>
      <c r="AH300" s="103">
        <f t="shared" si="179"/>
        <v>12.351016580953395</v>
      </c>
      <c r="AI300" s="1725" t="str">
        <f>VLOOKUP(V300,Table!$D$178:$G$212,4,TRUE)</f>
        <v>-</v>
      </c>
      <c r="AJ300" s="103" t="str">
        <f t="shared" si="192"/>
        <v>-</v>
      </c>
      <c r="AK300" s="1726" t="str">
        <f>VLOOKUP(V300,Table!$D$178:$G$212,3,TRUE)</f>
        <v>-</v>
      </c>
      <c r="AL300" s="103" t="str">
        <f t="shared" si="193"/>
        <v>-</v>
      </c>
      <c r="AM300" s="1769">
        <f t="shared" si="194"/>
        <v>0</v>
      </c>
      <c r="AN300" s="297">
        <f t="shared" si="195"/>
        <v>0</v>
      </c>
      <c r="AO300" s="442">
        <f t="shared" si="180"/>
        <v>0</v>
      </c>
      <c r="AP300" s="1786" t="str">
        <f>VLOOKUP(V300,Table!$D$178:$I$212,5,TRUE)</f>
        <v>-</v>
      </c>
      <c r="AQ300" s="441">
        <f t="shared" si="181"/>
        <v>0</v>
      </c>
      <c r="AR300" s="1785">
        <f t="shared" si="182"/>
        <v>0</v>
      </c>
      <c r="AS300" s="441">
        <f t="shared" si="183"/>
        <v>0</v>
      </c>
      <c r="AT300" s="441">
        <f t="shared" si="184"/>
        <v>0</v>
      </c>
      <c r="AU300" s="1785" t="str">
        <f>VLOOKUP(V300,Table!$D$178:$I$212,6,TRUE)</f>
        <v>-</v>
      </c>
      <c r="AV300" s="441">
        <f t="shared" si="196"/>
        <v>0</v>
      </c>
      <c r="AW300" s="1787">
        <f t="shared" si="197"/>
        <v>0</v>
      </c>
      <c r="AX300" s="1786">
        <f t="shared" si="198"/>
        <v>0</v>
      </c>
      <c r="AY300" s="103">
        <f t="shared" si="199"/>
        <v>0</v>
      </c>
      <c r="BA300" s="1857">
        <f t="shared" si="200"/>
        <v>1.684216326349439</v>
      </c>
      <c r="BB300" s="1858">
        <f t="shared" si="201"/>
        <v>2.5907623113159226</v>
      </c>
      <c r="BC300" s="1857">
        <f t="shared" si="202"/>
        <v>3.2384528891449031</v>
      </c>
      <c r="BD300" s="103">
        <f t="shared" si="185"/>
        <v>5.7000000000000011</v>
      </c>
      <c r="BE300" s="1858" t="str">
        <f t="shared" si="186"/>
        <v>-</v>
      </c>
      <c r="BG300" s="2848">
        <f t="shared" si="187"/>
        <v>0.10040012437499997</v>
      </c>
    </row>
    <row r="301" spans="1:59">
      <c r="A301" s="2853">
        <f t="shared" si="203"/>
        <v>11.8</v>
      </c>
      <c r="B301" s="449">
        <f t="shared" si="204"/>
        <v>10.420000000000002</v>
      </c>
      <c r="C301" s="103">
        <f t="shared" si="160"/>
        <v>4.8000000000000007</v>
      </c>
      <c r="D301" s="441">
        <f t="shared" si="160"/>
        <v>3.4200000000000017</v>
      </c>
      <c r="E301" s="505">
        <f t="shared" si="161"/>
        <v>1.379999999999999</v>
      </c>
      <c r="F301" s="103">
        <f t="shared" si="162"/>
        <v>22.534979785328936</v>
      </c>
      <c r="G301" s="3074"/>
      <c r="H301" s="3074"/>
      <c r="I301" s="147" t="str">
        <f t="shared" si="163"/>
        <v>ok</v>
      </c>
      <c r="J301" s="123" t="str">
        <f t="shared" si="164"/>
        <v>Type 1</v>
      </c>
      <c r="K301" s="130"/>
      <c r="L301" s="1692">
        <f t="shared" si="165"/>
        <v>4.8000000000000007</v>
      </c>
      <c r="M301" s="2840">
        <f t="shared" si="166"/>
        <v>7.5116599284429784</v>
      </c>
      <c r="N301" s="2831">
        <f t="shared" si="167"/>
        <v>1.5649291517589536</v>
      </c>
      <c r="O301" s="2836">
        <f t="shared" si="168"/>
        <v>1.7917095544633528</v>
      </c>
      <c r="P301" s="2829">
        <f t="shared" si="188"/>
        <v>3.5875643316950292</v>
      </c>
      <c r="Q301" s="2840">
        <f t="shared" si="169"/>
        <v>7.5116599284429784</v>
      </c>
      <c r="R301" s="2663">
        <f t="shared" si="170"/>
        <v>2.8758937247999983</v>
      </c>
      <c r="S301" s="1721">
        <f>'Calc-2'!AQ38</f>
        <v>1.0679999999998988</v>
      </c>
      <c r="T301" s="1693">
        <f t="shared" si="171"/>
        <v>3.589333695240875</v>
      </c>
      <c r="U301" s="1693">
        <f t="shared" si="172"/>
        <v>7.0333894461083242</v>
      </c>
      <c r="V301" s="103">
        <f t="shared" si="173"/>
        <v>2.1729239932006355</v>
      </c>
      <c r="W301" s="368">
        <f t="shared" si="174"/>
        <v>2.7911005317236217</v>
      </c>
      <c r="X301" s="103">
        <f t="shared" si="175"/>
        <v>2.9306555583098031</v>
      </c>
      <c r="Y301" s="1694">
        <f t="shared" si="176"/>
        <v>9.0306555583098032</v>
      </c>
      <c r="Z301" s="123" t="str">
        <f>IF(Hydraulic!$W$234&gt;Y301,"ok","Not ok")</f>
        <v>ok</v>
      </c>
      <c r="AA301" s="1694">
        <f t="shared" si="177"/>
        <v>4.3200000000000021</v>
      </c>
      <c r="AB301" s="2524">
        <f t="shared" si="189"/>
        <v>1.5288994682763803</v>
      </c>
      <c r="AC301" s="1658" t="str">
        <f t="shared" si="190"/>
        <v>no</v>
      </c>
      <c r="AD301" s="442">
        <f t="shared" si="178"/>
        <v>1.8779149821107446</v>
      </c>
      <c r="AE301" s="103">
        <f t="shared" si="205"/>
        <v>0.67282240849671338</v>
      </c>
      <c r="AF301" s="1854" t="str">
        <f t="shared" si="191"/>
        <v>Type I</v>
      </c>
      <c r="AG301" s="103">
        <f>VLOOKUP(V301,Table!$D$178:$G$212,2,TRUE)</f>
        <v>4.5999999999999996</v>
      </c>
      <c r="AH301" s="103">
        <f t="shared" si="179"/>
        <v>12.83906244592866</v>
      </c>
      <c r="AI301" s="1725" t="str">
        <f>VLOOKUP(V301,Table!$D$178:$G$212,4,TRUE)</f>
        <v>-</v>
      </c>
      <c r="AJ301" s="103" t="str">
        <f t="shared" si="192"/>
        <v>-</v>
      </c>
      <c r="AK301" s="1726" t="str">
        <f>VLOOKUP(V301,Table!$D$178:$G$212,3,TRUE)</f>
        <v>-</v>
      </c>
      <c r="AL301" s="103" t="str">
        <f t="shared" si="193"/>
        <v>-</v>
      </c>
      <c r="AM301" s="1769">
        <f t="shared" si="194"/>
        <v>0</v>
      </c>
      <c r="AN301" s="297">
        <f t="shared" si="195"/>
        <v>0</v>
      </c>
      <c r="AO301" s="442">
        <f t="shared" si="180"/>
        <v>0</v>
      </c>
      <c r="AP301" s="1786" t="str">
        <f>VLOOKUP(V301,Table!$D$178:$I$212,5,TRUE)</f>
        <v>-</v>
      </c>
      <c r="AQ301" s="441">
        <f t="shared" si="181"/>
        <v>0</v>
      </c>
      <c r="AR301" s="1785">
        <f t="shared" si="182"/>
        <v>0</v>
      </c>
      <c r="AS301" s="441">
        <f t="shared" si="183"/>
        <v>0</v>
      </c>
      <c r="AT301" s="441">
        <f t="shared" si="184"/>
        <v>0</v>
      </c>
      <c r="AU301" s="1785" t="str">
        <f>VLOOKUP(V301,Table!$D$178:$I$212,6,TRUE)</f>
        <v>-</v>
      </c>
      <c r="AV301" s="441">
        <f t="shared" si="196"/>
        <v>0</v>
      </c>
      <c r="AW301" s="1787">
        <f t="shared" si="197"/>
        <v>0</v>
      </c>
      <c r="AX301" s="1786">
        <f t="shared" si="198"/>
        <v>0</v>
      </c>
      <c r="AY301" s="103">
        <f t="shared" si="199"/>
        <v>0</v>
      </c>
      <c r="BA301" s="1857">
        <f t="shared" si="200"/>
        <v>1.8779149821107446</v>
      </c>
      <c r="BB301" s="1858">
        <f t="shared" si="201"/>
        <v>2.7857765170358055</v>
      </c>
      <c r="BC301" s="1857">
        <f t="shared" si="202"/>
        <v>3.4822206462947571</v>
      </c>
      <c r="BD301" s="103">
        <f t="shared" si="185"/>
        <v>5.7000000000000011</v>
      </c>
      <c r="BE301" s="1858" t="str">
        <f t="shared" si="186"/>
        <v>-</v>
      </c>
      <c r="BG301" s="2848">
        <f t="shared" si="187"/>
        <v>0.12482177624999991</v>
      </c>
    </row>
    <row r="302" spans="1:59">
      <c r="A302" s="2853">
        <f t="shared" si="203"/>
        <v>11.8</v>
      </c>
      <c r="B302" s="449">
        <f t="shared" si="204"/>
        <v>10.150000000000002</v>
      </c>
      <c r="C302" s="103">
        <f t="shared" si="160"/>
        <v>4.8000000000000007</v>
      </c>
      <c r="D302" s="441">
        <f t="shared" si="160"/>
        <v>3.1500000000000021</v>
      </c>
      <c r="E302" s="505">
        <f t="shared" si="161"/>
        <v>1.6499999999999986</v>
      </c>
      <c r="F302" s="103">
        <f t="shared" si="162"/>
        <v>24.641072228349149</v>
      </c>
      <c r="G302" s="3074"/>
      <c r="H302" s="3074"/>
      <c r="I302" s="147" t="str">
        <f t="shared" si="163"/>
        <v>ok</v>
      </c>
      <c r="J302" s="123" t="str">
        <f t="shared" si="164"/>
        <v>Type 1</v>
      </c>
      <c r="K302" s="130"/>
      <c r="L302" s="1692">
        <f t="shared" si="165"/>
        <v>4.8000000000000007</v>
      </c>
      <c r="M302" s="2840">
        <f t="shared" si="166"/>
        <v>8.213690742783049</v>
      </c>
      <c r="N302" s="2831">
        <f t="shared" si="167"/>
        <v>1.711185571413135</v>
      </c>
      <c r="O302" s="2836">
        <f t="shared" si="168"/>
        <v>1.9016732414418189</v>
      </c>
      <c r="P302" s="2829">
        <f t="shared" si="188"/>
        <v>3.7525098621627282</v>
      </c>
      <c r="Q302" s="2840">
        <f t="shared" si="169"/>
        <v>8.213690742783049</v>
      </c>
      <c r="R302" s="2663">
        <f t="shared" si="170"/>
        <v>3.4385685839999973</v>
      </c>
      <c r="S302" s="1721">
        <f>'Calc-2'!AQ39</f>
        <v>1.1487999999998899</v>
      </c>
      <c r="T302" s="1693">
        <f t="shared" si="171"/>
        <v>3.7542865595495059</v>
      </c>
      <c r="U302" s="1693">
        <f t="shared" si="172"/>
        <v>7.1498004376600246</v>
      </c>
      <c r="V302" s="103">
        <f t="shared" si="173"/>
        <v>2.1297920568319517</v>
      </c>
      <c r="W302" s="368">
        <f t="shared" si="174"/>
        <v>2.9331158158505253</v>
      </c>
      <c r="X302" s="103">
        <f t="shared" si="175"/>
        <v>3.0797716066430518</v>
      </c>
      <c r="Y302" s="1694">
        <f t="shared" si="176"/>
        <v>9.179771606643051</v>
      </c>
      <c r="Z302" s="123" t="str">
        <f>IF(Hydraulic!$W$234&gt;Y302,"ok","Not ok")</f>
        <v>ok</v>
      </c>
      <c r="AA302" s="1694">
        <f t="shared" si="177"/>
        <v>4.0500000000000025</v>
      </c>
      <c r="AB302" s="2524">
        <f t="shared" si="189"/>
        <v>1.1168841841494772</v>
      </c>
      <c r="AC302" s="1658" t="str">
        <f t="shared" si="190"/>
        <v>no</v>
      </c>
      <c r="AD302" s="442">
        <f t="shared" si="178"/>
        <v>2.0534226856957623</v>
      </c>
      <c r="AE302" s="103">
        <f t="shared" si="205"/>
        <v>0.70008237472216028</v>
      </c>
      <c r="AF302" s="1854" t="str">
        <f t="shared" si="191"/>
        <v>Type I</v>
      </c>
      <c r="AG302" s="103">
        <f>VLOOKUP(V302,Table!$D$178:$G$212,2,TRUE)</f>
        <v>4.5999999999999996</v>
      </c>
      <c r="AH302" s="103">
        <f t="shared" si="179"/>
        <v>13.492332752912414</v>
      </c>
      <c r="AI302" s="1725" t="str">
        <f>VLOOKUP(V302,Table!$D$178:$G$212,4,TRUE)</f>
        <v>-</v>
      </c>
      <c r="AJ302" s="103" t="str">
        <f t="shared" si="192"/>
        <v>-</v>
      </c>
      <c r="AK302" s="1726" t="str">
        <f>VLOOKUP(V302,Table!$D$178:$G$212,3,TRUE)</f>
        <v>-</v>
      </c>
      <c r="AL302" s="103" t="str">
        <f t="shared" si="193"/>
        <v>-</v>
      </c>
      <c r="AM302" s="1769">
        <f t="shared" si="194"/>
        <v>0</v>
      </c>
      <c r="AN302" s="297">
        <f t="shared" si="195"/>
        <v>0</v>
      </c>
      <c r="AO302" s="442">
        <f t="shared" si="180"/>
        <v>0</v>
      </c>
      <c r="AP302" s="1786" t="str">
        <f>VLOOKUP(V302,Table!$D$178:$I$212,5,TRUE)</f>
        <v>-</v>
      </c>
      <c r="AQ302" s="441">
        <f t="shared" si="181"/>
        <v>0</v>
      </c>
      <c r="AR302" s="1785">
        <f t="shared" si="182"/>
        <v>0</v>
      </c>
      <c r="AS302" s="441">
        <f t="shared" si="183"/>
        <v>0</v>
      </c>
      <c r="AT302" s="441">
        <f t="shared" si="184"/>
        <v>0</v>
      </c>
      <c r="AU302" s="1785" t="str">
        <f>VLOOKUP(V302,Table!$D$178:$I$212,6,TRUE)</f>
        <v>-</v>
      </c>
      <c r="AV302" s="441">
        <f t="shared" si="196"/>
        <v>0</v>
      </c>
      <c r="AW302" s="1787">
        <f t="shared" si="197"/>
        <v>0</v>
      </c>
      <c r="AX302" s="1786">
        <f t="shared" si="198"/>
        <v>0</v>
      </c>
      <c r="AY302" s="103">
        <f t="shared" si="199"/>
        <v>0</v>
      </c>
      <c r="BA302" s="1857">
        <f t="shared" si="200"/>
        <v>2.0534226856957623</v>
      </c>
      <c r="BB302" s="1858">
        <f t="shared" si="201"/>
        <v>2.9567496840584258</v>
      </c>
      <c r="BC302" s="1857">
        <f t="shared" si="202"/>
        <v>3.6959371050730323</v>
      </c>
      <c r="BD302" s="103">
        <f t="shared" si="185"/>
        <v>5.7000000000000011</v>
      </c>
      <c r="BE302" s="1858" t="str">
        <f t="shared" si="186"/>
        <v>-</v>
      </c>
      <c r="BG302" s="2848">
        <f t="shared" si="187"/>
        <v>0.14924342812499986</v>
      </c>
    </row>
    <row r="303" spans="1:59">
      <c r="A303" s="2853">
        <f t="shared" si="203"/>
        <v>11.8</v>
      </c>
      <c r="B303" s="449">
        <f t="shared" si="204"/>
        <v>9.8800000000000026</v>
      </c>
      <c r="C303" s="103">
        <f t="shared" si="160"/>
        <v>4.8000000000000007</v>
      </c>
      <c r="D303" s="441">
        <f t="shared" si="160"/>
        <v>2.8800000000000026</v>
      </c>
      <c r="E303" s="505">
        <f t="shared" si="161"/>
        <v>1.9199999999999982</v>
      </c>
      <c r="F303" s="103">
        <f t="shared" si="162"/>
        <v>26.580812011679694</v>
      </c>
      <c r="G303" s="3074"/>
      <c r="H303" s="3074"/>
      <c r="I303" s="147" t="str">
        <f t="shared" si="163"/>
        <v>ok</v>
      </c>
      <c r="J303" s="123" t="str">
        <f t="shared" si="164"/>
        <v>Type 1</v>
      </c>
      <c r="K303" s="130"/>
      <c r="L303" s="1692">
        <f t="shared" si="165"/>
        <v>4.8000000000000007</v>
      </c>
      <c r="M303" s="2840">
        <f t="shared" si="166"/>
        <v>8.8602706705598973</v>
      </c>
      <c r="N303" s="2831">
        <f t="shared" si="167"/>
        <v>1.8458897230333116</v>
      </c>
      <c r="O303" s="2836">
        <f t="shared" si="168"/>
        <v>2.0002072190627209</v>
      </c>
      <c r="P303" s="2829">
        <f t="shared" si="188"/>
        <v>3.9003108285940811</v>
      </c>
      <c r="Q303" s="2840">
        <f t="shared" si="169"/>
        <v>8.8602706705598973</v>
      </c>
      <c r="R303" s="2663">
        <f t="shared" si="170"/>
        <v>4.0012434431999964</v>
      </c>
      <c r="S303" s="1721">
        <f>'Calc-2'!AQ40</f>
        <v>1.2217999999998819</v>
      </c>
      <c r="T303" s="1693">
        <f t="shared" si="171"/>
        <v>3.9021699100759415</v>
      </c>
      <c r="U303" s="1693">
        <f t="shared" si="172"/>
        <v>7.2518175401544882</v>
      </c>
      <c r="V303" s="103">
        <f t="shared" si="173"/>
        <v>2.0946540432188683</v>
      </c>
      <c r="W303" s="368">
        <f t="shared" si="174"/>
        <v>3.0596180335373391</v>
      </c>
      <c r="X303" s="103">
        <f t="shared" si="175"/>
        <v>3.2125989352142064</v>
      </c>
      <c r="Y303" s="1694">
        <f t="shared" si="176"/>
        <v>9.312598935214206</v>
      </c>
      <c r="Z303" s="123" t="str">
        <f>IF(Hydraulic!$W$234&gt;Y303,"ok","Not ok")</f>
        <v>ok</v>
      </c>
      <c r="AA303" s="1694">
        <f t="shared" si="177"/>
        <v>3.7800000000000029</v>
      </c>
      <c r="AB303" s="2524">
        <f t="shared" si="189"/>
        <v>0.72038196646266384</v>
      </c>
      <c r="AC303" s="1658" t="str">
        <f t="shared" si="190"/>
        <v>no</v>
      </c>
      <c r="AD303" s="442">
        <f t="shared" si="178"/>
        <v>2.2150676676399743</v>
      </c>
      <c r="AE303" s="103">
        <f t="shared" si="205"/>
        <v>0.7239686926145652</v>
      </c>
      <c r="AF303" s="1854" t="str">
        <f t="shared" si="191"/>
        <v>Type I</v>
      </c>
      <c r="AG303" s="103">
        <f>VLOOKUP(V303,Table!$D$178:$G$212,2,TRUE)</f>
        <v>4.5</v>
      </c>
      <c r="AH303" s="103">
        <f t="shared" si="179"/>
        <v>13.768281150918027</v>
      </c>
      <c r="AI303" s="1725" t="str">
        <f>VLOOKUP(V303,Table!$D$178:$G$212,4,TRUE)</f>
        <v>-</v>
      </c>
      <c r="AJ303" s="103" t="str">
        <f t="shared" si="192"/>
        <v>-</v>
      </c>
      <c r="AK303" s="1726" t="str">
        <f>VLOOKUP(V303,Table!$D$178:$G$212,3,TRUE)</f>
        <v>-</v>
      </c>
      <c r="AL303" s="103" t="str">
        <f t="shared" si="193"/>
        <v>-</v>
      </c>
      <c r="AM303" s="1769">
        <f t="shared" si="194"/>
        <v>0</v>
      </c>
      <c r="AN303" s="297">
        <f t="shared" si="195"/>
        <v>0</v>
      </c>
      <c r="AO303" s="442">
        <f t="shared" si="180"/>
        <v>0</v>
      </c>
      <c r="AP303" s="1786" t="str">
        <f>VLOOKUP(V303,Table!$D$178:$I$212,5,TRUE)</f>
        <v>-</v>
      </c>
      <c r="AQ303" s="441">
        <f t="shared" si="181"/>
        <v>0</v>
      </c>
      <c r="AR303" s="1785">
        <f t="shared" si="182"/>
        <v>0</v>
      </c>
      <c r="AS303" s="441">
        <f t="shared" si="183"/>
        <v>0</v>
      </c>
      <c r="AT303" s="441">
        <f t="shared" si="184"/>
        <v>0</v>
      </c>
      <c r="AU303" s="1785" t="str">
        <f>VLOOKUP(V303,Table!$D$178:$I$212,6,TRUE)</f>
        <v>-</v>
      </c>
      <c r="AV303" s="441">
        <f t="shared" si="196"/>
        <v>0</v>
      </c>
      <c r="AW303" s="1787">
        <f t="shared" si="197"/>
        <v>0</v>
      </c>
      <c r="AX303" s="1786">
        <f t="shared" si="198"/>
        <v>0</v>
      </c>
      <c r="AY303" s="103">
        <f t="shared" si="199"/>
        <v>0</v>
      </c>
      <c r="BA303" s="1857">
        <f t="shared" si="200"/>
        <v>2.2150676676399743</v>
      </c>
      <c r="BB303" s="1858">
        <f t="shared" si="201"/>
        <v>3.1099517699113739</v>
      </c>
      <c r="BC303" s="1857">
        <f t="shared" si="202"/>
        <v>3.8874397123892175</v>
      </c>
      <c r="BD303" s="103">
        <f t="shared" si="185"/>
        <v>5.7000000000000011</v>
      </c>
      <c r="BE303" s="1858" t="str">
        <f t="shared" si="186"/>
        <v>-</v>
      </c>
      <c r="BG303" s="2848">
        <f t="shared" si="187"/>
        <v>0.17366507999999978</v>
      </c>
    </row>
    <row r="304" spans="1:59">
      <c r="A304" s="2853">
        <f t="shared" si="203"/>
        <v>11.8</v>
      </c>
      <c r="B304" s="449">
        <f t="shared" si="204"/>
        <v>9.610000000000003</v>
      </c>
      <c r="C304" s="449">
        <f t="shared" si="160"/>
        <v>4.8000000000000007</v>
      </c>
      <c r="D304" s="447">
        <f t="shared" si="160"/>
        <v>2.610000000000003</v>
      </c>
      <c r="E304" s="1728">
        <f t="shared" si="161"/>
        <v>2.1899999999999977</v>
      </c>
      <c r="F304" s="103">
        <f t="shared" si="162"/>
        <v>28.388319672671564</v>
      </c>
      <c r="G304" s="3074"/>
      <c r="H304" s="3074"/>
      <c r="I304" s="147" t="str">
        <f t="shared" si="163"/>
        <v>ok</v>
      </c>
      <c r="J304" s="123" t="str">
        <f t="shared" si="164"/>
        <v>Type 1</v>
      </c>
      <c r="K304" s="130"/>
      <c r="L304" s="1692">
        <f t="shared" si="165"/>
        <v>4.8000000000000007</v>
      </c>
      <c r="M304" s="2840">
        <f t="shared" si="166"/>
        <v>9.462773224223854</v>
      </c>
      <c r="N304" s="2831">
        <f t="shared" si="167"/>
        <v>1.9714110883799694</v>
      </c>
      <c r="O304" s="2836">
        <f t="shared" si="168"/>
        <v>2.089886107878383</v>
      </c>
      <c r="P304" s="2829">
        <f t="shared" si="188"/>
        <v>4.0348291618175747</v>
      </c>
      <c r="Q304" s="2840">
        <f t="shared" si="169"/>
        <v>9.462773224223854</v>
      </c>
      <c r="R304" s="2663">
        <f t="shared" si="170"/>
        <v>4.5639183023999959</v>
      </c>
      <c r="S304" s="1721">
        <f>'Calc-2'!AQ41</f>
        <v>1.2886999999998745</v>
      </c>
      <c r="T304" s="1693">
        <f t="shared" si="171"/>
        <v>4.0368105828909364</v>
      </c>
      <c r="U304" s="1693">
        <f t="shared" si="172"/>
        <v>7.342882924051195</v>
      </c>
      <c r="V304" s="103">
        <f t="shared" si="173"/>
        <v>2.065171798831543</v>
      </c>
      <c r="W304" s="368">
        <f t="shared" si="174"/>
        <v>3.174176856679924</v>
      </c>
      <c r="X304" s="103">
        <f t="shared" si="175"/>
        <v>3.3328856995139202</v>
      </c>
      <c r="Y304" s="1694">
        <f t="shared" si="176"/>
        <v>9.4328856995139194</v>
      </c>
      <c r="Z304" s="123" t="str">
        <f>IF(Hydraulic!$W$234&gt;Y304,"ok","Not ok")</f>
        <v>ok</v>
      </c>
      <c r="AA304" s="1694">
        <f t="shared" si="177"/>
        <v>3.5100000000000033</v>
      </c>
      <c r="AB304" s="2524">
        <f t="shared" si="189"/>
        <v>0.33582314332007934</v>
      </c>
      <c r="AC304" s="1658" t="str">
        <f t="shared" si="190"/>
        <v>no</v>
      </c>
      <c r="AD304" s="442">
        <f t="shared" si="178"/>
        <v>2.3656933060559635</v>
      </c>
      <c r="AE304" s="103">
        <f t="shared" si="205"/>
        <v>0.74529347697733339</v>
      </c>
      <c r="AF304" s="1854" t="str">
        <f t="shared" si="191"/>
        <v>Type I</v>
      </c>
      <c r="AG304" s="103">
        <f>VLOOKUP(V304,Table!$D$178:$G$212,2,TRUE)</f>
        <v>4.5</v>
      </c>
      <c r="AH304" s="103">
        <f t="shared" si="179"/>
        <v>14.283795855059658</v>
      </c>
      <c r="AI304" s="1725" t="str">
        <f>VLOOKUP(V304,Table!$D$178:$G$212,4,TRUE)</f>
        <v>-</v>
      </c>
      <c r="AJ304" s="103" t="str">
        <f t="shared" si="192"/>
        <v>-</v>
      </c>
      <c r="AK304" s="1726" t="str">
        <f>VLOOKUP(V304,Table!$D$178:$G$212,3,TRUE)</f>
        <v>-</v>
      </c>
      <c r="AL304" s="103" t="str">
        <f t="shared" si="193"/>
        <v>-</v>
      </c>
      <c r="AM304" s="1769">
        <f t="shared" si="194"/>
        <v>0</v>
      </c>
      <c r="AN304" s="297">
        <f t="shared" si="195"/>
        <v>0</v>
      </c>
      <c r="AO304" s="442">
        <f t="shared" si="180"/>
        <v>0</v>
      </c>
      <c r="AP304" s="1786" t="str">
        <f>VLOOKUP(V304,Table!$D$178:$I$212,5,TRUE)</f>
        <v>-</v>
      </c>
      <c r="AQ304" s="441">
        <f t="shared" si="181"/>
        <v>0</v>
      </c>
      <c r="AR304" s="1785">
        <f t="shared" si="182"/>
        <v>0</v>
      </c>
      <c r="AS304" s="441">
        <f t="shared" si="183"/>
        <v>0</v>
      </c>
      <c r="AT304" s="441">
        <f t="shared" si="184"/>
        <v>0</v>
      </c>
      <c r="AU304" s="1785" t="str">
        <f>VLOOKUP(V304,Table!$D$178:$I$212,6,TRUE)</f>
        <v>-</v>
      </c>
      <c r="AV304" s="441">
        <f t="shared" si="196"/>
        <v>0</v>
      </c>
      <c r="AW304" s="1787">
        <f t="shared" si="197"/>
        <v>0</v>
      </c>
      <c r="AX304" s="1786">
        <f t="shared" si="198"/>
        <v>0</v>
      </c>
      <c r="AY304" s="103">
        <f t="shared" si="199"/>
        <v>0</v>
      </c>
      <c r="BA304" s="1857">
        <f t="shared" si="200"/>
        <v>2.3656933060559635</v>
      </c>
      <c r="BB304" s="1858">
        <f t="shared" si="201"/>
        <v>3.2493858327114471</v>
      </c>
      <c r="BC304" s="1857">
        <f t="shared" si="202"/>
        <v>4.0617322908893092</v>
      </c>
      <c r="BD304" s="103">
        <f t="shared" si="185"/>
        <v>5.7000000000000011</v>
      </c>
      <c r="BE304" s="1858" t="str">
        <f t="shared" si="186"/>
        <v>-</v>
      </c>
      <c r="BG304" s="2848">
        <f t="shared" si="187"/>
        <v>0.19808673187499976</v>
      </c>
    </row>
    <row r="305" spans="1:59">
      <c r="A305" s="2853">
        <f t="shared" si="203"/>
        <v>11.8</v>
      </c>
      <c r="B305" s="449">
        <f t="shared" si="204"/>
        <v>9.3400000000000034</v>
      </c>
      <c r="C305" s="449">
        <f t="shared" si="160"/>
        <v>4.8000000000000007</v>
      </c>
      <c r="D305" s="447">
        <f t="shared" si="160"/>
        <v>2.3400000000000034</v>
      </c>
      <c r="E305" s="1728">
        <f t="shared" si="161"/>
        <v>2.4599999999999973</v>
      </c>
      <c r="F305" s="103">
        <f t="shared" si="162"/>
        <v>30.087436256273605</v>
      </c>
      <c r="G305" s="3074"/>
      <c r="H305" s="3074"/>
      <c r="I305" s="147" t="str">
        <f t="shared" si="163"/>
        <v>ok</v>
      </c>
      <c r="J305" s="123" t="str">
        <f t="shared" si="164"/>
        <v>Type 1</v>
      </c>
      <c r="K305" s="130"/>
      <c r="L305" s="1692">
        <f t="shared" si="165"/>
        <v>4.8000000000000007</v>
      </c>
      <c r="M305" s="2840">
        <f t="shared" si="166"/>
        <v>10.029145418757869</v>
      </c>
      <c r="N305" s="2831">
        <f t="shared" si="167"/>
        <v>2.0894052955745557</v>
      </c>
      <c r="O305" s="2836">
        <f t="shared" si="168"/>
        <v>2.1724658077296786</v>
      </c>
      <c r="P305" s="2829">
        <f t="shared" si="188"/>
        <v>4.1586987115945178</v>
      </c>
      <c r="Q305" s="2840">
        <f t="shared" si="169"/>
        <v>10.029145418757869</v>
      </c>
      <c r="R305" s="2663">
        <f t="shared" si="170"/>
        <v>5.1265931615999971</v>
      </c>
      <c r="S305" s="1721">
        <f>'Calc-2'!AQ42</f>
        <v>1.3507999999998677</v>
      </c>
      <c r="T305" s="1693">
        <f t="shared" si="171"/>
        <v>4.1604145931008629</v>
      </c>
      <c r="U305" s="1693">
        <f t="shared" si="172"/>
        <v>7.4245968453944711</v>
      </c>
      <c r="V305" s="103">
        <f t="shared" si="173"/>
        <v>2.0395898724851134</v>
      </c>
      <c r="W305" s="368">
        <f t="shared" si="174"/>
        <v>3.2789741261345315</v>
      </c>
      <c r="X305" s="103">
        <f t="shared" si="175"/>
        <v>3.4429228324412584</v>
      </c>
      <c r="Y305" s="1694">
        <f t="shared" si="176"/>
        <v>9.5429228324412581</v>
      </c>
      <c r="Z305" s="123" t="str">
        <f>IF(Hydraulic!$W$234&gt;Y305,"ok","Not ok")</f>
        <v>ok</v>
      </c>
      <c r="AA305" s="1694">
        <f t="shared" si="177"/>
        <v>3.2400000000000038</v>
      </c>
      <c r="AB305" s="2524" t="str">
        <f t="shared" si="189"/>
        <v xml:space="preserve"> </v>
      </c>
      <c r="AC305" s="1658">
        <f t="shared" si="190"/>
        <v>3.8974126134527776E-2</v>
      </c>
      <c r="AD305" s="442">
        <f t="shared" si="178"/>
        <v>2.5072863546894673</v>
      </c>
      <c r="AE305" s="103">
        <f t="shared" si="205"/>
        <v>0.76465573018876487</v>
      </c>
      <c r="AF305" s="1854" t="str">
        <f t="shared" si="191"/>
        <v>Type I</v>
      </c>
      <c r="AG305" s="103">
        <f>VLOOKUP(V305,Table!$D$178:$G$212,2,TRUE)</f>
        <v>4.5</v>
      </c>
      <c r="AH305" s="103">
        <f t="shared" si="179"/>
        <v>14.755383567605392</v>
      </c>
      <c r="AI305" s="1725" t="str">
        <f>VLOOKUP(V305,Table!$D$178:$G$212,4,TRUE)</f>
        <v>-</v>
      </c>
      <c r="AJ305" s="103" t="str">
        <f t="shared" si="192"/>
        <v>-</v>
      </c>
      <c r="AK305" s="1726" t="str">
        <f>VLOOKUP(V305,Table!$D$178:$G$212,3,TRUE)</f>
        <v>-</v>
      </c>
      <c r="AL305" s="103" t="str">
        <f t="shared" si="193"/>
        <v>-</v>
      </c>
      <c r="AM305" s="1769">
        <f t="shared" si="194"/>
        <v>0</v>
      </c>
      <c r="AN305" s="297">
        <f t="shared" si="195"/>
        <v>0</v>
      </c>
      <c r="AO305" s="442">
        <f t="shared" si="180"/>
        <v>0</v>
      </c>
      <c r="AP305" s="1786" t="str">
        <f>VLOOKUP(V305,Table!$D$178:$I$212,5,TRUE)</f>
        <v>-</v>
      </c>
      <c r="AQ305" s="441">
        <f t="shared" si="181"/>
        <v>0</v>
      </c>
      <c r="AR305" s="1785">
        <f t="shared" si="182"/>
        <v>0</v>
      </c>
      <c r="AS305" s="441">
        <f t="shared" si="183"/>
        <v>0</v>
      </c>
      <c r="AT305" s="441">
        <f t="shared" si="184"/>
        <v>0</v>
      </c>
      <c r="AU305" s="1785" t="str">
        <f>VLOOKUP(V305,Table!$D$178:$I$212,6,TRUE)</f>
        <v>-</v>
      </c>
      <c r="AV305" s="441">
        <f t="shared" si="196"/>
        <v>0</v>
      </c>
      <c r="AW305" s="1787">
        <f t="shared" si="197"/>
        <v>0</v>
      </c>
      <c r="AX305" s="1786">
        <f t="shared" si="198"/>
        <v>0</v>
      </c>
      <c r="AY305" s="103">
        <f t="shared" si="199"/>
        <v>0</v>
      </c>
      <c r="BA305" s="1857">
        <f t="shared" si="200"/>
        <v>2.5072863546894673</v>
      </c>
      <c r="BB305" s="1858">
        <f t="shared" si="201"/>
        <v>3.3777819715033224</v>
      </c>
      <c r="BC305" s="1857">
        <f t="shared" si="202"/>
        <v>4.2222274643791531</v>
      </c>
      <c r="BD305" s="103">
        <f t="shared" si="185"/>
        <v>5.7000000000000011</v>
      </c>
      <c r="BE305" s="1858" t="str">
        <f t="shared" si="186"/>
        <v>-</v>
      </c>
      <c r="BG305" s="2848">
        <f t="shared" si="187"/>
        <v>0.22250838374999982</v>
      </c>
    </row>
    <row r="306" spans="1:59">
      <c r="A306" s="2853">
        <f t="shared" si="203"/>
        <v>11.8</v>
      </c>
      <c r="B306" s="449">
        <f t="shared" si="204"/>
        <v>9.0700000000000038</v>
      </c>
      <c r="C306" s="449">
        <f t="shared" si="160"/>
        <v>4.8000000000000007</v>
      </c>
      <c r="D306" s="447">
        <f t="shared" si="160"/>
        <v>2.0700000000000038</v>
      </c>
      <c r="E306" s="1728">
        <f t="shared" si="161"/>
        <v>2.7299999999999969</v>
      </c>
      <c r="F306" s="103">
        <f t="shared" si="162"/>
        <v>31.695598229294603</v>
      </c>
      <c r="G306" s="1726"/>
      <c r="H306" s="3074"/>
      <c r="I306" s="147" t="str">
        <f t="shared" si="163"/>
        <v>ok</v>
      </c>
      <c r="J306" s="123" t="str">
        <f t="shared" si="164"/>
        <v>Type 1</v>
      </c>
      <c r="K306" s="130"/>
      <c r="L306" s="1692">
        <f t="shared" si="165"/>
        <v>4.8000000000000007</v>
      </c>
      <c r="M306" s="2840">
        <f t="shared" si="166"/>
        <v>10.565199409764867</v>
      </c>
      <c r="N306" s="2831">
        <f t="shared" si="167"/>
        <v>2.2010832103676803</v>
      </c>
      <c r="O306" s="2836">
        <f t="shared" si="168"/>
        <v>2.2492037374403235</v>
      </c>
      <c r="P306" s="2829">
        <f t="shared" si="188"/>
        <v>4.2738056061604857</v>
      </c>
      <c r="Q306" s="2840">
        <f t="shared" si="169"/>
        <v>10.565199409764867</v>
      </c>
      <c r="R306" s="2663">
        <f t="shared" si="170"/>
        <v>5.6892680207999939</v>
      </c>
      <c r="S306" s="1721">
        <f>'Calc-2'!AQ43</f>
        <v>1.4086999999998613</v>
      </c>
      <c r="T306" s="1693">
        <f t="shared" si="171"/>
        <v>4.2756450209297734</v>
      </c>
      <c r="U306" s="1693">
        <f t="shared" si="172"/>
        <v>7.4999640872903441</v>
      </c>
      <c r="V306" s="103">
        <f t="shared" si="173"/>
        <v>2.0175087309052828</v>
      </c>
      <c r="W306" s="368">
        <f t="shared" si="174"/>
        <v>3.3761855930851468</v>
      </c>
      <c r="X306" s="103">
        <f t="shared" si="175"/>
        <v>3.5449948727394043</v>
      </c>
      <c r="Y306" s="1694">
        <f t="shared" si="176"/>
        <v>9.644994872739403</v>
      </c>
      <c r="Z306" s="123" t="str">
        <f>IF(Hydraulic!$W$234&gt;Y306,"ok","Not ok")</f>
        <v>ok</v>
      </c>
      <c r="AA306" s="1694">
        <f t="shared" si="177"/>
        <v>2.9700000000000042</v>
      </c>
      <c r="AB306" s="2524" t="str">
        <f t="shared" si="189"/>
        <v xml:space="preserve"> </v>
      </c>
      <c r="AC306" s="1658">
        <f t="shared" si="190"/>
        <v>0.40618559308514257</v>
      </c>
      <c r="AD306" s="442">
        <f t="shared" si="178"/>
        <v>2.6412998524412168</v>
      </c>
      <c r="AE306" s="103">
        <f t="shared" si="205"/>
        <v>0.78233254056024981</v>
      </c>
      <c r="AF306" s="1854" t="str">
        <f t="shared" si="191"/>
        <v>Type I</v>
      </c>
      <c r="AG306" s="103">
        <f>VLOOKUP(V306,Table!$D$178:$G$212,2,TRUE)</f>
        <v>4.5</v>
      </c>
      <c r="AH306" s="103">
        <f t="shared" si="179"/>
        <v>15.19283516888316</v>
      </c>
      <c r="AI306" s="1725" t="str">
        <f>VLOOKUP(V306,Table!$D$178:$G$212,4,TRUE)</f>
        <v>-</v>
      </c>
      <c r="AJ306" s="103" t="str">
        <f t="shared" si="192"/>
        <v>-</v>
      </c>
      <c r="AK306" s="1726" t="str">
        <f>VLOOKUP(V306,Table!$D$178:$G$212,3,TRUE)</f>
        <v>-</v>
      </c>
      <c r="AL306" s="103" t="str">
        <f t="shared" si="193"/>
        <v>-</v>
      </c>
      <c r="AM306" s="1769">
        <f t="shared" si="194"/>
        <v>0</v>
      </c>
      <c r="AN306" s="297">
        <f t="shared" si="195"/>
        <v>0</v>
      </c>
      <c r="AO306" s="442">
        <f t="shared" si="180"/>
        <v>0</v>
      </c>
      <c r="AP306" s="1786" t="str">
        <f>VLOOKUP(V306,Table!$D$178:$I$212,5,TRUE)</f>
        <v>-</v>
      </c>
      <c r="AQ306" s="441">
        <f t="shared" si="181"/>
        <v>0</v>
      </c>
      <c r="AR306" s="1785">
        <f t="shared" si="182"/>
        <v>0</v>
      </c>
      <c r="AS306" s="441">
        <f t="shared" si="183"/>
        <v>0</v>
      </c>
      <c r="AT306" s="441">
        <f t="shared" si="184"/>
        <v>0</v>
      </c>
      <c r="AU306" s="1785" t="str">
        <f>VLOOKUP(V306,Table!$D$178:$I$212,6,TRUE)</f>
        <v>-</v>
      </c>
      <c r="AV306" s="441">
        <f t="shared" si="196"/>
        <v>0</v>
      </c>
      <c r="AW306" s="1787">
        <f t="shared" si="197"/>
        <v>0</v>
      </c>
      <c r="AX306" s="1786">
        <f t="shared" si="198"/>
        <v>0</v>
      </c>
      <c r="AY306" s="103">
        <f t="shared" si="199"/>
        <v>0</v>
      </c>
      <c r="BA306" s="1857">
        <f t="shared" si="200"/>
        <v>2.6412998524412168</v>
      </c>
      <c r="BB306" s="1858">
        <f t="shared" si="201"/>
        <v>3.4970952396729991</v>
      </c>
      <c r="BC306" s="1857">
        <f t="shared" si="202"/>
        <v>4.3713690495912489</v>
      </c>
      <c r="BD306" s="103">
        <f t="shared" si="185"/>
        <v>5.7000000000000011</v>
      </c>
      <c r="BE306" s="1858" t="str">
        <f t="shared" si="186"/>
        <v>-</v>
      </c>
      <c r="BG306" s="2848">
        <f t="shared" si="187"/>
        <v>0.24693003562499968</v>
      </c>
    </row>
    <row r="307" spans="1:59">
      <c r="A307" s="1729">
        <f>I292+I293</f>
        <v>11.8</v>
      </c>
      <c r="B307" s="449">
        <f>A307-D293</f>
        <v>8.8000000000000007</v>
      </c>
      <c r="C307" s="698">
        <f t="shared" si="160"/>
        <v>4.8000000000000007</v>
      </c>
      <c r="D307" s="1730">
        <f t="shared" si="160"/>
        <v>1.8000000000000007</v>
      </c>
      <c r="E307" s="1731">
        <f t="shared" si="161"/>
        <v>3</v>
      </c>
      <c r="F307" s="138">
        <f t="shared" si="162"/>
        <v>33.226015014599632</v>
      </c>
      <c r="G307" s="77"/>
      <c r="H307" s="104"/>
      <c r="I307" s="95" t="str">
        <f t="shared" si="163"/>
        <v>ok</v>
      </c>
      <c r="J307" s="104" t="str">
        <f t="shared" si="164"/>
        <v>Type 1</v>
      </c>
      <c r="K307" s="130"/>
      <c r="L307" s="2838">
        <f t="shared" si="165"/>
        <v>4.8000000000000007</v>
      </c>
      <c r="M307" s="2842">
        <f t="shared" si="166"/>
        <v>11.075338338199877</v>
      </c>
      <c r="N307" s="121">
        <f t="shared" si="167"/>
        <v>2.3073621537916407</v>
      </c>
      <c r="O307" s="2827">
        <f t="shared" si="168"/>
        <v>2.3210348732282999</v>
      </c>
      <c r="P307" s="2838">
        <f t="shared" si="188"/>
        <v>4.3815523098424505</v>
      </c>
      <c r="Q307" s="2842">
        <f t="shared" si="169"/>
        <v>11.075338338199877</v>
      </c>
      <c r="R307" s="2663">
        <f t="shared" si="170"/>
        <v>6.2519428800000005</v>
      </c>
      <c r="S307" s="1722">
        <f>'Calc-2'!AQ44</f>
        <v>1.4631999999998553</v>
      </c>
      <c r="T307" s="1693">
        <f t="shared" si="171"/>
        <v>4.383366514161894</v>
      </c>
      <c r="U307" s="138">
        <f t="shared" si="172"/>
        <v>7.5692580222805992</v>
      </c>
      <c r="V307" s="138">
        <f t="shared" si="173"/>
        <v>1.9978687777323181</v>
      </c>
      <c r="W307" s="1184">
        <f t="shared" si="174"/>
        <v>3.4667793461389831</v>
      </c>
      <c r="X307" s="138">
        <f t="shared" si="175"/>
        <v>3.6401183134459325</v>
      </c>
      <c r="Y307" s="121">
        <f t="shared" si="176"/>
        <v>9.740118313445933</v>
      </c>
      <c r="Z307" s="104" t="str">
        <f>IF(Hydraulic!$W$234&gt;Y307,"ok","Not ok")</f>
        <v>ok</v>
      </c>
      <c r="AA307" s="121">
        <f t="shared" si="177"/>
        <v>2.7000000000000011</v>
      </c>
      <c r="AB307" s="2525" t="str">
        <f t="shared" si="189"/>
        <v xml:space="preserve"> </v>
      </c>
      <c r="AC307" s="1658">
        <f t="shared" si="190"/>
        <v>0.76677934613898202</v>
      </c>
      <c r="AD307" s="1691">
        <f t="shared" si="178"/>
        <v>2.7688345845499693</v>
      </c>
      <c r="AE307" s="138">
        <f t="shared" si="205"/>
        <v>0.79867632407400613</v>
      </c>
      <c r="AF307" s="1855" t="str">
        <f t="shared" si="191"/>
        <v>Type I</v>
      </c>
      <c r="AG307" s="138">
        <f>VLOOKUP(V307,Table!$D$178:$G$212,2,TRUE)</f>
        <v>4.4000000000000004</v>
      </c>
      <c r="AH307" s="138">
        <f t="shared" si="179"/>
        <v>15.253829123011526</v>
      </c>
      <c r="AI307" s="156" t="str">
        <f>VLOOKUP(V307,Table!$D$178:$G$212,4,TRUE)</f>
        <v>-</v>
      </c>
      <c r="AJ307" s="103" t="str">
        <f t="shared" si="192"/>
        <v>-</v>
      </c>
      <c r="AK307" s="77" t="str">
        <f>VLOOKUP(V307,Table!$D$178:$G$212,3,TRUE)</f>
        <v>-</v>
      </c>
      <c r="AL307" s="103" t="str">
        <f t="shared" si="193"/>
        <v>-</v>
      </c>
      <c r="AM307" s="1770">
        <f t="shared" si="194"/>
        <v>0</v>
      </c>
      <c r="AN307" s="1770">
        <f t="shared" si="195"/>
        <v>0</v>
      </c>
      <c r="AO307" s="1771">
        <f t="shared" si="180"/>
        <v>0</v>
      </c>
      <c r="AP307" s="353" t="str">
        <f>VLOOKUP(V307,Table!$D$178:$I$212,5,TRUE)</f>
        <v>-</v>
      </c>
      <c r="AQ307" s="658">
        <f t="shared" si="181"/>
        <v>0</v>
      </c>
      <c r="AR307" s="506">
        <f t="shared" si="182"/>
        <v>0</v>
      </c>
      <c r="AS307" s="658">
        <f t="shared" si="183"/>
        <v>0</v>
      </c>
      <c r="AT307" s="658">
        <f t="shared" si="184"/>
        <v>0</v>
      </c>
      <c r="AU307" s="506" t="str">
        <f>VLOOKUP(V307,Table!$D$178:$I$212,6,TRUE)</f>
        <v>-</v>
      </c>
      <c r="AV307" s="658">
        <f t="shared" si="196"/>
        <v>0</v>
      </c>
      <c r="AW307" s="170">
        <f t="shared" si="197"/>
        <v>0</v>
      </c>
      <c r="AX307" s="121">
        <f t="shared" si="198"/>
        <v>0</v>
      </c>
      <c r="AY307" s="138">
        <f t="shared" si="199"/>
        <v>0</v>
      </c>
      <c r="BA307" s="353">
        <f t="shared" si="200"/>
        <v>2.7688345845499693</v>
      </c>
      <c r="BB307" s="170">
        <f t="shared" si="201"/>
        <v>3.608779352073733</v>
      </c>
      <c r="BC307" s="353">
        <f t="shared" si="202"/>
        <v>4.510974190092166</v>
      </c>
      <c r="BD307" s="138">
        <f t="shared" si="185"/>
        <v>5.7000000000000011</v>
      </c>
      <c r="BE307" s="170" t="str">
        <f t="shared" si="186"/>
        <v>-</v>
      </c>
      <c r="BG307" s="2846">
        <f t="shared" si="187"/>
        <v>0.27135168749999994</v>
      </c>
    </row>
    <row r="308" spans="1:59">
      <c r="A308" s="2231">
        <f>B308+D293</f>
        <v>12</v>
      </c>
      <c r="B308" s="2231">
        <f>IL+D+0.2</f>
        <v>9</v>
      </c>
      <c r="C308" s="448">
        <f t="shared" ref="C308:C318" si="206">A308-IL</f>
        <v>5</v>
      </c>
      <c r="D308" s="447">
        <f t="shared" ref="D308:D318" si="207">B308-IL</f>
        <v>2</v>
      </c>
      <c r="E308" s="1728">
        <f t="shared" ref="E308:E318" si="208">A308-B308</f>
        <v>3</v>
      </c>
      <c r="F308" s="103">
        <f t="shared" si="162"/>
        <v>33.226015014599632</v>
      </c>
      <c r="G308" s="380"/>
      <c r="H308" s="377" t="str">
        <f>D308&amp;" m"</f>
        <v>2 m</v>
      </c>
      <c r="I308" s="147" t="str">
        <f t="shared" ref="I308:I318" si="209">IF(C308&gt;D308&gt;D,"ok","Not ok")</f>
        <v>ok</v>
      </c>
      <c r="J308" s="123" t="str">
        <f t="shared" ref="J308:J318" si="210">IF(C308&gt;D308&gt;$E$8,"Type 1","Flow Type 1 not valid")</f>
        <v>Type 1</v>
      </c>
      <c r="K308" s="130"/>
      <c r="L308" s="2829">
        <f>C308</f>
        <v>5</v>
      </c>
      <c r="M308" s="2840">
        <f t="shared" si="166"/>
        <v>11.075338338199877</v>
      </c>
      <c r="N308" s="2831">
        <f t="shared" ref="N308:N318" si="211">M308/L308</f>
        <v>2.2150676676399756</v>
      </c>
      <c r="O308" s="2824">
        <f t="shared" si="168"/>
        <v>2.3210348732282999</v>
      </c>
      <c r="P308" s="2829">
        <f t="shared" si="188"/>
        <v>4.3815523098424505</v>
      </c>
      <c r="Q308" s="2840">
        <f t="shared" si="169"/>
        <v>11.075338338199877</v>
      </c>
      <c r="R308" s="1256">
        <f t="shared" ref="R308:R318" si="212">Q308^2/(2*g)</f>
        <v>6.2519428800000005</v>
      </c>
      <c r="S308" s="2817">
        <f>'Calc-2'!AQ45</f>
        <v>1.4631999999998553</v>
      </c>
      <c r="T308" s="1695">
        <f>S308+R308/S308^2</f>
        <v>4.383366514161894</v>
      </c>
      <c r="U308" s="103">
        <f>Q308/S308</f>
        <v>7.5692580222805992</v>
      </c>
      <c r="V308" s="103">
        <f t="shared" ref="V308:V318" si="213">U308/(g*S308)^0.5</f>
        <v>1.9978687777323181</v>
      </c>
      <c r="W308" s="2814">
        <f>0.5*((1+8*V308^2)^0.5-1)*S308</f>
        <v>3.4667793461389831</v>
      </c>
      <c r="X308" s="103">
        <f>W308*1.05</f>
        <v>3.6401183134459325</v>
      </c>
      <c r="Y308" s="1647">
        <f>X308+$I$43</f>
        <v>9.740118313445933</v>
      </c>
      <c r="Z308" s="123" t="str">
        <f>IF(Hydraulic!$W$234&gt;Y308,"ok","Not ok")</f>
        <v>ok</v>
      </c>
      <c r="AA308" s="1647">
        <f>B308-$I$43</f>
        <v>2.9000000000000004</v>
      </c>
      <c r="AB308" s="2524" t="str">
        <f t="shared" si="189"/>
        <v xml:space="preserve"> </v>
      </c>
      <c r="AC308" s="1743">
        <f t="shared" si="190"/>
        <v>0.56677934613898273</v>
      </c>
      <c r="AD308" s="442">
        <f t="shared" si="178"/>
        <v>2.7688345845499693</v>
      </c>
      <c r="AE308" s="103">
        <f t="shared" si="205"/>
        <v>0.79867632407400613</v>
      </c>
      <c r="AF308" s="1854" t="str">
        <f t="shared" si="191"/>
        <v>Type I</v>
      </c>
      <c r="AG308" s="103">
        <f>VLOOKUP(V308,Table!$D$178:$G$212,2,TRUE)</f>
        <v>4.4000000000000004</v>
      </c>
      <c r="AH308" s="103">
        <f>AG308*W308</f>
        <v>15.253829123011526</v>
      </c>
      <c r="AI308" s="1725" t="str">
        <f>VLOOKUP(V308,Table!$D$178:$G$212,4,TRUE)</f>
        <v>-</v>
      </c>
      <c r="AJ308" s="103" t="str">
        <f>IF(V308&lt;2.5,"-",IF(AND(V308&gt;=2.5,V308&lt;=4.5),N(AI308)*W308,0.8*W308))</f>
        <v>-</v>
      </c>
      <c r="AK308" s="1726" t="str">
        <f>VLOOKUP(V308,Table!$D$178:$G$212,3,TRUE)</f>
        <v>-</v>
      </c>
      <c r="AL308" s="103" t="str">
        <f>IF(V308&lt;2.5,"-",IF(AND(V308&gt;=2.5,V308&lt;=4.5),N(AK308)*W308,"-"))</f>
        <v>-</v>
      </c>
      <c r="AM308" s="1769">
        <f t="shared" ref="AM308:AM318" si="214">IF(V308&lt;2.5,0,IF(AND(V308&gt;=2.5,V308&lt;=4.5),S308,S308))</f>
        <v>0</v>
      </c>
      <c r="AN308" s="297">
        <f t="shared" ref="AN308:AN318" si="215">IF(V308&lt;2.5,0,IF(AND(V308&gt;=2.5,V308&lt;=4.5),0.7*S308,S308))</f>
        <v>0</v>
      </c>
      <c r="AO308" s="442">
        <f t="shared" si="180"/>
        <v>0</v>
      </c>
      <c r="AP308" s="1786" t="str">
        <f>VLOOKUP(V308,Table!$D$178:$I$212,5,TRUE)</f>
        <v>-</v>
      </c>
      <c r="AQ308" s="441">
        <f t="shared" ref="AQ308:AQ318" si="216">IF(V308&lt;2.5,0,IF(AND(V308&gt;=2.5,V308&lt;=4.5),S308,S308*AP308))</f>
        <v>0</v>
      </c>
      <c r="AR308" s="1785">
        <f t="shared" ref="AR308:AR318" si="217">IF(V308&lt;2.5,0,IF(AND(V308&gt;=2.5,V308&lt;=4.5),0.7*S308,S308*AP308*0.75))</f>
        <v>0</v>
      </c>
      <c r="AS308" s="441">
        <f t="shared" ref="AS308:AS318" si="218">IF(V308&lt;2.5,0,IF(AND(V308&gt;=2.5,V308&lt;=4.5),0.2*S308,S308*AP308*0.2))</f>
        <v>0</v>
      </c>
      <c r="AT308" s="441">
        <f t="shared" ref="AT308:AT318" si="219">IF(V308&lt;2.5,0,IF(AND(V308&gt;=2.5,V308&lt;=4.5),S308*0.7,S308*AP308*0.75))</f>
        <v>0</v>
      </c>
      <c r="AU308" s="1785" t="str">
        <f>VLOOKUP(V308,Table!$D$178:$I$212,6,TRUE)</f>
        <v>-</v>
      </c>
      <c r="AV308" s="441">
        <f t="shared" ref="AV308:AV318" si="220">IF(V308&lt;2.5,0,IF(AND(V308&gt;=2.5,V308&lt;=4.5),W308*0.2,S308*AU308))</f>
        <v>0</v>
      </c>
      <c r="AW308" s="1787">
        <f t="shared" ref="AW308:AW318" si="221">IF(V308&lt;2.5,0,IF(AND(V308&gt;=2.5,V308&lt;=4.5),W308*0.15,0))</f>
        <v>0</v>
      </c>
      <c r="AX308" s="1786">
        <f t="shared" ref="AX308:AX318" si="222">IF(V308&lt;2.5,0,IF(AND(V308&gt;=2.5,V308&lt;=4.5),AV308*0.15,0))</f>
        <v>0</v>
      </c>
      <c r="AY308" s="103">
        <f t="shared" ref="AY308:AY318" si="223">IF(V308&lt;2.5,0,IF(AND(V308&gt;=2.5,V308&lt;=4.5),W308*0.15,0))</f>
        <v>0</v>
      </c>
      <c r="BA308" s="1857">
        <f t="shared" si="200"/>
        <v>2.7688345845499693</v>
      </c>
      <c r="BB308" s="1858">
        <f t="shared" si="201"/>
        <v>3.608779352073733</v>
      </c>
      <c r="BC308" s="1857">
        <f t="shared" si="202"/>
        <v>4.510974190092166</v>
      </c>
      <c r="BD308" s="103">
        <f t="shared" ref="BD308:BD318" si="224">A308-$D$43</f>
        <v>5.9</v>
      </c>
      <c r="BE308" s="1858" t="str">
        <f t="shared" ref="BE308:BE318" si="225">IF(BD308&gt;BB308*1.25,"-",BB308*1.25-BD308)</f>
        <v>-</v>
      </c>
      <c r="BG308" s="2845">
        <f t="shared" si="187"/>
        <v>0.25007771520000005</v>
      </c>
    </row>
    <row r="309" spans="1:59">
      <c r="A309" s="2864">
        <f>A308-($D$293-$D$292)/10</f>
        <v>11.73</v>
      </c>
      <c r="B309" s="449">
        <f>B308+($B$308-$B$318)/10</f>
        <v>9</v>
      </c>
      <c r="C309" s="448">
        <f t="shared" si="206"/>
        <v>4.7300000000000004</v>
      </c>
      <c r="D309" s="447">
        <f t="shared" si="207"/>
        <v>2</v>
      </c>
      <c r="E309" s="1728">
        <f t="shared" si="208"/>
        <v>2.7300000000000004</v>
      </c>
      <c r="F309" s="103">
        <f t="shared" si="162"/>
        <v>31.695598229294625</v>
      </c>
      <c r="G309" s="147"/>
      <c r="H309" s="3092" t="s">
        <v>1651</v>
      </c>
      <c r="I309" s="147" t="str">
        <f t="shared" si="209"/>
        <v>ok</v>
      </c>
      <c r="J309" s="123" t="str">
        <f t="shared" si="210"/>
        <v>Type 1</v>
      </c>
      <c r="K309" s="130"/>
      <c r="L309" s="2829">
        <f t="shared" ref="L309:L318" si="226">C309</f>
        <v>4.7300000000000004</v>
      </c>
      <c r="M309" s="2840">
        <f t="shared" si="166"/>
        <v>10.565199409764874</v>
      </c>
      <c r="N309" s="2831">
        <f t="shared" si="211"/>
        <v>2.2336573804999733</v>
      </c>
      <c r="O309" s="2824">
        <f t="shared" si="168"/>
        <v>2.2492037374403244</v>
      </c>
      <c r="P309" s="2829">
        <f t="shared" si="188"/>
        <v>4.2738056061604865</v>
      </c>
      <c r="Q309" s="2840">
        <f t="shared" si="169"/>
        <v>10.565199409764874</v>
      </c>
      <c r="R309" s="2663">
        <f t="shared" si="212"/>
        <v>5.6892680208000019</v>
      </c>
      <c r="S309" s="1721">
        <f>'Calc-2'!AQ46</f>
        <v>1.4086999999998613</v>
      </c>
      <c r="T309" s="1693">
        <f t="shared" ref="T309:T318" si="227">S309+R309/S309^2</f>
        <v>4.2756450209297769</v>
      </c>
      <c r="U309" s="103">
        <f t="shared" ref="U309:U318" si="228">Q309/S309</f>
        <v>7.4999640872903486</v>
      </c>
      <c r="V309" s="103">
        <f t="shared" si="213"/>
        <v>2.0175087309052837</v>
      </c>
      <c r="W309" s="368">
        <f t="shared" ref="W309:W318" si="229">0.5*((1+8*V309^2)^0.5-1)*S309</f>
        <v>3.376185593085149</v>
      </c>
      <c r="X309" s="103">
        <f t="shared" ref="X309:X318" si="230">W309*1.05</f>
        <v>3.5449948727394065</v>
      </c>
      <c r="Y309" s="1647">
        <f t="shared" ref="Y309:Y318" si="231">X309+$I$43</f>
        <v>9.6449948727394066</v>
      </c>
      <c r="Z309" s="123" t="str">
        <f>IF(Hydraulic!$W$234&gt;Y309,"ok","Not ok")</f>
        <v>ok</v>
      </c>
      <c r="AA309" s="1647">
        <f t="shared" ref="AA309:AA318" si="232">B309-$I$43</f>
        <v>2.9000000000000004</v>
      </c>
      <c r="AB309" s="2524" t="str">
        <f t="shared" si="189"/>
        <v xml:space="preserve"> </v>
      </c>
      <c r="AC309" s="1658">
        <f t="shared" si="190"/>
        <v>0.47618559308514863</v>
      </c>
      <c r="AD309" s="442">
        <f t="shared" si="178"/>
        <v>2.6412998524412186</v>
      </c>
      <c r="AE309" s="103">
        <f t="shared" si="205"/>
        <v>0.78233254056024981</v>
      </c>
      <c r="AF309" s="1854" t="str">
        <f t="shared" si="191"/>
        <v>Type I</v>
      </c>
      <c r="AG309" s="103">
        <f>VLOOKUP(V309,Table!$D$178:$G$212,2,TRUE)</f>
        <v>4.5</v>
      </c>
      <c r="AH309" s="103">
        <f t="shared" ref="AH309:AH318" si="233">AG309*W309</f>
        <v>15.192835168883171</v>
      </c>
      <c r="AI309" s="1725" t="str">
        <f>VLOOKUP(V309,Table!$D$178:$G$212,4,TRUE)</f>
        <v>-</v>
      </c>
      <c r="AJ309" s="103" t="str">
        <f t="shared" si="192"/>
        <v>-</v>
      </c>
      <c r="AK309" s="1726" t="str">
        <f>VLOOKUP(V309,Table!$D$178:$G$212,3,TRUE)</f>
        <v>-</v>
      </c>
      <c r="AL309" s="103" t="str">
        <f t="shared" si="193"/>
        <v>-</v>
      </c>
      <c r="AM309" s="1769">
        <f t="shared" si="214"/>
        <v>0</v>
      </c>
      <c r="AN309" s="297">
        <f t="shared" si="215"/>
        <v>0</v>
      </c>
      <c r="AO309" s="442">
        <f t="shared" si="180"/>
        <v>0</v>
      </c>
      <c r="AP309" s="1786" t="str">
        <f>VLOOKUP(V309,Table!$D$178:$I$212,5,TRUE)</f>
        <v>-</v>
      </c>
      <c r="AQ309" s="441">
        <f t="shared" si="216"/>
        <v>0</v>
      </c>
      <c r="AR309" s="1785">
        <f t="shared" si="217"/>
        <v>0</v>
      </c>
      <c r="AS309" s="441">
        <f t="shared" si="218"/>
        <v>0</v>
      </c>
      <c r="AT309" s="441">
        <f t="shared" si="219"/>
        <v>0</v>
      </c>
      <c r="AU309" s="1785" t="str">
        <f>VLOOKUP(V309,Table!$D$178:$I$212,6,TRUE)</f>
        <v>-</v>
      </c>
      <c r="AV309" s="441">
        <f t="shared" si="220"/>
        <v>0</v>
      </c>
      <c r="AW309" s="1787">
        <f t="shared" si="221"/>
        <v>0</v>
      </c>
      <c r="AX309" s="1786">
        <f t="shared" si="222"/>
        <v>0</v>
      </c>
      <c r="AY309" s="103">
        <f t="shared" si="223"/>
        <v>0</v>
      </c>
      <c r="BA309" s="1857">
        <f t="shared" si="200"/>
        <v>2.6412998524412186</v>
      </c>
      <c r="BB309" s="1858">
        <f t="shared" si="201"/>
        <v>3.4970952396730004</v>
      </c>
      <c r="BC309" s="1857">
        <f t="shared" si="202"/>
        <v>4.3713690495912507</v>
      </c>
      <c r="BD309" s="103">
        <f t="shared" si="224"/>
        <v>5.6300000000000008</v>
      </c>
      <c r="BE309" s="1858" t="str">
        <f t="shared" si="225"/>
        <v>-</v>
      </c>
      <c r="BG309" s="2846">
        <f t="shared" si="187"/>
        <v>0.25429282841294609</v>
      </c>
    </row>
    <row r="310" spans="1:59" ht="12.75" customHeight="1">
      <c r="A310" s="2864">
        <f t="shared" ref="A310:A317" si="234">A309-($D$293-$D$292)/10</f>
        <v>11.46</v>
      </c>
      <c r="B310" s="449">
        <f t="shared" ref="B310:B317" si="235">B309+($B$308-$B$318)/10</f>
        <v>9</v>
      </c>
      <c r="C310" s="448">
        <f t="shared" si="206"/>
        <v>4.4600000000000009</v>
      </c>
      <c r="D310" s="447">
        <f t="shared" si="207"/>
        <v>2</v>
      </c>
      <c r="E310" s="1728">
        <f t="shared" si="208"/>
        <v>2.4600000000000009</v>
      </c>
      <c r="F310" s="103">
        <f t="shared" si="162"/>
        <v>30.087436256273627</v>
      </c>
      <c r="G310" s="3074" t="s">
        <v>2193</v>
      </c>
      <c r="H310" s="3092"/>
      <c r="I310" s="147" t="str">
        <f t="shared" si="209"/>
        <v>ok</v>
      </c>
      <c r="J310" s="123" t="str">
        <f t="shared" si="210"/>
        <v>Type 1</v>
      </c>
      <c r="K310" s="130"/>
      <c r="L310" s="2829">
        <f t="shared" si="226"/>
        <v>4.4600000000000009</v>
      </c>
      <c r="M310" s="2840">
        <f t="shared" si="166"/>
        <v>10.029145418757876</v>
      </c>
      <c r="N310" s="2831">
        <f t="shared" si="211"/>
        <v>2.2486873136228418</v>
      </c>
      <c r="O310" s="2824">
        <f t="shared" si="168"/>
        <v>2.1724658077296799</v>
      </c>
      <c r="P310" s="2829">
        <f t="shared" si="188"/>
        <v>4.1586987115945204</v>
      </c>
      <c r="Q310" s="2840">
        <f t="shared" si="169"/>
        <v>10.029145418757876</v>
      </c>
      <c r="R310" s="2663">
        <f t="shared" si="212"/>
        <v>5.1265931616000042</v>
      </c>
      <c r="S310" s="1721">
        <f>'Calc-2'!AQ47</f>
        <v>1.3507999999998677</v>
      </c>
      <c r="T310" s="1693">
        <f t="shared" si="227"/>
        <v>4.1604145931008665</v>
      </c>
      <c r="U310" s="103">
        <f t="shared" si="228"/>
        <v>7.4245968453944764</v>
      </c>
      <c r="V310" s="103">
        <f t="shared" si="213"/>
        <v>2.0395898724851151</v>
      </c>
      <c r="W310" s="368">
        <f t="shared" si="229"/>
        <v>3.2789741261345351</v>
      </c>
      <c r="X310" s="103">
        <f t="shared" si="230"/>
        <v>3.442922832441262</v>
      </c>
      <c r="Y310" s="1647">
        <f t="shared" si="231"/>
        <v>9.5429228324412616</v>
      </c>
      <c r="Z310" s="123" t="str">
        <f>IF(Hydraulic!$W$234&gt;Y310,"ok","Not ok")</f>
        <v>ok</v>
      </c>
      <c r="AA310" s="1647">
        <f t="shared" si="232"/>
        <v>2.9000000000000004</v>
      </c>
      <c r="AB310" s="2524" t="str">
        <f t="shared" si="189"/>
        <v xml:space="preserve"> </v>
      </c>
      <c r="AC310" s="1658">
        <f t="shared" si="190"/>
        <v>0.37897412613453474</v>
      </c>
      <c r="AD310" s="442">
        <f t="shared" si="178"/>
        <v>2.507286354689469</v>
      </c>
      <c r="AE310" s="103">
        <f t="shared" si="205"/>
        <v>0.76465573018876454</v>
      </c>
      <c r="AF310" s="1854" t="str">
        <f t="shared" si="191"/>
        <v>Type I</v>
      </c>
      <c r="AG310" s="103">
        <f>VLOOKUP(V310,Table!$D$178:$G$212,2,TRUE)</f>
        <v>4.5</v>
      </c>
      <c r="AH310" s="103">
        <f t="shared" si="233"/>
        <v>14.755383567605408</v>
      </c>
      <c r="AI310" s="1725" t="str">
        <f>VLOOKUP(V310,Table!$D$178:$G$212,4,TRUE)</f>
        <v>-</v>
      </c>
      <c r="AJ310" s="103" t="str">
        <f t="shared" si="192"/>
        <v>-</v>
      </c>
      <c r="AK310" s="1726" t="str">
        <f>VLOOKUP(V310,Table!$D$178:$G$212,3,TRUE)</f>
        <v>-</v>
      </c>
      <c r="AL310" s="103" t="str">
        <f t="shared" si="193"/>
        <v>-</v>
      </c>
      <c r="AM310" s="1769">
        <f t="shared" si="214"/>
        <v>0</v>
      </c>
      <c r="AN310" s="297">
        <f t="shared" si="215"/>
        <v>0</v>
      </c>
      <c r="AO310" s="442">
        <f t="shared" si="180"/>
        <v>0</v>
      </c>
      <c r="AP310" s="1786" t="str">
        <f>VLOOKUP(V310,Table!$D$178:$I$212,5,TRUE)</f>
        <v>-</v>
      </c>
      <c r="AQ310" s="441">
        <f t="shared" si="216"/>
        <v>0</v>
      </c>
      <c r="AR310" s="1785">
        <f t="shared" si="217"/>
        <v>0</v>
      </c>
      <c r="AS310" s="441">
        <f t="shared" si="218"/>
        <v>0</v>
      </c>
      <c r="AT310" s="441">
        <f t="shared" si="219"/>
        <v>0</v>
      </c>
      <c r="AU310" s="1785" t="str">
        <f>VLOOKUP(V310,Table!$D$178:$I$212,6,TRUE)</f>
        <v>-</v>
      </c>
      <c r="AV310" s="441">
        <f t="shared" si="220"/>
        <v>0</v>
      </c>
      <c r="AW310" s="1787">
        <f t="shared" si="221"/>
        <v>0</v>
      </c>
      <c r="AX310" s="1786">
        <f t="shared" si="222"/>
        <v>0</v>
      </c>
      <c r="AY310" s="103">
        <f t="shared" si="223"/>
        <v>0</v>
      </c>
      <c r="BA310" s="1857">
        <f t="shared" si="200"/>
        <v>2.507286354689469</v>
      </c>
      <c r="BB310" s="1858">
        <f t="shared" si="201"/>
        <v>3.3777819715033237</v>
      </c>
      <c r="BC310" s="1857">
        <f t="shared" si="202"/>
        <v>4.2222274643791549</v>
      </c>
      <c r="BD310" s="103">
        <f t="shared" si="224"/>
        <v>5.3600000000000012</v>
      </c>
      <c r="BE310" s="1858" t="str">
        <f t="shared" si="225"/>
        <v>-</v>
      </c>
      <c r="BG310" s="2846">
        <f t="shared" si="187"/>
        <v>0.25772653590460309</v>
      </c>
    </row>
    <row r="311" spans="1:59">
      <c r="A311" s="2864">
        <f t="shared" si="234"/>
        <v>11.190000000000001</v>
      </c>
      <c r="B311" s="449">
        <f t="shared" si="235"/>
        <v>9</v>
      </c>
      <c r="C311" s="1523">
        <f t="shared" si="206"/>
        <v>4.1900000000000013</v>
      </c>
      <c r="D311" s="441">
        <f t="shared" si="207"/>
        <v>2</v>
      </c>
      <c r="E311" s="505">
        <f t="shared" si="208"/>
        <v>2.1900000000000013</v>
      </c>
      <c r="F311" s="103">
        <f t="shared" si="162"/>
        <v>28.388319672671589</v>
      </c>
      <c r="G311" s="3074"/>
      <c r="H311" s="3092"/>
      <c r="I311" s="147" t="str">
        <f t="shared" si="209"/>
        <v>ok</v>
      </c>
      <c r="J311" s="123" t="str">
        <f t="shared" si="210"/>
        <v>Type 1</v>
      </c>
      <c r="K311" s="130"/>
      <c r="L311" s="2829">
        <f t="shared" si="226"/>
        <v>4.1900000000000013</v>
      </c>
      <c r="M311" s="2840">
        <f t="shared" si="166"/>
        <v>9.4627732242238629</v>
      </c>
      <c r="N311" s="2831">
        <f t="shared" si="211"/>
        <v>2.2584184306023531</v>
      </c>
      <c r="O311" s="2824">
        <f t="shared" si="168"/>
        <v>2.0898861078783844</v>
      </c>
      <c r="P311" s="2829">
        <f t="shared" si="188"/>
        <v>4.0348291618175764</v>
      </c>
      <c r="Q311" s="2840">
        <f t="shared" si="169"/>
        <v>9.4627732242238629</v>
      </c>
      <c r="R311" s="2663">
        <f t="shared" si="212"/>
        <v>4.5639183024000038</v>
      </c>
      <c r="S311" s="1721">
        <f>'Calc-2'!AQ48</f>
        <v>1.2886999999998745</v>
      </c>
      <c r="T311" s="1693">
        <f t="shared" si="227"/>
        <v>4.0368105828909417</v>
      </c>
      <c r="U311" s="103">
        <f t="shared" si="228"/>
        <v>7.3428829240512021</v>
      </c>
      <c r="V311" s="103">
        <f t="shared" si="213"/>
        <v>2.0651717988315452</v>
      </c>
      <c r="W311" s="1647">
        <f t="shared" si="229"/>
        <v>3.1741768566799275</v>
      </c>
      <c r="X311" s="103">
        <f t="shared" si="230"/>
        <v>3.3328856995139242</v>
      </c>
      <c r="Y311" s="1647">
        <f t="shared" si="231"/>
        <v>9.4328856995139247</v>
      </c>
      <c r="Z311" s="123" t="str">
        <f>IF(Hydraulic!$W$234&gt;Y311,"ok","Not ok")</f>
        <v>ok</v>
      </c>
      <c r="AA311" s="1647">
        <f t="shared" si="232"/>
        <v>2.9000000000000004</v>
      </c>
      <c r="AB311" s="2524" t="str">
        <f t="shared" si="189"/>
        <v xml:space="preserve"> </v>
      </c>
      <c r="AC311" s="1658">
        <f t="shared" si="190"/>
        <v>0.27417685667992719</v>
      </c>
      <c r="AD311" s="442">
        <f t="shared" si="178"/>
        <v>2.3656933060559657</v>
      </c>
      <c r="AE311" s="103">
        <f t="shared" si="205"/>
        <v>0.74529347697733328</v>
      </c>
      <c r="AF311" s="1854" t="str">
        <f t="shared" si="191"/>
        <v>Type I</v>
      </c>
      <c r="AG311" s="103">
        <f>VLOOKUP(V311,Table!$D$178:$G$212,2,TRUE)</f>
        <v>4.5</v>
      </c>
      <c r="AH311" s="103">
        <f t="shared" si="233"/>
        <v>14.283795855059674</v>
      </c>
      <c r="AI311" s="1725" t="str">
        <f>VLOOKUP(V311,Table!$D$178:$G$212,4,TRUE)</f>
        <v>-</v>
      </c>
      <c r="AJ311" s="103" t="str">
        <f t="shared" si="192"/>
        <v>-</v>
      </c>
      <c r="AK311" s="1726" t="str">
        <f>VLOOKUP(V311,Table!$D$178:$G$212,3,TRUE)</f>
        <v>-</v>
      </c>
      <c r="AL311" s="103" t="str">
        <f t="shared" si="193"/>
        <v>-</v>
      </c>
      <c r="AM311" s="1769">
        <f t="shared" si="214"/>
        <v>0</v>
      </c>
      <c r="AN311" s="297">
        <f t="shared" si="215"/>
        <v>0</v>
      </c>
      <c r="AO311" s="442">
        <f t="shared" si="180"/>
        <v>0</v>
      </c>
      <c r="AP311" s="1786" t="str">
        <f>VLOOKUP(V311,Table!$D$178:$I$212,5,TRUE)</f>
        <v>-</v>
      </c>
      <c r="AQ311" s="441">
        <f t="shared" si="216"/>
        <v>0</v>
      </c>
      <c r="AR311" s="1785">
        <f t="shared" si="217"/>
        <v>0</v>
      </c>
      <c r="AS311" s="441">
        <f t="shared" si="218"/>
        <v>0</v>
      </c>
      <c r="AT311" s="441">
        <f t="shared" si="219"/>
        <v>0</v>
      </c>
      <c r="AU311" s="1785" t="str">
        <f>VLOOKUP(V311,Table!$D$178:$I$212,6,TRUE)</f>
        <v>-</v>
      </c>
      <c r="AV311" s="441">
        <f t="shared" si="220"/>
        <v>0</v>
      </c>
      <c r="AW311" s="1787">
        <f t="shared" si="221"/>
        <v>0</v>
      </c>
      <c r="AX311" s="1786">
        <f t="shared" si="222"/>
        <v>0</v>
      </c>
      <c r="AY311" s="103">
        <f t="shared" si="223"/>
        <v>0</v>
      </c>
      <c r="BA311" s="1857">
        <f t="shared" si="200"/>
        <v>2.3656933060559657</v>
      </c>
      <c r="BB311" s="1858">
        <f t="shared" si="201"/>
        <v>3.2493858327114493</v>
      </c>
      <c r="BC311" s="1857">
        <f t="shared" si="202"/>
        <v>4.0617322908893119</v>
      </c>
      <c r="BD311" s="103">
        <f t="shared" si="224"/>
        <v>5.0900000000000016</v>
      </c>
      <c r="BE311" s="1858" t="str">
        <f t="shared" si="225"/>
        <v>-</v>
      </c>
      <c r="BG311" s="2846">
        <f t="shared" si="187"/>
        <v>0.25996196777188557</v>
      </c>
    </row>
    <row r="312" spans="1:59">
      <c r="A312" s="2864">
        <f t="shared" si="234"/>
        <v>10.920000000000002</v>
      </c>
      <c r="B312" s="449">
        <f t="shared" si="235"/>
        <v>9</v>
      </c>
      <c r="C312" s="1523">
        <f t="shared" si="206"/>
        <v>3.9200000000000017</v>
      </c>
      <c r="D312" s="441">
        <f t="shared" si="207"/>
        <v>2</v>
      </c>
      <c r="E312" s="505">
        <f t="shared" si="208"/>
        <v>1.9200000000000017</v>
      </c>
      <c r="F312" s="103">
        <f t="shared" si="162"/>
        <v>26.580812011679722</v>
      </c>
      <c r="G312" s="3074"/>
      <c r="H312" s="3092"/>
      <c r="I312" s="147" t="str">
        <f t="shared" si="209"/>
        <v>ok</v>
      </c>
      <c r="J312" s="123" t="str">
        <f t="shared" si="210"/>
        <v>Type 1</v>
      </c>
      <c r="K312" s="130"/>
      <c r="L312" s="2829">
        <f t="shared" si="226"/>
        <v>3.9200000000000017</v>
      </c>
      <c r="M312" s="2840">
        <f t="shared" si="166"/>
        <v>8.8602706705599079</v>
      </c>
      <c r="N312" s="2831">
        <f t="shared" si="211"/>
        <v>2.2602731302448733</v>
      </c>
      <c r="O312" s="2824">
        <f t="shared" si="168"/>
        <v>2.0002072190627227</v>
      </c>
      <c r="P312" s="2829">
        <f t="shared" si="188"/>
        <v>3.9003108285940837</v>
      </c>
      <c r="Q312" s="2840">
        <f t="shared" si="169"/>
        <v>8.8602706705599079</v>
      </c>
      <c r="R312" s="2663">
        <f t="shared" si="212"/>
        <v>4.0012434432000061</v>
      </c>
      <c r="S312" s="1721">
        <f>'Calc-2'!AQ49</f>
        <v>1.2217999999998819</v>
      </c>
      <c r="T312" s="1693">
        <f t="shared" si="227"/>
        <v>3.9021699100759482</v>
      </c>
      <c r="U312" s="103">
        <f t="shared" si="228"/>
        <v>7.2518175401544971</v>
      </c>
      <c r="V312" s="103">
        <f t="shared" si="213"/>
        <v>2.0946540432188709</v>
      </c>
      <c r="W312" s="1647">
        <f t="shared" si="229"/>
        <v>3.0596180335373435</v>
      </c>
      <c r="X312" s="103">
        <f t="shared" si="230"/>
        <v>3.2125989352142108</v>
      </c>
      <c r="Y312" s="1647">
        <f t="shared" si="231"/>
        <v>9.3125989352142113</v>
      </c>
      <c r="Z312" s="123" t="str">
        <f>IF(Hydraulic!$W$234&gt;Y312,"ok","Not ok")</f>
        <v>ok</v>
      </c>
      <c r="AA312" s="1647">
        <f t="shared" si="232"/>
        <v>2.9000000000000004</v>
      </c>
      <c r="AB312" s="2524" t="str">
        <f t="shared" si="189"/>
        <v xml:space="preserve"> </v>
      </c>
      <c r="AC312" s="1658">
        <f t="shared" si="190"/>
        <v>0.15961803353734316</v>
      </c>
      <c r="AD312" s="442">
        <f t="shared" si="178"/>
        <v>2.215067667639977</v>
      </c>
      <c r="AE312" s="103">
        <f t="shared" si="205"/>
        <v>0.72396869261456498</v>
      </c>
      <c r="AF312" s="1854" t="str">
        <f t="shared" si="191"/>
        <v>Type I</v>
      </c>
      <c r="AG312" s="103">
        <f>VLOOKUP(V312,Table!$D$178:$G$212,2,TRUE)</f>
        <v>4.5</v>
      </c>
      <c r="AH312" s="103">
        <f t="shared" si="233"/>
        <v>13.768281150918046</v>
      </c>
      <c r="AI312" s="1725" t="str">
        <f>VLOOKUP(V312,Table!$D$178:$G$212,4,TRUE)</f>
        <v>-</v>
      </c>
      <c r="AJ312" s="103" t="str">
        <f t="shared" si="192"/>
        <v>-</v>
      </c>
      <c r="AK312" s="1726" t="str">
        <f>VLOOKUP(V312,Table!$D$178:$G$212,3,TRUE)</f>
        <v>-</v>
      </c>
      <c r="AL312" s="103" t="str">
        <f t="shared" si="193"/>
        <v>-</v>
      </c>
      <c r="AM312" s="1769">
        <f t="shared" si="214"/>
        <v>0</v>
      </c>
      <c r="AN312" s="297">
        <f t="shared" si="215"/>
        <v>0</v>
      </c>
      <c r="AO312" s="442">
        <f t="shared" si="180"/>
        <v>0</v>
      </c>
      <c r="AP312" s="1786" t="str">
        <f>VLOOKUP(V312,Table!$D$178:$I$212,5,TRUE)</f>
        <v>-</v>
      </c>
      <c r="AQ312" s="441">
        <f t="shared" si="216"/>
        <v>0</v>
      </c>
      <c r="AR312" s="1785">
        <f t="shared" si="217"/>
        <v>0</v>
      </c>
      <c r="AS312" s="441">
        <f t="shared" si="218"/>
        <v>0</v>
      </c>
      <c r="AT312" s="441">
        <f t="shared" si="219"/>
        <v>0</v>
      </c>
      <c r="AU312" s="1785" t="str">
        <f>VLOOKUP(V312,Table!$D$178:$I$212,6,TRUE)</f>
        <v>-</v>
      </c>
      <c r="AV312" s="441">
        <f t="shared" si="220"/>
        <v>0</v>
      </c>
      <c r="AW312" s="1787">
        <f t="shared" si="221"/>
        <v>0</v>
      </c>
      <c r="AX312" s="1786">
        <f t="shared" si="222"/>
        <v>0</v>
      </c>
      <c r="AY312" s="103">
        <f t="shared" si="223"/>
        <v>0</v>
      </c>
      <c r="BA312" s="1857">
        <f t="shared" si="200"/>
        <v>2.215067667639977</v>
      </c>
      <c r="BB312" s="1858">
        <f t="shared" si="201"/>
        <v>3.1099517699113757</v>
      </c>
      <c r="BC312" s="1857">
        <f t="shared" si="202"/>
        <v>3.8874397123892197</v>
      </c>
      <c r="BD312" s="103">
        <f t="shared" si="224"/>
        <v>4.8200000000000021</v>
      </c>
      <c r="BE312" s="1858" t="str">
        <f t="shared" si="225"/>
        <v>-</v>
      </c>
      <c r="BG312" s="2846">
        <f t="shared" si="187"/>
        <v>0.26038912453144536</v>
      </c>
    </row>
    <row r="313" spans="1:59">
      <c r="A313" s="2864">
        <f t="shared" si="234"/>
        <v>10.650000000000002</v>
      </c>
      <c r="B313" s="449">
        <f t="shared" si="235"/>
        <v>9</v>
      </c>
      <c r="C313" s="1523">
        <f t="shared" si="206"/>
        <v>3.6500000000000021</v>
      </c>
      <c r="D313" s="441">
        <f t="shared" si="207"/>
        <v>2</v>
      </c>
      <c r="E313" s="505">
        <f t="shared" si="208"/>
        <v>1.6500000000000021</v>
      </c>
      <c r="F313" s="103">
        <f t="shared" si="162"/>
        <v>24.641072228349177</v>
      </c>
      <c r="G313" s="3074"/>
      <c r="H313" s="3092"/>
      <c r="I313" s="147" t="str">
        <f t="shared" si="209"/>
        <v>ok</v>
      </c>
      <c r="J313" s="123" t="str">
        <f t="shared" si="210"/>
        <v>Type 1</v>
      </c>
      <c r="K313" s="130"/>
      <c r="L313" s="2829">
        <f t="shared" si="226"/>
        <v>3.6500000000000021</v>
      </c>
      <c r="M313" s="2840">
        <f t="shared" si="166"/>
        <v>8.2136907427830597</v>
      </c>
      <c r="N313" s="2831">
        <f t="shared" si="211"/>
        <v>2.2503262308994669</v>
      </c>
      <c r="O313" s="2824">
        <f t="shared" si="168"/>
        <v>1.9016732414418205</v>
      </c>
      <c r="P313" s="2829">
        <f t="shared" si="188"/>
        <v>3.7525098621627309</v>
      </c>
      <c r="Q313" s="2840">
        <f t="shared" si="169"/>
        <v>8.2136907427830597</v>
      </c>
      <c r="R313" s="2663">
        <f t="shared" si="212"/>
        <v>3.4385685840000066</v>
      </c>
      <c r="S313" s="1721">
        <f>'Calc-2'!AQ50</f>
        <v>1.1487999999998899</v>
      </c>
      <c r="T313" s="1693">
        <f t="shared" si="227"/>
        <v>3.754286559549513</v>
      </c>
      <c r="U313" s="103">
        <f t="shared" si="228"/>
        <v>7.1498004376600335</v>
      </c>
      <c r="V313" s="103">
        <f t="shared" si="213"/>
        <v>2.1297920568319544</v>
      </c>
      <c r="W313" s="1647">
        <f t="shared" si="229"/>
        <v>2.9331158158505297</v>
      </c>
      <c r="X313" s="103">
        <f t="shared" si="230"/>
        <v>3.0797716066430563</v>
      </c>
      <c r="Y313" s="1647">
        <f t="shared" si="231"/>
        <v>9.1797716066430564</v>
      </c>
      <c r="Z313" s="123" t="str">
        <f>IF(Hydraulic!$W$234&gt;Y313,"ok","Not ok")</f>
        <v>ok</v>
      </c>
      <c r="AA313" s="1647">
        <f t="shared" si="232"/>
        <v>2.9000000000000004</v>
      </c>
      <c r="AB313" s="2524" t="str">
        <f t="shared" si="189"/>
        <v xml:space="preserve"> </v>
      </c>
      <c r="AC313" s="1658">
        <f t="shared" si="190"/>
        <v>3.3115815850529362E-2</v>
      </c>
      <c r="AD313" s="442">
        <f t="shared" si="178"/>
        <v>2.0534226856957649</v>
      </c>
      <c r="AE313" s="103">
        <f t="shared" si="205"/>
        <v>0.70008237472216006</v>
      </c>
      <c r="AF313" s="1854" t="str">
        <f t="shared" si="191"/>
        <v>Type I</v>
      </c>
      <c r="AG313" s="103">
        <f>VLOOKUP(V313,Table!$D$178:$G$212,2,TRUE)</f>
        <v>4.5999999999999996</v>
      </c>
      <c r="AH313" s="103">
        <f t="shared" si="233"/>
        <v>13.492332752912436</v>
      </c>
      <c r="AI313" s="1725" t="str">
        <f>VLOOKUP(V313,Table!$D$178:$G$212,4,TRUE)</f>
        <v>-</v>
      </c>
      <c r="AJ313" s="103" t="str">
        <f t="shared" si="192"/>
        <v>-</v>
      </c>
      <c r="AK313" s="1726" t="str">
        <f>VLOOKUP(V313,Table!$D$178:$G$212,3,TRUE)</f>
        <v>-</v>
      </c>
      <c r="AL313" s="103" t="str">
        <f t="shared" si="193"/>
        <v>-</v>
      </c>
      <c r="AM313" s="1769">
        <f t="shared" si="214"/>
        <v>0</v>
      </c>
      <c r="AN313" s="297">
        <f t="shared" si="215"/>
        <v>0</v>
      </c>
      <c r="AO313" s="442">
        <f t="shared" si="180"/>
        <v>0</v>
      </c>
      <c r="AP313" s="1786" t="str">
        <f>VLOOKUP(V313,Table!$D$178:$I$212,5,TRUE)</f>
        <v>-</v>
      </c>
      <c r="AQ313" s="441">
        <f t="shared" si="216"/>
        <v>0</v>
      </c>
      <c r="AR313" s="1785">
        <f t="shared" si="217"/>
        <v>0</v>
      </c>
      <c r="AS313" s="441">
        <f t="shared" si="218"/>
        <v>0</v>
      </c>
      <c r="AT313" s="441">
        <f t="shared" si="219"/>
        <v>0</v>
      </c>
      <c r="AU313" s="1785" t="str">
        <f>VLOOKUP(V313,Table!$D$178:$I$212,6,TRUE)</f>
        <v>-</v>
      </c>
      <c r="AV313" s="441">
        <f t="shared" si="220"/>
        <v>0</v>
      </c>
      <c r="AW313" s="1787">
        <f t="shared" si="221"/>
        <v>0</v>
      </c>
      <c r="AX313" s="1786">
        <f t="shared" si="222"/>
        <v>0</v>
      </c>
      <c r="AY313" s="103">
        <f t="shared" si="223"/>
        <v>0</v>
      </c>
      <c r="BA313" s="1857">
        <f t="shared" si="200"/>
        <v>2.0534226856957649</v>
      </c>
      <c r="BB313" s="1858">
        <f t="shared" si="201"/>
        <v>2.9567496840584289</v>
      </c>
      <c r="BC313" s="1857">
        <f t="shared" si="202"/>
        <v>3.6959371050730363</v>
      </c>
      <c r="BD313" s="103">
        <f t="shared" si="224"/>
        <v>4.5500000000000025</v>
      </c>
      <c r="BE313" s="1858" t="str">
        <f t="shared" si="225"/>
        <v>-</v>
      </c>
      <c r="BG313" s="2846">
        <f t="shared" si="187"/>
        <v>0.25810235196096842</v>
      </c>
    </row>
    <row r="314" spans="1:59">
      <c r="A314" s="2864">
        <f t="shared" si="234"/>
        <v>10.380000000000003</v>
      </c>
      <c r="B314" s="449">
        <f t="shared" si="235"/>
        <v>9</v>
      </c>
      <c r="C314" s="1523">
        <f t="shared" si="206"/>
        <v>3.3800000000000026</v>
      </c>
      <c r="D314" s="441">
        <f t="shared" si="207"/>
        <v>2</v>
      </c>
      <c r="E314" s="505">
        <f t="shared" si="208"/>
        <v>1.3800000000000026</v>
      </c>
      <c r="F314" s="103">
        <f t="shared" si="162"/>
        <v>22.534979785328968</v>
      </c>
      <c r="G314" s="3074"/>
      <c r="H314" s="3092"/>
      <c r="I314" s="147" t="str">
        <f t="shared" si="209"/>
        <v>ok</v>
      </c>
      <c r="J314" s="123" t="str">
        <f t="shared" si="210"/>
        <v>Type 1</v>
      </c>
      <c r="K314" s="130"/>
      <c r="L314" s="2829">
        <f t="shared" si="226"/>
        <v>3.3800000000000026</v>
      </c>
      <c r="M314" s="2840">
        <f t="shared" si="166"/>
        <v>7.511659928442989</v>
      </c>
      <c r="N314" s="2831">
        <f t="shared" si="211"/>
        <v>2.2223845942139002</v>
      </c>
      <c r="O314" s="2824">
        <f t="shared" si="168"/>
        <v>1.7917095544633543</v>
      </c>
      <c r="P314" s="2829">
        <f t="shared" si="188"/>
        <v>3.5875643316950314</v>
      </c>
      <c r="Q314" s="2840">
        <f t="shared" si="169"/>
        <v>7.511659928442989</v>
      </c>
      <c r="R314" s="2663">
        <f t="shared" si="212"/>
        <v>2.8758937248000063</v>
      </c>
      <c r="S314" s="2817">
        <f>'Calc-2'!AQ51</f>
        <v>1.0679999999998988</v>
      </c>
      <c r="T314" s="1693">
        <f t="shared" si="227"/>
        <v>3.5893336952408821</v>
      </c>
      <c r="U314" s="103">
        <f t="shared" si="228"/>
        <v>7.0333894461083339</v>
      </c>
      <c r="V314" s="103">
        <f t="shared" si="213"/>
        <v>2.1729239932006386</v>
      </c>
      <c r="W314" s="2815">
        <f t="shared" si="229"/>
        <v>2.791100531723627</v>
      </c>
      <c r="X314" s="103">
        <f t="shared" si="230"/>
        <v>2.9306555583098084</v>
      </c>
      <c r="Y314" s="1647">
        <f t="shared" si="231"/>
        <v>9.0306555583098085</v>
      </c>
      <c r="Z314" s="123" t="str">
        <f>IF(Hydraulic!$W$234&gt;Y314,"ok","Not ok")</f>
        <v>ok</v>
      </c>
      <c r="AA314" s="1647">
        <f t="shared" si="232"/>
        <v>2.9000000000000004</v>
      </c>
      <c r="AB314" s="2524">
        <f t="shared" si="189"/>
        <v>0.10889946827637331</v>
      </c>
      <c r="AC314" s="1658" t="str">
        <f t="shared" si="190"/>
        <v>no</v>
      </c>
      <c r="AD314" s="442">
        <f t="shared" si="178"/>
        <v>1.8779149821107473</v>
      </c>
      <c r="AE314" s="103">
        <f t="shared" si="205"/>
        <v>0.67282240849671304</v>
      </c>
      <c r="AF314" s="1854" t="str">
        <f t="shared" si="191"/>
        <v>Type I</v>
      </c>
      <c r="AG314" s="103">
        <f>VLOOKUP(V314,Table!$D$178:$G$212,2,TRUE)</f>
        <v>4.5999999999999996</v>
      </c>
      <c r="AH314" s="103">
        <f t="shared" si="233"/>
        <v>12.839062445928683</v>
      </c>
      <c r="AI314" s="1725" t="str">
        <f>VLOOKUP(V314,Table!$D$178:$G$212,4,TRUE)</f>
        <v>-</v>
      </c>
      <c r="AJ314" s="103" t="str">
        <f t="shared" si="192"/>
        <v>-</v>
      </c>
      <c r="AK314" s="1726" t="str">
        <f>VLOOKUP(V314,Table!$D$178:$G$212,3,TRUE)</f>
        <v>-</v>
      </c>
      <c r="AL314" s="103" t="str">
        <f t="shared" si="193"/>
        <v>-</v>
      </c>
      <c r="AM314" s="1769">
        <f t="shared" si="214"/>
        <v>0</v>
      </c>
      <c r="AN314" s="297">
        <f t="shared" si="215"/>
        <v>0</v>
      </c>
      <c r="AO314" s="442">
        <f t="shared" si="180"/>
        <v>0</v>
      </c>
      <c r="AP314" s="1786" t="str">
        <f>VLOOKUP(V314,Table!$D$178:$I$212,5,TRUE)</f>
        <v>-</v>
      </c>
      <c r="AQ314" s="441">
        <f t="shared" si="216"/>
        <v>0</v>
      </c>
      <c r="AR314" s="1785">
        <f t="shared" si="217"/>
        <v>0</v>
      </c>
      <c r="AS314" s="441">
        <f t="shared" si="218"/>
        <v>0</v>
      </c>
      <c r="AT314" s="441">
        <f t="shared" si="219"/>
        <v>0</v>
      </c>
      <c r="AU314" s="1785" t="str">
        <f>VLOOKUP(V314,Table!$D$178:$I$212,6,TRUE)</f>
        <v>-</v>
      </c>
      <c r="AV314" s="441">
        <f t="shared" si="220"/>
        <v>0</v>
      </c>
      <c r="AW314" s="1787">
        <f t="shared" si="221"/>
        <v>0</v>
      </c>
      <c r="AX314" s="1786">
        <f t="shared" si="222"/>
        <v>0</v>
      </c>
      <c r="AY314" s="103">
        <f t="shared" si="223"/>
        <v>0</v>
      </c>
      <c r="BA314" s="1857">
        <f t="shared" si="200"/>
        <v>1.8779149821107473</v>
      </c>
      <c r="BB314" s="1858">
        <f t="shared" si="201"/>
        <v>2.7857765170358082</v>
      </c>
      <c r="BC314" s="1857">
        <f t="shared" si="202"/>
        <v>3.4822206462947602</v>
      </c>
      <c r="BD314" s="103">
        <f t="shared" si="224"/>
        <v>4.2800000000000029</v>
      </c>
      <c r="BE314" s="1858" t="str">
        <f t="shared" si="225"/>
        <v>-</v>
      </c>
      <c r="BG314" s="2846">
        <f t="shared" si="187"/>
        <v>0.25173258331290937</v>
      </c>
    </row>
    <row r="315" spans="1:59">
      <c r="A315" s="2864">
        <f t="shared" si="234"/>
        <v>10.110000000000003</v>
      </c>
      <c r="B315" s="449">
        <f t="shared" si="235"/>
        <v>9</v>
      </c>
      <c r="C315" s="1523">
        <f t="shared" si="206"/>
        <v>3.110000000000003</v>
      </c>
      <c r="D315" s="441">
        <f t="shared" si="207"/>
        <v>2</v>
      </c>
      <c r="E315" s="505">
        <f t="shared" si="208"/>
        <v>1.110000000000003</v>
      </c>
      <c r="F315" s="103">
        <f t="shared" si="162"/>
        <v>20.210595916193302</v>
      </c>
      <c r="G315" s="3074"/>
      <c r="H315" s="3092"/>
      <c r="I315" s="147" t="str">
        <f t="shared" si="209"/>
        <v>ok</v>
      </c>
      <c r="J315" s="123" t="str">
        <f t="shared" si="210"/>
        <v>Type 1</v>
      </c>
      <c r="K315" s="130"/>
      <c r="L315" s="2829">
        <f t="shared" si="226"/>
        <v>3.110000000000003</v>
      </c>
      <c r="M315" s="2840">
        <f t="shared" si="166"/>
        <v>6.7368653053977674</v>
      </c>
      <c r="N315" s="2831">
        <f t="shared" si="211"/>
        <v>2.1661946319606948</v>
      </c>
      <c r="O315" s="2824">
        <f t="shared" si="168"/>
        <v>1.6662835507951983</v>
      </c>
      <c r="P315" s="2829">
        <f t="shared" si="188"/>
        <v>3.3994253261927976</v>
      </c>
      <c r="Q315" s="2840">
        <f t="shared" si="169"/>
        <v>6.7368653053977674</v>
      </c>
      <c r="R315" s="2663">
        <f t="shared" si="212"/>
        <v>2.3132188656000077</v>
      </c>
      <c r="S315" s="1721">
        <f>'Calc-2'!AQ52</f>
        <v>0.97679999999990874</v>
      </c>
      <c r="T315" s="1693">
        <f t="shared" si="227"/>
        <v>3.4012064105431441</v>
      </c>
      <c r="U315" s="103">
        <f t="shared" si="228"/>
        <v>6.8968727532743621</v>
      </c>
      <c r="V315" s="103">
        <f t="shared" si="213"/>
        <v>2.2279984491836675</v>
      </c>
      <c r="W315" s="1647">
        <f t="shared" si="229"/>
        <v>2.6278758682879606</v>
      </c>
      <c r="X315" s="103">
        <f t="shared" si="230"/>
        <v>2.7592696617023589</v>
      </c>
      <c r="Y315" s="1647">
        <f t="shared" si="231"/>
        <v>8.8592696617023581</v>
      </c>
      <c r="Z315" s="123" t="str">
        <f>IF(Hydraulic!$W$234&gt;Y315,"ok","Not ok")</f>
        <v>ok</v>
      </c>
      <c r="AA315" s="1647">
        <f t="shared" si="232"/>
        <v>2.9000000000000004</v>
      </c>
      <c r="AB315" s="2524">
        <f t="shared" si="189"/>
        <v>0.27212413171203975</v>
      </c>
      <c r="AC315" s="1658" t="str">
        <f t="shared" si="190"/>
        <v>no</v>
      </c>
      <c r="AD315" s="442">
        <f t="shared" si="178"/>
        <v>1.6842163263494419</v>
      </c>
      <c r="AE315" s="103">
        <f t="shared" si="205"/>
        <v>0.64090406501837349</v>
      </c>
      <c r="AF315" s="1854" t="str">
        <f t="shared" si="191"/>
        <v>Type I</v>
      </c>
      <c r="AG315" s="103">
        <f>VLOOKUP(V315,Table!$D$178:$G$212,2,TRUE)</f>
        <v>4.7</v>
      </c>
      <c r="AH315" s="103">
        <f t="shared" si="233"/>
        <v>12.351016580953415</v>
      </c>
      <c r="AI315" s="1725" t="str">
        <f>VLOOKUP(V315,Table!$D$178:$G$212,4,TRUE)</f>
        <v>-</v>
      </c>
      <c r="AJ315" s="103" t="str">
        <f t="shared" si="192"/>
        <v>-</v>
      </c>
      <c r="AK315" s="1726" t="str">
        <f>VLOOKUP(V315,Table!$D$178:$G$212,3,TRUE)</f>
        <v>-</v>
      </c>
      <c r="AL315" s="103" t="str">
        <f t="shared" si="193"/>
        <v>-</v>
      </c>
      <c r="AM315" s="1769">
        <f t="shared" si="214"/>
        <v>0</v>
      </c>
      <c r="AN315" s="297">
        <f t="shared" si="215"/>
        <v>0</v>
      </c>
      <c r="AO315" s="442">
        <f t="shared" si="180"/>
        <v>0</v>
      </c>
      <c r="AP315" s="1786" t="str">
        <f>VLOOKUP(V315,Table!$D$178:$I$212,5,TRUE)</f>
        <v>-</v>
      </c>
      <c r="AQ315" s="441">
        <f t="shared" si="216"/>
        <v>0</v>
      </c>
      <c r="AR315" s="1785">
        <f t="shared" si="217"/>
        <v>0</v>
      </c>
      <c r="AS315" s="441">
        <f t="shared" si="218"/>
        <v>0</v>
      </c>
      <c r="AT315" s="441">
        <f t="shared" si="219"/>
        <v>0</v>
      </c>
      <c r="AU315" s="1785" t="str">
        <f>VLOOKUP(V315,Table!$D$178:$I$212,6,TRUE)</f>
        <v>-</v>
      </c>
      <c r="AV315" s="441">
        <f t="shared" si="220"/>
        <v>0</v>
      </c>
      <c r="AW315" s="1787">
        <f t="shared" si="221"/>
        <v>0</v>
      </c>
      <c r="AX315" s="1786">
        <f t="shared" si="222"/>
        <v>0</v>
      </c>
      <c r="AY315" s="103">
        <f t="shared" si="223"/>
        <v>0</v>
      </c>
      <c r="BA315" s="1857">
        <f t="shared" si="200"/>
        <v>1.6842163263494419</v>
      </c>
      <c r="BB315" s="1858">
        <f t="shared" si="201"/>
        <v>2.5907623113159253</v>
      </c>
      <c r="BC315" s="1857">
        <f t="shared" si="202"/>
        <v>3.2384528891449067</v>
      </c>
      <c r="BD315" s="103">
        <f t="shared" si="224"/>
        <v>4.0100000000000033</v>
      </c>
      <c r="BE315" s="1858" t="str">
        <f t="shared" si="225"/>
        <v>-</v>
      </c>
      <c r="BG315" s="2846">
        <f t="shared" si="187"/>
        <v>0.23916407663278949</v>
      </c>
    </row>
    <row r="316" spans="1:59">
      <c r="A316" s="2864">
        <f t="shared" si="234"/>
        <v>9.8400000000000034</v>
      </c>
      <c r="B316" s="449">
        <f t="shared" si="235"/>
        <v>9</v>
      </c>
      <c r="C316" s="1523">
        <f t="shared" si="206"/>
        <v>2.8400000000000034</v>
      </c>
      <c r="D316" s="441">
        <f t="shared" si="207"/>
        <v>2</v>
      </c>
      <c r="E316" s="505">
        <f t="shared" si="208"/>
        <v>0.84000000000000341</v>
      </c>
      <c r="F316" s="103">
        <f t="shared" si="162"/>
        <v>17.58155455726579</v>
      </c>
      <c r="G316" s="3074"/>
      <c r="H316" s="3092"/>
      <c r="I316" s="147" t="str">
        <f t="shared" si="209"/>
        <v>ok</v>
      </c>
      <c r="J316" s="123" t="str">
        <f t="shared" si="210"/>
        <v>Type 1</v>
      </c>
      <c r="K316" s="130"/>
      <c r="L316" s="2829">
        <f t="shared" si="226"/>
        <v>2.8400000000000034</v>
      </c>
      <c r="M316" s="2840">
        <f t="shared" si="166"/>
        <v>5.8605181857552635</v>
      </c>
      <c r="N316" s="2831">
        <f t="shared" si="211"/>
        <v>2.0635627414631186</v>
      </c>
      <c r="O316" s="2824">
        <f t="shared" si="168"/>
        <v>1.5184517957179895</v>
      </c>
      <c r="P316" s="2829">
        <f t="shared" si="188"/>
        <v>3.1776776935769839</v>
      </c>
      <c r="Q316" s="2840">
        <f t="shared" si="169"/>
        <v>5.8605181857552635</v>
      </c>
      <c r="R316" s="2663">
        <f t="shared" si="212"/>
        <v>1.7505440064000082</v>
      </c>
      <c r="S316" s="1721">
        <f>'Calc-2'!AQ53</f>
        <v>0.87079999999992042</v>
      </c>
      <c r="T316" s="1693">
        <f t="shared" si="227"/>
        <v>3.1793335582319089</v>
      </c>
      <c r="U316" s="103">
        <f t="shared" si="228"/>
        <v>6.7300392578729893</v>
      </c>
      <c r="V316" s="103">
        <f t="shared" si="213"/>
        <v>2.3026285424452837</v>
      </c>
      <c r="W316" s="2815">
        <f t="shared" si="229"/>
        <v>2.4335122067489481</v>
      </c>
      <c r="X316" s="103">
        <f t="shared" si="230"/>
        <v>2.5551878170863955</v>
      </c>
      <c r="Y316" s="1647">
        <f t="shared" si="231"/>
        <v>8.6551878170863947</v>
      </c>
      <c r="Z316" s="123" t="str">
        <f>IF(Hydraulic!$W$234&gt;Y316,"ok","Not ok")</f>
        <v>ok</v>
      </c>
      <c r="AA316" s="1647">
        <f t="shared" si="232"/>
        <v>2.9000000000000004</v>
      </c>
      <c r="AB316" s="2524">
        <f t="shared" si="189"/>
        <v>0.46648779325105227</v>
      </c>
      <c r="AC316" s="1658" t="str">
        <f t="shared" si="190"/>
        <v>no</v>
      </c>
      <c r="AD316" s="442">
        <f t="shared" si="178"/>
        <v>1.4651295464388159</v>
      </c>
      <c r="AE316" s="103">
        <f t="shared" si="205"/>
        <v>0.60206377530201771</v>
      </c>
      <c r="AF316" s="1854" t="str">
        <f t="shared" si="191"/>
        <v>Type I</v>
      </c>
      <c r="AG316" s="103">
        <f>VLOOKUP(V316,Table!$D$178:$G$212,2,TRUE)</f>
        <v>4.8</v>
      </c>
      <c r="AH316" s="103">
        <f t="shared" si="233"/>
        <v>11.68085859239495</v>
      </c>
      <c r="AI316" s="1725" t="str">
        <f>VLOOKUP(V316,Table!$D$178:$G$212,4,TRUE)</f>
        <v>-</v>
      </c>
      <c r="AJ316" s="103" t="str">
        <f t="shared" si="192"/>
        <v>-</v>
      </c>
      <c r="AK316" s="1726" t="str">
        <f>VLOOKUP(V316,Table!$D$178:$G$212,3,TRUE)</f>
        <v>-</v>
      </c>
      <c r="AL316" s="103" t="str">
        <f t="shared" si="193"/>
        <v>-</v>
      </c>
      <c r="AM316" s="1769">
        <f t="shared" si="214"/>
        <v>0</v>
      </c>
      <c r="AN316" s="297">
        <f t="shared" si="215"/>
        <v>0</v>
      </c>
      <c r="AO316" s="442">
        <f t="shared" si="180"/>
        <v>0</v>
      </c>
      <c r="AP316" s="1786" t="str">
        <f>VLOOKUP(V316,Table!$D$178:$I$212,5,TRUE)</f>
        <v>-</v>
      </c>
      <c r="AQ316" s="441">
        <f t="shared" si="216"/>
        <v>0</v>
      </c>
      <c r="AR316" s="1785">
        <f t="shared" si="217"/>
        <v>0</v>
      </c>
      <c r="AS316" s="441">
        <f t="shared" si="218"/>
        <v>0</v>
      </c>
      <c r="AT316" s="441">
        <f t="shared" si="219"/>
        <v>0</v>
      </c>
      <c r="AU316" s="1785" t="str">
        <f>VLOOKUP(V316,Table!$D$178:$I$212,6,TRUE)</f>
        <v>-</v>
      </c>
      <c r="AV316" s="441">
        <f t="shared" si="220"/>
        <v>0</v>
      </c>
      <c r="AW316" s="1787">
        <f t="shared" si="221"/>
        <v>0</v>
      </c>
      <c r="AX316" s="1786">
        <f t="shared" si="222"/>
        <v>0</v>
      </c>
      <c r="AY316" s="103">
        <f t="shared" si="223"/>
        <v>0</v>
      </c>
      <c r="BA316" s="1857">
        <f t="shared" si="200"/>
        <v>1.4651295464388159</v>
      </c>
      <c r="BB316" s="1858">
        <f t="shared" si="201"/>
        <v>2.3609113118945229</v>
      </c>
      <c r="BC316" s="1857">
        <f t="shared" si="202"/>
        <v>2.9511391398681535</v>
      </c>
      <c r="BD316" s="103">
        <f t="shared" si="224"/>
        <v>3.7400000000000038</v>
      </c>
      <c r="BE316" s="1858" t="str">
        <f t="shared" si="225"/>
        <v>-</v>
      </c>
      <c r="BG316" s="2846">
        <f t="shared" si="187"/>
        <v>0.21703828684784818</v>
      </c>
    </row>
    <row r="317" spans="1:59">
      <c r="A317" s="2864">
        <f t="shared" si="234"/>
        <v>9.5700000000000038</v>
      </c>
      <c r="B317" s="449">
        <f t="shared" si="235"/>
        <v>9</v>
      </c>
      <c r="C317" s="1523">
        <f t="shared" si="206"/>
        <v>2.5700000000000038</v>
      </c>
      <c r="D317" s="441">
        <f t="shared" si="207"/>
        <v>2</v>
      </c>
      <c r="E317" s="505">
        <f t="shared" si="208"/>
        <v>0.57000000000000384</v>
      </c>
      <c r="F317" s="103">
        <f t="shared" si="162"/>
        <v>14.482884174520539</v>
      </c>
      <c r="G317" s="147"/>
      <c r="H317" s="3092"/>
      <c r="I317" s="147" t="str">
        <f t="shared" si="209"/>
        <v>ok</v>
      </c>
      <c r="J317" s="123" t="str">
        <f t="shared" si="210"/>
        <v>Type 1</v>
      </c>
      <c r="K317" s="130"/>
      <c r="L317" s="2829">
        <f t="shared" si="226"/>
        <v>2.5700000000000038</v>
      </c>
      <c r="M317" s="2840">
        <f t="shared" si="166"/>
        <v>4.8276280581735129</v>
      </c>
      <c r="N317" s="2831">
        <f t="shared" si="211"/>
        <v>1.8784544973437765</v>
      </c>
      <c r="O317" s="2824">
        <f t="shared" si="168"/>
        <v>1.3343390602831289</v>
      </c>
      <c r="P317" s="2829">
        <f t="shared" si="188"/>
        <v>2.9015085904246933</v>
      </c>
      <c r="Q317" s="2840">
        <f t="shared" si="169"/>
        <v>4.8276280581735129</v>
      </c>
      <c r="R317" s="2663">
        <f t="shared" si="212"/>
        <v>1.1878691472000082</v>
      </c>
      <c r="S317" s="1721">
        <f>'Calc-2'!AQ54</f>
        <v>0.74119999999993469</v>
      </c>
      <c r="T317" s="1693">
        <f t="shared" si="227"/>
        <v>2.9034095497772565</v>
      </c>
      <c r="U317" s="103">
        <f t="shared" si="228"/>
        <v>6.5132596575471373</v>
      </c>
      <c r="V317" s="103">
        <f t="shared" si="213"/>
        <v>2.4154396056073342</v>
      </c>
      <c r="W317" s="1647">
        <f t="shared" si="229"/>
        <v>2.1882792924206842</v>
      </c>
      <c r="X317" s="103">
        <f t="shared" si="230"/>
        <v>2.2976932570417183</v>
      </c>
      <c r="Y317" s="1647">
        <f t="shared" si="231"/>
        <v>8.397693257041718</v>
      </c>
      <c r="Z317" s="123" t="str">
        <f>IF(Hydraulic!$W$234&gt;Y317,"ok","Not ok")</f>
        <v>ok</v>
      </c>
      <c r="AA317" s="1647">
        <f t="shared" si="232"/>
        <v>2.9000000000000004</v>
      </c>
      <c r="AB317" s="2524">
        <f t="shared" si="189"/>
        <v>0.71172070757931616</v>
      </c>
      <c r="AC317" s="1658" t="str">
        <f t="shared" si="190"/>
        <v>no</v>
      </c>
      <c r="AD317" s="442">
        <f t="shared" si="178"/>
        <v>1.2069070145433782</v>
      </c>
      <c r="AE317" s="103">
        <f t="shared" si="205"/>
        <v>0.55153243862591794</v>
      </c>
      <c r="AF317" s="1854" t="str">
        <f t="shared" si="191"/>
        <v>Type I</v>
      </c>
      <c r="AG317" s="103">
        <f>VLOOKUP(V317,Table!$D$178:$G$212,2,TRUE)</f>
        <v>4.9000000000000004</v>
      </c>
      <c r="AH317" s="103">
        <f t="shared" si="233"/>
        <v>10.722568532861354</v>
      </c>
      <c r="AI317" s="1725" t="str">
        <f>VLOOKUP(V317,Table!$D$178:$G$212,4,TRUE)</f>
        <v>-</v>
      </c>
      <c r="AJ317" s="103" t="str">
        <f t="shared" si="192"/>
        <v>-</v>
      </c>
      <c r="AK317" s="1726" t="str">
        <f>VLOOKUP(V317,Table!$D$178:$G$212,3,TRUE)</f>
        <v>-</v>
      </c>
      <c r="AL317" s="103" t="str">
        <f t="shared" si="193"/>
        <v>-</v>
      </c>
      <c r="AM317" s="1769">
        <f t="shared" si="214"/>
        <v>0</v>
      </c>
      <c r="AN317" s="297">
        <f t="shared" si="215"/>
        <v>0</v>
      </c>
      <c r="AO317" s="442">
        <f t="shared" si="180"/>
        <v>0</v>
      </c>
      <c r="AP317" s="1786" t="str">
        <f>VLOOKUP(V317,Table!$D$178:$I$212,5,TRUE)</f>
        <v>-</v>
      </c>
      <c r="AQ317" s="441">
        <f t="shared" si="216"/>
        <v>0</v>
      </c>
      <c r="AR317" s="1785">
        <f t="shared" si="217"/>
        <v>0</v>
      </c>
      <c r="AS317" s="441">
        <f t="shared" si="218"/>
        <v>0</v>
      </c>
      <c r="AT317" s="441">
        <f t="shared" si="219"/>
        <v>0</v>
      </c>
      <c r="AU317" s="1785" t="str">
        <f>VLOOKUP(V317,Table!$D$178:$I$212,6,TRUE)</f>
        <v>-</v>
      </c>
      <c r="AV317" s="441">
        <f t="shared" si="220"/>
        <v>0</v>
      </c>
      <c r="AW317" s="1787">
        <f t="shared" si="221"/>
        <v>0</v>
      </c>
      <c r="AX317" s="1786">
        <f t="shared" si="222"/>
        <v>0</v>
      </c>
      <c r="AY317" s="103">
        <f t="shared" si="223"/>
        <v>0</v>
      </c>
      <c r="BA317" s="1857">
        <f t="shared" si="200"/>
        <v>1.2069070145433782</v>
      </c>
      <c r="BB317" s="1858">
        <f t="shared" si="201"/>
        <v>2.0746501075693153</v>
      </c>
      <c r="BC317" s="1857">
        <f t="shared" si="202"/>
        <v>2.5933126344616442</v>
      </c>
      <c r="BD317" s="103">
        <f t="shared" si="224"/>
        <v>3.4700000000000042</v>
      </c>
      <c r="BE317" s="1858" t="str">
        <f t="shared" si="225"/>
        <v>-</v>
      </c>
      <c r="BG317" s="2846">
        <f t="shared" si="187"/>
        <v>0.17984665130433536</v>
      </c>
    </row>
    <row r="318" spans="1:59">
      <c r="A318" s="698">
        <f>B318+D292</f>
        <v>9.3000000000000007</v>
      </c>
      <c r="B318" s="698">
        <f>B308</f>
        <v>9</v>
      </c>
      <c r="C318" s="121">
        <f t="shared" si="206"/>
        <v>2.3000000000000007</v>
      </c>
      <c r="D318" s="658">
        <f t="shared" si="207"/>
        <v>2</v>
      </c>
      <c r="E318" s="506">
        <f t="shared" si="208"/>
        <v>0.30000000000000071</v>
      </c>
      <c r="F318" s="138">
        <f t="shared" si="162"/>
        <v>10.50698850170877</v>
      </c>
      <c r="G318" s="517"/>
      <c r="H318" s="354"/>
      <c r="I318" s="95" t="str">
        <f t="shared" si="209"/>
        <v>ok</v>
      </c>
      <c r="J318" s="104" t="str">
        <f t="shared" si="210"/>
        <v>Type 1</v>
      </c>
      <c r="K318" s="130"/>
      <c r="L318" s="2838">
        <f t="shared" si="226"/>
        <v>2.3000000000000007</v>
      </c>
      <c r="M318" s="2842">
        <f t="shared" si="166"/>
        <v>3.5023295005695902</v>
      </c>
      <c r="N318" s="121">
        <f t="shared" si="211"/>
        <v>1.5227519567693866</v>
      </c>
      <c r="O318" s="2822">
        <f t="shared" si="168"/>
        <v>1.0773289550002338</v>
      </c>
      <c r="P318" s="2838">
        <f t="shared" si="188"/>
        <v>2.5159934325003506</v>
      </c>
      <c r="Q318" s="2842">
        <f t="shared" si="169"/>
        <v>3.5023295005695902</v>
      </c>
      <c r="R318" s="506">
        <f t="shared" si="212"/>
        <v>0.62519428800000176</v>
      </c>
      <c r="S318" s="2818">
        <f>'Calc-2'!AQ55</f>
        <v>0.56599999999995398</v>
      </c>
      <c r="T318" s="170">
        <f t="shared" si="227"/>
        <v>2.5175610383451184</v>
      </c>
      <c r="U318" s="138">
        <f t="shared" si="228"/>
        <v>6.1878613084273413</v>
      </c>
      <c r="V318" s="1682">
        <f t="shared" si="213"/>
        <v>2.6260189261529527</v>
      </c>
      <c r="W318" s="2816">
        <f t="shared" si="229"/>
        <v>1.8379486535070046</v>
      </c>
      <c r="X318" s="138">
        <f t="shared" si="230"/>
        <v>1.929846086182355</v>
      </c>
      <c r="Y318" s="121">
        <f t="shared" si="231"/>
        <v>8.0298460861823546</v>
      </c>
      <c r="Z318" s="104" t="str">
        <f>IF(Hydraulic!$W$234&gt;Y318,"ok","Not ok")</f>
        <v>ok</v>
      </c>
      <c r="AA318" s="121">
        <f t="shared" si="232"/>
        <v>2.9000000000000004</v>
      </c>
      <c r="AB318" s="2524">
        <f t="shared" si="189"/>
        <v>0.97015391381764537</v>
      </c>
      <c r="AC318" s="1682" t="str">
        <f t="shared" si="190"/>
        <v>no</v>
      </c>
      <c r="AD318" s="1691">
        <f t="shared" si="178"/>
        <v>0.87558237514239756</v>
      </c>
      <c r="AE318" s="103">
        <f t="shared" si="205"/>
        <v>0.47639109692846521</v>
      </c>
      <c r="AF318" s="1854" t="str">
        <f t="shared" si="191"/>
        <v>ERC</v>
      </c>
      <c r="AG318" s="138">
        <f>VLOOKUP(V318,Table!$D$178:$G$212,2,TRUE)</f>
        <v>3.25</v>
      </c>
      <c r="AH318" s="138">
        <f t="shared" si="233"/>
        <v>5.9733331238977652</v>
      </c>
      <c r="AI318" s="1725">
        <f>VLOOKUP(V318,Table!$D$178:$G$212,4,TRUE)</f>
        <v>1.37</v>
      </c>
      <c r="AJ318" s="103">
        <f t="shared" si="192"/>
        <v>2.5179896553045964</v>
      </c>
      <c r="AK318" s="1726">
        <f>VLOOKUP(V318,Table!$D$178:$G$212,3,TRUE)</f>
        <v>2.75</v>
      </c>
      <c r="AL318" s="103">
        <f t="shared" si="193"/>
        <v>5.0543587971442632</v>
      </c>
      <c r="AM318" s="1769">
        <f t="shared" si="214"/>
        <v>0.56599999999995398</v>
      </c>
      <c r="AN318" s="297">
        <f t="shared" si="215"/>
        <v>0.39619999999996774</v>
      </c>
      <c r="AO318" s="442">
        <f t="shared" si="180"/>
        <v>0.39619999999996774</v>
      </c>
      <c r="AP318" s="1786" t="str">
        <f>VLOOKUP(V318,Table!$D$178:$I$212,5,TRUE)</f>
        <v>-</v>
      </c>
      <c r="AQ318" s="441">
        <f t="shared" si="216"/>
        <v>0.56599999999995398</v>
      </c>
      <c r="AR318" s="1785">
        <f t="shared" si="217"/>
        <v>0.39619999999996774</v>
      </c>
      <c r="AS318" s="441">
        <f t="shared" si="218"/>
        <v>0.11319999999999081</v>
      </c>
      <c r="AT318" s="441">
        <f t="shared" si="219"/>
        <v>0.39619999999996774</v>
      </c>
      <c r="AU318" s="1785" t="str">
        <f>VLOOKUP(V318,Table!$D$178:$I$212,6,TRUE)</f>
        <v>-</v>
      </c>
      <c r="AV318" s="658">
        <f t="shared" si="220"/>
        <v>0.36758973070140094</v>
      </c>
      <c r="AW318" s="1787">
        <f t="shared" si="221"/>
        <v>0.27569229802605066</v>
      </c>
      <c r="AX318" s="1786">
        <f t="shared" si="222"/>
        <v>5.513845960521014E-2</v>
      </c>
      <c r="AY318" s="103">
        <f t="shared" si="223"/>
        <v>0.27569229802605066</v>
      </c>
      <c r="BA318" s="353">
        <f t="shared" si="200"/>
        <v>0.87558237514239756</v>
      </c>
      <c r="BB318" s="170">
        <f t="shared" si="201"/>
        <v>1.6750469943557817</v>
      </c>
      <c r="BC318" s="1857">
        <f t="shared" si="202"/>
        <v>2.0938087429447272</v>
      </c>
      <c r="BD318" s="103">
        <f t="shared" si="224"/>
        <v>3.2000000000000011</v>
      </c>
      <c r="BE318" s="1858" t="str">
        <f t="shared" si="225"/>
        <v>-</v>
      </c>
      <c r="BG318" s="2847">
        <f t="shared" si="187"/>
        <v>0.11818417542533108</v>
      </c>
    </row>
    <row r="319" spans="1:59">
      <c r="A319" s="1514"/>
      <c r="B319" s="505"/>
      <c r="C319" s="1514"/>
      <c r="D319" s="505"/>
      <c r="E319" s="455" t="s">
        <v>1334</v>
      </c>
      <c r="F319" s="457">
        <f>MAX(F297:F318)</f>
        <v>33.226015014599632</v>
      </c>
      <c r="G319" s="1517"/>
      <c r="H319" s="1517"/>
      <c r="K319" s="130"/>
      <c r="L319" s="1863">
        <f>IF(F308=F307,MIN(L307:L308),IF(F308&gt;F307,L308,L307))</f>
        <v>4.8000000000000007</v>
      </c>
      <c r="M319" s="1647"/>
      <c r="R319" s="172" t="s">
        <v>1652</v>
      </c>
      <c r="S319" s="457">
        <f>MAX(S297:S318)</f>
        <v>1.4631999999998553</v>
      </c>
      <c r="T319" s="1732"/>
      <c r="U319" s="457">
        <f>MAX(U297:U318)</f>
        <v>7.5692580222805992</v>
      </c>
      <c r="V319" s="457">
        <f>MAX(V297:V318)</f>
        <v>2.6260189261529527</v>
      </c>
      <c r="W319" s="457">
        <f t="shared" ref="W319:X319" si="236">MAX(W297:W318)</f>
        <v>3.4667793461389831</v>
      </c>
      <c r="X319" s="457">
        <f t="shared" si="236"/>
        <v>3.6401183134459325</v>
      </c>
      <c r="Y319" s="1732"/>
      <c r="Z319" s="1732"/>
      <c r="AA319" s="1732"/>
      <c r="AB319" s="1732"/>
      <c r="AC319" s="1732"/>
      <c r="AD319" s="1732"/>
      <c r="AE319" s="457">
        <f>MAX(AE297:AE318)</f>
        <v>0.79867632407400613</v>
      </c>
      <c r="AF319" s="457"/>
      <c r="AG319" s="1732"/>
      <c r="AH319" s="457">
        <f>MAX(AH297:AH318)</f>
        <v>15.253829123011526</v>
      </c>
      <c r="AI319" s="101"/>
      <c r="AJ319" s="457">
        <f>MAX(AJ297:AJ318)</f>
        <v>2.5179896553045964</v>
      </c>
      <c r="AK319" s="102"/>
      <c r="AL319" s="457">
        <f>MAX(AL297:AL318)</f>
        <v>5.0543587971442632</v>
      </c>
      <c r="AM319" s="1811">
        <f t="shared" ref="AM319:AN319" si="237">MAX(AM297:AM318)</f>
        <v>0.56599999999995398</v>
      </c>
      <c r="AN319" s="1811">
        <f t="shared" si="237"/>
        <v>0.39619999999996774</v>
      </c>
      <c r="AO319" s="1811">
        <f>MAX(AO297:AO318)</f>
        <v>0.39619999999996774</v>
      </c>
      <c r="AP319" s="1811">
        <f t="shared" ref="AP319:BE319" si="238">MAX(AP297:AP318)</f>
        <v>0</v>
      </c>
      <c r="AQ319" s="1811">
        <f t="shared" si="238"/>
        <v>0.56599999999995398</v>
      </c>
      <c r="AR319" s="1811">
        <f t="shared" si="238"/>
        <v>0.39619999999996774</v>
      </c>
      <c r="AS319" s="1811">
        <f t="shared" si="238"/>
        <v>0.11319999999999081</v>
      </c>
      <c r="AT319" s="1811">
        <f t="shared" si="238"/>
        <v>0.39619999999996774</v>
      </c>
      <c r="AU319" s="1811">
        <f t="shared" si="238"/>
        <v>0</v>
      </c>
      <c r="AV319" s="1811">
        <f t="shared" si="238"/>
        <v>0.36758973070140094</v>
      </c>
      <c r="AW319" s="1811">
        <f t="shared" si="238"/>
        <v>0.27569229802605066</v>
      </c>
      <c r="AX319" s="1811">
        <f t="shared" si="238"/>
        <v>5.513845960521014E-2</v>
      </c>
      <c r="AY319" s="1811">
        <f t="shared" si="238"/>
        <v>0.27569229802605066</v>
      </c>
      <c r="BA319" s="1811">
        <f t="shared" si="238"/>
        <v>2.7688345845499693</v>
      </c>
      <c r="BB319" s="457">
        <f t="shared" si="238"/>
        <v>3.608779352073733</v>
      </c>
      <c r="BC319" s="457">
        <f t="shared" si="238"/>
        <v>4.510974190092166</v>
      </c>
      <c r="BD319" s="457">
        <f t="shared" si="238"/>
        <v>5.9</v>
      </c>
      <c r="BE319" s="457">
        <f t="shared" si="238"/>
        <v>0</v>
      </c>
    </row>
    <row r="320" spans="1:59">
      <c r="C320" s="46"/>
      <c r="D320" s="46"/>
      <c r="E320" s="46"/>
      <c r="F320" s="46"/>
      <c r="G320" s="46"/>
      <c r="H320" s="46"/>
      <c r="K320" s="130"/>
    </row>
    <row r="321" spans="1:18">
      <c r="C321" s="1547" t="s">
        <v>1520</v>
      </c>
      <c r="D321" s="93"/>
      <c r="E321" s="1518">
        <v>5</v>
      </c>
      <c r="F321" s="1548">
        <v>4</v>
      </c>
      <c r="G321" s="1548">
        <v>3</v>
      </c>
      <c r="H321" s="661">
        <v>1</v>
      </c>
      <c r="I321" s="90"/>
      <c r="J321" s="115"/>
      <c r="K321" s="130"/>
      <c r="M321" s="115"/>
    </row>
    <row r="322" spans="1:18">
      <c r="C322" s="1545" t="s">
        <v>1521</v>
      </c>
      <c r="D322" s="60"/>
      <c r="E322" s="253">
        <f>E249</f>
        <v>17.868308548167079</v>
      </c>
      <c r="F322" s="1293">
        <f>E268</f>
        <v>18.503713451263774</v>
      </c>
      <c r="G322" s="1293">
        <f>G286</f>
        <v>27.564468588023974</v>
      </c>
      <c r="H322" s="1546">
        <f>F319</f>
        <v>33.226015014599632</v>
      </c>
      <c r="I322" s="90"/>
      <c r="K322" s="130"/>
    </row>
    <row r="323" spans="1:18">
      <c r="C323" s="46"/>
      <c r="D323" s="46"/>
      <c r="E323" s="46"/>
      <c r="F323" s="46"/>
      <c r="G323" s="46"/>
      <c r="H323" s="46"/>
      <c r="K323" s="130"/>
      <c r="M323" s="115"/>
    </row>
    <row r="324" spans="1:18">
      <c r="K324" s="130"/>
    </row>
    <row r="325" spans="1:18">
      <c r="A325" s="225" t="s">
        <v>1989</v>
      </c>
      <c r="B325" s="174"/>
      <c r="C325" s="174"/>
      <c r="K325" s="130"/>
    </row>
    <row r="326" spans="1:18">
      <c r="A326" s="692" t="s">
        <v>1990</v>
      </c>
      <c r="B326" s="126"/>
      <c r="C326" s="126"/>
      <c r="H326" s="2850"/>
      <c r="I326" s="2851" t="s">
        <v>1992</v>
      </c>
      <c r="J326" s="2849">
        <f>IF(AND(P169&lt;1.5*V169,Q169&lt;=AA169),5,IF(AND(P170&lt;1.5*V170,Q170&gt;AA170),4,IF(AND(P171&gt;=1.5*V171,Q171&lt;V171),3,1)))</f>
        <v>5</v>
      </c>
      <c r="K326" s="130"/>
    </row>
    <row r="327" spans="1:18">
      <c r="A327" s="112"/>
      <c r="C327" s="46"/>
      <c r="D327" s="46"/>
      <c r="E327" s="46"/>
      <c r="K327" s="130"/>
    </row>
    <row r="328" spans="1:18">
      <c r="A328" s="26" t="s">
        <v>283</v>
      </c>
      <c r="C328" s="33">
        <f>D174</f>
        <v>9.7805613335840871</v>
      </c>
      <c r="D328" s="26" t="s">
        <v>179</v>
      </c>
      <c r="K328" s="130"/>
    </row>
    <row r="329" spans="1:18">
      <c r="A329" s="109" t="str">
        <f>"Width on R/S,b  = "&amp;C7&amp;" * "&amp;I36&amp;"   ="</f>
        <v>Width on R/S,b  = 2 * 1.5   =</v>
      </c>
      <c r="B329" s="46"/>
      <c r="C329" s="46"/>
      <c r="D329" s="46"/>
      <c r="E329" s="162">
        <f>C7*I36</f>
        <v>3</v>
      </c>
      <c r="F329" s="109" t="s">
        <v>5</v>
      </c>
      <c r="I329" s="46"/>
      <c r="J329" s="46"/>
      <c r="K329" s="130"/>
      <c r="L329" s="126" t="str">
        <f>"Width on R/S ( between abutment ),b  = "&amp;C7&amp;" * "&amp;I36&amp;" + "&amp;D29&amp;" * "&amp;I35&amp;"  ="</f>
        <v>Width on R/S ( between abutment ),b  = 2 * 1.5 + 1 * 0.75  =</v>
      </c>
      <c r="M329" s="126"/>
      <c r="N329" s="126"/>
      <c r="O329" s="126"/>
      <c r="P329" s="126"/>
      <c r="Q329" s="126"/>
      <c r="R329" s="126">
        <f>C7*I36+D29*I35</f>
        <v>3.75</v>
      </c>
    </row>
    <row r="330" spans="1:18">
      <c r="A330" s="26" t="str">
        <f>"Discharge per unit width, q  = "&amp;FIXED(C328,2)&amp;" / "&amp;FIXED(E329,2)&amp;" ="</f>
        <v>Discharge per unit width, q  = 9.78 / 3.00 =</v>
      </c>
      <c r="E330" s="162">
        <f>C328/E329</f>
        <v>3.2601871111946958</v>
      </c>
      <c r="F330" s="26" t="s">
        <v>201</v>
      </c>
      <c r="K330" s="130"/>
    </row>
    <row r="331" spans="1:18">
      <c r="A331" s="187" t="s">
        <v>1551</v>
      </c>
      <c r="D331" s="187" t="s">
        <v>1552</v>
      </c>
      <c r="E331" s="54">
        <f>E330/(B337)</f>
        <v>1.8112150617748304</v>
      </c>
      <c r="F331" s="26" t="s">
        <v>202</v>
      </c>
      <c r="K331" s="130"/>
    </row>
    <row r="332" spans="1:18" ht="14.25">
      <c r="A332" s="164" t="s">
        <v>271</v>
      </c>
      <c r="B332" s="163"/>
      <c r="C332" s="164"/>
      <c r="E332" s="165">
        <f>(E330^2/C18)^(1/3)</f>
        <v>1.0270825443992604</v>
      </c>
      <c r="F332" s="164" t="s">
        <v>5</v>
      </c>
      <c r="K332" s="130"/>
    </row>
    <row r="333" spans="1:18">
      <c r="B333" s="164"/>
      <c r="C333" s="163"/>
      <c r="D333" s="164"/>
      <c r="E333" s="165"/>
      <c r="F333" s="164"/>
      <c r="K333" s="130"/>
    </row>
    <row r="334" spans="1:18">
      <c r="K334" s="130"/>
    </row>
    <row r="335" spans="1:18">
      <c r="A335" s="2412" t="s">
        <v>22</v>
      </c>
      <c r="B335" s="33">
        <f>B100</f>
        <v>8.8000000000000007</v>
      </c>
      <c r="E335" s="36">
        <f>E338+D337</f>
        <v>8.8000000000000007</v>
      </c>
      <c r="H335" s="36">
        <f>B101</f>
        <v>7.9</v>
      </c>
      <c r="K335" s="130"/>
    </row>
    <row r="336" spans="1:18">
      <c r="K336" s="130"/>
    </row>
    <row r="337" spans="1:19" ht="15.75">
      <c r="A337" s="187" t="s">
        <v>1543</v>
      </c>
      <c r="B337" s="36">
        <f>B335-E338</f>
        <v>1.8000000000000007</v>
      </c>
      <c r="D337" s="79">
        <f>E8</f>
        <v>1.8</v>
      </c>
      <c r="G337" s="17" t="s">
        <v>1596</v>
      </c>
      <c r="H337" s="36">
        <f>H335-E338</f>
        <v>0.90000000000000036</v>
      </c>
      <c r="J337" s="1" t="s">
        <v>23</v>
      </c>
      <c r="K337" s="130"/>
    </row>
    <row r="338" spans="1:19" ht="15.75">
      <c r="E338" s="36">
        <f>D26</f>
        <v>7</v>
      </c>
      <c r="G338" s="203"/>
      <c r="H338" s="203" t="s">
        <v>1544</v>
      </c>
      <c r="I338" s="36">
        <f>D366</f>
        <v>1.7682797110603625</v>
      </c>
      <c r="K338" s="130"/>
    </row>
    <row r="339" spans="1:19">
      <c r="B339" s="3060">
        <f>D44</f>
        <v>0.9</v>
      </c>
      <c r="C339" s="3094" t="s">
        <v>5</v>
      </c>
      <c r="G339" s="3062" t="s">
        <v>995</v>
      </c>
      <c r="H339" s="3063">
        <f>I44</f>
        <v>0.9</v>
      </c>
      <c r="K339" s="130"/>
    </row>
    <row r="340" spans="1:19">
      <c r="B340" s="3060"/>
      <c r="C340" s="3094"/>
      <c r="G340" s="3062"/>
      <c r="H340" s="3063"/>
      <c r="I340" s="141"/>
      <c r="K340" s="130"/>
    </row>
    <row r="341" spans="1:19">
      <c r="D341" s="18"/>
      <c r="F341" s="141">
        <f>I46</f>
        <v>2.7</v>
      </c>
      <c r="I341" s="3"/>
      <c r="K341" s="130"/>
    </row>
    <row r="342" spans="1:19">
      <c r="D342" s="141">
        <f>D46</f>
        <v>2.7</v>
      </c>
      <c r="K342" s="130"/>
    </row>
    <row r="343" spans="1:19">
      <c r="D343" s="3"/>
      <c r="K343" s="130"/>
    </row>
    <row r="344" spans="1:19">
      <c r="K344" s="130"/>
    </row>
    <row r="345" spans="1:19">
      <c r="A345" s="187" t="str">
        <f>"Floor witdh at section 1 - 1 , b1 ="</f>
        <v>Floor witdh at section 1 - 1 , b1 =</v>
      </c>
      <c r="F345" s="54">
        <f>E329</f>
        <v>3</v>
      </c>
      <c r="G345" s="187" t="s">
        <v>2180</v>
      </c>
      <c r="K345" s="130"/>
      <c r="L345" t="str">
        <f>"Floor witdh at section 1 - 1 , b1 ="&amp;FIXED(E329,2)&amp;" + 2 *"&amp;FIXED(I46,2)&amp;" * tan ( "&amp;FIXED(I19,2)&amp;" ) ="</f>
        <v>Floor witdh at section 1 - 1 , b1 =3.00 + 2 *2.70 * tan ( 13.10 ) =</v>
      </c>
      <c r="R345" s="36">
        <f>E329+2*I46*TAN(RADIANS(I19))</f>
        <v>4.2566193635949912</v>
      </c>
      <c r="S345" t="s">
        <v>999</v>
      </c>
    </row>
    <row r="346" spans="1:19">
      <c r="A346" s="187" t="str">
        <f>"Unit discharge at section 1 - 1 ,  q1  = "&amp;FIXED(C328,2)&amp;" / "&amp;FIXED(F345,2)&amp;" ="</f>
        <v>Unit discharge at section 1 - 1 ,  q1  = 9.78 / 3.00 =</v>
      </c>
      <c r="F346" s="54">
        <f>C328/F345</f>
        <v>3.2601871111946958</v>
      </c>
      <c r="G346" s="26" t="s">
        <v>201</v>
      </c>
      <c r="K346" s="130"/>
    </row>
    <row r="347" spans="1:19" ht="15.75">
      <c r="A347" s="187" t="s">
        <v>2178</v>
      </c>
      <c r="K347" s="130"/>
      <c r="O347" s="2820" t="s">
        <v>1548</v>
      </c>
      <c r="P347" s="3064" t="s">
        <v>1550</v>
      </c>
      <c r="Q347" s="3064"/>
      <c r="R347" s="2820" t="s">
        <v>997</v>
      </c>
    </row>
    <row r="348" spans="1:19">
      <c r="A348" s="187"/>
      <c r="K348" s="130"/>
      <c r="L348" s="187" t="s">
        <v>1547</v>
      </c>
      <c r="O348" s="2825"/>
      <c r="P348" s="3064"/>
      <c r="Q348" s="3064"/>
      <c r="R348" s="2825"/>
    </row>
    <row r="349" spans="1:19">
      <c r="A349" s="187"/>
      <c r="B349" t="s">
        <v>2179</v>
      </c>
      <c r="D349" s="36">
        <f>1.5*E332</f>
        <v>1.5406238165988906</v>
      </c>
      <c r="K349" s="130"/>
      <c r="L349" s="187" t="s">
        <v>1545</v>
      </c>
      <c r="O349" s="2821" t="s">
        <v>990</v>
      </c>
      <c r="P349" s="3064"/>
      <c r="Q349" s="3064"/>
      <c r="R349" s="2821" t="s">
        <v>990</v>
      </c>
    </row>
    <row r="350" spans="1:19" ht="15.75">
      <c r="A350" s="187"/>
      <c r="B350" s="3064" t="s">
        <v>2177</v>
      </c>
      <c r="C350" s="3064"/>
      <c r="D350" s="691" t="s">
        <v>997</v>
      </c>
      <c r="K350" s="130"/>
      <c r="L350" s="187" t="s">
        <v>1546</v>
      </c>
      <c r="O350" s="2820" t="s">
        <v>1548</v>
      </c>
      <c r="P350" s="3064" t="s">
        <v>1549</v>
      </c>
      <c r="Q350" s="3064"/>
      <c r="R350" s="2820" t="s">
        <v>991</v>
      </c>
    </row>
    <row r="351" spans="1:19" ht="15.75">
      <c r="A351" s="187"/>
      <c r="B351" s="3064"/>
      <c r="C351" s="3064"/>
      <c r="D351" s="191" t="s">
        <v>990</v>
      </c>
      <c r="K351" s="130"/>
      <c r="O351" s="2821" t="s">
        <v>990</v>
      </c>
      <c r="P351" s="3064"/>
      <c r="Q351" s="3064"/>
      <c r="R351" s="2821" t="s">
        <v>992</v>
      </c>
    </row>
    <row r="352" spans="1:19" ht="15.75">
      <c r="A352" s="3065" t="s">
        <v>998</v>
      </c>
      <c r="B352" s="3064" t="s">
        <v>2177</v>
      </c>
      <c r="C352" s="3064"/>
      <c r="D352" s="691" t="s">
        <v>991</v>
      </c>
      <c r="K352" s="130"/>
      <c r="O352" t="str">
        <f>FIXED(E331^2/2/g,3)&amp;" + "&amp;FIXED(B337,2)&amp;" + "&amp;FIXED(H339,2)&amp;" =  Y1 + "&amp;FIXED(F346,2)&amp;"^2 / (   2g"</f>
        <v>0.167 + 1.80 + 0.90 =  Y1 + 3.26^2 / (   2g</v>
      </c>
    </row>
    <row r="353" spans="1:15" ht="16.5" thickBot="1">
      <c r="A353" s="3065"/>
      <c r="B353" s="3064"/>
      <c r="C353" s="3064"/>
      <c r="D353" s="191" t="s">
        <v>992</v>
      </c>
      <c r="K353" s="130"/>
    </row>
    <row r="354" spans="1:15" ht="16.5" thickBot="1">
      <c r="A354" s="17" t="s">
        <v>998</v>
      </c>
      <c r="B354" s="33" t="str">
        <f>FIXED(D349,2)&amp;" +  "&amp;FIXED(H339,2)&amp;" =  Y1 + "&amp;FIXED(F346,2)&amp;"^2 / (   2g"</f>
        <v>1.54 +  0.90 =  Y1 + 3.26^2 / (   2g</v>
      </c>
      <c r="F354" s="187" t="s">
        <v>1598</v>
      </c>
      <c r="K354" s="130"/>
      <c r="L354" s="2244"/>
      <c r="M354" s="2245" t="s">
        <v>1910</v>
      </c>
      <c r="N354" s="2247">
        <v>0.2</v>
      </c>
    </row>
    <row r="355" spans="1:15" ht="21" thickBot="1">
      <c r="A355" s="17" t="s">
        <v>998</v>
      </c>
      <c r="B355" s="1563">
        <f>D349+H339</f>
        <v>2.4406238165988907</v>
      </c>
      <c r="C355" s="20" t="s">
        <v>277</v>
      </c>
      <c r="D355">
        <f>F346^2/(2*C18)</f>
        <v>0.54173394495412919</v>
      </c>
      <c r="E355" s="26" t="s">
        <v>276</v>
      </c>
      <c r="K355" s="130"/>
      <c r="L355" s="1796"/>
      <c r="M355" s="1797"/>
      <c r="N355" s="2248" t="s">
        <v>809</v>
      </c>
    </row>
    <row r="356" spans="1:15" ht="16.5" thickBot="1">
      <c r="K356" s="130"/>
      <c r="L356" s="1801" t="s">
        <v>1639</v>
      </c>
      <c r="M356" s="673"/>
      <c r="N356" s="701">
        <f>'Calc-2'!E46</f>
        <v>0.53259999999996344</v>
      </c>
    </row>
    <row r="357" spans="1:15" ht="13.5" thickBot="1">
      <c r="A357" s="127" t="s">
        <v>67</v>
      </c>
      <c r="B357" s="579">
        <f>N356</f>
        <v>0.53259999999996344</v>
      </c>
      <c r="C357" s="127" t="s">
        <v>68</v>
      </c>
      <c r="D357" s="127"/>
      <c r="E357" s="127"/>
      <c r="F357" s="171">
        <f>B357+D355/(B357^2)</f>
        <v>2.4423816891938626</v>
      </c>
      <c r="K357" s="130"/>
      <c r="L357" s="1798"/>
      <c r="M357" s="1799"/>
      <c r="N357" s="1800"/>
    </row>
    <row r="358" spans="1:15">
      <c r="A358" s="187" t="s">
        <v>2181</v>
      </c>
      <c r="C358" s="53">
        <f>B357</f>
        <v>0.53259999999996344</v>
      </c>
      <c r="D358" s="22" t="str">
        <f>"m, "&amp;IF(C358&lt;E332,"&lt; "&amp;FIXED(E332,2)&amp;"m. So, flow is Super Critical.","&gt; "&amp;FIXED(E332,2)&amp;"m. So, flow is Sub Critical.")</f>
        <v>m, &lt; 1.03m. So, flow is Super Critical.</v>
      </c>
      <c r="K358" s="130"/>
    </row>
    <row r="359" spans="1:15" ht="13.5" thickBot="1">
      <c r="K359" s="130"/>
    </row>
    <row r="360" spans="1:15">
      <c r="A360" t="s">
        <v>87</v>
      </c>
      <c r="D360" t="s">
        <v>101</v>
      </c>
      <c r="E360" s="54">
        <f>F346/C358</f>
        <v>6.1212675764080355</v>
      </c>
      <c r="F360" s="26" t="s">
        <v>202</v>
      </c>
      <c r="K360" s="130"/>
      <c r="L360" s="1613" t="s">
        <v>641</v>
      </c>
      <c r="M360" s="3114" t="s">
        <v>1559</v>
      </c>
      <c r="N360" s="3115"/>
      <c r="O360" s="3116"/>
    </row>
    <row r="361" spans="1:15" ht="15.75">
      <c r="A361" s="187" t="s">
        <v>2182</v>
      </c>
      <c r="B361" s="26"/>
      <c r="C361" s="26"/>
      <c r="D361" s="26"/>
      <c r="E361" s="693">
        <f>E360/(C18*C358)^0.5</f>
        <v>2.6779735258231181</v>
      </c>
      <c r="F361" s="22" t="str">
        <f>"     So use, "&amp;IF(AND(E361&gt;=2.5,E361&lt;=4.5),"USBR ERC Type Stilling basin",IF(E361&gt;4.5,"USBR type - III Stilling basin","Stilling basin type - I"))</f>
        <v xml:space="preserve">     So use, USBR ERC Type Stilling basin</v>
      </c>
      <c r="K361" s="130"/>
      <c r="L361" s="1614" t="s">
        <v>1555</v>
      </c>
      <c r="M361" s="1612" t="s">
        <v>1553</v>
      </c>
      <c r="N361" s="1612"/>
      <c r="O361" s="1615"/>
    </row>
    <row r="362" spans="1:15">
      <c r="K362" s="130"/>
      <c r="L362" s="1616" t="s">
        <v>1558</v>
      </c>
      <c r="M362" s="1612" t="s">
        <v>1556</v>
      </c>
      <c r="N362" s="1612"/>
      <c r="O362" s="1615"/>
    </row>
    <row r="363" spans="1:15" ht="13.5" thickBot="1">
      <c r="B363" s="268" t="s">
        <v>307</v>
      </c>
      <c r="C363" s="3058" t="s">
        <v>284</v>
      </c>
      <c r="D363" s="3059"/>
      <c r="E363" s="3059"/>
      <c r="F363" s="3057">
        <f>0.5*((1+8*E361^2)^0.5-1)</f>
        <v>3.3200895814128502</v>
      </c>
      <c r="K363" s="130"/>
      <c r="L363" s="1617" t="s">
        <v>1554</v>
      </c>
      <c r="M363" s="1618" t="s">
        <v>1557</v>
      </c>
      <c r="N363" s="1618"/>
      <c r="O363" s="1619"/>
    </row>
    <row r="364" spans="1:15">
      <c r="B364" s="203" t="s">
        <v>308</v>
      </c>
      <c r="C364" s="3059"/>
      <c r="D364" s="3059"/>
      <c r="E364" s="3059"/>
      <c r="F364" s="3057"/>
      <c r="K364" s="130"/>
    </row>
    <row r="365" spans="1:15" ht="11.25" customHeight="1">
      <c r="A365" s="187"/>
      <c r="K365" s="130"/>
    </row>
    <row r="366" spans="1:15" ht="15.75">
      <c r="A366" s="187" t="s">
        <v>2183</v>
      </c>
      <c r="D366" s="694">
        <f>F363*C358</f>
        <v>1.7682797110603625</v>
      </c>
      <c r="E366" s="26" t="s">
        <v>5</v>
      </c>
      <c r="G366" s="187" t="s">
        <v>811</v>
      </c>
      <c r="H366" s="54">
        <f>1.05*D366</f>
        <v>1.8566936966133807</v>
      </c>
      <c r="I366" s="187" t="s">
        <v>5</v>
      </c>
      <c r="K366" s="130"/>
      <c r="L366" s="1560" t="s">
        <v>1561</v>
      </c>
      <c r="M366" s="227"/>
      <c r="N366" s="227"/>
      <c r="O366" s="227"/>
    </row>
    <row r="367" spans="1:15">
      <c r="A367" s="187" t="s">
        <v>1676</v>
      </c>
      <c r="D367" s="33">
        <f>IF(AND(E361&gt;=2.5,E361&lt;=4.5),H366,D366)</f>
        <v>1.8566936966133807</v>
      </c>
      <c r="E367" s="187" t="s">
        <v>5</v>
      </c>
      <c r="K367" s="130"/>
    </row>
    <row r="368" spans="1:15">
      <c r="A368" s="109" t="s">
        <v>394</v>
      </c>
      <c r="D368" s="33">
        <f>B101</f>
        <v>7.9</v>
      </c>
      <c r="E368" s="26" t="s">
        <v>155</v>
      </c>
      <c r="K368" s="130"/>
      <c r="L368" s="187" t="s">
        <v>1679</v>
      </c>
      <c r="O368" t="s">
        <v>1680</v>
      </c>
    </row>
    <row r="369" spans="1:15">
      <c r="A369" s="187" t="s">
        <v>1134</v>
      </c>
      <c r="B369" s="26"/>
      <c r="D369" s="742">
        <f>I54</f>
        <v>10</v>
      </c>
      <c r="E369" s="26" t="s">
        <v>46</v>
      </c>
      <c r="K369" s="130"/>
      <c r="L369" s="187"/>
      <c r="O369" t="s">
        <v>1678</v>
      </c>
    </row>
    <row r="370" spans="1:15">
      <c r="A370" s="187" t="s">
        <v>389</v>
      </c>
      <c r="B370" s="26"/>
      <c r="D370" s="131">
        <f>I43</f>
        <v>6.1</v>
      </c>
      <c r="E370" s="26" t="s">
        <v>46</v>
      </c>
      <c r="K370" s="130"/>
    </row>
    <row r="371" spans="1:15">
      <c r="A371" s="187" t="s">
        <v>1138</v>
      </c>
      <c r="B371" s="26"/>
      <c r="D371" s="131">
        <f>D370+H366</f>
        <v>7.9566936966133799</v>
      </c>
      <c r="E371" s="26" t="s">
        <v>46</v>
      </c>
      <c r="F371" s="126" t="str">
        <f>"So, "&amp;IF(D371&gt;=D369,FIXED(D371,2)&amp;" &gt; = "&amp;FIXED(D369,2)&amp;", NOT ok, increase Top label of R wall",FIXED(D371,2)&amp;" &lt; "&amp;FIXED(D369,2)&amp;",  ok, Below top of R wall.")</f>
        <v>So, 7.96 &lt; 10.00,  ok, Below top of R wall.</v>
      </c>
      <c r="G371" s="126"/>
      <c r="H371" s="126"/>
      <c r="I371" s="126"/>
      <c r="J371" s="46"/>
      <c r="K371" s="130"/>
      <c r="L371" s="187" t="s">
        <v>1562</v>
      </c>
    </row>
    <row r="372" spans="1:15">
      <c r="A372" s="30" t="s">
        <v>1560</v>
      </c>
      <c r="D372" s="33">
        <f>D368-D370</f>
        <v>1.8000000000000007</v>
      </c>
      <c r="E372" s="26" t="s">
        <v>5</v>
      </c>
      <c r="F372" s="126" t="str">
        <f>"So, "&amp;IF(D372&gt;=D367,FIXED(D372,2)&amp;" &gt; = "&amp;FIXED(D367,2)&amp;", ok"," &lt; y2  i,e "&amp;FIXED(D367,2)&amp;", Not ok, increase Zr")</f>
        <v>So,  &lt; y2  i,e 1.86, Not ok, increase Zr</v>
      </c>
      <c r="G372" s="126"/>
      <c r="H372" s="126"/>
      <c r="I372" s="126"/>
      <c r="K372" s="130"/>
      <c r="L372" s="187"/>
    </row>
    <row r="373" spans="1:15">
      <c r="F373" t="str">
        <f>IF(D372&gt;=D366,"This situation will stabilize the jump with in the basin","Jump may sweep out")</f>
        <v>This situation will stabilize the jump with in the basin</v>
      </c>
      <c r="K373" s="130"/>
      <c r="L373" s="187" t="s">
        <v>1681</v>
      </c>
    </row>
    <row r="374" spans="1:15">
      <c r="K374" s="130"/>
    </row>
    <row r="375" spans="1:15">
      <c r="A375" t="str">
        <f>"Width of flow at the end R/S stilling basin = "&amp;FIXED(DATA!H32,2)&amp;" + 2 *( "&amp;FIXED(I49,2)&amp;" - "&amp;I72&amp;"  )* tan ( "&amp;FIXED(I19,2)&amp;" ) ="</f>
        <v>Width of flow at the end R/S stilling basin = 3.75 + 2 *( 18.90 - 1.2  )* tan ( 13.10 ) =</v>
      </c>
      <c r="I375" s="33">
        <f>J66</f>
        <v>12</v>
      </c>
      <c r="J375" t="s">
        <v>5</v>
      </c>
      <c r="K375" s="130"/>
    </row>
    <row r="376" spans="1:15">
      <c r="A376" s="187" t="s">
        <v>399</v>
      </c>
      <c r="E376" s="54">
        <f>C328/I375</f>
        <v>0.81504677779867396</v>
      </c>
      <c r="F376" s="26" t="s">
        <v>201</v>
      </c>
      <c r="K376" s="130"/>
    </row>
    <row r="377" spans="1:15">
      <c r="A377" s="26" t="s">
        <v>205</v>
      </c>
      <c r="C377" s="1747"/>
      <c r="E377" s="33">
        <f>E376/D366</f>
        <v>0.46092638664610641</v>
      </c>
      <c r="F377" s="26" t="s">
        <v>206</v>
      </c>
      <c r="G377" s="126" t="str">
        <f>IF(E377&lt;=1,"ok","Not ok")</f>
        <v>ok</v>
      </c>
      <c r="K377" s="130"/>
    </row>
    <row r="378" spans="1:15">
      <c r="K378" s="130"/>
    </row>
    <row r="379" spans="1:15">
      <c r="A379" s="187" t="s">
        <v>2207</v>
      </c>
      <c r="D379" s="33">
        <f>D366*(I375+D366*$I$20)</f>
        <v>27.47298280581979</v>
      </c>
      <c r="E379" s="187" t="s">
        <v>871</v>
      </c>
      <c r="K379" s="130"/>
    </row>
    <row r="380" spans="1:15">
      <c r="A380" s="187" t="s">
        <v>2208</v>
      </c>
      <c r="D380" s="33">
        <f>C328/D379</f>
        <v>0.35600653204326266</v>
      </c>
      <c r="E380" s="26" t="s">
        <v>206</v>
      </c>
      <c r="F380" s="126" t="str">
        <f>IF(D380&lt;=1,"ok","Not ok")</f>
        <v>ok</v>
      </c>
      <c r="K380" s="130"/>
    </row>
    <row r="381" spans="1:15">
      <c r="K381" s="130"/>
    </row>
    <row r="382" spans="1:15">
      <c r="A382" s="187" t="s">
        <v>1637</v>
      </c>
      <c r="D382" s="17" t="s">
        <v>309</v>
      </c>
      <c r="E382" s="36">
        <f>VLOOKUP(E361,Table!D178:G212,2,TRUE)</f>
        <v>3.25</v>
      </c>
      <c r="F382" s="17" t="s">
        <v>314</v>
      </c>
      <c r="G382" s="33">
        <f>E382*D366</f>
        <v>5.7469090609461784</v>
      </c>
      <c r="H382" t="s">
        <v>5</v>
      </c>
      <c r="K382" s="130"/>
    </row>
    <row r="383" spans="1:15">
      <c r="A383" s="187" t="s">
        <v>1636</v>
      </c>
      <c r="B383" s="1"/>
      <c r="D383" s="17" t="s">
        <v>310</v>
      </c>
      <c r="E383" s="36">
        <f>VLOOKUP(E361,Table!D178:G212,4,TRUE)</f>
        <v>1.37</v>
      </c>
      <c r="F383" s="17" t="s">
        <v>312</v>
      </c>
      <c r="G383" s="33">
        <f>N(E383)*D366</f>
        <v>2.4225432041526966</v>
      </c>
      <c r="H383" t="str">
        <f>IF(E361&lt;2.5,"No Baffle is needed.","m")</f>
        <v>m</v>
      </c>
      <c r="K383" s="130"/>
    </row>
    <row r="384" spans="1:15">
      <c r="A384" s="187" t="s">
        <v>1638</v>
      </c>
      <c r="B384" s="1"/>
      <c r="D384" s="17" t="s">
        <v>311</v>
      </c>
      <c r="E384" s="36">
        <f>VLOOKUP(E361,Table!D178:G212,3,TRUE)</f>
        <v>2.75</v>
      </c>
      <c r="F384" s="17" t="s">
        <v>313</v>
      </c>
      <c r="G384" s="33">
        <f>N(E384)*D366</f>
        <v>4.8627692054159972</v>
      </c>
      <c r="H384" t="s">
        <v>5</v>
      </c>
      <c r="K384" s="130"/>
    </row>
    <row r="385" spans="1:19">
      <c r="K385" s="130"/>
    </row>
    <row r="386" spans="1:19">
      <c r="A386" s="692" t="s">
        <v>1991</v>
      </c>
      <c r="B386" s="126"/>
      <c r="C386" s="126"/>
      <c r="D386" s="126"/>
      <c r="E386" s="126"/>
      <c r="H386" s="2850"/>
      <c r="I386" s="2851" t="s">
        <v>1992</v>
      </c>
      <c r="J386" s="2849">
        <f>IF(AND(N177&lt;1.5*D183,O177&lt;=S177),5,IF(AND(N178&lt;1.5*D183,O178&gt;S178),4,IF(AND(N179&gt;=1.5*D183,O179&lt;D183),3,1)))</f>
        <v>1</v>
      </c>
      <c r="K386" s="130"/>
    </row>
    <row r="387" spans="1:19">
      <c r="A387" s="112"/>
      <c r="B387" s="46"/>
      <c r="C387" s="46"/>
      <c r="D387" s="46"/>
      <c r="E387" s="46"/>
      <c r="K387" s="130"/>
    </row>
    <row r="388" spans="1:19">
      <c r="A388" s="26" t="s">
        <v>283</v>
      </c>
      <c r="D388" s="33">
        <f>D187</f>
        <v>10.50698850170877</v>
      </c>
      <c r="E388" s="26" t="s">
        <v>179</v>
      </c>
      <c r="K388" s="130"/>
    </row>
    <row r="389" spans="1:19">
      <c r="A389" s="109" t="str">
        <f>"Width on R/S,b  = "&amp;C7&amp;" * "&amp;I36&amp;"  ="</f>
        <v>Width on R/S,b  = 2 * 1.5  =</v>
      </c>
      <c r="B389" s="46"/>
      <c r="C389" s="46"/>
      <c r="D389" s="46"/>
      <c r="E389" s="162">
        <f>C7*I36</f>
        <v>3</v>
      </c>
      <c r="F389" s="109" t="s">
        <v>5</v>
      </c>
      <c r="I389" s="109"/>
      <c r="J389" s="46"/>
      <c r="K389" s="130"/>
      <c r="L389" t="str">
        <f>"Width on R/S ( between abutment ),b  = "&amp;C7&amp;" * "&amp;I36&amp;" + "&amp;D29&amp;" * "&amp;I35&amp;"  ="</f>
        <v>Width on R/S ( between abutment ),b  = 2 * 1.5 + 1 * 0.75  =</v>
      </c>
      <c r="R389">
        <f>C7*I36+D29*I35</f>
        <v>3.75</v>
      </c>
      <c r="S389" s="109" t="s">
        <v>1101</v>
      </c>
    </row>
    <row r="390" spans="1:19">
      <c r="A390" s="26" t="str">
        <f>"Discharge per unit width, q = "&amp;FIXED(D388,2)&amp;" / "&amp;FIXED(E389,2)&amp;" ="</f>
        <v>Discharge per unit width, q = 10.51 / 3.00 =</v>
      </c>
      <c r="E390" s="162">
        <f>D388/E389</f>
        <v>3.5023295005695902</v>
      </c>
      <c r="F390" s="26" t="s">
        <v>201</v>
      </c>
      <c r="K390" s="130"/>
    </row>
    <row r="391" spans="1:19">
      <c r="A391" s="187" t="s">
        <v>1551</v>
      </c>
      <c r="D391" s="187" t="s">
        <v>1552</v>
      </c>
      <c r="E391" s="54">
        <f>E390/(B398)</f>
        <v>0.72965197928533121</v>
      </c>
      <c r="F391" s="26" t="s">
        <v>202</v>
      </c>
      <c r="K391" s="130"/>
    </row>
    <row r="392" spans="1:19" ht="14.25">
      <c r="A392" s="164" t="s">
        <v>271</v>
      </c>
      <c r="B392" s="163"/>
      <c r="C392" s="164"/>
      <c r="E392" s="165">
        <f>(E390^2/C20)^(1/3)</f>
        <v>1.0773289550002338</v>
      </c>
      <c r="F392" s="164" t="s">
        <v>5</v>
      </c>
      <c r="K392" s="130"/>
    </row>
    <row r="393" spans="1:19">
      <c r="K393" s="130"/>
    </row>
    <row r="394" spans="1:19">
      <c r="B394" s="164"/>
      <c r="C394" s="163"/>
      <c r="D394" s="164"/>
      <c r="E394" s="165"/>
      <c r="F394" s="164"/>
      <c r="K394" s="130"/>
    </row>
    <row r="395" spans="1:19">
      <c r="A395" s="2412" t="s">
        <v>22</v>
      </c>
      <c r="K395" s="130"/>
    </row>
    <row r="396" spans="1:19">
      <c r="B396" s="33">
        <f>B104</f>
        <v>11.8</v>
      </c>
      <c r="E396" s="36">
        <f>E399+D398</f>
        <v>8.8000000000000007</v>
      </c>
      <c r="H396" s="36">
        <f>B105</f>
        <v>11.5</v>
      </c>
      <c r="K396" s="130"/>
    </row>
    <row r="397" spans="1:19">
      <c r="K397" s="130"/>
    </row>
    <row r="398" spans="1:19" ht="15.75">
      <c r="A398" s="187" t="s">
        <v>1543</v>
      </c>
      <c r="B398" s="36">
        <f>B396-E399</f>
        <v>4.8000000000000007</v>
      </c>
      <c r="D398" s="79">
        <f>E8</f>
        <v>1.8</v>
      </c>
      <c r="H398" s="36">
        <f>H396-E399</f>
        <v>4.5</v>
      </c>
      <c r="J398" s="6" t="s">
        <v>23</v>
      </c>
      <c r="K398" s="130"/>
    </row>
    <row r="399" spans="1:19" ht="15.75">
      <c r="E399" s="36">
        <f>D26</f>
        <v>7</v>
      </c>
      <c r="G399" s="203"/>
      <c r="H399" s="203" t="s">
        <v>1544</v>
      </c>
      <c r="I399" s="36">
        <f>E426</f>
        <v>1.8411366771536775</v>
      </c>
      <c r="K399" s="130"/>
    </row>
    <row r="400" spans="1:19">
      <c r="B400" s="33">
        <f>D44</f>
        <v>0.9</v>
      </c>
      <c r="C400" s="26" t="s">
        <v>5</v>
      </c>
      <c r="G400" s="17"/>
      <c r="K400" s="130"/>
    </row>
    <row r="401" spans="1:20">
      <c r="B401" s="33"/>
      <c r="C401" s="26"/>
      <c r="G401" s="17" t="s">
        <v>995</v>
      </c>
      <c r="H401" s="141">
        <f>I44</f>
        <v>0.9</v>
      </c>
      <c r="I401" s="141"/>
      <c r="K401" s="130"/>
    </row>
    <row r="402" spans="1:20">
      <c r="D402" s="18"/>
      <c r="F402" s="141">
        <f>I46</f>
        <v>2.7</v>
      </c>
      <c r="I402" s="3"/>
      <c r="K402" s="130"/>
    </row>
    <row r="403" spans="1:20">
      <c r="D403" s="141">
        <f>D46</f>
        <v>2.7</v>
      </c>
      <c r="K403" s="130"/>
    </row>
    <row r="404" spans="1:20">
      <c r="D404" s="3"/>
      <c r="K404" s="130"/>
    </row>
    <row r="405" spans="1:20">
      <c r="K405" s="130"/>
    </row>
    <row r="406" spans="1:20">
      <c r="A406" s="187" t="s">
        <v>2184</v>
      </c>
      <c r="F406" s="54">
        <f>E389</f>
        <v>3</v>
      </c>
      <c r="G406" s="187" t="s">
        <v>5</v>
      </c>
      <c r="K406" s="130"/>
      <c r="L406" t="str">
        <f>"Floor witdh at section 1 - 1 , b1 ="&amp;FIXED(E389,2)&amp;" + 2 *"&amp;FIXED(I46,2)&amp;" * tan ( "&amp;I19&amp;" ) ="</f>
        <v>Floor witdh at section 1 - 1 , b1 =3.00 + 2 *2.70 * tan ( 13.1 ) =</v>
      </c>
      <c r="S406" s="33">
        <f>E389+2*I46*TAN(RADIANS(I19))</f>
        <v>4.2566193635949912</v>
      </c>
      <c r="T406" s="187" t="s">
        <v>999</v>
      </c>
    </row>
    <row r="407" spans="1:20">
      <c r="A407" t="str">
        <f>"Unit discharge at section 1 - 1 ,  q1  = "&amp;FIXED(D388,2)&amp;" / "&amp;FIXED(F406,2)&amp;" ="</f>
        <v>Unit discharge at section 1 - 1 ,  q1  = 10.51 / 3.00 =</v>
      </c>
      <c r="F407" s="54">
        <f>D388/F406</f>
        <v>3.5023295005695902</v>
      </c>
      <c r="G407" s="26" t="s">
        <v>201</v>
      </c>
      <c r="K407" s="130"/>
    </row>
    <row r="408" spans="1:20">
      <c r="A408" s="187" t="s">
        <v>996</v>
      </c>
      <c r="K408" s="130"/>
    </row>
    <row r="409" spans="1:20">
      <c r="A409" s="187"/>
      <c r="K409" s="130"/>
    </row>
    <row r="410" spans="1:20">
      <c r="B410" t="s">
        <v>2179</v>
      </c>
      <c r="D410" s="36">
        <f>1.5*E392</f>
        <v>1.6159934325003507</v>
      </c>
      <c r="K410" s="130"/>
    </row>
    <row r="411" spans="1:20" ht="15.75" customHeight="1">
      <c r="A411" s="187"/>
      <c r="B411" s="1559"/>
      <c r="C411" s="3064" t="s">
        <v>2177</v>
      </c>
      <c r="D411" s="3064"/>
      <c r="E411" s="1559" t="s">
        <v>997</v>
      </c>
      <c r="K411" s="130"/>
      <c r="L411" s="187" t="s">
        <v>1545</v>
      </c>
      <c r="M411" s="487"/>
      <c r="N411" s="1767"/>
    </row>
    <row r="412" spans="1:20" ht="12.75" customHeight="1">
      <c r="A412" s="187"/>
      <c r="B412" s="1558"/>
      <c r="C412" s="3064"/>
      <c r="D412" s="3064"/>
      <c r="E412" s="1558" t="s">
        <v>990</v>
      </c>
      <c r="K412" s="130"/>
      <c r="L412" s="187" t="s">
        <v>1546</v>
      </c>
      <c r="M412" s="487"/>
      <c r="N412" s="1768"/>
    </row>
    <row r="413" spans="1:20" ht="15.75">
      <c r="A413" s="3065" t="s">
        <v>998</v>
      </c>
      <c r="B413" s="1559"/>
      <c r="C413" s="3064" t="s">
        <v>2177</v>
      </c>
      <c r="D413" s="3064"/>
      <c r="E413" s="1559" t="s">
        <v>991</v>
      </c>
      <c r="K413" s="130"/>
      <c r="L413" s="187" t="s">
        <v>1547</v>
      </c>
      <c r="M413" s="487"/>
      <c r="N413" s="1767"/>
    </row>
    <row r="414" spans="1:20" ht="15.75">
      <c r="A414" s="3065"/>
      <c r="B414" s="1558"/>
      <c r="C414" s="3064"/>
      <c r="D414" s="3064"/>
      <c r="E414" s="1558" t="s">
        <v>992</v>
      </c>
      <c r="K414" s="130"/>
      <c r="L414" s="487"/>
      <c r="M414" s="487"/>
      <c r="N414" s="1768"/>
    </row>
    <row r="415" spans="1:20" ht="15.75">
      <c r="A415" s="17" t="s">
        <v>998</v>
      </c>
      <c r="B415" s="33" t="str">
        <f>FIXED(D410,2)&amp;" + "&amp;FIXED(H401,2)&amp;" =  Y1 + "&amp;FIXED(F407,2)&amp;"^2 / (   2g"</f>
        <v>1.62 + 0.90 =  Y1 + 3.50^2 / (   2g</v>
      </c>
      <c r="F415" s="187" t="s">
        <v>1599</v>
      </c>
      <c r="K415" s="130"/>
    </row>
    <row r="416" spans="1:20" ht="21" thickBot="1">
      <c r="A416" s="17" t="s">
        <v>998</v>
      </c>
      <c r="B416" s="35">
        <f>D410+H401</f>
        <v>2.5159934325003506</v>
      </c>
      <c r="C416" s="20" t="s">
        <v>277</v>
      </c>
      <c r="D416">
        <f>F407^2/(2*C18)</f>
        <v>0.62519428800000176</v>
      </c>
      <c r="E416" s="26" t="s">
        <v>276</v>
      </c>
      <c r="K416" s="130"/>
    </row>
    <row r="417" spans="1:15" ht="13.5" thickBot="1">
      <c r="K417" s="130"/>
      <c r="L417" s="2244"/>
      <c r="M417" s="2245" t="s">
        <v>1910</v>
      </c>
      <c r="N417" s="2246">
        <v>0.1</v>
      </c>
    </row>
    <row r="418" spans="1:15" ht="16.5" thickBot="1">
      <c r="A418" s="127" t="s">
        <v>67</v>
      </c>
      <c r="B418" s="579">
        <f>N419</f>
        <v>0.56459999999995236</v>
      </c>
      <c r="C418" s="127" t="s">
        <v>68</v>
      </c>
      <c r="D418" s="127"/>
      <c r="E418" s="127"/>
      <c r="F418" s="171">
        <f>B418+D416/(B418^2)</f>
        <v>2.5258513424909803</v>
      </c>
      <c r="K418" s="130"/>
      <c r="L418" s="1802"/>
      <c r="M418" s="1807"/>
      <c r="N418" s="2249" t="s">
        <v>810</v>
      </c>
    </row>
    <row r="419" spans="1:15" ht="16.5" thickBot="1">
      <c r="A419" s="187" t="s">
        <v>2185</v>
      </c>
      <c r="C419" s="53">
        <f>B418</f>
        <v>0.56459999999995236</v>
      </c>
      <c r="D419" s="22" t="str">
        <f>"m, "&amp;IF(C419&lt;E392,"&lt; "&amp;FIXED(E392,2)&amp;"m. So, flow is Super Critical.","&gt; "&amp;FIXED(E392,2)&amp;"m. So, flow is Sub Critical.")</f>
        <v>m, &lt; 1.08m. So, flow is Super Critical.</v>
      </c>
      <c r="K419" s="130"/>
      <c r="L419" s="1803" t="s">
        <v>1639</v>
      </c>
      <c r="M419" s="695"/>
      <c r="N419" s="1834">
        <f>'Calc-2'!E55</f>
        <v>0.56459999999995236</v>
      </c>
    </row>
    <row r="420" spans="1:15" ht="13.5" thickBot="1">
      <c r="A420" s="22"/>
      <c r="K420" s="130"/>
      <c r="L420" s="1804"/>
      <c r="M420" s="1805"/>
      <c r="N420" s="1806"/>
    </row>
    <row r="421" spans="1:15">
      <c r="A421" t="s">
        <v>87</v>
      </c>
      <c r="D421" t="s">
        <v>101</v>
      </c>
      <c r="E421" s="54">
        <f>F407/C419</f>
        <v>6.2032049248492482</v>
      </c>
      <c r="F421" s="26" t="s">
        <v>202</v>
      </c>
      <c r="K421" s="130"/>
    </row>
    <row r="422" spans="1:15" ht="15.75">
      <c r="A422" s="26" t="s">
        <v>278</v>
      </c>
      <c r="B422" s="26"/>
      <c r="C422" s="26"/>
      <c r="D422" s="26"/>
      <c r="E422" s="47">
        <f>E421/(C20*C419)^0.5</f>
        <v>2.635792317761493</v>
      </c>
      <c r="F422" s="22" t="str">
        <f>"    So use, "&amp;IF(AND(E422&gt;=2.5,E422&lt;=4.5),"USBR ERC Type Stilling basin",IF(E422&gt;4.5,"USBR type - III Stilling basin","Stilling basin type - I"))</f>
        <v xml:space="preserve">    So use, USBR ERC Type Stilling basin</v>
      </c>
      <c r="K422" s="130"/>
      <c r="L422" s="1560" t="s">
        <v>1561</v>
      </c>
      <c r="M422" s="227"/>
      <c r="N422" s="227"/>
      <c r="O422" s="227"/>
    </row>
    <row r="423" spans="1:15">
      <c r="K423" s="130"/>
    </row>
    <row r="424" spans="1:15">
      <c r="B424" s="268" t="s">
        <v>307</v>
      </c>
      <c r="C424" s="3058" t="s">
        <v>284</v>
      </c>
      <c r="D424" s="3059"/>
      <c r="E424" s="3059"/>
      <c r="F424" s="3057">
        <f>0.5*((1+8*E422^2)^0.5-1)</f>
        <v>3.2609576286819566</v>
      </c>
      <c r="K424" s="130"/>
    </row>
    <row r="425" spans="1:15">
      <c r="B425" s="203" t="s">
        <v>308</v>
      </c>
      <c r="C425" s="3059"/>
      <c r="D425" s="3059"/>
      <c r="E425" s="3059"/>
      <c r="F425" s="3057"/>
      <c r="K425" s="130"/>
      <c r="L425" s="187" t="s">
        <v>1679</v>
      </c>
      <c r="O425" t="s">
        <v>1680</v>
      </c>
    </row>
    <row r="426" spans="1:15" ht="15.75">
      <c r="A426" s="187" t="s">
        <v>1650</v>
      </c>
      <c r="E426" s="135">
        <f>F424*C419</f>
        <v>1.8411366771536775</v>
      </c>
      <c r="F426" s="26" t="s">
        <v>5</v>
      </c>
      <c r="H426" s="187" t="s">
        <v>811</v>
      </c>
      <c r="I426" s="54">
        <f>1.05*E426</f>
        <v>1.9331935110113614</v>
      </c>
      <c r="J426" s="187" t="s">
        <v>5</v>
      </c>
      <c r="K426" s="130"/>
      <c r="L426" s="187"/>
      <c r="O426" t="s">
        <v>1678</v>
      </c>
    </row>
    <row r="427" spans="1:15">
      <c r="A427" s="187" t="s">
        <v>1676</v>
      </c>
      <c r="D427" s="33">
        <f>IF(AND(E422&gt;=2.5,E422&lt;=4.5),I426,E426)</f>
        <v>1.9331935110113614</v>
      </c>
      <c r="E427" s="187" t="s">
        <v>5</v>
      </c>
      <c r="K427" s="130"/>
    </row>
    <row r="428" spans="1:15">
      <c r="A428" s="109" t="s">
        <v>1564</v>
      </c>
      <c r="D428" s="33">
        <f>B105</f>
        <v>11.5</v>
      </c>
      <c r="E428" s="26" t="s">
        <v>155</v>
      </c>
      <c r="K428" s="130"/>
      <c r="L428" s="187" t="s">
        <v>1562</v>
      </c>
    </row>
    <row r="429" spans="1:15">
      <c r="A429" s="187" t="s">
        <v>1134</v>
      </c>
      <c r="B429" s="26"/>
      <c r="D429" s="742">
        <f>I54</f>
        <v>10</v>
      </c>
      <c r="E429" s="26" t="s">
        <v>46</v>
      </c>
      <c r="K429" s="130"/>
      <c r="L429" s="187"/>
    </row>
    <row r="430" spans="1:15">
      <c r="A430" s="187" t="s">
        <v>389</v>
      </c>
      <c r="B430" s="26"/>
      <c r="D430" s="131">
        <f>I43</f>
        <v>6.1</v>
      </c>
      <c r="E430" s="26" t="s">
        <v>46</v>
      </c>
      <c r="K430" s="130"/>
      <c r="L430" s="187" t="s">
        <v>1681</v>
      </c>
    </row>
    <row r="431" spans="1:15">
      <c r="A431" s="187" t="s">
        <v>1138</v>
      </c>
      <c r="B431" s="26"/>
      <c r="D431" s="131">
        <f>D430+I426</f>
        <v>8.0331935110113619</v>
      </c>
      <c r="E431" s="26" t="s">
        <v>46</v>
      </c>
      <c r="F431" s="126" t="str">
        <f>"So, "&amp;IF(D431&gt;=D429,FIXED(D431,2)&amp;" &gt; = "&amp;FIXED(D429,2)&amp;", Not ok, increase Top label of R wall",FIXED(D431,2)&amp;" &lt; "&amp;FIXED(D429,2)&amp;",   ok, Below top of R wall.")</f>
        <v>So, 8.03 &lt; 10.00,   ok, Below top of R wall.</v>
      </c>
      <c r="G431" s="126"/>
      <c r="H431" s="126"/>
      <c r="I431" s="126"/>
      <c r="J431" s="126"/>
      <c r="K431" s="130"/>
    </row>
    <row r="432" spans="1:15">
      <c r="A432" s="30" t="s">
        <v>1563</v>
      </c>
      <c r="D432" s="33">
        <f>D428-D430</f>
        <v>5.4</v>
      </c>
      <c r="E432" s="26" t="s">
        <v>5</v>
      </c>
      <c r="F432" s="126" t="str">
        <f>"So, "&amp;IF(D432&gt;=D427,FIXED(D432,2)&amp;" &gt; = "&amp;FIXED(D427,2)&amp;", ok",FIXED(D432,2)&amp;" &lt; y2 i,e  "&amp;FIXED(D427,2)&amp;", Not ok, increase Zr")</f>
        <v>So, 5.40 &gt; = 1.93, ok</v>
      </c>
      <c r="G432" s="126"/>
      <c r="H432" s="126"/>
      <c r="I432" s="126"/>
      <c r="J432" s="126"/>
      <c r="K432" s="130"/>
    </row>
    <row r="433" spans="1:19">
      <c r="F433" t="str">
        <f>IF(D432&gt;=I426,"This situation will stabilize the jump with in the basin","Jump may sweep out")</f>
        <v>This situation will stabilize the jump with in the basin</v>
      </c>
      <c r="K433" s="130"/>
      <c r="M433" s="187"/>
    </row>
    <row r="434" spans="1:19">
      <c r="F434" s="46"/>
      <c r="K434" s="130"/>
    </row>
    <row r="435" spans="1:19">
      <c r="A435" s="187" t="s">
        <v>399</v>
      </c>
      <c r="E435" s="54">
        <f>D388/I375</f>
        <v>0.87558237514239756</v>
      </c>
      <c r="F435" s="26" t="s">
        <v>201</v>
      </c>
      <c r="K435" s="130"/>
      <c r="L435" s="109"/>
      <c r="M435" s="46"/>
      <c r="N435" s="46"/>
      <c r="O435" s="46"/>
      <c r="P435" s="109"/>
      <c r="Q435" s="46"/>
    </row>
    <row r="436" spans="1:19">
      <c r="A436" s="26" t="s">
        <v>205</v>
      </c>
      <c r="C436" s="10"/>
      <c r="E436" s="33">
        <f>E435/E426</f>
        <v>0.47556620103620573</v>
      </c>
      <c r="F436" s="26" t="s">
        <v>206</v>
      </c>
      <c r="G436" s="126" t="str">
        <f>IF(E436&lt;=1,"O.K","Not O.k")</f>
        <v>O.K</v>
      </c>
      <c r="K436" s="130"/>
      <c r="L436" s="109"/>
      <c r="M436" s="46"/>
      <c r="N436" s="46"/>
      <c r="O436" s="224"/>
      <c r="P436" s="112"/>
      <c r="Q436" s="46"/>
    </row>
    <row r="437" spans="1:19">
      <c r="K437" s="130"/>
    </row>
    <row r="438" spans="1:19">
      <c r="A438" s="187" t="s">
        <v>2207</v>
      </c>
      <c r="D438" s="33">
        <f>E426*(I375+E426*$I$20)</f>
        <v>28.873208653765101</v>
      </c>
      <c r="E438" s="187" t="s">
        <v>871</v>
      </c>
      <c r="K438" s="130"/>
    </row>
    <row r="439" spans="1:19">
      <c r="A439" s="187" t="s">
        <v>2208</v>
      </c>
      <c r="D439" s="33">
        <f>D388/D438</f>
        <v>0.36390096534486294</v>
      </c>
      <c r="E439" s="26" t="s">
        <v>206</v>
      </c>
      <c r="F439" s="126" t="str">
        <f>IF(D439&lt;=1,"ok","Not ok")</f>
        <v>ok</v>
      </c>
      <c r="K439" s="130"/>
    </row>
    <row r="440" spans="1:19">
      <c r="K440" s="130"/>
    </row>
    <row r="441" spans="1:19">
      <c r="A441" s="187" t="s">
        <v>1637</v>
      </c>
      <c r="D441" s="17" t="s">
        <v>309</v>
      </c>
      <c r="E441" s="36">
        <f>VLOOKUP(E422,Table!D178:G212,2,TRUE)</f>
        <v>3.25</v>
      </c>
      <c r="F441" s="17" t="s">
        <v>314</v>
      </c>
      <c r="G441" s="33">
        <f>E441*E426</f>
        <v>5.9836942007494516</v>
      </c>
      <c r="H441" t="s">
        <v>5</v>
      </c>
      <c r="K441" s="130"/>
    </row>
    <row r="442" spans="1:19">
      <c r="A442" s="187" t="s">
        <v>1636</v>
      </c>
      <c r="B442" s="1"/>
      <c r="D442" s="17" t="s">
        <v>310</v>
      </c>
      <c r="E442" s="36">
        <f>VLOOKUP(E422,Table!D178:G212,4,TRUE)</f>
        <v>1.37</v>
      </c>
      <c r="F442" s="17" t="s">
        <v>312</v>
      </c>
      <c r="G442" s="33">
        <f>IF(E422&gt;4.5,0.8*E426,N(E442)*E426)</f>
        <v>2.5223572477005383</v>
      </c>
      <c r="H442" t="str">
        <f>IF(E422&lt;2.5,"No Baffle is needed.","m")</f>
        <v>m</v>
      </c>
      <c r="K442" s="130"/>
    </row>
    <row r="443" spans="1:19">
      <c r="A443" s="187" t="s">
        <v>1638</v>
      </c>
      <c r="B443" s="1"/>
      <c r="D443" s="17" t="s">
        <v>311</v>
      </c>
      <c r="E443" s="36">
        <f>VLOOKUP(E422,Table!D178:G212,3,TRUE)</f>
        <v>2.75</v>
      </c>
      <c r="F443" s="17" t="s">
        <v>313</v>
      </c>
      <c r="G443" s="33">
        <f>IF(E422&gt;4.5,G441,N(E443)*E426)</f>
        <v>5.0631258621726127</v>
      </c>
      <c r="H443" t="s">
        <v>5</v>
      </c>
      <c r="K443" s="130"/>
    </row>
    <row r="444" spans="1:19">
      <c r="I444" s="33"/>
      <c r="K444" s="130"/>
    </row>
    <row r="445" spans="1:19">
      <c r="K445" s="130"/>
    </row>
    <row r="446" spans="1:19">
      <c r="A446" s="692" t="s">
        <v>1975</v>
      </c>
      <c r="B446" s="126"/>
      <c r="C446" s="126"/>
      <c r="D446" s="126"/>
      <c r="E446" s="126"/>
      <c r="F446" s="126"/>
      <c r="K446" s="130"/>
    </row>
    <row r="447" spans="1:19">
      <c r="D447" s="46"/>
      <c r="K447" s="130"/>
      <c r="M447" s="16"/>
      <c r="N447" s="16"/>
      <c r="O447" s="16"/>
      <c r="P447" s="16"/>
      <c r="Q447" s="16"/>
    </row>
    <row r="448" spans="1:19" ht="25.5">
      <c r="A448" s="355" t="s">
        <v>1520</v>
      </c>
      <c r="B448" s="1778" t="s">
        <v>461</v>
      </c>
      <c r="C448" s="1604" t="s">
        <v>807</v>
      </c>
      <c r="D448" s="1750" t="s">
        <v>458</v>
      </c>
      <c r="E448" s="1604" t="s">
        <v>1576</v>
      </c>
      <c r="F448" s="1750" t="s">
        <v>1577</v>
      </c>
      <c r="G448" s="1749" t="s">
        <v>1667</v>
      </c>
      <c r="H448" s="1750" t="s">
        <v>1648</v>
      </c>
      <c r="I448" s="1753" t="s">
        <v>1664</v>
      </c>
      <c r="J448" s="1742" t="s">
        <v>1665</v>
      </c>
      <c r="K448" s="130"/>
      <c r="L448" s="2788" t="s">
        <v>2153</v>
      </c>
      <c r="M448" s="2789" t="s">
        <v>5</v>
      </c>
      <c r="N448" s="2790"/>
      <c r="O448" s="2804" t="s">
        <v>2154</v>
      </c>
      <c r="P448" s="2803" t="str">
        <f>VLOOKUP(M448,L450:M457,2,FALSE)</f>
        <v>max</v>
      </c>
      <c r="Q448" s="2791"/>
      <c r="R448" s="2792"/>
      <c r="S448" s="2792"/>
    </row>
    <row r="449" spans="1:15">
      <c r="A449" s="354"/>
      <c r="B449" s="2427" t="s">
        <v>179</v>
      </c>
      <c r="C449" s="2441" t="s">
        <v>5</v>
      </c>
      <c r="D449" s="2427"/>
      <c r="E449" s="2441" t="s">
        <v>5</v>
      </c>
      <c r="F449" s="2427" t="s">
        <v>5</v>
      </c>
      <c r="G449" s="2434" t="s">
        <v>206</v>
      </c>
      <c r="H449" s="2427" t="s">
        <v>5</v>
      </c>
      <c r="I449" s="2441" t="s">
        <v>5</v>
      </c>
      <c r="J449" s="2427" t="s">
        <v>5</v>
      </c>
      <c r="K449" s="130"/>
    </row>
    <row r="450" spans="1:15">
      <c r="A450" s="355" t="s">
        <v>1668</v>
      </c>
      <c r="B450" s="376">
        <f>C328</f>
        <v>9.7805613335840871</v>
      </c>
      <c r="C450" s="1181">
        <f>C358</f>
        <v>0.53259999999996344</v>
      </c>
      <c r="D450" s="376">
        <f>E361</f>
        <v>2.6779735258231181</v>
      </c>
      <c r="E450" s="1181">
        <f>D366</f>
        <v>1.7682797110603625</v>
      </c>
      <c r="F450" s="376">
        <f>H366</f>
        <v>1.8566936966133807</v>
      </c>
      <c r="G450" s="2440">
        <f>E377</f>
        <v>0.46092638664610641</v>
      </c>
      <c r="H450" s="376">
        <f>G382</f>
        <v>5.7469090609461784</v>
      </c>
      <c r="I450" s="1181">
        <f>G383</f>
        <v>2.4225432041526966</v>
      </c>
      <c r="J450" s="376">
        <f>G384</f>
        <v>4.8627692054159972</v>
      </c>
      <c r="K450" s="130"/>
      <c r="L450" s="687">
        <v>0</v>
      </c>
      <c r="M450" s="2793" t="str">
        <f>A450</f>
        <v>Pre M</v>
      </c>
      <c r="N450" s="2946"/>
      <c r="O450" s="2947"/>
    </row>
    <row r="451" spans="1:15">
      <c r="A451" s="354" t="s">
        <v>1669</v>
      </c>
      <c r="B451" s="2435">
        <f>D388</f>
        <v>10.50698850170877</v>
      </c>
      <c r="C451" s="1184">
        <f>C419</f>
        <v>0.56459999999995236</v>
      </c>
      <c r="D451" s="2435">
        <f>E422</f>
        <v>2.635792317761493</v>
      </c>
      <c r="E451" s="1184">
        <f>E426</f>
        <v>1.8411366771536775</v>
      </c>
      <c r="F451" s="2435">
        <f>I426</f>
        <v>1.9331935110113614</v>
      </c>
      <c r="G451" s="2436">
        <f>E436</f>
        <v>0.47556620103620573</v>
      </c>
      <c r="H451" s="2435">
        <f>G441</f>
        <v>5.9836942007494516</v>
      </c>
      <c r="I451" s="1184">
        <f>G442</f>
        <v>2.5223572477005383</v>
      </c>
      <c r="J451" s="2435">
        <f>G443</f>
        <v>5.0631258621726127</v>
      </c>
      <c r="K451" s="130"/>
      <c r="L451" s="2794" t="s">
        <v>555</v>
      </c>
      <c r="M451" s="2795" t="str">
        <f t="shared" ref="M451:M457" si="239">A451</f>
        <v>Post M</v>
      </c>
      <c r="N451" s="968"/>
      <c r="O451" s="2948"/>
    </row>
    <row r="452" spans="1:15">
      <c r="A452" s="2778" t="s">
        <v>2152</v>
      </c>
      <c r="B452" s="393">
        <f>MAX(B450:B451)</f>
        <v>10.50698850170877</v>
      </c>
      <c r="C452" s="394"/>
      <c r="D452" s="393"/>
      <c r="E452" s="393">
        <f>MAX(E450:E451)</f>
        <v>1.8411366771536775</v>
      </c>
      <c r="F452" s="393"/>
      <c r="G452" s="393">
        <f>MAX(G450:G451)</f>
        <v>0.47556620103620573</v>
      </c>
      <c r="H452" s="393">
        <f t="shared" ref="H452:J452" si="240">MAX(H450:H451)</f>
        <v>5.9836942007494516</v>
      </c>
      <c r="I452" s="393">
        <f t="shared" si="240"/>
        <v>2.5223572477005383</v>
      </c>
      <c r="J452" s="393">
        <f t="shared" si="240"/>
        <v>5.0631258621726127</v>
      </c>
      <c r="K452" s="130"/>
      <c r="L452" s="2794">
        <v>6</v>
      </c>
      <c r="M452" s="2796" t="s">
        <v>2152</v>
      </c>
      <c r="N452" s="2796"/>
      <c r="O452" s="2797"/>
    </row>
    <row r="453" spans="1:15">
      <c r="A453" s="123">
        <v>5</v>
      </c>
      <c r="B453" s="103">
        <f>E249</f>
        <v>17.868308548167079</v>
      </c>
      <c r="C453" s="1751">
        <f>S249</f>
        <v>0.88249999999991913</v>
      </c>
      <c r="D453" s="103">
        <f>V249</f>
        <v>3.6735656992150774</v>
      </c>
      <c r="E453" s="103">
        <f>W249</f>
        <v>2.4553188182295553</v>
      </c>
      <c r="F453" s="103">
        <f>X249</f>
        <v>2.5780847591410332</v>
      </c>
      <c r="G453" s="1748">
        <f>AE249</f>
        <v>0.60644902865239347</v>
      </c>
      <c r="H453" s="103">
        <f>AH249</f>
        <v>11.539998445678911</v>
      </c>
      <c r="I453" s="1748">
        <f>AJ249</f>
        <v>2.6108520451074053</v>
      </c>
      <c r="J453" s="103">
        <f>AL249</f>
        <v>5.2407614044126749</v>
      </c>
      <c r="K453" s="130"/>
      <c r="L453" s="1360">
        <v>5</v>
      </c>
      <c r="M453" s="2795">
        <f t="shared" si="239"/>
        <v>5</v>
      </c>
      <c r="N453" s="968"/>
      <c r="O453" s="2948"/>
    </row>
    <row r="454" spans="1:15">
      <c r="A454" s="123">
        <v>4</v>
      </c>
      <c r="B454" s="103">
        <f>E268</f>
        <v>18.503713451263774</v>
      </c>
      <c r="C454" s="1751">
        <f>S268</f>
        <v>0.90829999999991629</v>
      </c>
      <c r="D454" s="103">
        <f>V268</f>
        <v>5.859166692909282</v>
      </c>
      <c r="E454" s="103">
        <f>W268</f>
        <v>2.5030870614934417</v>
      </c>
      <c r="F454" s="103">
        <f>X268</f>
        <v>2.6282414145681141</v>
      </c>
      <c r="G454" s="1748">
        <f>AE268</f>
        <v>0.61602975967549578</v>
      </c>
      <c r="H454" s="103">
        <f>AH268</f>
        <v>11.764509189019176</v>
      </c>
      <c r="I454" s="1748">
        <f>AJ268</f>
        <v>2.6433959854160407</v>
      </c>
      <c r="J454" s="103">
        <f>AL268</f>
        <v>5.3060868320394974</v>
      </c>
      <c r="K454" s="130"/>
      <c r="L454" s="1360">
        <v>4</v>
      </c>
      <c r="M454" s="2795">
        <f t="shared" si="239"/>
        <v>4</v>
      </c>
      <c r="N454" s="968"/>
      <c r="O454" s="2948"/>
    </row>
    <row r="455" spans="1:15">
      <c r="A455" s="123">
        <v>3</v>
      </c>
      <c r="B455" s="103">
        <f>G286</f>
        <v>27.564468588023974</v>
      </c>
      <c r="C455" s="1751">
        <f>S286</f>
        <v>1.2583999999998778</v>
      </c>
      <c r="D455" s="103">
        <f>V286</f>
        <v>2.2532316538054582</v>
      </c>
      <c r="E455" s="103">
        <f>W286</f>
        <v>3.1222197255479078</v>
      </c>
      <c r="F455" s="103">
        <f>X286</f>
        <v>3.2783307118253036</v>
      </c>
      <c r="G455" s="1748">
        <f>AE286</f>
        <v>2.1712104276715129E-2</v>
      </c>
      <c r="H455" s="103">
        <f>AH286</f>
        <v>14.049988764965585</v>
      </c>
      <c r="I455" s="1748">
        <f>AJ286</f>
        <v>0</v>
      </c>
      <c r="J455" s="103">
        <f>AL286</f>
        <v>0</v>
      </c>
      <c r="K455" s="130"/>
      <c r="L455" s="1360">
        <v>3</v>
      </c>
      <c r="M455" s="2795">
        <f t="shared" si="239"/>
        <v>3</v>
      </c>
      <c r="N455" s="968"/>
      <c r="O455" s="2948"/>
    </row>
    <row r="456" spans="1:15">
      <c r="A456" s="104">
        <v>1</v>
      </c>
      <c r="B456" s="103">
        <f>F319</f>
        <v>33.226015014599632</v>
      </c>
      <c r="C456" s="1751">
        <f>S319</f>
        <v>1.4631999999998553</v>
      </c>
      <c r="D456" s="103">
        <f>V319</f>
        <v>2.6260189261529527</v>
      </c>
      <c r="E456" s="103">
        <f>W319</f>
        <v>3.4667793461389831</v>
      </c>
      <c r="F456" s="103">
        <f>X319</f>
        <v>3.6401183134459325</v>
      </c>
      <c r="G456" s="1748">
        <f>AE319</f>
        <v>0.79867632407400613</v>
      </c>
      <c r="H456" s="103">
        <f>AH319</f>
        <v>15.253829123011526</v>
      </c>
      <c r="I456" s="1748">
        <f>AJ319</f>
        <v>2.5179896553045964</v>
      </c>
      <c r="J456" s="103">
        <f>AL319</f>
        <v>5.0543587971442632</v>
      </c>
      <c r="K456" s="130"/>
      <c r="L456" s="1360">
        <v>1</v>
      </c>
      <c r="M456" s="2795">
        <f t="shared" si="239"/>
        <v>1</v>
      </c>
      <c r="N456" s="968"/>
      <c r="O456" s="2948"/>
    </row>
    <row r="457" spans="1:15">
      <c r="A457" s="1835" t="s">
        <v>1696</v>
      </c>
      <c r="B457" s="457">
        <f>MAX(B450:B456)</f>
        <v>33.226015014599632</v>
      </c>
      <c r="C457" s="1043">
        <f>MAX(C450:C456)</f>
        <v>1.4631999999998553</v>
      </c>
      <c r="D457" s="457">
        <f>MAX(D450:D456)</f>
        <v>5.859166692909282</v>
      </c>
      <c r="E457" s="457">
        <f>MAX(E450:E456)</f>
        <v>3.4667793461389831</v>
      </c>
      <c r="F457" s="457">
        <f>MAX(F450:F456)</f>
        <v>3.6401183134459325</v>
      </c>
      <c r="G457" s="457">
        <f t="shared" ref="G457:J457" si="241">MAX(G450:G456)</f>
        <v>0.79867632407400613</v>
      </c>
      <c r="H457" s="457">
        <f t="shared" si="241"/>
        <v>15.253829123011526</v>
      </c>
      <c r="I457" s="457">
        <f t="shared" si="241"/>
        <v>2.6433959854160407</v>
      </c>
      <c r="J457" s="457">
        <f t="shared" si="241"/>
        <v>5.3060868320394974</v>
      </c>
      <c r="K457" s="130"/>
      <c r="L457" s="2798" t="s">
        <v>5</v>
      </c>
      <c r="M457" s="2799" t="str">
        <f t="shared" si="239"/>
        <v>max</v>
      </c>
      <c r="N457" s="2949"/>
      <c r="O457" s="2950"/>
    </row>
    <row r="458" spans="1:15">
      <c r="A458" s="697" t="s">
        <v>395</v>
      </c>
      <c r="B458" s="2800">
        <f>VLOOKUP(P448,A450:J457,2,FALSE)</f>
        <v>33.226015014599632</v>
      </c>
      <c r="C458" s="2791"/>
      <c r="D458" s="2791"/>
      <c r="E458" s="2800">
        <f>VLOOKUP(P448,A450:J457,5,FALSE)</f>
        <v>3.4667793461389831</v>
      </c>
      <c r="F458" s="2801"/>
      <c r="G458" s="2802">
        <f>VLOOKUP(P448,A450:J457,7,FALSE)</f>
        <v>0.79867632407400613</v>
      </c>
      <c r="H458" s="2800">
        <f>VLOOKUP(P448,A450:J457,8,FALSE)</f>
        <v>15.253829123011526</v>
      </c>
      <c r="I458" s="2800">
        <f>VLOOKUP(P448,A450:J457,9,FALSE)</f>
        <v>2.6433959854160407</v>
      </c>
      <c r="J458" s="2800">
        <f>VLOOKUP(P448,A450:J457,10,FALSE)</f>
        <v>5.3060868320394974</v>
      </c>
      <c r="K458" s="130"/>
    </row>
    <row r="459" spans="1:15">
      <c r="D459" s="46"/>
      <c r="K459" s="130"/>
    </row>
    <row r="460" spans="1:15">
      <c r="A460" s="2439" t="s">
        <v>1996</v>
      </c>
      <c r="B460" s="126"/>
      <c r="C460" s="126"/>
      <c r="D460" s="126"/>
      <c r="K460" s="130"/>
    </row>
    <row r="461" spans="1:15">
      <c r="K461" s="130"/>
    </row>
    <row r="462" spans="1:15">
      <c r="D462" s="144" t="s">
        <v>1640</v>
      </c>
      <c r="F462" s="1654" t="s">
        <v>99</v>
      </c>
      <c r="K462" s="130"/>
    </row>
    <row r="463" spans="1:15">
      <c r="A463" s="187" t="s">
        <v>1637</v>
      </c>
      <c r="D463" s="33">
        <f>H458</f>
        <v>15.253829123011526</v>
      </c>
      <c r="E463" t="s">
        <v>5</v>
      </c>
      <c r="F463" s="440" t="str">
        <f>IF(D463&lt;=I48,"&lt; "&amp;FIXED(E476,2)&amp;",  ok","&gt;"&amp;FIXED(E476,2)&amp;",   Not ok, [ Adjust the Input Data ] ")</f>
        <v>&lt; 16.20,  ok</v>
      </c>
      <c r="G463" s="126"/>
      <c r="H463" s="126"/>
      <c r="I463" s="1808"/>
      <c r="K463" s="130"/>
    </row>
    <row r="464" spans="1:15">
      <c r="A464" s="187" t="s">
        <v>1636</v>
      </c>
      <c r="D464" s="33">
        <f>I458</f>
        <v>2.6433959854160407</v>
      </c>
      <c r="E464" t="s">
        <v>5</v>
      </c>
      <c r="F464" s="580">
        <v>3</v>
      </c>
      <c r="G464" t="s">
        <v>5</v>
      </c>
      <c r="I464" s="235"/>
      <c r="K464" s="130"/>
    </row>
    <row r="465" spans="1:11">
      <c r="A465" s="187" t="s">
        <v>1638</v>
      </c>
      <c r="D465" s="33">
        <f>J458</f>
        <v>5.3060868320394974</v>
      </c>
      <c r="E465" t="s">
        <v>5</v>
      </c>
      <c r="F465" s="440" t="str">
        <f>IF(D474&gt;D465,"&lt; "&amp;FIXED(D474,2)&amp;",  ok","&gt;"&amp;FIXED(D474,2)&amp;",   Not ok")</f>
        <v>&lt; 14.05,  ok</v>
      </c>
      <c r="G465" s="126"/>
      <c r="I465" s="235"/>
      <c r="K465" s="130"/>
    </row>
    <row r="466" spans="1:11">
      <c r="A466" s="109" t="s">
        <v>912</v>
      </c>
      <c r="B466" s="109"/>
      <c r="C466" s="188"/>
      <c r="D466" s="109"/>
      <c r="E466" s="188">
        <f>DEGREES(ATAN(((J66-I37)/2)/(F71+G72)))</f>
        <v>13.118671796512279</v>
      </c>
      <c r="F466" s="109" t="s">
        <v>1104</v>
      </c>
      <c r="G466" s="794">
        <f>RADIANS(E466)</f>
        <v>0.22896401633765884</v>
      </c>
      <c r="H466" s="109" t="s">
        <v>322</v>
      </c>
      <c r="K466" s="130"/>
    </row>
    <row r="467" spans="1:11">
      <c r="G467" s="23"/>
      <c r="K467" s="130"/>
    </row>
    <row r="468" spans="1:11">
      <c r="C468" t="s">
        <v>65</v>
      </c>
      <c r="D468" s="23"/>
      <c r="E468" t="s">
        <v>397</v>
      </c>
      <c r="G468" t="s">
        <v>66</v>
      </c>
      <c r="K468" s="130"/>
    </row>
    <row r="469" spans="1:11">
      <c r="D469" s="23"/>
      <c r="K469" s="130"/>
    </row>
    <row r="470" spans="1:11">
      <c r="D470" s="23"/>
      <c r="K470" s="130"/>
    </row>
    <row r="471" spans="1:11">
      <c r="D471" s="23"/>
      <c r="K471" s="130"/>
    </row>
    <row r="472" spans="1:11">
      <c r="C472" s="210">
        <f>F464</f>
        <v>3</v>
      </c>
      <c r="D472" s="187" t="s">
        <v>5</v>
      </c>
      <c r="K472" s="130"/>
    </row>
    <row r="473" spans="1:11">
      <c r="D473" s="23"/>
      <c r="K473" s="130"/>
    </row>
    <row r="474" spans="1:11">
      <c r="C474" s="17" t="s">
        <v>313</v>
      </c>
      <c r="D474" s="210">
        <f>G72-E499/1000</f>
        <v>14.05</v>
      </c>
      <c r="E474" s="187" t="s">
        <v>5</v>
      </c>
      <c r="K474" s="130"/>
    </row>
    <row r="475" spans="1:11">
      <c r="D475" s="23"/>
      <c r="K475" s="130"/>
    </row>
    <row r="476" spans="1:11">
      <c r="D476" s="27" t="s">
        <v>314</v>
      </c>
      <c r="E476" s="33">
        <f>I48</f>
        <v>16.2</v>
      </c>
      <c r="F476" s="187" t="s">
        <v>5</v>
      </c>
      <c r="G476" s="187"/>
      <c r="K476" s="130"/>
    </row>
    <row r="477" spans="1:11">
      <c r="D477" s="23"/>
      <c r="K477" s="130"/>
    </row>
    <row r="478" spans="1:11">
      <c r="D478" s="23"/>
      <c r="K478" s="130"/>
    </row>
    <row r="479" spans="1:11">
      <c r="A479" s="139"/>
      <c r="B479" s="1"/>
      <c r="C479" s="1"/>
      <c r="K479" s="130"/>
    </row>
    <row r="480" spans="1:11">
      <c r="A480" s="355" t="s">
        <v>1520</v>
      </c>
      <c r="B480" s="3054" t="s">
        <v>1698</v>
      </c>
      <c r="C480" s="3055"/>
      <c r="D480" s="3055"/>
      <c r="E480" s="3056"/>
      <c r="F480" s="3051" t="s">
        <v>813</v>
      </c>
      <c r="G480" s="3052"/>
      <c r="H480" s="3052"/>
      <c r="I480" s="3052"/>
      <c r="J480" s="3053"/>
      <c r="K480" s="130"/>
    </row>
    <row r="481" spans="1:11" ht="25.5">
      <c r="A481" s="365"/>
      <c r="B481" s="1822" t="s">
        <v>1695</v>
      </c>
      <c r="C481" s="1784" t="s">
        <v>1697</v>
      </c>
      <c r="D481" s="1833" t="s">
        <v>1685</v>
      </c>
      <c r="E481" s="1782" t="s">
        <v>710</v>
      </c>
      <c r="F481" s="1822" t="s">
        <v>1695</v>
      </c>
      <c r="G481" s="1784" t="s">
        <v>1697</v>
      </c>
      <c r="H481" s="1828" t="s">
        <v>1686</v>
      </c>
      <c r="I481" s="1814" t="s">
        <v>1687</v>
      </c>
      <c r="J481" s="1816" t="s">
        <v>710</v>
      </c>
      <c r="K481" s="130"/>
    </row>
    <row r="482" spans="1:11">
      <c r="A482" s="256"/>
      <c r="B482" s="1790" t="s">
        <v>5</v>
      </c>
      <c r="C482" s="256" t="s">
        <v>5</v>
      </c>
      <c r="D482" s="256" t="s">
        <v>5</v>
      </c>
      <c r="E482" s="256" t="s">
        <v>5</v>
      </c>
      <c r="F482" s="1792" t="s">
        <v>5</v>
      </c>
      <c r="G482" s="256" t="s">
        <v>5</v>
      </c>
      <c r="H482" s="1792" t="s">
        <v>5</v>
      </c>
      <c r="I482" s="256" t="s">
        <v>5</v>
      </c>
      <c r="J482" s="1791" t="s">
        <v>5</v>
      </c>
      <c r="K482" s="130"/>
    </row>
    <row r="483" spans="1:11">
      <c r="A483" s="123">
        <v>5</v>
      </c>
      <c r="B483" s="505">
        <f>AM249</f>
        <v>0.59879999999995037</v>
      </c>
      <c r="C483" s="441">
        <f>AN249</f>
        <v>0.41915999999996523</v>
      </c>
      <c r="D483" s="16"/>
      <c r="E483" s="441">
        <f>AO249</f>
        <v>0.41915999999996523</v>
      </c>
      <c r="F483" s="505">
        <f>AQ249</f>
        <v>0.59879999999995037</v>
      </c>
      <c r="G483" s="441">
        <f>AR249</f>
        <v>0.41915999999996523</v>
      </c>
      <c r="H483" s="505">
        <f>AS249</f>
        <v>0.11975999999999008</v>
      </c>
      <c r="I483" s="1793"/>
      <c r="J483" s="442">
        <f>AT249</f>
        <v>0.41915999999996523</v>
      </c>
      <c r="K483" s="130"/>
    </row>
    <row r="484" spans="1:11">
      <c r="A484" s="123">
        <v>4</v>
      </c>
      <c r="B484" s="505">
        <f>AM268</f>
        <v>0.61049999999994908</v>
      </c>
      <c r="C484" s="441">
        <f>AN268</f>
        <v>0.42734999999996431</v>
      </c>
      <c r="D484" s="16"/>
      <c r="E484" s="441">
        <f>AO268</f>
        <v>0.42734999999996431</v>
      </c>
      <c r="F484" s="505">
        <f>AQ268</f>
        <v>0.61049999999994908</v>
      </c>
      <c r="G484" s="441">
        <f>AR268</f>
        <v>0.42734999999996431</v>
      </c>
      <c r="H484" s="505">
        <f>AS268</f>
        <v>0.12209999999998983</v>
      </c>
      <c r="I484" s="1793"/>
      <c r="J484" s="442">
        <f>AT268</f>
        <v>0.42734999999996431</v>
      </c>
      <c r="K484" s="130"/>
    </row>
    <row r="485" spans="1:11">
      <c r="A485" s="123">
        <v>3</v>
      </c>
      <c r="B485" s="505">
        <f>AM286</f>
        <v>0</v>
      </c>
      <c r="C485" s="441">
        <f>AN286</f>
        <v>0</v>
      </c>
      <c r="D485" s="16"/>
      <c r="E485" s="441">
        <f>AO286</f>
        <v>0</v>
      </c>
      <c r="F485" s="505">
        <f>AQ286</f>
        <v>0</v>
      </c>
      <c r="G485" s="441">
        <f>AR286</f>
        <v>0</v>
      </c>
      <c r="H485" s="505">
        <f>AS286</f>
        <v>0</v>
      </c>
      <c r="I485" s="1793"/>
      <c r="J485" s="442">
        <f>AT286</f>
        <v>0</v>
      </c>
      <c r="K485" s="130"/>
    </row>
    <row r="486" spans="1:11">
      <c r="A486" s="123">
        <v>1</v>
      </c>
      <c r="B486" s="505">
        <f>AM319</f>
        <v>0.56599999999995398</v>
      </c>
      <c r="C486" s="441">
        <f>AN319</f>
        <v>0.39619999999996774</v>
      </c>
      <c r="D486" s="16"/>
      <c r="E486" s="441">
        <f>AO319</f>
        <v>0.39619999999996774</v>
      </c>
      <c r="F486" s="505">
        <f>AQ319</f>
        <v>0.56599999999995398</v>
      </c>
      <c r="G486" s="441">
        <f>AR319</f>
        <v>0.39619999999996774</v>
      </c>
      <c r="H486" s="505">
        <f>AS319</f>
        <v>0.11319999999999081</v>
      </c>
      <c r="I486" s="1793"/>
      <c r="J486" s="442">
        <f>AT319</f>
        <v>0.39619999999996774</v>
      </c>
      <c r="K486" s="130"/>
    </row>
    <row r="487" spans="1:11">
      <c r="A487" s="94" t="s">
        <v>1696</v>
      </c>
      <c r="B487" s="1813">
        <f>MAX(B483:B486)</f>
        <v>0.61049999999994908</v>
      </c>
      <c r="C487" s="1811">
        <f t="shared" ref="C487" si="242">MAX(C483:C486)</f>
        <v>0.42734999999996431</v>
      </c>
      <c r="D487" s="102"/>
      <c r="E487" s="1811">
        <f>MAX(E483:E486)</f>
        <v>0.42734999999996431</v>
      </c>
      <c r="F487" s="1813">
        <f>MAX(F483:F486)</f>
        <v>0.61049999999994908</v>
      </c>
      <c r="G487" s="1811">
        <f>MAX(G483:G486)</f>
        <v>0.42734999999996431</v>
      </c>
      <c r="H487" s="1813">
        <f>MAX(H483:H486)</f>
        <v>0.12209999999998983</v>
      </c>
      <c r="I487" s="172"/>
      <c r="J487" s="1542">
        <f>MAX(J483:J486)</f>
        <v>0.42734999999996431</v>
      </c>
      <c r="K487" s="130"/>
    </row>
    <row r="488" spans="1:11">
      <c r="A488" s="94" t="s">
        <v>1867</v>
      </c>
      <c r="B488" s="1824">
        <v>650</v>
      </c>
      <c r="C488" s="1827">
        <v>500</v>
      </c>
      <c r="D488" s="1825">
        <f>I45*B488</f>
        <v>1950</v>
      </c>
      <c r="E488" s="1827">
        <f>C488</f>
        <v>500</v>
      </c>
      <c r="F488" s="1824">
        <v>650</v>
      </c>
      <c r="G488" s="1827">
        <v>500</v>
      </c>
      <c r="H488" s="1824">
        <v>150</v>
      </c>
      <c r="I488" s="1829">
        <f>H488+F488</f>
        <v>800</v>
      </c>
      <c r="J488" s="1826">
        <f>G488</f>
        <v>500</v>
      </c>
      <c r="K488" s="130"/>
    </row>
    <row r="489" spans="1:11">
      <c r="I489" s="2"/>
      <c r="J489" s="2"/>
      <c r="K489" s="130"/>
    </row>
    <row r="490" spans="1:11">
      <c r="K490" s="130"/>
    </row>
    <row r="491" spans="1:11">
      <c r="A491" s="355" t="s">
        <v>1520</v>
      </c>
      <c r="B491" s="3069" t="s">
        <v>1694</v>
      </c>
      <c r="C491" s="3070"/>
      <c r="D491" s="3070"/>
      <c r="E491" s="3070"/>
      <c r="F491" s="3071"/>
      <c r="G491" s="187"/>
      <c r="K491" s="130"/>
    </row>
    <row r="492" spans="1:11" ht="25.5">
      <c r="A492" s="354"/>
      <c r="B492" s="1821" t="s">
        <v>1695</v>
      </c>
      <c r="C492" s="1784" t="s">
        <v>1697</v>
      </c>
      <c r="D492" s="1822" t="s">
        <v>1686</v>
      </c>
      <c r="E492" s="1784" t="s">
        <v>1687</v>
      </c>
      <c r="F492" s="1782" t="s">
        <v>710</v>
      </c>
      <c r="K492" s="130"/>
    </row>
    <row r="493" spans="1:11">
      <c r="A493" s="348"/>
      <c r="B493" s="256" t="s">
        <v>5</v>
      </c>
      <c r="C493" s="256" t="s">
        <v>5</v>
      </c>
      <c r="D493" s="1792" t="s">
        <v>5</v>
      </c>
      <c r="E493" s="256" t="s">
        <v>5</v>
      </c>
      <c r="F493" s="1791" t="s">
        <v>5</v>
      </c>
      <c r="G493" s="2">
        <f>C499</f>
        <v>300</v>
      </c>
      <c r="K493" s="130"/>
    </row>
    <row r="494" spans="1:11">
      <c r="A494" s="1725">
        <v>5</v>
      </c>
      <c r="B494" s="441">
        <f>AV249</f>
        <v>0.38114628395728545</v>
      </c>
      <c r="C494" s="441">
        <f>AW249</f>
        <v>0.28585971296796409</v>
      </c>
      <c r="D494" s="505">
        <f>AX249</f>
        <v>5.7171942593592817E-2</v>
      </c>
      <c r="E494" s="1793"/>
      <c r="F494" s="442">
        <f>AY249</f>
        <v>0.28585971296796409</v>
      </c>
      <c r="I494" s="187" t="s">
        <v>66</v>
      </c>
      <c r="K494" s="130"/>
    </row>
    <row r="495" spans="1:11">
      <c r="A495" s="1725">
        <v>4</v>
      </c>
      <c r="B495" s="441">
        <f>AV268</f>
        <v>0.38589722414832711</v>
      </c>
      <c r="C495" s="441">
        <f>AW268</f>
        <v>0.28942291811124532</v>
      </c>
      <c r="D495" s="505">
        <f>AX268</f>
        <v>5.7884583622249061E-2</v>
      </c>
      <c r="E495" s="1793"/>
      <c r="F495" s="442">
        <f>AY268</f>
        <v>0.28942291811124532</v>
      </c>
      <c r="G495" s="2">
        <f>B499</f>
        <v>400</v>
      </c>
      <c r="K495" s="130"/>
    </row>
    <row r="496" spans="1:11">
      <c r="A496" s="1725">
        <v>3</v>
      </c>
      <c r="B496" s="441">
        <f>AV286</f>
        <v>0</v>
      </c>
      <c r="C496" s="441">
        <f>AW286</f>
        <v>0</v>
      </c>
      <c r="D496" s="505">
        <f>AX286</f>
        <v>0</v>
      </c>
      <c r="E496" s="1793"/>
      <c r="F496" s="442">
        <f>AY286</f>
        <v>0</v>
      </c>
      <c r="K496" s="130"/>
    </row>
    <row r="497" spans="1:11">
      <c r="A497" s="1725">
        <v>1</v>
      </c>
      <c r="B497" s="441">
        <f>AV319</f>
        <v>0.36758973070140094</v>
      </c>
      <c r="C497" s="441">
        <f>AW319</f>
        <v>0.27569229802605066</v>
      </c>
      <c r="D497" s="505">
        <f>AX319</f>
        <v>5.513845960521014E-2</v>
      </c>
      <c r="E497" s="1793"/>
      <c r="F497" s="442">
        <f>AY319</f>
        <v>0.27569229802605066</v>
      </c>
      <c r="I497" s="18"/>
      <c r="K497" s="130"/>
    </row>
    <row r="498" spans="1:11">
      <c r="A498" s="1780" t="s">
        <v>1696</v>
      </c>
      <c r="B498" s="1811">
        <f>MAX(B494:B497)</f>
        <v>0.38589722414832711</v>
      </c>
      <c r="C498" s="1811">
        <f t="shared" ref="C498:D498" si="243">MAX(C494:C497)</f>
        <v>0.28942291811124532</v>
      </c>
      <c r="D498" s="1813">
        <f t="shared" si="243"/>
        <v>5.7884583622249061E-2</v>
      </c>
      <c r="E498" s="172"/>
      <c r="F498" s="1542">
        <f>MAX(F494:F497)</f>
        <v>0.28942291811124532</v>
      </c>
      <c r="H498" s="18">
        <f>D499</f>
        <v>150</v>
      </c>
      <c r="K498" s="130"/>
    </row>
    <row r="499" spans="1:11">
      <c r="A499" s="156" t="s">
        <v>1867</v>
      </c>
      <c r="B499" s="1831">
        <v>400</v>
      </c>
      <c r="C499" s="1831">
        <v>300</v>
      </c>
      <c r="D499" s="1823">
        <v>150</v>
      </c>
      <c r="E499" s="1832">
        <f>D499+B499*2</f>
        <v>950</v>
      </c>
      <c r="F499" s="1830">
        <f>C499</f>
        <v>300</v>
      </c>
      <c r="G499" s="2"/>
      <c r="H499">
        <f>E499</f>
        <v>950</v>
      </c>
      <c r="K499" s="130"/>
    </row>
    <row r="500" spans="1:11">
      <c r="K500" s="130"/>
    </row>
    <row r="501" spans="1:11">
      <c r="K501" s="130"/>
    </row>
    <row r="502" spans="1:11">
      <c r="K502" s="130"/>
    </row>
    <row r="503" spans="1:11">
      <c r="F503" s="2">
        <f>G488</f>
        <v>500</v>
      </c>
      <c r="K503" s="130"/>
    </row>
    <row r="504" spans="1:11">
      <c r="C504" s="228">
        <f>C488</f>
        <v>500</v>
      </c>
      <c r="H504" s="187" t="s">
        <v>813</v>
      </c>
      <c r="K504" s="130"/>
    </row>
    <row r="505" spans="1:11">
      <c r="F505" s="2">
        <f>F488</f>
        <v>650</v>
      </c>
      <c r="K505" s="130"/>
    </row>
    <row r="506" spans="1:11">
      <c r="C506" s="228">
        <f>B488</f>
        <v>650</v>
      </c>
      <c r="K506" s="130"/>
    </row>
    <row r="507" spans="1:11">
      <c r="D507" s="228">
        <f>D488</f>
        <v>1950</v>
      </c>
      <c r="H507" s="18"/>
      <c r="K507" s="130"/>
    </row>
    <row r="508" spans="1:11">
      <c r="E508" s="17"/>
      <c r="G508" s="18">
        <f>H488</f>
        <v>150</v>
      </c>
      <c r="K508" s="130"/>
    </row>
    <row r="509" spans="1:11">
      <c r="C509" s="187" t="s">
        <v>812</v>
      </c>
      <c r="F509" s="2"/>
      <c r="G509" s="129">
        <f>I488</f>
        <v>800</v>
      </c>
      <c r="K509" s="130"/>
    </row>
    <row r="510" spans="1:11">
      <c r="K510" s="130"/>
    </row>
    <row r="511" spans="1:11">
      <c r="A511" s="225" t="s">
        <v>1993</v>
      </c>
      <c r="B511" s="174"/>
      <c r="C511" s="174"/>
      <c r="D511" s="46"/>
      <c r="K511" s="130"/>
    </row>
    <row r="512" spans="1:11">
      <c r="A512" s="692" t="s">
        <v>1995</v>
      </c>
      <c r="B512" s="126"/>
      <c r="C512" s="126"/>
      <c r="I512" s="288" t="s">
        <v>1994</v>
      </c>
      <c r="J512" s="2438">
        <f>C203</f>
        <v>5</v>
      </c>
      <c r="K512" s="130"/>
    </row>
    <row r="513" spans="1:11">
      <c r="A513" s="112"/>
      <c r="C513" s="46"/>
      <c r="D513" s="46"/>
      <c r="E513" s="46"/>
      <c r="J513" s="46"/>
      <c r="K513" s="130"/>
    </row>
    <row r="514" spans="1:11">
      <c r="A514" s="26" t="s">
        <v>283</v>
      </c>
      <c r="C514" s="33">
        <f>D210</f>
        <v>9.7805613335840871</v>
      </c>
      <c r="D514" s="26" t="s">
        <v>179</v>
      </c>
      <c r="K514" s="130"/>
    </row>
    <row r="515" spans="1:11">
      <c r="A515" s="109" t="s">
        <v>2186</v>
      </c>
      <c r="B515" s="46"/>
      <c r="C515" s="46"/>
      <c r="D515" s="46"/>
      <c r="E515" s="162">
        <f>b</f>
        <v>3</v>
      </c>
      <c r="F515" s="109" t="s">
        <v>5</v>
      </c>
      <c r="I515" s="46"/>
      <c r="J515" s="46"/>
      <c r="K515" s="130"/>
    </row>
    <row r="516" spans="1:11">
      <c r="A516" s="26" t="str">
        <f>"Discharge per unit width, q  = "&amp;FIXED(C514,2)&amp;" / "&amp;FIXED(E515,2)&amp;"="</f>
        <v>Discharge per unit width, q  = 9.78 / 3.00=</v>
      </c>
      <c r="E516" s="162">
        <f>C514/E515</f>
        <v>3.2601871111946958</v>
      </c>
      <c r="F516" s="26" t="s">
        <v>201</v>
      </c>
      <c r="K516" s="130"/>
    </row>
    <row r="517" spans="1:11">
      <c r="A517" s="187" t="s">
        <v>1551</v>
      </c>
      <c r="D517" s="187" t="s">
        <v>1552</v>
      </c>
      <c r="E517" s="54">
        <f>E516/(I523)</f>
        <v>1.8112150617748304</v>
      </c>
      <c r="F517" s="26" t="s">
        <v>202</v>
      </c>
      <c r="K517" s="130"/>
    </row>
    <row r="518" spans="1:11" ht="14.25">
      <c r="A518" s="164" t="s">
        <v>271</v>
      </c>
      <c r="B518" s="163"/>
      <c r="C518" s="164"/>
      <c r="E518" s="2398">
        <f>(E516^2/g)^(1/3)</f>
        <v>1.0270825443992604</v>
      </c>
      <c r="F518" s="164" t="s">
        <v>5</v>
      </c>
      <c r="K518" s="130"/>
    </row>
    <row r="519" spans="1:11">
      <c r="C519" s="164"/>
      <c r="D519" s="163"/>
      <c r="E519" s="164"/>
      <c r="F519" s="2410"/>
      <c r="G519" s="164"/>
      <c r="K519" s="130"/>
    </row>
    <row r="520" spans="1:11">
      <c r="K520" s="130"/>
    </row>
    <row r="521" spans="1:11">
      <c r="A521" s="2412" t="s">
        <v>22</v>
      </c>
      <c r="B521" s="2413">
        <f>C125</f>
        <v>7.9</v>
      </c>
      <c r="F521" s="36">
        <f>F524+G524</f>
        <v>8.8000000000000007</v>
      </c>
      <c r="I521" s="54">
        <f>C124</f>
        <v>8.8000000000000007</v>
      </c>
      <c r="K521" s="130"/>
    </row>
    <row r="522" spans="1:11">
      <c r="K522" s="130"/>
    </row>
    <row r="523" spans="1:11" ht="15.75">
      <c r="B523" s="17" t="s">
        <v>1596</v>
      </c>
      <c r="C523" s="36">
        <f>B521-F524</f>
        <v>0.90000000000000036</v>
      </c>
      <c r="H523" s="187" t="s">
        <v>1543</v>
      </c>
      <c r="I523" s="36">
        <f>I521-F524</f>
        <v>1.8000000000000007</v>
      </c>
      <c r="K523" s="130"/>
    </row>
    <row r="524" spans="1:11" ht="15.75">
      <c r="A524" s="203" t="s">
        <v>1544</v>
      </c>
      <c r="B524" s="36">
        <f>E552</f>
        <v>1.7682797110603801</v>
      </c>
      <c r="E524" s="2"/>
      <c r="F524" s="36">
        <f>IL</f>
        <v>7</v>
      </c>
      <c r="G524" s="79">
        <f>D</f>
        <v>1.8</v>
      </c>
      <c r="H524" s="203"/>
      <c r="J524" s="1" t="s">
        <v>23</v>
      </c>
      <c r="K524" s="130"/>
    </row>
    <row r="525" spans="1:11">
      <c r="C525" s="3060">
        <f>D44</f>
        <v>0.9</v>
      </c>
      <c r="D525" s="3061" t="s">
        <v>5</v>
      </c>
      <c r="H525" s="3062" t="s">
        <v>995</v>
      </c>
      <c r="I525" s="3063">
        <f>I44</f>
        <v>0.9</v>
      </c>
      <c r="K525" s="130"/>
    </row>
    <row r="526" spans="1:11">
      <c r="C526" s="3060"/>
      <c r="D526" s="3061"/>
      <c r="H526" s="3062"/>
      <c r="I526" s="3063"/>
      <c r="J526" s="141"/>
      <c r="K526" s="130"/>
    </row>
    <row r="527" spans="1:11">
      <c r="E527" s="18"/>
      <c r="G527" s="141">
        <f>I46</f>
        <v>2.7</v>
      </c>
      <c r="J527" s="3"/>
      <c r="K527" s="130"/>
    </row>
    <row r="528" spans="1:11">
      <c r="E528" s="141">
        <f>D46</f>
        <v>2.7</v>
      </c>
      <c r="K528" s="130"/>
    </row>
    <row r="529" spans="1:19">
      <c r="E529" s="3"/>
      <c r="K529" s="130"/>
    </row>
    <row r="530" spans="1:19">
      <c r="K530" s="130"/>
    </row>
    <row r="531" spans="1:19">
      <c r="A531" s="187" t="s">
        <v>2184</v>
      </c>
      <c r="F531" s="54">
        <f>b</f>
        <v>3</v>
      </c>
      <c r="G531" s="187" t="s">
        <v>5</v>
      </c>
      <c r="K531" s="130"/>
      <c r="L531" t="str">
        <f>"Floor witdh at section 1 - 1 , b1 ="&amp;FIXED(E515,2)&amp;" + 2 *"&amp;FIXED(D46,2)&amp;" * tan ( "&amp;FIXED(I18,2)&amp;" ) ="</f>
        <v>Floor witdh at section 1 - 1 , b1 =3.00 + 2 *2.70 * tan ( 13.10 ) =</v>
      </c>
      <c r="R531" s="54">
        <f>b</f>
        <v>3</v>
      </c>
      <c r="S531" s="187" t="s">
        <v>999</v>
      </c>
    </row>
    <row r="532" spans="1:19">
      <c r="A532" s="187" t="str">
        <f>"Unit discharge at section 1 - 1 ,  q1  = "&amp;FIXED(C514,2)&amp;" / "&amp;FIXED(F531,2)&amp;" ="</f>
        <v>Unit discharge at section 1 - 1 ,  q1  = 9.78 / 3.00 =</v>
      </c>
      <c r="F532" s="54">
        <f>C514/F531</f>
        <v>3.2601871111946958</v>
      </c>
      <c r="G532" s="26" t="s">
        <v>201</v>
      </c>
      <c r="K532" s="130"/>
    </row>
    <row r="533" spans="1:19">
      <c r="A533" s="187" t="s">
        <v>1597</v>
      </c>
      <c r="K533" s="130"/>
    </row>
    <row r="534" spans="1:19">
      <c r="A534" s="187"/>
      <c r="K534" s="130"/>
    </row>
    <row r="535" spans="1:19">
      <c r="A535" s="187"/>
      <c r="B535" t="s">
        <v>2179</v>
      </c>
      <c r="D535" s="36">
        <f>1.5*E518</f>
        <v>1.5406238165988906</v>
      </c>
      <c r="K535" s="130"/>
      <c r="N535" s="33"/>
    </row>
    <row r="536" spans="1:19" ht="15.75">
      <c r="A536" s="187"/>
      <c r="B536" s="2399"/>
      <c r="C536" s="3064" t="s">
        <v>2177</v>
      </c>
      <c r="D536" s="3064"/>
      <c r="E536" s="2399" t="s">
        <v>997</v>
      </c>
      <c r="G536" s="187" t="s">
        <v>1545</v>
      </c>
      <c r="K536" s="130"/>
    </row>
    <row r="537" spans="1:19" ht="12.75" customHeight="1">
      <c r="A537" s="187"/>
      <c r="B537" s="2400"/>
      <c r="C537" s="3064"/>
      <c r="D537" s="3064"/>
      <c r="E537" s="2400" t="s">
        <v>990</v>
      </c>
      <c r="G537" s="187" t="s">
        <v>1546</v>
      </c>
      <c r="K537" s="130"/>
    </row>
    <row r="538" spans="1:19" ht="15.75">
      <c r="A538" s="3065" t="s">
        <v>998</v>
      </c>
      <c r="B538" s="2399"/>
      <c r="C538" s="3064" t="s">
        <v>2177</v>
      </c>
      <c r="D538" s="3064"/>
      <c r="E538" s="2399" t="s">
        <v>991</v>
      </c>
      <c r="G538" s="187" t="s">
        <v>1547</v>
      </c>
      <c r="K538" s="130"/>
    </row>
    <row r="539" spans="1:19" ht="15.75">
      <c r="A539" s="3065"/>
      <c r="B539" s="2400"/>
      <c r="C539" s="3064"/>
      <c r="D539" s="3064"/>
      <c r="E539" s="2400" t="s">
        <v>992</v>
      </c>
      <c r="K539" s="130"/>
    </row>
    <row r="540" spans="1:19" ht="16.5" thickBot="1">
      <c r="A540" s="17" t="s">
        <v>998</v>
      </c>
      <c r="B540" s="33" t="str">
        <f>FIXED(D535,2)&amp;" + "&amp;FIXED(C525,2)&amp;" =  Y1 + "&amp;FIXED(F532,2)&amp;"^2 / (   2g"</f>
        <v>1.54 + 0.90 =  Y1 + 3.26^2 / (   2g</v>
      </c>
      <c r="F540" s="187" t="s">
        <v>1598</v>
      </c>
      <c r="K540" s="130"/>
    </row>
    <row r="541" spans="1:19" ht="21" thickBot="1">
      <c r="A541" s="17" t="s">
        <v>998</v>
      </c>
      <c r="B541" s="1563">
        <f>D535+C525</f>
        <v>2.4406238165988907</v>
      </c>
      <c r="C541" s="20" t="s">
        <v>277</v>
      </c>
      <c r="D541">
        <f>F532^2/(2*g)</f>
        <v>0.54173394495412919</v>
      </c>
      <c r="E541" s="26" t="s">
        <v>276</v>
      </c>
      <c r="K541" s="130"/>
      <c r="L541" s="2244"/>
      <c r="M541" s="2245" t="s">
        <v>1910</v>
      </c>
      <c r="N541" s="2246">
        <v>0.1</v>
      </c>
    </row>
    <row r="542" spans="1:19" ht="16.5" thickBot="1">
      <c r="K542" s="130"/>
      <c r="L542" s="1802"/>
      <c r="M542" s="1807"/>
      <c r="N542" s="2249" t="s">
        <v>1983</v>
      </c>
    </row>
    <row r="543" spans="1:19" ht="16.5" thickBot="1">
      <c r="A543" s="127" t="s">
        <v>67</v>
      </c>
      <c r="B543" s="579">
        <f>N543</f>
        <v>0.53259999999995589</v>
      </c>
      <c r="C543" s="127" t="s">
        <v>68</v>
      </c>
      <c r="D543" s="127"/>
      <c r="E543" s="127"/>
      <c r="F543" s="171">
        <f>B543+D541/(B543^2)</f>
        <v>2.4423816891939092</v>
      </c>
      <c r="K543" s="130"/>
      <c r="L543" s="1803" t="s">
        <v>1639</v>
      </c>
      <c r="M543" s="695"/>
      <c r="N543" s="1834">
        <f>'Calc-2'!E98</f>
        <v>0.53259999999995589</v>
      </c>
    </row>
    <row r="544" spans="1:19" ht="13.5" thickBot="1">
      <c r="A544" s="187" t="s">
        <v>2185</v>
      </c>
      <c r="C544" s="2852">
        <f>B543</f>
        <v>0.53259999999995589</v>
      </c>
      <c r="D544" s="22" t="str">
        <f>"m, "&amp;IF(C544&lt;E518,"&lt; "&amp;FIXED(E518,2)&amp;"m. So, flow is Super Critical.","&gt; "&amp;FIXED(E518,2)&amp;"m. So, flow is Sub Critical.")</f>
        <v>m, &lt; 1.03m. So, flow is Super Critical.</v>
      </c>
      <c r="K544" s="130"/>
      <c r="L544" s="1804"/>
      <c r="M544" s="1805"/>
      <c r="N544" s="1806"/>
    </row>
    <row r="545" spans="1:11">
      <c r="A545" s="22"/>
      <c r="K545" s="130"/>
    </row>
    <row r="546" spans="1:11">
      <c r="A546" t="s">
        <v>87</v>
      </c>
      <c r="D546" t="s">
        <v>101</v>
      </c>
      <c r="E546" s="54">
        <f>F532/C544</f>
        <v>6.1212675764081226</v>
      </c>
      <c r="F546" s="26" t="s">
        <v>202</v>
      </c>
      <c r="K546" s="130"/>
    </row>
    <row r="547" spans="1:11" ht="15.75">
      <c r="A547" s="26" t="s">
        <v>278</v>
      </c>
      <c r="B547" s="26"/>
      <c r="C547" s="26"/>
      <c r="D547" s="26"/>
      <c r="E547" s="693">
        <f>E546/(g*C544)^0.5</f>
        <v>2.6779735258231749</v>
      </c>
      <c r="F547" s="22" t="str">
        <f>"     So use, "&amp;IF(AND(E547&gt;=2.5,E547&lt;=4.5),"USBR ERC Type Stilling basin",IF(E547&gt;4.5,"USBR type - III Stilling basin","Stilling basin type - I"))</f>
        <v xml:space="preserve">     So use, USBR ERC Type Stilling basin</v>
      </c>
      <c r="K547" s="130"/>
    </row>
    <row r="548" spans="1:11">
      <c r="K548" s="130"/>
    </row>
    <row r="549" spans="1:11">
      <c r="B549" s="268" t="s">
        <v>307</v>
      </c>
      <c r="C549" s="3058" t="s">
        <v>284</v>
      </c>
      <c r="D549" s="3059"/>
      <c r="E549" s="3059"/>
      <c r="F549" s="3057">
        <f>0.5*((1+8*E547^2)^0.5-1)</f>
        <v>3.3200895814129301</v>
      </c>
      <c r="K549" s="130"/>
    </row>
    <row r="550" spans="1:11">
      <c r="B550" s="203" t="s">
        <v>308</v>
      </c>
      <c r="C550" s="3059"/>
      <c r="D550" s="3059"/>
      <c r="E550" s="3059"/>
      <c r="F550" s="3057"/>
      <c r="K550" s="130"/>
    </row>
    <row r="551" spans="1:11">
      <c r="A551" s="187"/>
      <c r="K551" s="130"/>
    </row>
    <row r="552" spans="1:11" ht="15.75">
      <c r="A552" s="187" t="s">
        <v>1677</v>
      </c>
      <c r="E552" s="694">
        <f>F549*C544</f>
        <v>1.7682797110603801</v>
      </c>
      <c r="F552" s="26" t="s">
        <v>5</v>
      </c>
      <c r="H552" s="187" t="s">
        <v>811</v>
      </c>
      <c r="I552" s="54">
        <f>1.05*E552</f>
        <v>1.8566936966133991</v>
      </c>
      <c r="J552" s="187" t="s">
        <v>5</v>
      </c>
      <c r="K552" s="130"/>
    </row>
    <row r="553" spans="1:11">
      <c r="A553" s="187" t="s">
        <v>1676</v>
      </c>
      <c r="D553" s="33">
        <f>IF(AND(E547&gt;=2.5,E547&lt;=4.5),I552,E552)</f>
        <v>1.8566936966133991</v>
      </c>
      <c r="E553" s="187" t="s">
        <v>5</v>
      </c>
      <c r="K553" s="130"/>
    </row>
    <row r="554" spans="1:11">
      <c r="A554" s="109" t="s">
        <v>1979</v>
      </c>
      <c r="D554" s="33">
        <f>C125</f>
        <v>7.9</v>
      </c>
      <c r="E554" s="26" t="s">
        <v>155</v>
      </c>
      <c r="K554" s="130"/>
    </row>
    <row r="555" spans="1:11">
      <c r="A555" s="187" t="s">
        <v>1134</v>
      </c>
      <c r="B555" s="26"/>
      <c r="D555" s="742">
        <f>D54</f>
        <v>10</v>
      </c>
      <c r="E555" s="26" t="s">
        <v>46</v>
      </c>
      <c r="K555" s="130"/>
    </row>
    <row r="556" spans="1:11">
      <c r="A556" s="187" t="s">
        <v>388</v>
      </c>
      <c r="B556" s="26"/>
      <c r="D556" s="131">
        <f>D43</f>
        <v>6.1</v>
      </c>
      <c r="E556" s="26" t="s">
        <v>46</v>
      </c>
      <c r="K556" s="130"/>
    </row>
    <row r="557" spans="1:11">
      <c r="A557" s="187" t="s">
        <v>1138</v>
      </c>
      <c r="B557" s="26"/>
      <c r="D557" s="131">
        <f>D556+I552</f>
        <v>7.9566936966133985</v>
      </c>
      <c r="E557" s="26" t="s">
        <v>46</v>
      </c>
      <c r="F557" s="126" t="str">
        <f>"So, "&amp;IF(D557&gt;=D555,FIXED(D557,2)&amp;" &gt; = "&amp;FIXED(D555,2)&amp;", NOT ok, increase Top label of R wall",FIXED(D557,2)&amp;" &lt; "&amp;FIXED(D555,2)&amp;",  ok, Below top of R wall.")</f>
        <v>So, 7.96 &lt; 10.00,  ok, Below top of R wall.</v>
      </c>
      <c r="G557" s="126"/>
      <c r="H557" s="126"/>
      <c r="I557" s="126"/>
      <c r="J557" s="46"/>
      <c r="K557" s="130"/>
    </row>
    <row r="558" spans="1:11">
      <c r="A558" s="30" t="s">
        <v>1980</v>
      </c>
      <c r="D558" s="33">
        <f>D554-D556</f>
        <v>1.8000000000000007</v>
      </c>
      <c r="E558" s="26" t="s">
        <v>5</v>
      </c>
      <c r="F558" s="126" t="str">
        <f>"So, "&amp;IF(D558&gt;=D553,FIXED(D558,2)&amp;" &gt; = "&amp;FIXED(D553,2)&amp;", ok"," &lt; y2  i,e "&amp;FIXED(D553,2)&amp;", Not ok, increase Zc")</f>
        <v>So,  &lt; y2  i,e 1.86, Not ok, increase Zc</v>
      </c>
      <c r="G558" s="126"/>
      <c r="H558" s="126"/>
      <c r="I558" s="126"/>
      <c r="K558" s="130"/>
    </row>
    <row r="559" spans="1:11">
      <c r="F559" t="str">
        <f>IF(D558&gt;=E552,"This situation will stabilize the jump with in the basin","Jump may sweep out")</f>
        <v>This situation will stabilize the jump with in the basin</v>
      </c>
      <c r="K559" s="130"/>
    </row>
    <row r="560" spans="1:11">
      <c r="K560" s="130"/>
    </row>
    <row r="561" spans="1:11">
      <c r="A561" t="str">
        <f>"Width of flow at the end C/S stilling basin = "&amp;FIXED(DATA!H39,2)&amp;" + 2 *( "&amp;FIXED(D49,2)&amp;" - "&amp;B71&amp;"  )* tan ( "&amp;FIXED(I18,2)&amp;" ) ="</f>
        <v>Width of flow at the end C/S stilling basin = 3.75 + 2 *( 18.90 - 1.2  )* tan ( 13.10 ) =</v>
      </c>
      <c r="I561" s="33">
        <f>A65</f>
        <v>12</v>
      </c>
      <c r="J561" t="s">
        <v>5</v>
      </c>
      <c r="K561" s="130"/>
    </row>
    <row r="562" spans="1:11">
      <c r="A562" s="187" t="s">
        <v>399</v>
      </c>
      <c r="E562" s="54">
        <f>C514/I561</f>
        <v>0.81504677779867396</v>
      </c>
      <c r="F562" s="26" t="s">
        <v>201</v>
      </c>
      <c r="K562" s="130"/>
    </row>
    <row r="563" spans="1:11">
      <c r="A563" s="26" t="s">
        <v>205</v>
      </c>
      <c r="C563" s="2401"/>
      <c r="E563" s="33">
        <f>E562/E552</f>
        <v>0.4609263866461018</v>
      </c>
      <c r="F563" s="26" t="s">
        <v>206</v>
      </c>
      <c r="G563" s="126" t="str">
        <f>IF(E563&lt;=1,"ok","Not ok")</f>
        <v>ok</v>
      </c>
      <c r="K563" s="130"/>
    </row>
    <row r="564" spans="1:11">
      <c r="K564" s="130"/>
    </row>
    <row r="565" spans="1:11">
      <c r="A565" s="187" t="s">
        <v>2207</v>
      </c>
      <c r="D565" s="33">
        <f>E552*(I561+E552*$I$20)</f>
        <v>27.472982805820124</v>
      </c>
      <c r="E565" s="187" t="s">
        <v>871</v>
      </c>
      <c r="K565" s="130"/>
    </row>
    <row r="566" spans="1:11">
      <c r="A566" s="187" t="s">
        <v>2208</v>
      </c>
      <c r="D566" s="33">
        <f>C514/D565</f>
        <v>0.35600653204325833</v>
      </c>
      <c r="E566" s="26" t="s">
        <v>206</v>
      </c>
      <c r="F566" s="126" t="str">
        <f>IF(D566&lt;=1,"ok","Not ok")</f>
        <v>ok</v>
      </c>
      <c r="K566" s="130"/>
    </row>
    <row r="567" spans="1:11">
      <c r="K567" s="130"/>
    </row>
    <row r="568" spans="1:11">
      <c r="A568" s="187" t="s">
        <v>1637</v>
      </c>
      <c r="D568" s="17" t="s">
        <v>309</v>
      </c>
      <c r="E568" s="36">
        <f>VLOOKUP(E547,Table!D178:G212,2,TRUE)</f>
        <v>3.25</v>
      </c>
      <c r="F568" s="17" t="s">
        <v>314</v>
      </c>
      <c r="G568" s="33">
        <f>E568*E552</f>
        <v>5.7469090609462352</v>
      </c>
      <c r="H568" t="s">
        <v>5</v>
      </c>
      <c r="K568" s="130"/>
    </row>
    <row r="569" spans="1:11">
      <c r="A569" s="187" t="s">
        <v>1636</v>
      </c>
      <c r="B569" s="1"/>
      <c r="D569" s="17" t="s">
        <v>310</v>
      </c>
      <c r="E569" s="36">
        <f>VLOOKUP(E547,Table!D178:G212,4,TRUE)</f>
        <v>1.37</v>
      </c>
      <c r="F569" s="17" t="s">
        <v>312</v>
      </c>
      <c r="G569" s="33">
        <f>N(E569)*E552</f>
        <v>2.4225432041527211</v>
      </c>
      <c r="H569" t="str">
        <f>IF(E547&lt;2.5,"No Baffle is needed.","m")</f>
        <v>m</v>
      </c>
      <c r="K569" s="130"/>
    </row>
    <row r="570" spans="1:11">
      <c r="A570" s="187" t="s">
        <v>1638</v>
      </c>
      <c r="B570" s="1"/>
      <c r="D570" s="17" t="s">
        <v>311</v>
      </c>
      <c r="E570" s="36">
        <f>VLOOKUP(E547,Table!D178:G212,3,TRUE)</f>
        <v>2.75</v>
      </c>
      <c r="F570" s="17" t="s">
        <v>313</v>
      </c>
      <c r="G570" s="33">
        <f>N(E570)*E552</f>
        <v>4.8627692054160452</v>
      </c>
      <c r="H570" t="s">
        <v>5</v>
      </c>
      <c r="K570" s="130"/>
    </row>
    <row r="571" spans="1:11">
      <c r="D571" s="46"/>
      <c r="K571" s="130"/>
    </row>
    <row r="572" spans="1:11">
      <c r="A572" s="692" t="s">
        <v>2002</v>
      </c>
      <c r="B572" s="126"/>
      <c r="C572" s="126"/>
      <c r="D572" s="46"/>
      <c r="G572" s="3037"/>
      <c r="I572" s="203" t="s">
        <v>2003</v>
      </c>
      <c r="J572" s="2438">
        <f>C216</f>
        <v>1</v>
      </c>
      <c r="K572" s="130"/>
    </row>
    <row r="573" spans="1:11">
      <c r="A573" s="3036" t="str">
        <f>IF(D22="y","(After May 15, Gate will open for flushing)","( Not expected. But may occur when there are no gate or suudenly open)")</f>
        <v>( Not expected. But may occur when there are no gate or suudenly open)</v>
      </c>
      <c r="B573" s="2984"/>
      <c r="C573" s="2984"/>
      <c r="D573" s="2984"/>
      <c r="E573" s="2984"/>
      <c r="K573" s="130"/>
    </row>
    <row r="574" spans="1:11">
      <c r="A574" s="26" t="s">
        <v>283</v>
      </c>
      <c r="C574" s="33">
        <f>D223</f>
        <v>33.226015014599632</v>
      </c>
      <c r="D574" s="26" t="s">
        <v>179</v>
      </c>
      <c r="K574" s="130"/>
    </row>
    <row r="575" spans="1:11">
      <c r="A575" s="109" t="s">
        <v>2187</v>
      </c>
      <c r="B575" s="46"/>
      <c r="C575" s="46"/>
      <c r="D575" s="46"/>
      <c r="E575" s="162">
        <f>b</f>
        <v>3</v>
      </c>
      <c r="F575" s="109" t="s">
        <v>5</v>
      </c>
      <c r="I575" s="46"/>
      <c r="J575" s="46"/>
      <c r="K575" s="130"/>
    </row>
    <row r="576" spans="1:11">
      <c r="A576" s="26" t="str">
        <f>"Discharge per unit width, q  = "&amp;FIXED(C574,2)&amp;" / "&amp;FIXED(E575,2)&amp;"="</f>
        <v>Discharge per unit width, q  = 33.23 / 3.00=</v>
      </c>
      <c r="E576" s="162">
        <f>C574/E575</f>
        <v>11.075338338199877</v>
      </c>
      <c r="F576" s="26" t="s">
        <v>201</v>
      </c>
      <c r="K576" s="130"/>
    </row>
    <row r="577" spans="1:20">
      <c r="A577" s="187" t="s">
        <v>1551</v>
      </c>
      <c r="D577" s="187" t="s">
        <v>1552</v>
      </c>
      <c r="E577" s="54">
        <f>E576/(I583)</f>
        <v>1.6051214982898372</v>
      </c>
      <c r="F577" s="26" t="s">
        <v>202</v>
      </c>
      <c r="K577" s="130"/>
    </row>
    <row r="578" spans="1:20" ht="14.25">
      <c r="A578" s="164" t="s">
        <v>271</v>
      </c>
      <c r="B578" s="163"/>
      <c r="C578" s="164"/>
      <c r="E578" s="2417">
        <f>(E576^2/g)^(1/3)</f>
        <v>2.3210348732282999</v>
      </c>
      <c r="F578" s="164" t="s">
        <v>5</v>
      </c>
      <c r="K578" s="130"/>
    </row>
    <row r="579" spans="1:20">
      <c r="C579" s="164"/>
      <c r="D579" s="163"/>
      <c r="E579" s="164"/>
      <c r="F579" s="2417"/>
      <c r="G579" s="164"/>
      <c r="K579" s="130"/>
    </row>
    <row r="580" spans="1:20">
      <c r="K580" s="130"/>
    </row>
    <row r="581" spans="1:20">
      <c r="A581" s="2418" t="s">
        <v>22</v>
      </c>
      <c r="B581" s="2421">
        <f>C130</f>
        <v>10.9</v>
      </c>
      <c r="F581" s="36">
        <f>F584+G584</f>
        <v>8.8000000000000007</v>
      </c>
      <c r="I581" s="54">
        <f>C129</f>
        <v>13.9</v>
      </c>
      <c r="K581" s="130"/>
    </row>
    <row r="582" spans="1:20">
      <c r="K582" s="130"/>
    </row>
    <row r="583" spans="1:20" ht="15.75">
      <c r="B583" s="17" t="s">
        <v>1596</v>
      </c>
      <c r="C583" s="36">
        <f>B581-F584</f>
        <v>3.9000000000000004</v>
      </c>
      <c r="H583" s="187" t="s">
        <v>1543</v>
      </c>
      <c r="I583" s="36">
        <f>I581-F584</f>
        <v>6.9</v>
      </c>
      <c r="K583" s="130"/>
    </row>
    <row r="584" spans="1:20" ht="15.75">
      <c r="A584" s="203" t="s">
        <v>1544</v>
      </c>
      <c r="B584" s="36">
        <f>E612</f>
        <v>3.4667793461389134</v>
      </c>
      <c r="E584" s="2"/>
      <c r="F584" s="36">
        <f>IL</f>
        <v>7</v>
      </c>
      <c r="G584" s="79">
        <f>D</f>
        <v>1.8</v>
      </c>
      <c r="H584" s="203"/>
      <c r="J584" s="1" t="s">
        <v>23</v>
      </c>
      <c r="K584" s="130"/>
    </row>
    <row r="585" spans="1:20">
      <c r="C585" s="3060">
        <f>D44</f>
        <v>0.9</v>
      </c>
      <c r="D585" s="3061" t="s">
        <v>5</v>
      </c>
      <c r="H585" s="3062" t="s">
        <v>995</v>
      </c>
      <c r="I585" s="3063">
        <f>I44</f>
        <v>0.9</v>
      </c>
      <c r="K585" s="130"/>
    </row>
    <row r="586" spans="1:20">
      <c r="C586" s="3060"/>
      <c r="D586" s="3061"/>
      <c r="H586" s="3062"/>
      <c r="I586" s="3063"/>
      <c r="J586" s="141"/>
      <c r="K586" s="130"/>
    </row>
    <row r="587" spans="1:20">
      <c r="E587" s="18"/>
      <c r="G587" s="141">
        <f>I46</f>
        <v>2.7</v>
      </c>
      <c r="J587" s="3"/>
      <c r="K587" s="130"/>
    </row>
    <row r="588" spans="1:20">
      <c r="E588" s="141">
        <f>D46</f>
        <v>2.7</v>
      </c>
      <c r="K588" s="130"/>
    </row>
    <row r="589" spans="1:20">
      <c r="E589" s="3"/>
      <c r="K589" s="130"/>
    </row>
    <row r="590" spans="1:20">
      <c r="K590" s="130"/>
    </row>
    <row r="591" spans="1:20">
      <c r="A591" s="187" t="s">
        <v>2184</v>
      </c>
      <c r="F591" s="54">
        <f>b</f>
        <v>3</v>
      </c>
      <c r="G591" s="187" t="s">
        <v>5</v>
      </c>
      <c r="K591" s="130"/>
      <c r="L591" t="str">
        <f>"Floor witdh at section 1 - 1 , b1 ="&amp;FIXED(E575,2)&amp;" + 2 *"&amp;FIXED(D46,2)&amp;" * tan ( "&amp;I18&amp;" ) ="</f>
        <v>Floor witdh at section 1 - 1 , b1 =3.00 + 2 *2.70 * tan ( 13.1 ) =</v>
      </c>
      <c r="S591">
        <f>E575+2*D46*TAN(RADIANS(I18))</f>
        <v>4.2566193635949912</v>
      </c>
      <c r="T591" s="187" t="s">
        <v>999</v>
      </c>
    </row>
    <row r="592" spans="1:20">
      <c r="A592" s="187" t="str">
        <f>"Unit discharge at section 1 - 1 ,  q1  = "&amp;FIXED(C574,2)&amp;" / "&amp;FIXED(F591,2)&amp;" ="</f>
        <v>Unit discharge at section 1 - 1 ,  q1  = 33.23 / 3.00 =</v>
      </c>
      <c r="F592" s="54">
        <f>C574/F591</f>
        <v>11.075338338199877</v>
      </c>
      <c r="G592" s="26" t="s">
        <v>201</v>
      </c>
      <c r="K592" s="130"/>
    </row>
    <row r="593" spans="1:14">
      <c r="A593" s="187" t="s">
        <v>1597</v>
      </c>
      <c r="K593" s="130"/>
    </row>
    <row r="594" spans="1:14">
      <c r="A594" s="187"/>
      <c r="K594" s="130"/>
    </row>
    <row r="595" spans="1:14">
      <c r="A595" s="187"/>
      <c r="B595" t="s">
        <v>2179</v>
      </c>
      <c r="D595" s="36">
        <f>1.5*E578</f>
        <v>3.4815523098424501</v>
      </c>
      <c r="K595" s="130"/>
      <c r="N595" s="33"/>
    </row>
    <row r="596" spans="1:14" ht="15.75">
      <c r="A596" s="187"/>
      <c r="B596" s="2419"/>
      <c r="C596" s="3064" t="s">
        <v>2177</v>
      </c>
      <c r="D596" s="3064"/>
      <c r="E596" s="2419" t="s">
        <v>997</v>
      </c>
      <c r="G596" s="187" t="s">
        <v>1545</v>
      </c>
      <c r="K596" s="130"/>
    </row>
    <row r="597" spans="1:14" ht="12.75" customHeight="1">
      <c r="A597" s="187"/>
      <c r="B597" s="2420"/>
      <c r="C597" s="3064"/>
      <c r="D597" s="3064"/>
      <c r="E597" s="2420" t="s">
        <v>990</v>
      </c>
      <c r="G597" s="187" t="s">
        <v>1546</v>
      </c>
      <c r="K597" s="130"/>
    </row>
    <row r="598" spans="1:14" ht="15.75">
      <c r="A598" s="3065" t="s">
        <v>998</v>
      </c>
      <c r="B598" s="2419"/>
      <c r="C598" s="3064" t="s">
        <v>2177</v>
      </c>
      <c r="D598" s="3064"/>
      <c r="E598" s="2419" t="s">
        <v>991</v>
      </c>
      <c r="G598" s="187" t="s">
        <v>1547</v>
      </c>
      <c r="K598" s="130"/>
    </row>
    <row r="599" spans="1:14" ht="15.75">
      <c r="A599" s="3065"/>
      <c r="B599" s="2420"/>
      <c r="C599" s="3064"/>
      <c r="D599" s="3064"/>
      <c r="E599" s="2420" t="s">
        <v>992</v>
      </c>
      <c r="K599" s="130"/>
    </row>
    <row r="600" spans="1:14" ht="16.5" thickBot="1">
      <c r="A600" s="17" t="s">
        <v>998</v>
      </c>
      <c r="B600" s="33" t="str">
        <f>FIXED(D595,2)&amp;" + "&amp;FIXED(C585,2)&amp;" =  Y1 + "&amp;FIXED(F592,2)&amp;"^2 / (   2g"</f>
        <v>3.48 + 0.90 =  Y1 + 11.08^2 / (   2g</v>
      </c>
      <c r="F600" s="187" t="s">
        <v>1598</v>
      </c>
      <c r="K600" s="130"/>
    </row>
    <row r="601" spans="1:14" ht="21" thickBot="1">
      <c r="A601" s="17" t="s">
        <v>998</v>
      </c>
      <c r="B601" s="1563">
        <f>D595+C585</f>
        <v>4.3815523098424505</v>
      </c>
      <c r="C601" s="20" t="s">
        <v>277</v>
      </c>
      <c r="D601">
        <f>F592^2/(2*g)</f>
        <v>6.2519428800000005</v>
      </c>
      <c r="E601" s="26" t="s">
        <v>276</v>
      </c>
      <c r="K601" s="130"/>
      <c r="L601" s="2244"/>
      <c r="M601" s="2245" t="s">
        <v>1910</v>
      </c>
      <c r="N601" s="2246">
        <v>0.5</v>
      </c>
    </row>
    <row r="602" spans="1:14" ht="16.5" thickBot="1">
      <c r="K602" s="130"/>
      <c r="L602" s="1802"/>
      <c r="M602" s="1807"/>
      <c r="N602" s="2249" t="s">
        <v>1985</v>
      </c>
    </row>
    <row r="603" spans="1:14" ht="16.5" thickBot="1">
      <c r="A603" s="127" t="s">
        <v>67</v>
      </c>
      <c r="B603" s="579">
        <f>N603</f>
        <v>1.4631999999998939</v>
      </c>
      <c r="C603" s="127" t="s">
        <v>68</v>
      </c>
      <c r="D603" s="127"/>
      <c r="E603" s="127"/>
      <c r="F603" s="171">
        <f>B603+D601/(B603^2)</f>
        <v>4.3833665141617786</v>
      </c>
      <c r="K603" s="130"/>
      <c r="L603" s="1803" t="s">
        <v>1639</v>
      </c>
      <c r="M603" s="695"/>
      <c r="N603" s="1834">
        <f>'Calc-2'!E106</f>
        <v>1.4631999999998939</v>
      </c>
    </row>
    <row r="604" spans="1:14" ht="13.5" thickBot="1">
      <c r="A604" s="187" t="s">
        <v>2185</v>
      </c>
      <c r="C604" s="53">
        <f>B603</f>
        <v>1.4631999999998939</v>
      </c>
      <c r="D604" s="22" t="str">
        <f>"m, "&amp;IF(C604&lt;E578,"&lt; "&amp;FIXED(E578,2)&amp;"m. So, flow is Super Critical.","&gt; "&amp;FIXED(E578,2)&amp;"m. So, flow is Sub Critical.")</f>
        <v>m, &lt; 2.32m. So, flow is Super Critical.</v>
      </c>
      <c r="K604" s="130"/>
      <c r="L604" s="1804"/>
      <c r="M604" s="1805"/>
      <c r="N604" s="1806"/>
    </row>
    <row r="605" spans="1:14">
      <c r="A605" s="22"/>
      <c r="K605" s="130"/>
    </row>
    <row r="606" spans="1:14">
      <c r="A606" t="s">
        <v>87</v>
      </c>
      <c r="D606" t="s">
        <v>101</v>
      </c>
      <c r="E606" s="54">
        <f>F592/C604</f>
        <v>7.5692580222803993</v>
      </c>
      <c r="F606" s="26" t="s">
        <v>202</v>
      </c>
      <c r="K606" s="130"/>
    </row>
    <row r="607" spans="1:14" ht="15.75">
      <c r="A607" s="26" t="s">
        <v>278</v>
      </c>
      <c r="B607" s="26"/>
      <c r="C607" s="26"/>
      <c r="D607" s="26"/>
      <c r="E607" s="693">
        <f>E606/(g*C604)^0.5</f>
        <v>1.997868777732239</v>
      </c>
      <c r="F607" s="22" t="str">
        <f>"     So use, "&amp;IF(AND(E607&gt;=2.5,E607&lt;=4.5),"USBR ERC Type Stilling basin",IF(E607&gt;4.5,"USBR type - III Stilling basin","Stilling basin type - I"))</f>
        <v xml:space="preserve">     So use, Stilling basin type - I</v>
      </c>
      <c r="K607" s="130"/>
    </row>
    <row r="608" spans="1:14">
      <c r="K608" s="130"/>
    </row>
    <row r="609" spans="1:11">
      <c r="B609" s="268" t="s">
        <v>307</v>
      </c>
      <c r="C609" s="3058" t="s">
        <v>284</v>
      </c>
      <c r="D609" s="3059"/>
      <c r="E609" s="3059"/>
      <c r="F609" s="3057">
        <f>0.5*((1+8*E607^2)^0.5-1)</f>
        <v>2.3693133858250168</v>
      </c>
      <c r="K609" s="130"/>
    </row>
    <row r="610" spans="1:11">
      <c r="B610" s="203" t="s">
        <v>308</v>
      </c>
      <c r="C610" s="3059"/>
      <c r="D610" s="3059"/>
      <c r="E610" s="3059"/>
      <c r="F610" s="3057"/>
      <c r="K610" s="130"/>
    </row>
    <row r="611" spans="1:11">
      <c r="A611" s="187"/>
      <c r="K611" s="130"/>
    </row>
    <row r="612" spans="1:11" ht="15.75">
      <c r="A612" s="187" t="s">
        <v>1677</v>
      </c>
      <c r="E612" s="694">
        <f>F609*C604</f>
        <v>3.4667793461389134</v>
      </c>
      <c r="F612" s="26" t="s">
        <v>5</v>
      </c>
      <c r="H612" s="187" t="s">
        <v>811</v>
      </c>
      <c r="I612" s="54">
        <f>1.05*E612</f>
        <v>3.6401183134458592</v>
      </c>
      <c r="J612" s="187" t="s">
        <v>5</v>
      </c>
      <c r="K612" s="130"/>
    </row>
    <row r="613" spans="1:11">
      <c r="A613" s="187" t="s">
        <v>1676</v>
      </c>
      <c r="D613" s="33">
        <f>IF(AND(E607&gt;=2.5,E607&lt;=4.5),I612,E612)</f>
        <v>3.4667793461389134</v>
      </c>
      <c r="E613" s="187" t="s">
        <v>5</v>
      </c>
      <c r="K613" s="130"/>
    </row>
    <row r="614" spans="1:11">
      <c r="A614" s="109" t="s">
        <v>1988</v>
      </c>
      <c r="D614" s="33">
        <f>C130</f>
        <v>10.9</v>
      </c>
      <c r="E614" s="26" t="s">
        <v>155</v>
      </c>
      <c r="K614" s="130"/>
    </row>
    <row r="615" spans="1:11">
      <c r="A615" s="187" t="s">
        <v>1134</v>
      </c>
      <c r="B615" s="26"/>
      <c r="D615" s="742">
        <f>D54</f>
        <v>10</v>
      </c>
      <c r="E615" s="26" t="s">
        <v>46</v>
      </c>
      <c r="K615" s="130"/>
    </row>
    <row r="616" spans="1:11">
      <c r="A616" s="187" t="s">
        <v>388</v>
      </c>
      <c r="B616" s="26"/>
      <c r="D616" s="131">
        <f>D43</f>
        <v>6.1</v>
      </c>
      <c r="E616" s="26" t="s">
        <v>46</v>
      </c>
      <c r="K616" s="130"/>
    </row>
    <row r="617" spans="1:11">
      <c r="A617" s="187" t="s">
        <v>1138</v>
      </c>
      <c r="B617" s="26"/>
      <c r="D617" s="131">
        <f>D616+I612</f>
        <v>9.7401183134458584</v>
      </c>
      <c r="E617" s="26" t="s">
        <v>46</v>
      </c>
      <c r="F617" s="126" t="str">
        <f>"So, "&amp;IF(D617&gt;=D615,FIXED(D617,2)&amp;" &gt; = "&amp;FIXED(D615,2)&amp;", NOT ok, increase Top label of R wall",FIXED(D617,2)&amp;" &lt; "&amp;FIXED(D615,2)&amp;",  ok, Below top of R wall.")</f>
        <v>So, 9.74 &lt; 10.00,  ok, Below top of R wall.</v>
      </c>
      <c r="G617" s="126"/>
      <c r="H617" s="126"/>
      <c r="I617" s="126"/>
      <c r="J617" s="46"/>
      <c r="K617" s="130"/>
    </row>
    <row r="618" spans="1:11">
      <c r="A618" s="30" t="s">
        <v>1980</v>
      </c>
      <c r="D618" s="33">
        <f>D614-D616</f>
        <v>4.8000000000000007</v>
      </c>
      <c r="E618" s="26" t="s">
        <v>5</v>
      </c>
      <c r="F618" s="126" t="str">
        <f>"So, "&amp;IF(D618&gt;=D613,FIXED(D618,2)&amp;" &gt; = "&amp;FIXED(D613,2)&amp;", ok"," &lt; y2  i,e "&amp;FIXED(D613,2)&amp;", Not ok, increase Zc")</f>
        <v>So, 4.80 &gt; = 3.47, ok</v>
      </c>
      <c r="G618" s="126"/>
      <c r="H618" s="126"/>
      <c r="I618" s="126"/>
      <c r="K618" s="130"/>
    </row>
    <row r="619" spans="1:11">
      <c r="F619" t="str">
        <f>IF(D618&gt;=E612,"This situation will stabilize the jump with in the basin","Jump may sweep out")</f>
        <v>This situation will stabilize the jump with in the basin</v>
      </c>
      <c r="K619" s="130"/>
    </row>
    <row r="620" spans="1:11">
      <c r="K620" s="130"/>
    </row>
    <row r="621" spans="1:11">
      <c r="A621" t="str">
        <f>"Width of flow at the end C/S stilling basin = "&amp;FIXED(DATA!H39,2)&amp;" + 2 *( "&amp;FIXED(D49,2)&amp;" - "&amp;B71&amp;"  )* tan ( "&amp;FIXED(I18,2)&amp;" ) ="</f>
        <v>Width of flow at the end C/S stilling basin = 3.75 + 2 *( 18.90 - 1.2  )* tan ( 13.10 ) =</v>
      </c>
      <c r="I621" s="33">
        <f>A65</f>
        <v>12</v>
      </c>
      <c r="J621" t="s">
        <v>5</v>
      </c>
      <c r="K621" s="130"/>
    </row>
    <row r="622" spans="1:11">
      <c r="A622" s="187" t="s">
        <v>399</v>
      </c>
      <c r="E622" s="54">
        <f>C574/I621</f>
        <v>2.7688345845499693</v>
      </c>
      <c r="F622" s="26" t="s">
        <v>201</v>
      </c>
      <c r="K622" s="130"/>
    </row>
    <row r="623" spans="1:11">
      <c r="A623" s="26" t="s">
        <v>205</v>
      </c>
      <c r="C623" s="2421"/>
      <c r="E623" s="33">
        <f>E622/E612</f>
        <v>0.79867632407402211</v>
      </c>
      <c r="F623" s="26" t="s">
        <v>206</v>
      </c>
      <c r="G623" s="126" t="str">
        <f>IF(E623&lt;=1,"ok","Not ok")</f>
        <v>ok</v>
      </c>
      <c r="K623" s="130"/>
    </row>
    <row r="624" spans="1:11">
      <c r="K624" s="130"/>
    </row>
    <row r="625" spans="1:11">
      <c r="A625" s="187" t="s">
        <v>2207</v>
      </c>
      <c r="D625" s="33">
        <f>E612*(I621+E612*$I$20)</f>
        <v>65.638470223297674</v>
      </c>
      <c r="E625" s="187" t="s">
        <v>871</v>
      </c>
      <c r="K625" s="130"/>
    </row>
    <row r="626" spans="1:11">
      <c r="A626" s="187" t="s">
        <v>2208</v>
      </c>
      <c r="D626" s="33">
        <f>C574/D625</f>
        <v>0.50619727884527099</v>
      </c>
      <c r="E626" s="26" t="s">
        <v>206</v>
      </c>
      <c r="F626" s="126" t="str">
        <f>IF(D626&lt;=1,"ok","Not ok")</f>
        <v>ok</v>
      </c>
      <c r="K626" s="130"/>
    </row>
    <row r="627" spans="1:11">
      <c r="K627" s="130"/>
    </row>
    <row r="628" spans="1:11">
      <c r="A628" s="187" t="s">
        <v>1637</v>
      </c>
      <c r="D628" s="17" t="s">
        <v>309</v>
      </c>
      <c r="E628" s="36">
        <f>VLOOKUP(E607,Table!D178:G212,2,TRUE)</f>
        <v>4.4000000000000004</v>
      </c>
      <c r="F628" s="17" t="s">
        <v>314</v>
      </c>
      <c r="G628" s="33">
        <f>E628*E612</f>
        <v>15.25382912301122</v>
      </c>
      <c r="H628" t="s">
        <v>5</v>
      </c>
      <c r="K628" s="130"/>
    </row>
    <row r="629" spans="1:11">
      <c r="A629" s="187" t="s">
        <v>1636</v>
      </c>
      <c r="B629" s="1"/>
      <c r="D629" s="17" t="s">
        <v>310</v>
      </c>
      <c r="E629" s="36" t="str">
        <f>VLOOKUP(E607,Table!D178:G212,4,TRUE)</f>
        <v>-</v>
      </c>
      <c r="F629" s="17" t="s">
        <v>312</v>
      </c>
      <c r="G629" s="33">
        <f>IF(E607&gt;4.5,0.8*E612,N(E629)*E612)</f>
        <v>0</v>
      </c>
      <c r="H629" t="str">
        <f>IF(E607&lt;2.5,"(No Baffle is needed)","m")</f>
        <v>(No Baffle is needed)</v>
      </c>
      <c r="K629" s="130"/>
    </row>
    <row r="630" spans="1:11">
      <c r="A630" s="187" t="s">
        <v>1638</v>
      </c>
      <c r="B630" s="1"/>
      <c r="D630" s="17" t="s">
        <v>311</v>
      </c>
      <c r="E630" s="36" t="str">
        <f>VLOOKUP(E607,Table!D178:G212,3,TRUE)</f>
        <v>-</v>
      </c>
      <c r="F630" s="17" t="s">
        <v>313</v>
      </c>
      <c r="G630" s="33">
        <f>IF(E607&gt;4.5,G628,N(E630)*E612)</f>
        <v>0</v>
      </c>
      <c r="H630" t="s">
        <v>5</v>
      </c>
      <c r="K630" s="130"/>
    </row>
    <row r="631" spans="1:11">
      <c r="D631" s="46"/>
      <c r="K631" s="130"/>
    </row>
    <row r="632" spans="1:11">
      <c r="A632" s="692" t="s">
        <v>2012</v>
      </c>
      <c r="B632" s="126"/>
      <c r="C632" s="126"/>
      <c r="D632" s="126"/>
      <c r="E632" s="46"/>
      <c r="F632" s="2451" t="s">
        <v>2013</v>
      </c>
      <c r="G632" s="2450"/>
      <c r="H632" s="2450"/>
      <c r="I632" s="2045" t="s">
        <v>1361</v>
      </c>
      <c r="K632" s="130"/>
    </row>
    <row r="633" spans="1:11">
      <c r="D633" s="46"/>
      <c r="K633" s="130"/>
    </row>
    <row r="634" spans="1:11" ht="25.5">
      <c r="A634" s="355" t="s">
        <v>1520</v>
      </c>
      <c r="B634" s="2433" t="s">
        <v>461</v>
      </c>
      <c r="C634" s="1604" t="s">
        <v>807</v>
      </c>
      <c r="D634" s="2433" t="s">
        <v>458</v>
      </c>
      <c r="E634" s="1604" t="s">
        <v>1576</v>
      </c>
      <c r="F634" s="2433" t="s">
        <v>1577</v>
      </c>
      <c r="G634" s="2432" t="s">
        <v>1667</v>
      </c>
      <c r="H634" s="2433" t="s">
        <v>1648</v>
      </c>
      <c r="I634" s="1753" t="s">
        <v>1664</v>
      </c>
      <c r="J634" s="1742" t="s">
        <v>1665</v>
      </c>
      <c r="K634" s="130"/>
    </row>
    <row r="635" spans="1:11">
      <c r="A635" s="354"/>
      <c r="B635" s="256" t="s">
        <v>179</v>
      </c>
      <c r="C635" s="2424" t="s">
        <v>5</v>
      </c>
      <c r="D635" s="256"/>
      <c r="E635" s="2424" t="s">
        <v>5</v>
      </c>
      <c r="F635" s="256" t="s">
        <v>5</v>
      </c>
      <c r="G635" s="1752" t="s">
        <v>206</v>
      </c>
      <c r="H635" s="256" t="s">
        <v>5</v>
      </c>
      <c r="I635" s="2424" t="s">
        <v>5</v>
      </c>
      <c r="J635" s="256" t="s">
        <v>5</v>
      </c>
      <c r="K635" s="130"/>
    </row>
    <row r="636" spans="1:11">
      <c r="A636" s="365" t="s">
        <v>1669</v>
      </c>
      <c r="B636" s="377">
        <f>C514</f>
        <v>9.7805613335840871</v>
      </c>
      <c r="C636" s="368">
        <f>C544</f>
        <v>0.53259999999995589</v>
      </c>
      <c r="D636" s="377">
        <f>E547</f>
        <v>2.6779735258231749</v>
      </c>
      <c r="E636" s="368">
        <f>E552</f>
        <v>1.7682797110603801</v>
      </c>
      <c r="F636" s="377">
        <f>I552</f>
        <v>1.8566936966133991</v>
      </c>
      <c r="G636" s="1198">
        <f>E563</f>
        <v>0.4609263866461018</v>
      </c>
      <c r="H636" s="377">
        <f>G568</f>
        <v>5.7469090609462352</v>
      </c>
      <c r="I636" s="368">
        <f>G569</f>
        <v>2.4225432041527211</v>
      </c>
      <c r="J636" s="377">
        <f>G570</f>
        <v>4.8627692054160452</v>
      </c>
      <c r="K636" s="130"/>
    </row>
    <row r="637" spans="1:11">
      <c r="A637" s="354" t="s">
        <v>285</v>
      </c>
      <c r="B637" s="2435">
        <f>C574</f>
        <v>33.226015014599632</v>
      </c>
      <c r="C637" s="1184">
        <f>C604</f>
        <v>1.4631999999998939</v>
      </c>
      <c r="D637" s="2435">
        <f>E607</f>
        <v>1.997868777732239</v>
      </c>
      <c r="E637" s="1184">
        <f>E612</f>
        <v>3.4667793461389134</v>
      </c>
      <c r="F637" s="2435">
        <f>I612</f>
        <v>3.6401183134458592</v>
      </c>
      <c r="G637" s="2436">
        <f>E623</f>
        <v>0.79867632407402211</v>
      </c>
      <c r="H637" s="2435">
        <f>G628</f>
        <v>15.25382912301122</v>
      </c>
      <c r="I637" s="1184">
        <f>G629</f>
        <v>0</v>
      </c>
      <c r="J637" s="2435">
        <f>G630</f>
        <v>0</v>
      </c>
      <c r="K637" s="130"/>
    </row>
    <row r="638" spans="1:11">
      <c r="A638" s="697" t="s">
        <v>395</v>
      </c>
      <c r="B638" s="2449">
        <f>IF($I$632="y",B637,B636)</f>
        <v>33.226015014599632</v>
      </c>
      <c r="C638" s="2449">
        <f t="shared" ref="C638:J638" si="244">IF($I$632="y",C637,C636)</f>
        <v>1.4631999999998939</v>
      </c>
      <c r="D638" s="2449">
        <f t="shared" si="244"/>
        <v>1.997868777732239</v>
      </c>
      <c r="E638" s="2449">
        <f t="shared" si="244"/>
        <v>3.4667793461389134</v>
      </c>
      <c r="F638" s="2449">
        <f t="shared" si="244"/>
        <v>3.6401183134458592</v>
      </c>
      <c r="G638" s="2449">
        <f t="shared" si="244"/>
        <v>0.79867632407402211</v>
      </c>
      <c r="H638" s="2449">
        <f t="shared" si="244"/>
        <v>15.25382912301122</v>
      </c>
      <c r="I638" s="2449">
        <f t="shared" si="244"/>
        <v>0</v>
      </c>
      <c r="J638" s="2449">
        <f t="shared" si="244"/>
        <v>0</v>
      </c>
      <c r="K638" s="130"/>
    </row>
    <row r="639" spans="1:11">
      <c r="D639" s="46"/>
      <c r="K639" s="130"/>
    </row>
    <row r="640" spans="1:11">
      <c r="A640" s="187" t="s">
        <v>2004</v>
      </c>
      <c r="D640" s="46"/>
      <c r="K640" s="130"/>
    </row>
    <row r="641" spans="1:11">
      <c r="A641" s="418" t="s">
        <v>2020</v>
      </c>
      <c r="D641" s="46"/>
      <c r="K641" s="130"/>
    </row>
    <row r="642" spans="1:11">
      <c r="K642" s="130"/>
    </row>
    <row r="643" spans="1:11">
      <c r="K643" s="130"/>
    </row>
    <row r="644" spans="1:11">
      <c r="A644" s="2442" t="s">
        <v>2005</v>
      </c>
      <c r="B644" s="126"/>
      <c r="C644" s="126"/>
      <c r="D644" s="126"/>
      <c r="K644" s="130"/>
    </row>
    <row r="645" spans="1:11">
      <c r="K645" s="130"/>
    </row>
    <row r="646" spans="1:11">
      <c r="D646" s="144" t="s">
        <v>1640</v>
      </c>
      <c r="F646" s="1654" t="s">
        <v>99</v>
      </c>
      <c r="K646" s="130"/>
    </row>
    <row r="647" spans="1:11">
      <c r="A647" s="187" t="s">
        <v>1637</v>
      </c>
      <c r="D647" s="33">
        <f>H638</f>
        <v>15.25382912301122</v>
      </c>
      <c r="E647" t="s">
        <v>5</v>
      </c>
      <c r="F647" s="440" t="str">
        <f>IF(D647&lt;=D48,"&lt; "&amp;FIXED(E662,2)&amp;",  ok","&gt;"&amp;FIXED(E662,2)&amp;",   Not ok, [ Adjust the Input Data ] ")</f>
        <v>&lt; 16.20,  ok</v>
      </c>
      <c r="G647" s="126"/>
      <c r="H647" s="126"/>
      <c r="I647" s="1808"/>
      <c r="K647" s="130"/>
    </row>
    <row r="648" spans="1:11">
      <c r="A648" s="187" t="s">
        <v>1636</v>
      </c>
      <c r="D648" s="33">
        <f>I638</f>
        <v>0</v>
      </c>
      <c r="E648" t="s">
        <v>5</v>
      </c>
      <c r="F648" s="580">
        <v>3</v>
      </c>
      <c r="G648" t="s">
        <v>5</v>
      </c>
      <c r="I648" s="235"/>
      <c r="K648" s="130"/>
    </row>
    <row r="649" spans="1:11">
      <c r="A649" s="187" t="s">
        <v>1638</v>
      </c>
      <c r="D649" s="33">
        <f>J638</f>
        <v>0</v>
      </c>
      <c r="E649" t="s">
        <v>5</v>
      </c>
      <c r="F649" s="440" t="str">
        <f>IF(E660&gt;D649,"&lt; "&amp;FIXED(E660,2)&amp;",  ok","&gt;"&amp;FIXED(E660,2)&amp;",   Not ok")</f>
        <v>&lt; 14.05,  ok</v>
      </c>
      <c r="G649" s="126"/>
      <c r="I649" s="235"/>
      <c r="K649" s="130"/>
    </row>
    <row r="650" spans="1:11">
      <c r="A650" s="109" t="s">
        <v>2006</v>
      </c>
      <c r="B650" s="109"/>
      <c r="C650" s="188"/>
      <c r="D650" s="109"/>
      <c r="E650" s="188">
        <f>DEGREES(ATAN(((A65-I40)/2)/(D71+C73-B71)))</f>
        <v>13.118671796512279</v>
      </c>
      <c r="F650" s="109" t="s">
        <v>1104</v>
      </c>
      <c r="G650" s="794">
        <f>RADIANS(E650)</f>
        <v>0.22896401633765884</v>
      </c>
      <c r="H650" s="109" t="s">
        <v>322</v>
      </c>
      <c r="K650" s="130"/>
    </row>
    <row r="651" spans="1:11">
      <c r="G651" s="23"/>
      <c r="K651" s="130"/>
    </row>
    <row r="652" spans="1:11">
      <c r="H652" t="s">
        <v>65</v>
      </c>
      <c r="K652" s="130"/>
    </row>
    <row r="653" spans="1:11">
      <c r="C653" s="187" t="s">
        <v>66</v>
      </c>
      <c r="E653" t="s">
        <v>397</v>
      </c>
      <c r="K653" s="130"/>
    </row>
    <row r="654" spans="1:11">
      <c r="K654" s="130"/>
    </row>
    <row r="655" spans="1:11">
      <c r="K655" s="130"/>
    </row>
    <row r="656" spans="1:11">
      <c r="K656" s="130"/>
    </row>
    <row r="657" spans="1:13">
      <c r="H657" s="23"/>
      <c r="K657" s="130"/>
    </row>
    <row r="658" spans="1:13">
      <c r="G658" s="210">
        <f>F648</f>
        <v>3</v>
      </c>
      <c r="H658" s="187" t="s">
        <v>5</v>
      </c>
      <c r="K658" s="130"/>
    </row>
    <row r="659" spans="1:13">
      <c r="G659" s="23"/>
      <c r="K659" s="130"/>
    </row>
    <row r="660" spans="1:13">
      <c r="D660" s="17" t="s">
        <v>313</v>
      </c>
      <c r="E660" s="210">
        <f>C73-B71-E680/1000</f>
        <v>14.05</v>
      </c>
      <c r="F660" s="187" t="s">
        <v>5</v>
      </c>
      <c r="K660" s="130"/>
    </row>
    <row r="661" spans="1:13">
      <c r="D661" s="23"/>
      <c r="K661" s="130"/>
    </row>
    <row r="662" spans="1:13">
      <c r="D662" s="27" t="s">
        <v>314</v>
      </c>
      <c r="E662" s="33">
        <f>D48</f>
        <v>16.2</v>
      </c>
      <c r="F662" s="187" t="s">
        <v>5</v>
      </c>
      <c r="K662" s="130"/>
    </row>
    <row r="663" spans="1:13">
      <c r="D663" s="23"/>
      <c r="K663" s="130"/>
    </row>
    <row r="664" spans="1:13">
      <c r="A664" s="139"/>
      <c r="B664" s="1"/>
      <c r="C664" s="1"/>
      <c r="K664" s="130"/>
    </row>
    <row r="665" spans="1:13">
      <c r="A665" s="355" t="s">
        <v>1520</v>
      </c>
      <c r="B665" s="3054" t="s">
        <v>1698</v>
      </c>
      <c r="C665" s="3055"/>
      <c r="D665" s="3055"/>
      <c r="E665" s="3056"/>
      <c r="F665" s="3051" t="s">
        <v>813</v>
      </c>
      <c r="G665" s="3052"/>
      <c r="H665" s="3052"/>
      <c r="I665" s="3052"/>
      <c r="J665" s="3053"/>
      <c r="K665" s="130"/>
      <c r="L665" s="2453" t="s">
        <v>813</v>
      </c>
      <c r="M665" s="2428"/>
    </row>
    <row r="666" spans="1:13" ht="25.5">
      <c r="A666" s="365"/>
      <c r="B666" s="1822" t="s">
        <v>1695</v>
      </c>
      <c r="C666" s="1784" t="s">
        <v>1697</v>
      </c>
      <c r="D666" s="1833" t="s">
        <v>1685</v>
      </c>
      <c r="E666" s="2426" t="s">
        <v>710</v>
      </c>
      <c r="F666" s="1822" t="s">
        <v>1695</v>
      </c>
      <c r="G666" s="1784" t="s">
        <v>1697</v>
      </c>
      <c r="H666" s="1828" t="s">
        <v>1686</v>
      </c>
      <c r="I666" s="1814" t="s">
        <v>1687</v>
      </c>
      <c r="J666" s="1816" t="s">
        <v>710</v>
      </c>
      <c r="K666" s="130"/>
      <c r="L666" s="2444" t="s">
        <v>2014</v>
      </c>
    </row>
    <row r="667" spans="1:13">
      <c r="A667" s="256"/>
      <c r="B667" s="2423" t="s">
        <v>5</v>
      </c>
      <c r="C667" s="355" t="s">
        <v>5</v>
      </c>
      <c r="D667" s="355" t="s">
        <v>5</v>
      </c>
      <c r="E667" s="355" t="s">
        <v>5</v>
      </c>
      <c r="F667" s="2424" t="s">
        <v>5</v>
      </c>
      <c r="G667" s="256" t="s">
        <v>5</v>
      </c>
      <c r="H667" s="2424" t="s">
        <v>5</v>
      </c>
      <c r="I667" s="256" t="s">
        <v>5</v>
      </c>
      <c r="J667" s="2425" t="s">
        <v>5</v>
      </c>
      <c r="K667" s="130"/>
      <c r="L667" s="2445"/>
    </row>
    <row r="668" spans="1:13">
      <c r="A668" s="365" t="s">
        <v>1669</v>
      </c>
      <c r="B668" s="2428">
        <f>IF(D636&lt;2.5,0,IF(AND(D636&gt;=2.5,D636&lt;=4.5),C636,C636))</f>
        <v>0.53259999999995589</v>
      </c>
      <c r="C668" s="663">
        <f>IF(D636&lt;2.5,0,IF(AND(D636&gt;=2.5,D636&lt;=4.5),0.7*C636,C636))</f>
        <v>0.37281999999996912</v>
      </c>
      <c r="D668" s="1034"/>
      <c r="E668" s="663">
        <f>IF(D636&lt;2.5,0,IF(AND(D636&gt;=2.5,D636&lt;=4.5),0.7*C636,C636))</f>
        <v>0.37281999999996912</v>
      </c>
      <c r="F668" s="442">
        <f>IF(D636&lt;2.5,0,IF(AND(D636&gt;=2.5,D636&lt;=4.5),C636,C636*L668))</f>
        <v>0.53259999999995589</v>
      </c>
      <c r="G668" s="2428">
        <f>IF(D636&lt;2.5,0,IF(AND(D636&gt;=2.5,D636&lt;=4.5),0.7*C636,C636*L668*0.75))</f>
        <v>0.37281999999996912</v>
      </c>
      <c r="H668" s="441">
        <f>IF(D636&lt;2.5,0,IF(AND(D636&gt;=2.5,D636&lt;=4.5),0.2*C636,C636*L668*0.2))</f>
        <v>0.10651999999999118</v>
      </c>
      <c r="I668" s="2429"/>
      <c r="J668" s="441">
        <f>IF(D636&lt;2.5,0,IF(AND(D636&gt;=2.5,D636&lt;=4.5),C636*0.7,C636*L668*0.75))</f>
        <v>0.37281999999996912</v>
      </c>
      <c r="K668" s="130"/>
      <c r="L668" s="2448" t="str">
        <f>VLOOKUP(D636,Table!$D$178:$I$212,5,TRUE)</f>
        <v>-</v>
      </c>
    </row>
    <row r="669" spans="1:13">
      <c r="A669" s="354" t="s">
        <v>285</v>
      </c>
      <c r="B669" s="2428">
        <f>IF(D637&lt;2.5,0,IF(AND(D637&gt;=2.5,D637&lt;=4.5),C637,C637))</f>
        <v>0</v>
      </c>
      <c r="C669" s="658">
        <f>IF(D637&lt;2.5,0,IF(AND(D637&gt;=2.5,D637&lt;=4.5),0.7*C637,C637))</f>
        <v>0</v>
      </c>
      <c r="D669" s="2430"/>
      <c r="E669" s="658">
        <f>IF(D637&lt;2.5,0,IF(AND(D637&gt;=2.5,D637&lt;=4.5),0.7*C637,C637))</f>
        <v>0</v>
      </c>
      <c r="F669" s="442">
        <f>IF(D637&lt;2.5,0,IF(AND(D637&gt;=2.5,D637&lt;=4.5),C637,C637*L669))</f>
        <v>0</v>
      </c>
      <c r="G669" s="2428">
        <f>IF(D637&lt;2.5,0,IF(AND(D637&gt;=2.5,D637&lt;=4.5),0.7*C637,C637*L669*0.75))</f>
        <v>0</v>
      </c>
      <c r="H669" s="441">
        <f>IF(D637&lt;2.5,0,IF(AND(D637&gt;=2.5,D637&lt;=4.5),0.2*C637,C637*L669*0.2))</f>
        <v>0</v>
      </c>
      <c r="I669" s="2429"/>
      <c r="J669" s="441">
        <f>IF(D637&lt;2.5,0,IF(AND(D637&gt;=2.5,D637&lt;=4.5),C637*0.7,C637*L669*0.75))</f>
        <v>0</v>
      </c>
      <c r="K669" s="130"/>
      <c r="L669" s="2447" t="str">
        <f>VLOOKUP(D637,Table!$D$178:$I$212,5,TRUE)</f>
        <v>-</v>
      </c>
    </row>
    <row r="670" spans="1:13">
      <c r="A670" s="94" t="s">
        <v>1696</v>
      </c>
      <c r="B670" s="2452">
        <f>MAX(B668:B669)</f>
        <v>0.53259999999995589</v>
      </c>
      <c r="C670" s="2452">
        <f>MAX(C668:C669)</f>
        <v>0.37281999999996912</v>
      </c>
      <c r="D670" s="102"/>
      <c r="E670" s="2452">
        <f t="shared" ref="E670:H670" si="245">MAX(E668:E669)</f>
        <v>0.37281999999996912</v>
      </c>
      <c r="F670" s="2452">
        <f t="shared" si="245"/>
        <v>0.53259999999995589</v>
      </c>
      <c r="G670" s="2452">
        <f t="shared" si="245"/>
        <v>0.37281999999996912</v>
      </c>
      <c r="H670" s="2452">
        <f t="shared" si="245"/>
        <v>0.10651999999999118</v>
      </c>
      <c r="I670" s="2452"/>
      <c r="J670" s="2452">
        <f>MAX(J668:J669)</f>
        <v>0.37281999999996912</v>
      </c>
      <c r="K670" s="130"/>
    </row>
    <row r="671" spans="1:13">
      <c r="A671" s="94" t="s">
        <v>1867</v>
      </c>
      <c r="B671" s="1824">
        <v>650</v>
      </c>
      <c r="C671" s="1827">
        <v>500</v>
      </c>
      <c r="D671" s="1825">
        <f>D45*B671</f>
        <v>1950</v>
      </c>
      <c r="E671" s="1827">
        <f>C671</f>
        <v>500</v>
      </c>
      <c r="F671" s="1824">
        <v>650</v>
      </c>
      <c r="G671" s="1827">
        <v>600</v>
      </c>
      <c r="H671" s="1824">
        <v>150</v>
      </c>
      <c r="I671" s="1829">
        <f>H671+F671</f>
        <v>800</v>
      </c>
      <c r="J671" s="1826">
        <f>G671</f>
        <v>600</v>
      </c>
      <c r="K671" s="130"/>
    </row>
    <row r="672" spans="1:13">
      <c r="I672" s="2"/>
      <c r="J672" s="2"/>
      <c r="K672" s="130"/>
    </row>
    <row r="673" spans="1:22">
      <c r="K673" s="130"/>
    </row>
    <row r="674" spans="1:22">
      <c r="A674" s="355" t="s">
        <v>1520</v>
      </c>
      <c r="B674" s="3095" t="s">
        <v>1694</v>
      </c>
      <c r="C674" s="3096"/>
      <c r="D674" s="3096"/>
      <c r="E674" s="3096"/>
      <c r="F674" s="3097"/>
      <c r="G674" s="187"/>
      <c r="K674" s="130"/>
      <c r="L674" s="2454" t="s">
        <v>1694</v>
      </c>
    </row>
    <row r="675" spans="1:22" ht="25.5">
      <c r="A675" s="354"/>
      <c r="B675" s="1821" t="s">
        <v>1695</v>
      </c>
      <c r="C675" s="1784" t="s">
        <v>1697</v>
      </c>
      <c r="D675" s="1822" t="s">
        <v>1686</v>
      </c>
      <c r="E675" s="1784" t="s">
        <v>1687</v>
      </c>
      <c r="F675" s="2426" t="s">
        <v>710</v>
      </c>
      <c r="K675" s="130"/>
      <c r="L675" s="2444" t="s">
        <v>2015</v>
      </c>
    </row>
    <row r="676" spans="1:22">
      <c r="A676" s="2423"/>
      <c r="B676" s="256" t="s">
        <v>5</v>
      </c>
      <c r="C676" s="256" t="s">
        <v>5</v>
      </c>
      <c r="D676" s="2424" t="s">
        <v>5</v>
      </c>
      <c r="E676" s="256" t="s">
        <v>5</v>
      </c>
      <c r="F676" s="2425" t="s">
        <v>5</v>
      </c>
      <c r="G676" s="2">
        <f>C680</f>
        <v>300</v>
      </c>
      <c r="K676" s="130"/>
      <c r="L676" s="2445"/>
      <c r="V676" s="26"/>
    </row>
    <row r="677" spans="1:22">
      <c r="A677" s="348" t="s">
        <v>1669</v>
      </c>
      <c r="B677" s="441">
        <f>IF(D636&lt;2.5,0,IF(AND(D636&gt;=2.5,D636&lt;=4.5),E636*0.2,C636*L677))</f>
        <v>0.35365594221207602</v>
      </c>
      <c r="C677" s="441">
        <f>IF(D636&lt;2.5,0,IF(AND(D636&gt;=2.5,D636&lt;=4.5),E636*0.15,0))</f>
        <v>0.26524195665905698</v>
      </c>
      <c r="D677" s="2826">
        <f>IF(D636&lt;2.5,0,IF(AND(D636&gt;=2.5,D636&lt;=4.5),B677*0.15,0))</f>
        <v>5.3048391331811405E-2</v>
      </c>
      <c r="E677" s="2429"/>
      <c r="F677" s="441">
        <f>IF(D636&lt;2.5,0,IF(AND(D636&gt;=2.5,D636&lt;=4.5),E636*0.15,0))</f>
        <v>0.26524195665905698</v>
      </c>
      <c r="I677" s="187" t="s">
        <v>66</v>
      </c>
      <c r="K677" s="130"/>
      <c r="L677" s="2446" t="str">
        <f>VLOOKUP(D636,Table!$D$178:$I$212,6,TRUE)</f>
        <v>-</v>
      </c>
    </row>
    <row r="678" spans="1:22">
      <c r="A678" s="351" t="s">
        <v>285</v>
      </c>
      <c r="B678" s="658">
        <f>IF(D637&lt;2.5,0,IF(AND(D637&gt;=2.5,D637&lt;=4.5),E637*0.2,C637*L678))</f>
        <v>0</v>
      </c>
      <c r="C678" s="658">
        <f>IF(D637&lt;2.5,0,IF(AND(D637&gt;=2.5,D637&lt;=4.5),E637*0.15,0))</f>
        <v>0</v>
      </c>
      <c r="D678" s="2826">
        <f>IF(D637&lt;2.5,0,IF(AND(D637&gt;=2.5,D637&lt;=4.5),B678*0.15,0))</f>
        <v>0</v>
      </c>
      <c r="E678" s="2429"/>
      <c r="F678" s="441">
        <f>IF(D637&lt;2.5,0,IF(AND(D637&gt;=2.5,D637&lt;=4.5),E637*0.15,0))</f>
        <v>0</v>
      </c>
      <c r="G678" s="2">
        <f>B680</f>
        <v>400</v>
      </c>
      <c r="K678" s="130"/>
      <c r="L678" s="2447" t="str">
        <f>VLOOKUP(D637,Table!$D$178:$I$212,6,TRUE)</f>
        <v>-</v>
      </c>
    </row>
    <row r="679" spans="1:22">
      <c r="A679" s="2422" t="s">
        <v>1696</v>
      </c>
      <c r="B679" s="2452">
        <f t="shared" ref="B679:D679" si="246">MAX(B677:B678)</f>
        <v>0.35365594221207602</v>
      </c>
      <c r="C679" s="2452">
        <f t="shared" si="246"/>
        <v>0.26524195665905698</v>
      </c>
      <c r="D679" s="2452">
        <f t="shared" si="246"/>
        <v>5.3048391331811405E-2</v>
      </c>
      <c r="E679" s="2452"/>
      <c r="F679" s="2452">
        <f>MAX(F677:F678)</f>
        <v>0.26524195665905698</v>
      </c>
      <c r="K679" s="130"/>
    </row>
    <row r="680" spans="1:22">
      <c r="A680" s="156" t="s">
        <v>1867</v>
      </c>
      <c r="B680" s="1831">
        <v>400</v>
      </c>
      <c r="C680" s="1831">
        <v>300</v>
      </c>
      <c r="D680" s="1823">
        <v>150</v>
      </c>
      <c r="E680" s="1832">
        <f>D680+B680*2</f>
        <v>950</v>
      </c>
      <c r="F680" s="1830">
        <f>C680</f>
        <v>300</v>
      </c>
      <c r="I680" s="18"/>
      <c r="K680" s="130"/>
    </row>
    <row r="681" spans="1:22">
      <c r="H681" s="18">
        <f>D680</f>
        <v>150</v>
      </c>
      <c r="K681" s="130"/>
    </row>
    <row r="682" spans="1:22">
      <c r="G682" s="2"/>
      <c r="H682">
        <f>E680</f>
        <v>950</v>
      </c>
      <c r="K682" s="130"/>
    </row>
    <row r="683" spans="1:22">
      <c r="K683" s="130"/>
    </row>
    <row r="684" spans="1:22">
      <c r="K684" s="130"/>
    </row>
    <row r="685" spans="1:22">
      <c r="F685" s="2">
        <f>G671</f>
        <v>600</v>
      </c>
      <c r="K685" s="130"/>
    </row>
    <row r="686" spans="1:22">
      <c r="C686" s="228">
        <f>C671</f>
        <v>500</v>
      </c>
      <c r="H686" s="187" t="s">
        <v>813</v>
      </c>
      <c r="K686" s="130"/>
    </row>
    <row r="687" spans="1:22" ht="11.25" customHeight="1">
      <c r="F687" s="2">
        <f>F671</f>
        <v>650</v>
      </c>
      <c r="K687" s="130"/>
    </row>
    <row r="688" spans="1:22">
      <c r="C688" s="228">
        <f>B671</f>
        <v>650</v>
      </c>
      <c r="K688" s="130"/>
    </row>
    <row r="689" spans="1:18">
      <c r="D689" s="228">
        <f>D671</f>
        <v>1950</v>
      </c>
      <c r="H689" s="18"/>
      <c r="K689" s="130"/>
      <c r="L689" s="1350"/>
      <c r="M689" s="1350"/>
      <c r="N689" s="1350"/>
      <c r="O689" s="1809"/>
      <c r="P689" s="1809"/>
      <c r="Q689" s="1809"/>
      <c r="R689" s="1809"/>
    </row>
    <row r="690" spans="1:18">
      <c r="E690" s="17"/>
      <c r="G690" s="18">
        <f>H671</f>
        <v>150</v>
      </c>
      <c r="K690" s="130"/>
      <c r="L690" s="1783"/>
      <c r="M690" s="1783"/>
      <c r="N690" s="1783"/>
    </row>
    <row r="691" spans="1:18">
      <c r="C691" s="187" t="s">
        <v>812</v>
      </c>
      <c r="F691" s="2"/>
      <c r="G691" s="129">
        <f>I671</f>
        <v>800</v>
      </c>
      <c r="K691" s="130"/>
      <c r="L691" s="368"/>
      <c r="M691" s="368"/>
      <c r="N691" s="368"/>
    </row>
    <row r="692" spans="1:18">
      <c r="K692" s="130"/>
      <c r="L692" s="368"/>
      <c r="M692" s="368"/>
      <c r="N692" s="368"/>
    </row>
    <row r="693" spans="1:18" ht="14.25">
      <c r="A693" s="175" t="s">
        <v>289</v>
      </c>
      <c r="B693" s="174"/>
      <c r="C693" s="174"/>
      <c r="K693" s="130"/>
      <c r="L693" s="1788"/>
      <c r="M693" s="1788"/>
      <c r="N693" s="1788"/>
    </row>
    <row r="694" spans="1:18">
      <c r="D694" s="1" t="s">
        <v>56</v>
      </c>
      <c r="K694" s="130"/>
      <c r="L694" s="1788"/>
      <c r="M694" s="1788"/>
      <c r="N694" s="1788"/>
    </row>
    <row r="695" spans="1:18">
      <c r="A695" s="2443" t="s">
        <v>2007</v>
      </c>
      <c r="K695" s="130"/>
      <c r="L695" s="1788"/>
      <c r="M695" s="1788"/>
      <c r="N695" s="1788"/>
    </row>
    <row r="696" spans="1:18">
      <c r="A696" s="187" t="s">
        <v>2016</v>
      </c>
      <c r="E696" s="54">
        <f>B458</f>
        <v>33.226015014599632</v>
      </c>
      <c r="F696" t="s">
        <v>179</v>
      </c>
      <c r="K696" s="130"/>
      <c r="L696" s="134" t="s">
        <v>1000</v>
      </c>
      <c r="M696" s="1788"/>
      <c r="N696" s="1788"/>
    </row>
    <row r="697" spans="1:18">
      <c r="A697" t="str">
        <f>"Width of flow at the end R/S stilling basin = "&amp;FIXED(DATA!H32,2)&amp;" + 2 *( "&amp;FIXED(I49,2)&amp;" - "&amp;I72&amp;"  )* tan ( "&amp;I19&amp;" ) ="</f>
        <v>Width of flow at the end R/S stilling basin = 3.75 + 2 *( 18.90 - 1.2  )* tan ( 13.1 ) =</v>
      </c>
      <c r="I697" s="33">
        <f>J66</f>
        <v>12</v>
      </c>
      <c r="J697" t="s">
        <v>5</v>
      </c>
      <c r="K697" s="130"/>
      <c r="M697" s="1788"/>
      <c r="N697" s="1788"/>
    </row>
    <row r="698" spans="1:18">
      <c r="A698" s="187" t="s">
        <v>1008</v>
      </c>
      <c r="E698" s="33">
        <f>E696/I697</f>
        <v>2.7688345845499693</v>
      </c>
      <c r="F698" t="str">
        <f>F376</f>
        <v>cumec/m</v>
      </c>
      <c r="K698" s="130"/>
    </row>
    <row r="699" spans="1:18">
      <c r="A699" s="26" t="s">
        <v>209</v>
      </c>
      <c r="E699" s="33">
        <f>1.76*(I21)^0.5</f>
        <v>0.40134174963489655</v>
      </c>
      <c r="K699" s="130"/>
    </row>
    <row r="700" spans="1:18" ht="14.25">
      <c r="A700" s="187" t="s">
        <v>2011</v>
      </c>
      <c r="B700" s="26"/>
      <c r="E700" s="35">
        <f>(1.35*((E698^2/E699)^(1/3)))</f>
        <v>3.608779352073733</v>
      </c>
      <c r="F700" s="26" t="s">
        <v>5</v>
      </c>
      <c r="K700" s="130"/>
    </row>
    <row r="701" spans="1:18">
      <c r="K701" s="130"/>
    </row>
    <row r="702" spans="1:18">
      <c r="A702" s="143"/>
      <c r="B702" t="s">
        <v>1711</v>
      </c>
      <c r="F702" s="33">
        <f>E458</f>
        <v>3.4667793461389831</v>
      </c>
      <c r="G702" s="187" t="s">
        <v>46</v>
      </c>
      <c r="K702" s="130"/>
    </row>
    <row r="703" spans="1:18">
      <c r="B703" s="109" t="s">
        <v>2009</v>
      </c>
      <c r="C703" s="46"/>
      <c r="D703" s="46"/>
      <c r="E703" s="46"/>
      <c r="F703" s="33">
        <f>E700*1.5</f>
        <v>5.4131690281106</v>
      </c>
      <c r="G703" s="26" t="s">
        <v>5</v>
      </c>
      <c r="K703" s="130"/>
    </row>
    <row r="704" spans="1:18">
      <c r="B704" s="112" t="s">
        <v>210</v>
      </c>
      <c r="C704" s="46"/>
      <c r="D704" s="46"/>
      <c r="E704" s="46"/>
      <c r="F704" s="131">
        <f>F703-F702</f>
        <v>1.9463896819716169</v>
      </c>
      <c r="G704" s="26" t="s">
        <v>5</v>
      </c>
      <c r="H704" s="203" t="s">
        <v>99</v>
      </c>
      <c r="K704" s="130"/>
      <c r="L704" s="1785"/>
    </row>
    <row r="705" spans="1:17">
      <c r="B705" s="187" t="s">
        <v>2010</v>
      </c>
      <c r="F705" s="224">
        <f>IF(F704&lt;0.9,0.9,F704)</f>
        <v>1.9463896819716169</v>
      </c>
      <c r="G705" s="26" t="s">
        <v>5</v>
      </c>
      <c r="H705" s="576">
        <v>4</v>
      </c>
      <c r="I705" s="26" t="s">
        <v>5</v>
      </c>
      <c r="J705" s="26"/>
      <c r="K705" s="130"/>
      <c r="L705" s="213" t="s">
        <v>316</v>
      </c>
    </row>
    <row r="706" spans="1:17">
      <c r="B706" t="s">
        <v>217</v>
      </c>
      <c r="F706" s="33">
        <f>1.5*F704</f>
        <v>2.9195845229574253</v>
      </c>
      <c r="G706" s="26" t="s">
        <v>5</v>
      </c>
      <c r="H706" s="576">
        <v>5</v>
      </c>
      <c r="I706" s="26" t="s">
        <v>5</v>
      </c>
      <c r="J706" s="26"/>
      <c r="K706" s="130"/>
      <c r="L706" s="1785"/>
    </row>
    <row r="707" spans="1:17">
      <c r="B707" t="s">
        <v>218</v>
      </c>
      <c r="F707" s="33">
        <f>2*F704</f>
        <v>3.8927793639432338</v>
      </c>
      <c r="G707" s="26" t="s">
        <v>5</v>
      </c>
      <c r="H707" s="576">
        <v>5</v>
      </c>
      <c r="I707" s="26" t="s">
        <v>5</v>
      </c>
      <c r="J707" s="26"/>
      <c r="K707" s="130"/>
      <c r="L707" s="1785"/>
    </row>
    <row r="708" spans="1:17">
      <c r="B708" s="126" t="s">
        <v>219</v>
      </c>
      <c r="C708" s="126"/>
      <c r="D708" s="126"/>
      <c r="E708" s="126"/>
      <c r="F708" s="246">
        <f>1.5*F704+0.3</f>
        <v>3.2195845229574251</v>
      </c>
      <c r="G708" s="127" t="s">
        <v>5</v>
      </c>
      <c r="H708" s="254" t="str">
        <f>IF(F708&lt;=I55,"O.K","Not O.K")</f>
        <v>O.K</v>
      </c>
      <c r="I708" s="26"/>
      <c r="J708" s="26"/>
      <c r="K708" s="130"/>
      <c r="L708" s="1785"/>
    </row>
    <row r="709" spans="1:17">
      <c r="K709" s="130"/>
    </row>
    <row r="710" spans="1:17">
      <c r="A710" s="2443" t="s">
        <v>2008</v>
      </c>
      <c r="K710" s="130"/>
      <c r="L710" s="1785"/>
    </row>
    <row r="711" spans="1:17">
      <c r="A711" s="187" t="s">
        <v>2017</v>
      </c>
      <c r="E711" s="54">
        <f>B638</f>
        <v>33.226015014599632</v>
      </c>
      <c r="F711" t="s">
        <v>179</v>
      </c>
      <c r="K711" s="130"/>
      <c r="L711" s="1785"/>
    </row>
    <row r="712" spans="1:17">
      <c r="A712" t="str">
        <f>"Width of flow at the end C/S stilling basin = "&amp;FIXED(DATA!H39,2)&amp;" + 2 *( "&amp;FIXED(D49,2)&amp;" - "&amp;B71&amp;"  )* tan ( "&amp;FIXED(I18,2)&amp;" ) ="</f>
        <v>Width of flow at the end C/S stilling basin = 3.75 + 2 *( 18.90 - 1.2  )* tan ( 13.10 ) =</v>
      </c>
      <c r="I712" s="33">
        <f>A65</f>
        <v>12</v>
      </c>
      <c r="J712" t="s">
        <v>5</v>
      </c>
      <c r="K712" s="130"/>
      <c r="L712" s="1785"/>
    </row>
    <row r="713" spans="1:17">
      <c r="A713" s="187" t="s">
        <v>1008</v>
      </c>
      <c r="E713" s="33">
        <f>E711/I712</f>
        <v>2.7688345845499693</v>
      </c>
      <c r="F713" t="str">
        <f>F698</f>
        <v>cumec/m</v>
      </c>
      <c r="K713" s="130"/>
      <c r="L713" s="1785"/>
    </row>
    <row r="714" spans="1:17">
      <c r="A714" s="26" t="s">
        <v>209</v>
      </c>
      <c r="E714" s="33">
        <f>1.76*(I21)^0.5</f>
        <v>0.40134174963489655</v>
      </c>
      <c r="K714" s="130"/>
      <c r="L714" s="1785"/>
    </row>
    <row r="715" spans="1:17" ht="14.25">
      <c r="A715" s="26" t="s">
        <v>208</v>
      </c>
      <c r="B715" s="26"/>
      <c r="E715" s="35">
        <f>(1.35*((E713^2/E714)^(1/3)))</f>
        <v>3.608779352073733</v>
      </c>
      <c r="F715" s="26" t="s">
        <v>5</v>
      </c>
      <c r="K715" s="130"/>
      <c r="L715" s="1785"/>
    </row>
    <row r="716" spans="1:17">
      <c r="K716" s="130"/>
    </row>
    <row r="717" spans="1:17">
      <c r="A717" s="27"/>
      <c r="B717" t="s">
        <v>1711</v>
      </c>
      <c r="F717" s="33">
        <f>E638</f>
        <v>3.4667793461389134</v>
      </c>
      <c r="G717" s="187" t="s">
        <v>46</v>
      </c>
      <c r="K717" s="130"/>
    </row>
    <row r="718" spans="1:17">
      <c r="B718" s="109" t="s">
        <v>2009</v>
      </c>
      <c r="F718" s="2455">
        <f>E715*1.5</f>
        <v>5.4131690281106</v>
      </c>
      <c r="G718" s="187" t="s">
        <v>5</v>
      </c>
      <c r="H718" s="33"/>
      <c r="K718" s="130"/>
      <c r="L718" s="112"/>
      <c r="M718" s="46"/>
      <c r="N718" s="46"/>
      <c r="O718" s="46"/>
      <c r="P718" s="33"/>
      <c r="Q718" s="26"/>
    </row>
    <row r="719" spans="1:17">
      <c r="B719" s="112" t="s">
        <v>210</v>
      </c>
      <c r="C719" s="46"/>
      <c r="D719" s="46"/>
      <c r="E719" s="46"/>
      <c r="F719" s="131">
        <f>F718-F717</f>
        <v>1.9463896819716866</v>
      </c>
      <c r="G719" s="26" t="s">
        <v>5</v>
      </c>
      <c r="H719" s="33"/>
      <c r="K719" s="130"/>
    </row>
    <row r="720" spans="1:17">
      <c r="B720" s="187" t="s">
        <v>2010</v>
      </c>
      <c r="F720" s="224">
        <f>IF(F719&lt;0.9,0.9,F719)</f>
        <v>1.9463896819716866</v>
      </c>
      <c r="G720" s="187" t="s">
        <v>5</v>
      </c>
      <c r="H720" s="576">
        <f>H705</f>
        <v>4</v>
      </c>
      <c r="I720" s="26" t="s">
        <v>5</v>
      </c>
      <c r="K720" s="130"/>
    </row>
    <row r="721" spans="1:12">
      <c r="B721" t="s">
        <v>217</v>
      </c>
      <c r="F721" s="33">
        <f>1.5*F719</f>
        <v>2.9195845229575301</v>
      </c>
      <c r="G721" s="26" t="s">
        <v>5</v>
      </c>
      <c r="H721" s="576">
        <v>5</v>
      </c>
      <c r="I721" s="26" t="s">
        <v>5</v>
      </c>
      <c r="J721" s="26"/>
      <c r="K721" s="130"/>
      <c r="L721" s="213" t="s">
        <v>914</v>
      </c>
    </row>
    <row r="722" spans="1:12">
      <c r="B722" t="s">
        <v>218</v>
      </c>
      <c r="F722" s="33">
        <f>2*F719</f>
        <v>3.8927793639433732</v>
      </c>
      <c r="G722" s="26" t="s">
        <v>5</v>
      </c>
      <c r="H722" s="576">
        <v>5</v>
      </c>
      <c r="I722" s="26" t="s">
        <v>5</v>
      </c>
      <c r="J722" s="26"/>
      <c r="K722" s="130"/>
    </row>
    <row r="723" spans="1:12">
      <c r="B723" t="s">
        <v>219</v>
      </c>
      <c r="F723" s="246">
        <f>1.5*F719+0.3</f>
        <v>3.2195845229575299</v>
      </c>
      <c r="G723" s="26" t="s">
        <v>5</v>
      </c>
      <c r="H723" s="254" t="str">
        <f>IF(F723&lt;=D55,"O.K","Not O.K")</f>
        <v>O.K</v>
      </c>
      <c r="I723" s="26"/>
      <c r="J723" s="26"/>
      <c r="K723" s="130"/>
    </row>
    <row r="724" spans="1:12">
      <c r="J724" s="26"/>
      <c r="K724" s="130"/>
    </row>
    <row r="725" spans="1:12">
      <c r="A725" s="41" t="s">
        <v>928</v>
      </c>
      <c r="I725" s="26"/>
      <c r="J725" s="26"/>
      <c r="K725" s="130"/>
    </row>
    <row r="726" spans="1:12">
      <c r="I726" s="26"/>
      <c r="J726" s="26"/>
      <c r="K726" s="130"/>
    </row>
    <row r="727" spans="1:12">
      <c r="A727" s="187" t="s">
        <v>1009</v>
      </c>
      <c r="D727" s="33">
        <f>MAX(G457,G638)</f>
        <v>0.79867632407402211</v>
      </c>
      <c r="E727" t="s">
        <v>206</v>
      </c>
      <c r="I727" s="26"/>
      <c r="J727" s="26"/>
      <c r="K727" s="130"/>
    </row>
    <row r="728" spans="1:12">
      <c r="A728" t="s">
        <v>929</v>
      </c>
      <c r="F728">
        <v>5.32</v>
      </c>
      <c r="I728" s="26"/>
      <c r="J728" s="26"/>
      <c r="K728" s="130"/>
    </row>
    <row r="729" spans="1:12">
      <c r="A729" t="s">
        <v>930</v>
      </c>
      <c r="E729" s="149">
        <f>(D727/F728)^2</f>
        <v>2.2538154737279961E-2</v>
      </c>
      <c r="F729" t="s">
        <v>931</v>
      </c>
      <c r="G729" s="129">
        <f>E729*1000</f>
        <v>22.53815473727996</v>
      </c>
      <c r="H729" t="s">
        <v>98</v>
      </c>
      <c r="I729" s="26"/>
      <c r="J729" s="26"/>
      <c r="K729" s="130"/>
    </row>
    <row r="730" spans="1:12">
      <c r="I730" s="26"/>
      <c r="J730" s="26"/>
      <c r="K730" s="130"/>
    </row>
    <row r="731" spans="1:12">
      <c r="A731" s="41" t="s">
        <v>1728</v>
      </c>
      <c r="I731" s="26"/>
      <c r="J731" s="26"/>
      <c r="K731" s="130"/>
    </row>
    <row r="732" spans="1:12">
      <c r="J732" s="26"/>
      <c r="K732" s="130"/>
    </row>
    <row r="733" spans="1:12" ht="15.75">
      <c r="A733" t="s">
        <v>1730</v>
      </c>
      <c r="B733" s="187" t="s">
        <v>1729</v>
      </c>
      <c r="E733" s="129">
        <f>1000*0.06*(MAX(E696,E711)^(1/3))</f>
        <v>192.89042473236077</v>
      </c>
      <c r="F733" t="s">
        <v>98</v>
      </c>
      <c r="J733" s="26"/>
      <c r="K733" s="130"/>
    </row>
    <row r="734" spans="1:12">
      <c r="B734" t="s">
        <v>932</v>
      </c>
      <c r="E734" s="509">
        <v>300</v>
      </c>
      <c r="F734" s="187" t="s">
        <v>98</v>
      </c>
      <c r="J734" s="26"/>
      <c r="K734" s="130"/>
    </row>
    <row r="735" spans="1:12">
      <c r="B735" s="187" t="s">
        <v>2150</v>
      </c>
      <c r="E735" s="509">
        <v>300</v>
      </c>
      <c r="F735" s="187" t="s">
        <v>2151</v>
      </c>
      <c r="G735">
        <f>E735</f>
        <v>300</v>
      </c>
      <c r="H735" s="187" t="s">
        <v>2151</v>
      </c>
      <c r="I735" s="509">
        <v>300</v>
      </c>
      <c r="J735" s="187" t="s">
        <v>98</v>
      </c>
      <c r="K735" s="130"/>
    </row>
    <row r="736" spans="1:12">
      <c r="F736" s="33"/>
      <c r="G736" s="26"/>
      <c r="H736" s="133"/>
      <c r="I736" s="26"/>
      <c r="J736" s="26"/>
      <c r="K736" s="130"/>
    </row>
    <row r="737" spans="1:12">
      <c r="A737" s="173" t="s">
        <v>290</v>
      </c>
      <c r="B737" s="174"/>
      <c r="C737" s="174"/>
      <c r="K737" s="130"/>
    </row>
    <row r="738" spans="1:12">
      <c r="K738" s="130"/>
    </row>
    <row r="739" spans="1:12">
      <c r="B739" s="22" t="s">
        <v>57</v>
      </c>
      <c r="F739" s="50">
        <f>F51</f>
        <v>51.4</v>
      </c>
      <c r="G739" s="23" t="s">
        <v>5</v>
      </c>
      <c r="K739" s="130"/>
    </row>
    <row r="740" spans="1:12">
      <c r="B740" s="22" t="s">
        <v>1797</v>
      </c>
      <c r="E740" s="50"/>
      <c r="F740" s="50">
        <f>F739-2*D28</f>
        <v>50.5</v>
      </c>
      <c r="G740" s="23" t="s">
        <v>5</v>
      </c>
      <c r="K740" s="130"/>
    </row>
    <row r="741" spans="1:12">
      <c r="K741" s="130"/>
    </row>
    <row r="742" spans="1:12">
      <c r="A742" s="26"/>
      <c r="B742" s="15" t="s">
        <v>58</v>
      </c>
      <c r="C742" s="26"/>
      <c r="D742" s="26"/>
      <c r="E742" s="26"/>
      <c r="F742" s="15" t="s">
        <v>59</v>
      </c>
      <c r="G742" s="26"/>
      <c r="H742" s="26"/>
      <c r="K742" s="130"/>
    </row>
    <row r="743" spans="1:12">
      <c r="A743" s="26"/>
      <c r="B743" s="26"/>
      <c r="C743" s="26"/>
      <c r="D743" s="26"/>
      <c r="E743" s="26"/>
      <c r="F743" s="26"/>
      <c r="G743" s="26"/>
      <c r="H743" s="26"/>
      <c r="K743" s="130"/>
    </row>
    <row r="744" spans="1:12">
      <c r="A744" s="26"/>
      <c r="B744" s="26"/>
      <c r="C744" s="26"/>
      <c r="D744" s="26"/>
      <c r="E744" s="26"/>
      <c r="F744" s="26"/>
      <c r="G744" s="26"/>
      <c r="H744" s="26"/>
      <c r="K744" s="130"/>
    </row>
    <row r="745" spans="1:12">
      <c r="A745" s="26"/>
      <c r="B745" s="26"/>
      <c r="C745" s="26"/>
      <c r="D745" s="26"/>
      <c r="E745" s="26"/>
      <c r="F745" s="26"/>
      <c r="G745" s="26"/>
      <c r="H745" s="26"/>
      <c r="K745" s="130"/>
    </row>
    <row r="746" spans="1:12">
      <c r="B746" s="26"/>
      <c r="C746" s="26"/>
      <c r="D746" s="26"/>
      <c r="E746" s="26"/>
      <c r="F746" s="26"/>
      <c r="G746" s="26"/>
      <c r="K746" s="130"/>
    </row>
    <row r="747" spans="1:12">
      <c r="A747" s="80">
        <f>H720</f>
        <v>4</v>
      </c>
      <c r="B747" s="26"/>
      <c r="C747" s="26"/>
      <c r="D747" s="26"/>
      <c r="E747" s="26"/>
      <c r="F747" s="26"/>
      <c r="G747" s="26"/>
      <c r="H747" s="80">
        <f>H705</f>
        <v>4</v>
      </c>
      <c r="K747" s="130"/>
    </row>
    <row r="748" spans="1:12">
      <c r="A748" s="53"/>
      <c r="B748" s="26"/>
      <c r="C748" s="26"/>
      <c r="D748" s="26"/>
      <c r="E748" s="26"/>
      <c r="F748" s="26"/>
      <c r="G748" s="26"/>
      <c r="H748" s="53"/>
      <c r="K748" s="130"/>
    </row>
    <row r="749" spans="1:12">
      <c r="A749" s="26"/>
      <c r="B749" s="26"/>
      <c r="C749" s="26"/>
      <c r="D749" s="26"/>
      <c r="E749" s="26"/>
      <c r="F749" s="26"/>
      <c r="G749" s="26"/>
      <c r="H749" s="26"/>
      <c r="K749" s="130"/>
    </row>
    <row r="750" spans="1:12">
      <c r="A750" s="23"/>
      <c r="B750" s="53">
        <f>D48-D28</f>
        <v>15.75</v>
      </c>
      <c r="C750" s="79">
        <f>D46</f>
        <v>2.7</v>
      </c>
      <c r="D750" s="53">
        <f>D40</f>
        <v>13.6</v>
      </c>
      <c r="E750" s="35">
        <f>I46</f>
        <v>2.7</v>
      </c>
      <c r="F750" s="26"/>
      <c r="G750" s="79">
        <f>I48-D28</f>
        <v>15.75</v>
      </c>
      <c r="H750" s="26"/>
      <c r="K750" s="130"/>
      <c r="L750" s="33"/>
    </row>
    <row r="751" spans="1:12">
      <c r="A751" s="26"/>
      <c r="B751" s="26"/>
      <c r="C751" s="26"/>
      <c r="D751" s="53">
        <f>B750+C750+D750+E750+G750</f>
        <v>50.5</v>
      </c>
      <c r="E751" s="26"/>
      <c r="F751" s="26"/>
      <c r="G751" s="26"/>
      <c r="H751" s="26"/>
      <c r="K751" s="130"/>
    </row>
    <row r="752" spans="1:12">
      <c r="K752" s="130"/>
    </row>
    <row r="753" spans="1:11">
      <c r="K753" s="130"/>
    </row>
    <row r="754" spans="1:11">
      <c r="B754" s="2508" t="s">
        <v>294</v>
      </c>
      <c r="C754" s="2508"/>
      <c r="D754" s="114" t="s">
        <v>295</v>
      </c>
      <c r="E754" s="114" t="s">
        <v>285</v>
      </c>
      <c r="F754" s="26" t="s">
        <v>296</v>
      </c>
      <c r="K754" s="130"/>
    </row>
    <row r="755" spans="1:11">
      <c r="B755" s="26" t="s">
        <v>158</v>
      </c>
      <c r="C755" s="26"/>
      <c r="D755" s="488">
        <f>B135</f>
        <v>10.3</v>
      </c>
      <c r="E755" s="488">
        <f>E136</f>
        <v>10</v>
      </c>
      <c r="F755" s="488">
        <f>C135</f>
        <v>10.3</v>
      </c>
      <c r="K755" s="130"/>
    </row>
    <row r="756" spans="1:11">
      <c r="B756" s="26" t="s">
        <v>159</v>
      </c>
      <c r="C756" s="26"/>
      <c r="D756" s="488">
        <f>B136</f>
        <v>6.1</v>
      </c>
      <c r="E756" s="488">
        <f>E135</f>
        <v>13.9</v>
      </c>
      <c r="F756" s="488">
        <f>C136</f>
        <v>6.3999999999999995</v>
      </c>
      <c r="K756" s="130"/>
    </row>
    <row r="757" spans="1:11">
      <c r="B757" s="26" t="s">
        <v>297</v>
      </c>
      <c r="C757" s="23"/>
      <c r="D757" s="2509">
        <f>ABS(D755-D756)</f>
        <v>4.2000000000000011</v>
      </c>
      <c r="E757" s="2509">
        <f t="shared" ref="E757:F757" si="247">ABS(E755-E756)</f>
        <v>3.9000000000000004</v>
      </c>
      <c r="F757" s="2509">
        <f t="shared" si="247"/>
        <v>3.9000000000000012</v>
      </c>
      <c r="K757" s="130"/>
    </row>
    <row r="758" spans="1:11">
      <c r="K758" s="130"/>
    </row>
    <row r="759" spans="1:11" ht="15">
      <c r="A759" s="70" t="s">
        <v>291</v>
      </c>
      <c r="K759" s="130"/>
    </row>
    <row r="760" spans="1:11">
      <c r="K760" s="130"/>
    </row>
    <row r="761" spans="1:11">
      <c r="B761" s="2510" t="s">
        <v>1721</v>
      </c>
      <c r="C761" s="2510"/>
      <c r="D761" s="2511"/>
      <c r="E761" s="2510"/>
      <c r="F761" s="2510"/>
      <c r="G761" s="2510"/>
      <c r="H761" s="2510"/>
      <c r="K761" s="130"/>
    </row>
    <row r="762" spans="1:11">
      <c r="B762" s="112"/>
      <c r="C762" s="112"/>
      <c r="D762" s="131"/>
      <c r="E762" s="112"/>
      <c r="F762" s="26"/>
      <c r="G762" s="26"/>
      <c r="H762" s="26"/>
      <c r="K762" s="130"/>
    </row>
    <row r="763" spans="1:11">
      <c r="B763" s="26" t="s">
        <v>211</v>
      </c>
      <c r="C763" s="26"/>
      <c r="D763" s="26"/>
      <c r="E763" s="131">
        <f>E757</f>
        <v>3.9000000000000004</v>
      </c>
      <c r="F763" s="26" t="s">
        <v>5</v>
      </c>
      <c r="G763" s="26"/>
      <c r="H763" s="26"/>
      <c r="K763" s="130"/>
    </row>
    <row r="764" spans="1:11">
      <c r="B764" s="26" t="s">
        <v>212</v>
      </c>
      <c r="C764" s="26"/>
      <c r="D764" s="26"/>
      <c r="E764" s="131">
        <f>D751</f>
        <v>50.5</v>
      </c>
      <c r="F764" s="26" t="s">
        <v>5</v>
      </c>
      <c r="G764" s="26"/>
      <c r="H764" s="26"/>
      <c r="K764" s="130"/>
    </row>
    <row r="765" spans="1:11">
      <c r="B765" s="26" t="s">
        <v>213</v>
      </c>
      <c r="C765" s="26"/>
      <c r="D765" s="26"/>
      <c r="E765" s="131">
        <f>H720</f>
        <v>4</v>
      </c>
      <c r="F765" s="26" t="s">
        <v>5</v>
      </c>
      <c r="G765" s="26"/>
      <c r="H765" s="26"/>
      <c r="K765" s="130"/>
    </row>
    <row r="766" spans="1:11">
      <c r="B766" s="187" t="str">
        <f>"α = b/d  = "&amp;FIXED(E764,2)&amp;" / "&amp;E765&amp;" ="</f>
        <v>α = b/d  = 50.50 / 4 =</v>
      </c>
      <c r="C766" s="26"/>
      <c r="D766" s="26"/>
      <c r="E766" s="131">
        <f>E764/E765</f>
        <v>12.625</v>
      </c>
      <c r="F766" s="26"/>
      <c r="G766" s="26"/>
      <c r="H766" s="26"/>
      <c r="K766" s="130"/>
    </row>
    <row r="767" spans="1:11" ht="14.25">
      <c r="B767" s="187" t="s">
        <v>255</v>
      </c>
      <c r="C767" s="26"/>
      <c r="D767" s="26"/>
      <c r="E767" s="131">
        <f>(1+(1+E766^2)^0.5)/2</f>
        <v>6.8322710183630013</v>
      </c>
      <c r="F767" s="26"/>
      <c r="G767" s="26"/>
      <c r="H767" s="26"/>
      <c r="K767" s="130"/>
    </row>
    <row r="768" spans="1:11">
      <c r="B768" s="26"/>
      <c r="C768" s="26"/>
      <c r="D768" s="26"/>
      <c r="E768" s="131"/>
      <c r="F768" s="26"/>
      <c r="G768" s="26"/>
      <c r="H768" s="26"/>
      <c r="K768" s="130"/>
    </row>
    <row r="769" spans="1:11">
      <c r="B769" s="26" t="s">
        <v>216</v>
      </c>
      <c r="C769" s="26"/>
      <c r="D769" s="26"/>
      <c r="E769" s="707">
        <f>(E763/E765)*1/(PI()*E767^0.5)</f>
        <v>0.11873320755077217</v>
      </c>
      <c r="F769" s="26" t="s">
        <v>214</v>
      </c>
      <c r="G769" s="79">
        <f>1/E769</f>
        <v>8.4222436218813037</v>
      </c>
      <c r="H769" s="127" t="str">
        <f>IF(E769&lt;1/6,"&lt;1/6, Ok","&gt;1/6, Not Ok")</f>
        <v>&lt;1/6, Ok</v>
      </c>
      <c r="K769" s="130"/>
    </row>
    <row r="770" spans="1:11">
      <c r="K770" s="130"/>
    </row>
    <row r="771" spans="1:11">
      <c r="B771" s="2510" t="s">
        <v>1726</v>
      </c>
      <c r="C771" s="2510"/>
      <c r="D771" s="2511"/>
      <c r="E771" s="2510"/>
      <c r="F771" s="2510"/>
      <c r="G771" s="2510"/>
      <c r="H771" s="2510"/>
      <c r="I771" s="2510"/>
      <c r="K771" s="130"/>
    </row>
    <row r="772" spans="1:11">
      <c r="B772" s="112"/>
      <c r="C772" s="112"/>
      <c r="D772" s="131"/>
      <c r="E772" s="112"/>
      <c r="F772" s="26"/>
      <c r="G772" s="26"/>
      <c r="H772" s="26"/>
      <c r="K772" s="130"/>
    </row>
    <row r="773" spans="1:11">
      <c r="B773" s="26" t="s">
        <v>211</v>
      </c>
      <c r="C773" s="26"/>
      <c r="D773" s="26"/>
      <c r="E773" s="131">
        <f>MAX(D757,F757)</f>
        <v>4.2000000000000011</v>
      </c>
      <c r="F773" s="26" t="s">
        <v>5</v>
      </c>
      <c r="G773" s="26"/>
      <c r="H773" s="26"/>
      <c r="K773" s="130"/>
    </row>
    <row r="774" spans="1:11">
      <c r="B774" s="26" t="s">
        <v>212</v>
      </c>
      <c r="C774" s="26"/>
      <c r="D774" s="26"/>
      <c r="E774" s="131">
        <f>E764</f>
        <v>50.5</v>
      </c>
      <c r="F774" s="26" t="s">
        <v>5</v>
      </c>
      <c r="G774" s="26"/>
      <c r="H774" s="26"/>
      <c r="K774" s="130"/>
    </row>
    <row r="775" spans="1:11">
      <c r="B775" s="26" t="s">
        <v>286</v>
      </c>
      <c r="C775" s="26"/>
      <c r="D775" s="26"/>
      <c r="E775" s="131">
        <f>H747</f>
        <v>4</v>
      </c>
      <c r="F775" s="26" t="s">
        <v>5</v>
      </c>
      <c r="G775" s="26"/>
      <c r="H775" s="26"/>
      <c r="K775" s="130"/>
    </row>
    <row r="776" spans="1:11">
      <c r="B776" s="187" t="str">
        <f>"α = b/d  = "&amp;FIXED(E774,2)&amp;" / "&amp;E775&amp;" ="</f>
        <v>α = b/d  = 50.50 / 4 =</v>
      </c>
      <c r="C776" s="26"/>
      <c r="D776" s="26"/>
      <c r="E776" s="131">
        <f>E774/E775</f>
        <v>12.625</v>
      </c>
      <c r="F776" s="26"/>
      <c r="G776" s="26"/>
      <c r="H776" s="26"/>
      <c r="K776" s="130"/>
    </row>
    <row r="777" spans="1:11">
      <c r="B777" s="26" t="s">
        <v>215</v>
      </c>
      <c r="C777" s="26"/>
      <c r="D777" s="26"/>
      <c r="E777" s="131">
        <f>(1+(1+E776^2)^0.5)/2</f>
        <v>6.8322710183630013</v>
      </c>
      <c r="F777" s="26"/>
      <c r="G777" s="26"/>
      <c r="H777" s="26"/>
      <c r="K777" s="130"/>
    </row>
    <row r="778" spans="1:11">
      <c r="B778" s="26"/>
      <c r="C778" s="26"/>
      <c r="D778" s="26"/>
      <c r="E778" s="131"/>
      <c r="F778" s="26"/>
      <c r="G778" s="26"/>
      <c r="H778" s="26"/>
      <c r="K778" s="130"/>
    </row>
    <row r="779" spans="1:11">
      <c r="B779" s="26" t="s">
        <v>216</v>
      </c>
      <c r="C779" s="26"/>
      <c r="D779" s="26"/>
      <c r="E779" s="707">
        <f>(E773/E775)*1/(PI()*E777^0.5)</f>
        <v>0.1278665312085239</v>
      </c>
      <c r="F779" s="26" t="s">
        <v>214</v>
      </c>
      <c r="G779" s="79">
        <f>1/E779</f>
        <v>7.8206547917469242</v>
      </c>
      <c r="H779" s="127" t="str">
        <f>IF(E779&lt;1/6,"&lt;1/6, Ok","&gt;1/6, Not Ok")</f>
        <v>&lt;1/6, Ok</v>
      </c>
      <c r="K779" s="130"/>
    </row>
    <row r="780" spans="1:11">
      <c r="K780" s="130"/>
    </row>
    <row r="781" spans="1:11" ht="15">
      <c r="A781" s="66" t="s">
        <v>292</v>
      </c>
      <c r="B781" s="66"/>
      <c r="C781" s="22"/>
      <c r="D781" s="1"/>
      <c r="E781" s="1"/>
      <c r="F781" s="1"/>
      <c r="G781" s="22"/>
      <c r="K781" s="130"/>
    </row>
    <row r="782" spans="1:11">
      <c r="B782" s="22"/>
      <c r="C782" s="1"/>
      <c r="D782" s="1"/>
      <c r="E782" s="1"/>
      <c r="F782" s="22"/>
      <c r="G782" s="23"/>
      <c r="K782" s="130"/>
    </row>
    <row r="783" spans="1:11">
      <c r="B783" t="s">
        <v>88</v>
      </c>
      <c r="C783" s="22"/>
      <c r="D783" s="1"/>
      <c r="E783" s="53">
        <f>MAX(D757:F757)</f>
        <v>4.2000000000000011</v>
      </c>
      <c r="F783" s="26" t="s">
        <v>5</v>
      </c>
      <c r="G783" s="23"/>
      <c r="K783" s="130"/>
    </row>
    <row r="784" spans="1:11">
      <c r="B784" s="22"/>
      <c r="C784" s="1"/>
      <c r="D784" s="1"/>
      <c r="E784" s="1"/>
      <c r="F784" s="22"/>
      <c r="G784" s="23"/>
      <c r="K784" s="130"/>
    </row>
    <row r="785" spans="1:11">
      <c r="B785" s="187" t="s">
        <v>1720</v>
      </c>
      <c r="C785" s="1"/>
      <c r="D785" s="1"/>
      <c r="E785" s="1"/>
      <c r="F785" s="22"/>
      <c r="G785" s="23"/>
      <c r="K785" s="130"/>
    </row>
    <row r="786" spans="1:11">
      <c r="B786" s="26" t="s">
        <v>220</v>
      </c>
      <c r="C786" s="22"/>
      <c r="D786" s="187" t="s">
        <v>1719</v>
      </c>
      <c r="E786" s="1"/>
      <c r="F786" s="1"/>
      <c r="K786" s="130"/>
    </row>
    <row r="787" spans="1:11">
      <c r="B787" s="26"/>
      <c r="C787" s="22"/>
      <c r="D787" s="26" t="str">
        <f>"= "&amp;FIXED(D751,2)&amp;" / 3 + 2*( "&amp;A747&amp;" + "&amp;H747&amp;" ) ="</f>
        <v>= 50.50 / 3 + 2*( 4 + 4 ) =</v>
      </c>
      <c r="E787" s="1"/>
      <c r="F787" s="1"/>
      <c r="G787" s="53">
        <f>D751/3+2*(A747+H747)</f>
        <v>32.833333333333329</v>
      </c>
      <c r="H787" s="26" t="s">
        <v>5</v>
      </c>
      <c r="K787" s="130"/>
    </row>
    <row r="788" spans="1:11">
      <c r="B788" s="27"/>
      <c r="E788" s="1"/>
      <c r="F788" s="22"/>
      <c r="G788" s="23"/>
      <c r="K788" s="130"/>
    </row>
    <row r="789" spans="1:11">
      <c r="B789" s="26" t="str">
        <f>"Hydraulic gradient = "&amp;FIXED(E783,2)&amp;" / "&amp;FIXED(G787,2)&amp;" ="</f>
        <v>Hydraulic gradient = 4.20 / 32.83 =</v>
      </c>
      <c r="C789" s="15"/>
      <c r="F789" s="26">
        <f>E783/G787</f>
        <v>0.12791878172588839</v>
      </c>
      <c r="G789" s="17" t="s">
        <v>1010</v>
      </c>
      <c r="H789" s="79">
        <f>1/F789</f>
        <v>7.8174603174603137</v>
      </c>
      <c r="I789" s="207" t="str">
        <f>IF(F789&lt;=1/6,"&lt;1/6, ok","&gt; 1/6, not ok")</f>
        <v>&lt;1/6, ok</v>
      </c>
      <c r="K789" s="130"/>
    </row>
    <row r="790" spans="1:11">
      <c r="K790" s="130"/>
    </row>
    <row r="791" spans="1:11" ht="15">
      <c r="A791" s="66" t="s">
        <v>293</v>
      </c>
      <c r="B791" s="22"/>
      <c r="C791" s="1"/>
      <c r="D791" s="1"/>
      <c r="E791" s="1"/>
      <c r="F791" s="22"/>
      <c r="G791" s="23"/>
      <c r="K791" s="130"/>
    </row>
    <row r="792" spans="1:11">
      <c r="C792" s="1"/>
      <c r="D792" s="1"/>
      <c r="E792" s="1"/>
      <c r="F792" s="22"/>
      <c r="G792" s="23"/>
      <c r="K792" s="130"/>
    </row>
    <row r="793" spans="1:11">
      <c r="B793" t="s">
        <v>89</v>
      </c>
      <c r="C793" s="1"/>
      <c r="D793" s="1"/>
      <c r="E793" s="1"/>
      <c r="F793" s="22"/>
      <c r="G793" s="23"/>
      <c r="K793" s="130"/>
    </row>
    <row r="794" spans="1:11" ht="18.75">
      <c r="B794" s="38" t="s">
        <v>102</v>
      </c>
      <c r="C794" s="1"/>
      <c r="D794" s="1"/>
      <c r="E794" s="1"/>
      <c r="F794" s="22"/>
      <c r="G794" s="23"/>
      <c r="K794" s="130"/>
    </row>
    <row r="795" spans="1:11" ht="15.75">
      <c r="B795" s="38" t="s">
        <v>90</v>
      </c>
      <c r="C795" s="26" t="s">
        <v>91</v>
      </c>
      <c r="D795" s="1"/>
      <c r="E795" s="1"/>
      <c r="F795" s="22"/>
      <c r="G795" s="23"/>
      <c r="K795" s="130"/>
    </row>
    <row r="796" spans="1:11" ht="15.75">
      <c r="B796" s="38" t="s">
        <v>92</v>
      </c>
      <c r="C796" s="26" t="s">
        <v>93</v>
      </c>
      <c r="D796" s="1"/>
      <c r="E796" s="1"/>
      <c r="F796" s="22"/>
      <c r="G796" s="23"/>
      <c r="K796" s="130"/>
    </row>
    <row r="797" spans="1:11" ht="15.75">
      <c r="B797" s="38"/>
      <c r="C797" s="26"/>
      <c r="D797" s="1"/>
      <c r="E797" s="1"/>
      <c r="F797" s="22"/>
      <c r="G797" s="23"/>
      <c r="K797" s="130"/>
    </row>
    <row r="798" spans="1:11">
      <c r="A798" s="2510" t="s">
        <v>1723</v>
      </c>
      <c r="B798" s="2510"/>
      <c r="C798" s="2511"/>
      <c r="D798" s="2510"/>
      <c r="E798" s="2510"/>
      <c r="F798" s="2510"/>
      <c r="G798" s="23"/>
      <c r="I798" s="2850" t="s">
        <v>2247</v>
      </c>
      <c r="J798" s="2896"/>
      <c r="K798" s="130"/>
    </row>
    <row r="799" spans="1:11">
      <c r="E799" s="33">
        <f>C9</f>
        <v>15.4</v>
      </c>
      <c r="I799" s="145" t="s">
        <v>23</v>
      </c>
      <c r="K799" s="130"/>
    </row>
    <row r="800" spans="1:11">
      <c r="B800" s="145" t="s">
        <v>2236</v>
      </c>
      <c r="H800" s="36">
        <f>C16</f>
        <v>13.9</v>
      </c>
      <c r="K800" s="130"/>
    </row>
    <row r="801" spans="1:11">
      <c r="H801" s="46" t="s">
        <v>1833</v>
      </c>
      <c r="K801" s="130"/>
    </row>
    <row r="802" spans="1:11">
      <c r="K802" s="130"/>
    </row>
    <row r="803" spans="1:11">
      <c r="A803" s="2890">
        <f>E755</f>
        <v>10</v>
      </c>
      <c r="K803" s="130"/>
    </row>
    <row r="804" spans="1:11">
      <c r="K804" s="130"/>
    </row>
    <row r="805" spans="1:11">
      <c r="K805" s="130"/>
    </row>
    <row r="806" spans="1:11">
      <c r="K806" s="130"/>
    </row>
    <row r="807" spans="1:11">
      <c r="E807" s="2" t="s">
        <v>2235</v>
      </c>
      <c r="K807" s="130"/>
    </row>
    <row r="808" spans="1:11" ht="15.75">
      <c r="B808" s="38"/>
      <c r="C808" s="26"/>
      <c r="D808" s="1"/>
      <c r="E808" s="1"/>
      <c r="F808" s="22"/>
      <c r="G808" s="23"/>
      <c r="K808" s="130"/>
    </row>
    <row r="809" spans="1:11">
      <c r="C809" s="26"/>
      <c r="D809" s="1"/>
      <c r="E809" s="1"/>
      <c r="F809" s="22"/>
      <c r="G809" s="23"/>
      <c r="K809" s="130"/>
    </row>
    <row r="810" spans="1:11" ht="15.75">
      <c r="B810" s="38"/>
      <c r="C810" s="26"/>
      <c r="D810" s="1"/>
      <c r="E810" s="1"/>
      <c r="F810" s="22"/>
      <c r="G810" s="23"/>
      <c r="K810" s="130"/>
    </row>
    <row r="811" spans="1:11" ht="15.75">
      <c r="B811" s="38"/>
      <c r="C811" s="26"/>
      <c r="D811" t="s">
        <v>94</v>
      </c>
      <c r="E811" s="1"/>
      <c r="F811" s="22"/>
      <c r="G811" s="23"/>
      <c r="H811" s="26" t="s">
        <v>23</v>
      </c>
      <c r="K811" s="130"/>
    </row>
    <row r="812" spans="1:11">
      <c r="B812" s="141">
        <f>D55</f>
        <v>8.4</v>
      </c>
      <c r="C812" s="15" t="s">
        <v>22</v>
      </c>
      <c r="D812" s="1"/>
      <c r="E812" s="1"/>
      <c r="F812" s="22"/>
      <c r="G812" t="s">
        <v>94</v>
      </c>
      <c r="I812" s="52">
        <f>I55</f>
        <v>8.4</v>
      </c>
      <c r="J812" s="52"/>
      <c r="K812" s="130"/>
    </row>
    <row r="813" spans="1:11">
      <c r="C813" s="26"/>
      <c r="D813" s="206" t="str">
        <f>F739&amp;" - "&amp;D56&amp;" - "&amp;I56&amp;" = "</f>
        <v xml:space="preserve">51.4 - 1.2 - 1.2 = </v>
      </c>
      <c r="F813" s="206">
        <f>F739-D56-I56</f>
        <v>48.999999999999993</v>
      </c>
      <c r="G813" s="187" t="s">
        <v>5</v>
      </c>
      <c r="K813" s="130"/>
    </row>
    <row r="814" spans="1:11">
      <c r="K814" s="130"/>
    </row>
    <row r="815" spans="1:11">
      <c r="J815" s="529"/>
      <c r="K815" s="130"/>
    </row>
    <row r="816" spans="1:11">
      <c r="A816" t="s">
        <v>88</v>
      </c>
      <c r="E816" s="80">
        <f>E757</f>
        <v>3.9000000000000004</v>
      </c>
      <c r="F816" s="26" t="s">
        <v>5</v>
      </c>
      <c r="G816" s="16"/>
      <c r="H816" s="16"/>
      <c r="I816" s="16"/>
      <c r="J816" s="16"/>
      <c r="K816" s="130"/>
    </row>
    <row r="817" spans="1:17">
      <c r="C817" s="112"/>
      <c r="D817" s="131"/>
      <c r="E817" s="112"/>
      <c r="F817" s="26"/>
      <c r="G817" s="26"/>
      <c r="K817" s="130"/>
    </row>
    <row r="818" spans="1:17">
      <c r="A818" s="204" t="s">
        <v>2239</v>
      </c>
      <c r="B818" s="59"/>
      <c r="C818" s="59"/>
      <c r="F818" s="204" t="s">
        <v>2240</v>
      </c>
      <c r="G818" s="59"/>
      <c r="H818" s="59"/>
      <c r="I818" s="59"/>
      <c r="K818" s="130"/>
      <c r="L818" s="26"/>
      <c r="Q818" s="187"/>
    </row>
    <row r="819" spans="1:17">
      <c r="A819" t="s">
        <v>2237</v>
      </c>
      <c r="C819" s="80">
        <f>(E799-H800)*C12</f>
        <v>4.5</v>
      </c>
      <c r="D819" t="s">
        <v>5</v>
      </c>
      <c r="F819" s="26"/>
      <c r="G819" s="26"/>
      <c r="K819" s="130"/>
      <c r="Q819" s="187"/>
    </row>
    <row r="820" spans="1:17">
      <c r="A820" s="241" t="s">
        <v>915</v>
      </c>
      <c r="B820" s="16"/>
      <c r="C820" s="528">
        <f>C10</f>
        <v>10</v>
      </c>
      <c r="D820" s="241" t="s">
        <v>5</v>
      </c>
      <c r="F820" s="187" t="s">
        <v>2241</v>
      </c>
      <c r="I820" s="54">
        <f>B812</f>
        <v>8.4</v>
      </c>
      <c r="J820" s="187" t="s">
        <v>5</v>
      </c>
      <c r="K820" s="130"/>
    </row>
    <row r="821" spans="1:17">
      <c r="A821" s="241" t="s">
        <v>2238</v>
      </c>
      <c r="B821" s="529"/>
      <c r="C821" s="530">
        <f>D34+D36</f>
        <v>1.8</v>
      </c>
      <c r="D821" s="529" t="s">
        <v>5</v>
      </c>
      <c r="E821" s="80"/>
      <c r="F821" s="26"/>
      <c r="K821" s="130"/>
    </row>
    <row r="822" spans="1:17">
      <c r="A822" s="241" t="s">
        <v>916</v>
      </c>
      <c r="B822" s="529"/>
      <c r="C822" s="530">
        <f>D46</f>
        <v>2.7</v>
      </c>
      <c r="D822" s="529" t="s">
        <v>5</v>
      </c>
      <c r="E822" s="80"/>
      <c r="F822" s="26"/>
      <c r="K822" s="130"/>
    </row>
    <row r="823" spans="1:17">
      <c r="A823" s="241" t="s">
        <v>917</v>
      </c>
      <c r="B823" s="1556"/>
      <c r="C823" s="2895">
        <f>D48-D56</f>
        <v>15</v>
      </c>
      <c r="D823" s="1556" t="s">
        <v>5</v>
      </c>
      <c r="E823" s="80"/>
      <c r="F823" s="26"/>
      <c r="K823" s="130"/>
    </row>
    <row r="824" spans="1:17">
      <c r="B824" s="187" t="s">
        <v>1397</v>
      </c>
      <c r="C824" s="54">
        <f>SUM(C819:C823)</f>
        <v>34</v>
      </c>
      <c r="D824" s="385" t="s">
        <v>5</v>
      </c>
      <c r="E824" s="80"/>
      <c r="F824" s="26"/>
      <c r="K824" s="130"/>
    </row>
    <row r="825" spans="1:17">
      <c r="E825" s="80"/>
      <c r="F825" s="26"/>
      <c r="K825" s="130"/>
    </row>
    <row r="826" spans="1:17">
      <c r="A826" t="str">
        <f>"Ls  = 0.75 * "&amp;FIXED(C824,2)&amp;" + "&amp;FIXED(I820,2)&amp;" *2 ="</f>
        <v>Ls  = 0.75 * 34.00 + 8.40 *2 =</v>
      </c>
      <c r="C826" s="26"/>
      <c r="E826" s="54">
        <f>0.75*C824+I820*2</f>
        <v>42.3</v>
      </c>
      <c r="F826" s="187" t="s">
        <v>5</v>
      </c>
      <c r="K826" s="130"/>
    </row>
    <row r="827" spans="1:17">
      <c r="A827" s="241"/>
      <c r="B827" s="529"/>
      <c r="C827" s="530"/>
      <c r="D827" s="529"/>
      <c r="E827" s="80"/>
      <c r="F827" s="26"/>
      <c r="K827" s="130"/>
    </row>
    <row r="828" spans="1:17">
      <c r="A828" s="26" t="str">
        <f>"Hydraulic gradient against Side Seepage = "&amp;FIXED(E816,2)&amp;" / "&amp;FIXED(E826,2)&amp;" ="</f>
        <v>Hydraulic gradient against Side Seepage = 3.90 / 42.30 =</v>
      </c>
      <c r="C828" s="10"/>
      <c r="G828">
        <f>E816/E826</f>
        <v>9.2198581560283696E-2</v>
      </c>
      <c r="H828" s="54">
        <f>1/G828</f>
        <v>10.846153846153845</v>
      </c>
      <c r="I828" s="145" t="str">
        <f>IF(G828&lt;=1/6,"&lt;1/6, Ok","&gt;1/6, Not Ok")</f>
        <v>&lt;1/6, Ok</v>
      </c>
      <c r="K828" s="130"/>
    </row>
    <row r="829" spans="1:17">
      <c r="A829" s="241"/>
      <c r="B829" s="529"/>
      <c r="C829" s="530"/>
      <c r="D829" s="529"/>
      <c r="E829" s="80"/>
      <c r="F829" s="26"/>
      <c r="K829" s="130"/>
    </row>
    <row r="830" spans="1:17">
      <c r="A830" s="2510" t="s">
        <v>1727</v>
      </c>
      <c r="B830" s="2510"/>
      <c r="C830" s="2512"/>
      <c r="D830" s="2510"/>
      <c r="E830" s="2510"/>
      <c r="F830" s="2513"/>
      <c r="G830" s="2514"/>
      <c r="I830" s="3103" t="s">
        <v>2248</v>
      </c>
      <c r="J830" s="3103"/>
      <c r="K830" s="130"/>
    </row>
    <row r="831" spans="1:17">
      <c r="K831" s="130"/>
    </row>
    <row r="832" spans="1:17">
      <c r="A832" t="s">
        <v>88</v>
      </c>
      <c r="E832" s="80">
        <f>MAX(D757,F757)</f>
        <v>4.2000000000000011</v>
      </c>
      <c r="F832" s="26" t="s">
        <v>5</v>
      </c>
      <c r="K832" s="130"/>
    </row>
    <row r="833" spans="1:15">
      <c r="K833" s="130"/>
    </row>
    <row r="834" spans="1:15">
      <c r="A834" s="204" t="s">
        <v>2239</v>
      </c>
      <c r="B834" s="59"/>
      <c r="C834" s="59"/>
      <c r="F834" s="204" t="s">
        <v>2240</v>
      </c>
      <c r="G834" s="59"/>
      <c r="H834" s="59"/>
      <c r="I834" s="59"/>
      <c r="K834" s="130"/>
    </row>
    <row r="835" spans="1:15">
      <c r="A835" s="187" t="s">
        <v>2246</v>
      </c>
      <c r="C835" s="80">
        <f>(C9-IF(D755&gt;D54,D755,D54))*C11</f>
        <v>15.299999999999999</v>
      </c>
      <c r="D835" t="s">
        <v>5</v>
      </c>
      <c r="F835" s="26"/>
      <c r="G835" s="26"/>
      <c r="K835" s="130"/>
    </row>
    <row r="836" spans="1:15">
      <c r="A836" s="241" t="s">
        <v>915</v>
      </c>
      <c r="B836" s="16"/>
      <c r="C836" s="528">
        <f>C10</f>
        <v>10</v>
      </c>
      <c r="D836" s="241" t="s">
        <v>5</v>
      </c>
      <c r="F836" s="187" t="s">
        <v>2242</v>
      </c>
      <c r="I836" s="54">
        <f>I812</f>
        <v>8.4</v>
      </c>
      <c r="J836" s="187" t="s">
        <v>5</v>
      </c>
      <c r="K836" s="130"/>
    </row>
    <row r="837" spans="1:15">
      <c r="A837" s="241" t="s">
        <v>2243</v>
      </c>
      <c r="B837" s="529"/>
      <c r="C837" s="530">
        <f>D38+D37</f>
        <v>1.8</v>
      </c>
      <c r="D837" s="529" t="s">
        <v>5</v>
      </c>
      <c r="E837" s="80"/>
      <c r="F837" s="26"/>
      <c r="K837" s="130"/>
    </row>
    <row r="838" spans="1:15">
      <c r="A838" s="241" t="s">
        <v>2245</v>
      </c>
      <c r="B838" s="529"/>
      <c r="C838" s="530">
        <f>I46</f>
        <v>2.7</v>
      </c>
      <c r="D838" s="529" t="s">
        <v>5</v>
      </c>
      <c r="E838" s="80"/>
      <c r="F838" s="26"/>
      <c r="K838" s="130"/>
    </row>
    <row r="839" spans="1:15">
      <c r="A839" s="241" t="s">
        <v>2244</v>
      </c>
      <c r="B839" s="1556"/>
      <c r="C839" s="2895">
        <f>I48-I56</f>
        <v>15</v>
      </c>
      <c r="D839" s="1556" t="s">
        <v>5</v>
      </c>
      <c r="E839" s="80"/>
      <c r="F839" s="26"/>
      <c r="K839" s="130"/>
    </row>
    <row r="840" spans="1:15">
      <c r="B840" s="187" t="s">
        <v>1397</v>
      </c>
      <c r="C840" s="54">
        <f>SUM(C835:C839)</f>
        <v>44.8</v>
      </c>
      <c r="D840" s="385" t="s">
        <v>5</v>
      </c>
      <c r="E840" s="80"/>
      <c r="F840" s="26"/>
      <c r="K840" s="130"/>
    </row>
    <row r="841" spans="1:15">
      <c r="G841" s="65"/>
      <c r="K841" s="130"/>
    </row>
    <row r="842" spans="1:15">
      <c r="A842" t="str">
        <f>"Ls  = 0.75 * "&amp;FIXED(C840,2)&amp;" + "&amp;FIXED(I836,2)&amp;" *2 ="</f>
        <v>Ls  = 0.75 * 44.80 + 8.40 *2 =</v>
      </c>
      <c r="E842" s="54">
        <f>0.75*C840+I836*2</f>
        <v>50.399999999999991</v>
      </c>
      <c r="F842" s="26" t="s">
        <v>5</v>
      </c>
      <c r="K842" s="130"/>
      <c r="L842" s="241"/>
      <c r="M842" s="529"/>
      <c r="O842" s="529"/>
    </row>
    <row r="843" spans="1:15">
      <c r="F843" s="26"/>
      <c r="K843" s="130"/>
      <c r="L843" s="241"/>
      <c r="M843" s="529"/>
      <c r="O843" s="529"/>
    </row>
    <row r="844" spans="1:15">
      <c r="A844" s="26" t="str">
        <f>"Hydraulic gradient against Side Seepage = "&amp;FIXED(E832,2)&amp;" / "&amp;FIXED(E842,2)&amp;" ="</f>
        <v>Hydraulic gradient against Side Seepage = 4.20 / 50.40 =</v>
      </c>
      <c r="C844" s="10"/>
      <c r="G844">
        <f>E832/E842</f>
        <v>8.333333333333337E-2</v>
      </c>
      <c r="H844" s="54">
        <f>1/G844</f>
        <v>11.999999999999995</v>
      </c>
      <c r="I844" s="145" t="str">
        <f>IF(G844&lt;=1/6,"&lt;1/6, Ok","&gt;1/6, Not Ok")</f>
        <v>&lt;1/6, Ok</v>
      </c>
      <c r="K844" s="130"/>
    </row>
    <row r="845" spans="1:15">
      <c r="K845" s="130"/>
    </row>
    <row r="846" spans="1:15">
      <c r="A846" s="176" t="s">
        <v>306</v>
      </c>
      <c r="B846" s="174"/>
      <c r="C846" s="174"/>
      <c r="D846" s="174"/>
      <c r="E846" s="174"/>
      <c r="F846" s="174"/>
      <c r="G846" s="174"/>
      <c r="H846" s="174"/>
      <c r="K846" s="130"/>
    </row>
    <row r="847" spans="1:15">
      <c r="A847" s="1934" t="s">
        <v>1743</v>
      </c>
      <c r="B847" s="730"/>
      <c r="C847" s="730"/>
      <c r="D847" s="730"/>
      <c r="E847" s="730"/>
      <c r="F847" s="730"/>
      <c r="G847" s="730"/>
      <c r="K847" s="130"/>
    </row>
    <row r="848" spans="1:15">
      <c r="K848" s="130"/>
    </row>
    <row r="849" spans="1:17">
      <c r="C849" s="2515">
        <f>IF(B852=D757,D755,F755)</f>
        <v>10.3</v>
      </c>
      <c r="K849" s="130"/>
      <c r="L849" s="1972" t="s">
        <v>1809</v>
      </c>
      <c r="M849" s="1971"/>
      <c r="N849" s="1971"/>
      <c r="O849" s="1971"/>
      <c r="P849" s="1971"/>
      <c r="Q849" s="1971"/>
    </row>
    <row r="850" spans="1:17">
      <c r="A850" s="113" t="s">
        <v>22</v>
      </c>
      <c r="K850" s="130"/>
    </row>
    <row r="851" spans="1:17">
      <c r="G851" s="26" t="s">
        <v>23</v>
      </c>
      <c r="K851" s="130"/>
    </row>
    <row r="852" spans="1:17">
      <c r="A852" s="46"/>
      <c r="B852" s="131">
        <f>MAX(D757,F757)</f>
        <v>4.2000000000000011</v>
      </c>
      <c r="C852" s="32" t="s">
        <v>5</v>
      </c>
      <c r="K852" s="130"/>
    </row>
    <row r="853" spans="1:17">
      <c r="A853" s="113"/>
      <c r="B853" s="15"/>
      <c r="C853" s="26"/>
      <c r="D853" s="26"/>
      <c r="E853" s="26"/>
      <c r="F853" s="26"/>
      <c r="G853" s="26"/>
      <c r="H853" s="15"/>
      <c r="I853" s="26"/>
      <c r="J853" s="2515">
        <f>IF(C849=D755,D756,F756)</f>
        <v>6.1</v>
      </c>
      <c r="K853" s="130"/>
    </row>
    <row r="854" spans="1:17">
      <c r="A854" s="113" t="s">
        <v>69</v>
      </c>
      <c r="B854" s="732" t="str">
        <f>"     C1 ="&amp;FIXED(F889,2)&amp;"%"</f>
        <v xml:space="preserve">     C1 =76.99%</v>
      </c>
      <c r="C854" s="26"/>
      <c r="D854" s="26"/>
      <c r="E854" s="26"/>
      <c r="F854" s="26"/>
      <c r="G854" s="26"/>
      <c r="H854" s="720" t="str">
        <f>"E2 ="&amp;FIXED(F917,2)&amp;"%       "</f>
        <v xml:space="preserve">E2 =23.01%       </v>
      </c>
      <c r="I854" s="26" t="s">
        <v>42</v>
      </c>
      <c r="J854" s="26"/>
      <c r="K854" s="130"/>
    </row>
    <row r="855" spans="1:17">
      <c r="A855" s="80">
        <f>H720</f>
        <v>4</v>
      </c>
      <c r="B855" s="26"/>
      <c r="C855" s="26"/>
      <c r="D855" s="26"/>
      <c r="E855" s="26"/>
      <c r="F855" s="26"/>
      <c r="G855" s="26"/>
      <c r="H855" s="15"/>
      <c r="J855" s="79">
        <f>H705</f>
        <v>4</v>
      </c>
      <c r="K855" s="130"/>
    </row>
    <row r="856" spans="1:17">
      <c r="B856" s="26"/>
      <c r="H856" s="26"/>
      <c r="K856" s="130"/>
    </row>
    <row r="857" spans="1:17">
      <c r="B857" s="2" t="str">
        <f>"D1 ="&amp;FIXED(I868,2)&amp;"%"</f>
        <v>D1 =82.71%</v>
      </c>
      <c r="H857" s="2" t="str">
        <f>"D2 ="&amp;FIXED(I897,2)&amp;"%"</f>
        <v>D2 =17.29%</v>
      </c>
      <c r="K857" s="130"/>
    </row>
    <row r="858" spans="1:17">
      <c r="B858" s="26"/>
      <c r="E858" s="23"/>
      <c r="H858" s="113"/>
      <c r="K858" s="130"/>
    </row>
    <row r="859" spans="1:17">
      <c r="B859" s="26"/>
      <c r="D859" s="17" t="s">
        <v>70</v>
      </c>
      <c r="E859" s="10">
        <f>F739</f>
        <v>51.4</v>
      </c>
      <c r="F859" s="26" t="s">
        <v>5</v>
      </c>
      <c r="H859" s="113"/>
      <c r="K859" s="130"/>
    </row>
    <row r="860" spans="1:17">
      <c r="K860" s="130"/>
    </row>
    <row r="861" spans="1:17">
      <c r="K861" s="130"/>
    </row>
    <row r="862" spans="1:17">
      <c r="A862" s="1935" t="s">
        <v>1746</v>
      </c>
      <c r="B862" s="1869"/>
      <c r="C862" s="1869"/>
      <c r="D862" s="1869"/>
      <c r="K862" s="130"/>
    </row>
    <row r="863" spans="1:17">
      <c r="K863" s="130"/>
    </row>
    <row r="864" spans="1:17">
      <c r="A864" s="26" t="s">
        <v>222</v>
      </c>
      <c r="C864" s="23"/>
      <c r="D864" s="54">
        <f>E859</f>
        <v>51.4</v>
      </c>
      <c r="E864" s="26" t="s">
        <v>5</v>
      </c>
      <c r="F864" s="140" t="s">
        <v>252</v>
      </c>
      <c r="G864" s="1879">
        <v>100</v>
      </c>
      <c r="H864" s="109" t="s">
        <v>72</v>
      </c>
      <c r="K864" s="130"/>
    </row>
    <row r="865" spans="1:11">
      <c r="A865" s="26" t="s">
        <v>223</v>
      </c>
      <c r="D865" s="146">
        <f>A855</f>
        <v>4</v>
      </c>
      <c r="E865" s="26" t="s">
        <v>5</v>
      </c>
      <c r="F865" s="112" t="s">
        <v>253</v>
      </c>
      <c r="G865" s="52">
        <v>0</v>
      </c>
      <c r="H865" s="109" t="s">
        <v>72</v>
      </c>
      <c r="K865" s="130"/>
    </row>
    <row r="866" spans="1:11">
      <c r="A866" s="26" t="str">
        <f>"1/α = d/b = "&amp;D865&amp;" / "&amp;D864&amp;" ="</f>
        <v>1/α = d/b = 4 / 51.4 =</v>
      </c>
      <c r="D866" s="708">
        <f>D865/D864</f>
        <v>7.7821011673151752E-2</v>
      </c>
      <c r="K866" s="130"/>
    </row>
    <row r="867" spans="1:11">
      <c r="A867" s="26" t="str">
        <f>"α = b/d  = "&amp;D864&amp;" / "&amp;D865&amp;" ="</f>
        <v>α = b/d  = 51.4 / 4 =</v>
      </c>
      <c r="D867" s="84">
        <f>D864/D865</f>
        <v>12.85</v>
      </c>
      <c r="F867" s="1878" t="s">
        <v>1754</v>
      </c>
      <c r="I867" s="157">
        <f>100*ACOS(1-1/D868)/PI()</f>
        <v>17.294253318268275</v>
      </c>
      <c r="J867" t="s">
        <v>72</v>
      </c>
      <c r="K867" s="130"/>
    </row>
    <row r="868" spans="1:11" ht="14.25">
      <c r="A868" s="26" t="s">
        <v>255</v>
      </c>
      <c r="D868" s="131">
        <f>(1+(1+D867^2)^0.5)/2</f>
        <v>6.9444258859886041</v>
      </c>
      <c r="F868" s="187" t="s">
        <v>258</v>
      </c>
      <c r="I868" s="158">
        <f>100-I867</f>
        <v>82.705746681731725</v>
      </c>
      <c r="J868" s="26" t="s">
        <v>72</v>
      </c>
      <c r="K868" s="130"/>
    </row>
    <row r="869" spans="1:11">
      <c r="H869" s="4"/>
      <c r="K869" s="130"/>
    </row>
    <row r="870" spans="1:11" ht="14.25">
      <c r="F870" s="30" t="s">
        <v>256</v>
      </c>
      <c r="I870" s="157">
        <f>100*(ACOS((D868-2)/D868))/PI()</f>
        <v>24.77899339892706</v>
      </c>
      <c r="J870" t="s">
        <v>72</v>
      </c>
      <c r="K870" s="130"/>
    </row>
    <row r="871" spans="1:11">
      <c r="F871" s="187" t="s">
        <v>259</v>
      </c>
      <c r="I871" s="158">
        <f>100-I870</f>
        <v>75.221006601072943</v>
      </c>
      <c r="J871" t="s">
        <v>72</v>
      </c>
      <c r="K871" s="130"/>
    </row>
    <row r="872" spans="1:11">
      <c r="B872" s="3"/>
      <c r="E872" s="28"/>
      <c r="K872" s="130"/>
    </row>
    <row r="873" spans="1:11">
      <c r="B873" s="41" t="s">
        <v>103</v>
      </c>
      <c r="K873" s="130"/>
    </row>
    <row r="874" spans="1:11">
      <c r="K874" s="130"/>
    </row>
    <row r="875" spans="1:11">
      <c r="B875" s="26" t="s">
        <v>229</v>
      </c>
      <c r="K875" s="130"/>
    </row>
    <row r="876" spans="1:11">
      <c r="B876" s="17" t="s">
        <v>73</v>
      </c>
      <c r="C876" s="26" t="s">
        <v>267</v>
      </c>
      <c r="F876" s="10">
        <f>J855</f>
        <v>4</v>
      </c>
      <c r="G876" t="s">
        <v>5</v>
      </c>
      <c r="I876" s="33"/>
      <c r="K876" s="130"/>
    </row>
    <row r="877" spans="1:11">
      <c r="B877" s="17" t="s">
        <v>71</v>
      </c>
      <c r="C877" s="26" t="s">
        <v>268</v>
      </c>
      <c r="F877" s="10">
        <f>A855</f>
        <v>4</v>
      </c>
      <c r="G877" t="s">
        <v>5</v>
      </c>
      <c r="I877" s="33"/>
      <c r="K877" s="130"/>
    </row>
    <row r="878" spans="1:11">
      <c r="B878" s="17" t="s">
        <v>70</v>
      </c>
      <c r="C878" s="187" t="s">
        <v>235</v>
      </c>
      <c r="F878" s="10">
        <f>E859</f>
        <v>51.4</v>
      </c>
      <c r="G878" t="s">
        <v>5</v>
      </c>
      <c r="K878" s="130"/>
    </row>
    <row r="879" spans="1:11">
      <c r="B879" s="17" t="s">
        <v>74</v>
      </c>
      <c r="C879" t="s">
        <v>227</v>
      </c>
      <c r="F879" s="10">
        <f>F878-2*D28</f>
        <v>50.5</v>
      </c>
      <c r="G879" t="s">
        <v>5</v>
      </c>
      <c r="K879" s="130"/>
    </row>
    <row r="880" spans="1:11">
      <c r="K880" s="130"/>
    </row>
    <row r="881" spans="1:12" ht="15">
      <c r="B881" s="26" t="s">
        <v>228</v>
      </c>
      <c r="F881" s="10">
        <f>19*(F876/F879)^0.5*((F877+F876)/F878)</f>
        <v>0.83227102567318556</v>
      </c>
      <c r="G881" t="s">
        <v>75</v>
      </c>
      <c r="K881" s="130"/>
      <c r="L881" s="187" t="s">
        <v>1731</v>
      </c>
    </row>
    <row r="882" spans="1:12">
      <c r="K882" s="130"/>
    </row>
    <row r="883" spans="1:12">
      <c r="B883" s="26" t="s">
        <v>230</v>
      </c>
      <c r="K883" s="130"/>
    </row>
    <row r="884" spans="1:12">
      <c r="B884" s="26"/>
      <c r="K884" s="130"/>
    </row>
    <row r="885" spans="1:12">
      <c r="B885" s="20" t="s">
        <v>231</v>
      </c>
      <c r="F885" s="710">
        <v>0.5</v>
      </c>
      <c r="G885" t="s">
        <v>5</v>
      </c>
      <c r="K885" s="130"/>
    </row>
    <row r="886" spans="1:12">
      <c r="B886" s="20" t="s">
        <v>232</v>
      </c>
      <c r="F886" s="190">
        <f>A855</f>
        <v>4</v>
      </c>
      <c r="G886" t="s">
        <v>5</v>
      </c>
      <c r="K886" s="130"/>
    </row>
    <row r="887" spans="1:12">
      <c r="B887" t="s">
        <v>260</v>
      </c>
      <c r="G887" s="10">
        <f>((I868-I871)*F885)/F886</f>
        <v>0.93559251008234767</v>
      </c>
      <c r="H887" t="s">
        <v>76</v>
      </c>
      <c r="K887" s="130"/>
    </row>
    <row r="888" spans="1:12">
      <c r="K888" s="130"/>
    </row>
    <row r="889" spans="1:12">
      <c r="B889" s="187" t="str">
        <f>"Corrected  PC1 = "&amp;FIXED(I871,2)&amp;" + "&amp;FIXED(F881,2)&amp;" + "&amp;FIXED(G887,2)&amp;" ="</f>
        <v>Corrected  PC1 = 75.22 + 0.83 + 0.94 =</v>
      </c>
      <c r="F889" s="160">
        <f>I871+F881+G887</f>
        <v>76.988870136828467</v>
      </c>
      <c r="G889" t="s">
        <v>72</v>
      </c>
      <c r="K889" s="130"/>
    </row>
    <row r="890" spans="1:12">
      <c r="K890" s="130"/>
    </row>
    <row r="891" spans="1:12">
      <c r="A891" s="1935" t="s">
        <v>1747</v>
      </c>
      <c r="B891" s="1869"/>
      <c r="C891" s="1869"/>
      <c r="D891" s="1869"/>
      <c r="K891" s="130"/>
    </row>
    <row r="892" spans="1:12">
      <c r="K892" s="130"/>
    </row>
    <row r="893" spans="1:12">
      <c r="A893" s="26" t="s">
        <v>222</v>
      </c>
      <c r="D893" s="54">
        <f>E859</f>
        <v>51.4</v>
      </c>
      <c r="E893" s="26" t="s">
        <v>5</v>
      </c>
      <c r="F893" s="140" t="s">
        <v>252</v>
      </c>
      <c r="G893" s="65">
        <v>100</v>
      </c>
      <c r="H893" s="112" t="s">
        <v>254</v>
      </c>
      <c r="K893" s="130"/>
    </row>
    <row r="894" spans="1:12">
      <c r="A894" s="26" t="s">
        <v>233</v>
      </c>
      <c r="D894" s="54">
        <f>J855</f>
        <v>4</v>
      </c>
      <c r="E894" s="26" t="s">
        <v>5</v>
      </c>
      <c r="F894" s="112" t="s">
        <v>253</v>
      </c>
      <c r="G894" s="65">
        <v>0</v>
      </c>
      <c r="H894" s="112" t="s">
        <v>72</v>
      </c>
      <c r="K894" s="130"/>
    </row>
    <row r="895" spans="1:12">
      <c r="A895" s="26" t="str">
        <f>"1/a = d/b = "&amp;D894&amp;" / "&amp;D893&amp;" ="</f>
        <v>1/a = d/b = 4 / 51.4 =</v>
      </c>
      <c r="D895" s="708">
        <f>D894/D893</f>
        <v>7.7821011673151752E-2</v>
      </c>
      <c r="G895" s="28"/>
      <c r="K895" s="130"/>
    </row>
    <row r="896" spans="1:12">
      <c r="A896" s="26" t="str">
        <f>"α = b/d  = "&amp;D893&amp;" / "&amp;D894&amp;" ="</f>
        <v>α = b/d  = 51.4 / 4 =</v>
      </c>
      <c r="D896" s="84">
        <f>D893/D894</f>
        <v>12.85</v>
      </c>
      <c r="F896" s="26" t="s">
        <v>257</v>
      </c>
      <c r="I896" s="157">
        <f>100*ACOS(1-1/D897)/PI()</f>
        <v>17.294253318268275</v>
      </c>
      <c r="J896" t="s">
        <v>72</v>
      </c>
      <c r="K896" s="130"/>
    </row>
    <row r="897" spans="1:12" ht="14.25">
      <c r="A897" s="26" t="s">
        <v>255</v>
      </c>
      <c r="D897" s="131">
        <f>(1+(1+D896^2)^0.5)/2</f>
        <v>6.9444258859886041</v>
      </c>
      <c r="F897" s="26" t="s">
        <v>262</v>
      </c>
      <c r="I897" s="133">
        <f>I896</f>
        <v>17.294253318268275</v>
      </c>
      <c r="J897" s="26" t="s">
        <v>72</v>
      </c>
      <c r="K897" s="130"/>
    </row>
    <row r="898" spans="1:12">
      <c r="K898" s="130"/>
    </row>
    <row r="899" spans="1:12" ht="14.25">
      <c r="F899" s="20" t="s">
        <v>256</v>
      </c>
      <c r="I899" s="157">
        <f>100*(ACOS((D897-2)/D897))/PI()</f>
        <v>24.77899339892706</v>
      </c>
      <c r="J899" t="s">
        <v>72</v>
      </c>
      <c r="K899" s="130"/>
    </row>
    <row r="900" spans="1:12">
      <c r="F900" s="26" t="s">
        <v>261</v>
      </c>
      <c r="I900" s="133">
        <f>I899</f>
        <v>24.77899339892706</v>
      </c>
      <c r="J900" t="s">
        <v>72</v>
      </c>
      <c r="K900" s="130"/>
    </row>
    <row r="901" spans="1:12">
      <c r="B901" s="17"/>
      <c r="C901" s="62"/>
      <c r="E901" s="3"/>
      <c r="K901" s="130"/>
    </row>
    <row r="902" spans="1:12">
      <c r="B902" s="41" t="s">
        <v>1751</v>
      </c>
      <c r="K902" s="130"/>
    </row>
    <row r="903" spans="1:12">
      <c r="B903" s="26" t="s">
        <v>241</v>
      </c>
      <c r="K903" s="130"/>
    </row>
    <row r="904" spans="1:12">
      <c r="B904" s="17" t="s">
        <v>73</v>
      </c>
      <c r="C904" s="187" t="s">
        <v>1740</v>
      </c>
      <c r="F904" s="10">
        <f>A855</f>
        <v>4</v>
      </c>
      <c r="G904" t="s">
        <v>55</v>
      </c>
      <c r="K904" s="130"/>
    </row>
    <row r="905" spans="1:12">
      <c r="B905" s="17" t="s">
        <v>71</v>
      </c>
      <c r="C905" s="26" t="s">
        <v>269</v>
      </c>
      <c r="F905" s="10">
        <f>J855</f>
        <v>4</v>
      </c>
      <c r="G905" t="s">
        <v>55</v>
      </c>
      <c r="K905" s="130"/>
    </row>
    <row r="906" spans="1:12">
      <c r="B906" s="17" t="s">
        <v>74</v>
      </c>
      <c r="C906" s="26" t="s">
        <v>234</v>
      </c>
      <c r="F906" s="10">
        <f>F879</f>
        <v>50.5</v>
      </c>
      <c r="G906" t="s">
        <v>55</v>
      </c>
      <c r="K906" s="130"/>
    </row>
    <row r="907" spans="1:12">
      <c r="B907" s="17" t="s">
        <v>70</v>
      </c>
      <c r="C907" s="26" t="s">
        <v>235</v>
      </c>
      <c r="F907" s="10">
        <f>E859</f>
        <v>51.4</v>
      </c>
      <c r="G907" t="s">
        <v>55</v>
      </c>
      <c r="K907" s="130"/>
    </row>
    <row r="908" spans="1:12">
      <c r="K908" s="130"/>
    </row>
    <row r="909" spans="1:12">
      <c r="B909" s="26" t="s">
        <v>236</v>
      </c>
      <c r="C909" s="2"/>
      <c r="F909" s="10">
        <f>19*(F904/F906)^0.5*((F905+F904)/F907)</f>
        <v>0.83227102567318556</v>
      </c>
      <c r="G909" t="s">
        <v>77</v>
      </c>
      <c r="K909" s="130"/>
      <c r="L909" s="187" t="s">
        <v>1732</v>
      </c>
    </row>
    <row r="910" spans="1:12">
      <c r="K910" s="130"/>
    </row>
    <row r="911" spans="1:12">
      <c r="B911" s="26" t="s">
        <v>242</v>
      </c>
      <c r="K911" s="130"/>
    </row>
    <row r="912" spans="1:12">
      <c r="K912" s="130"/>
    </row>
    <row r="913" spans="1:22">
      <c r="B913" s="20" t="s">
        <v>231</v>
      </c>
      <c r="F913" s="133">
        <f>F885</f>
        <v>0.5</v>
      </c>
      <c r="G913" t="s">
        <v>5</v>
      </c>
      <c r="K913" s="130"/>
    </row>
    <row r="914" spans="1:22">
      <c r="B914" s="20" t="s">
        <v>237</v>
      </c>
      <c r="F914" s="133">
        <f>J855</f>
        <v>4</v>
      </c>
      <c r="G914" t="s">
        <v>5</v>
      </c>
      <c r="K914" s="130"/>
    </row>
    <row r="915" spans="1:22">
      <c r="B915" s="26" t="s">
        <v>263</v>
      </c>
      <c r="F915" s="10">
        <f>(I900-I897)*F913/F914</f>
        <v>0.93559251008234812</v>
      </c>
      <c r="G915" t="s">
        <v>77</v>
      </c>
      <c r="K915" s="130"/>
      <c r="L915" s="113" t="s">
        <v>22</v>
      </c>
    </row>
    <row r="916" spans="1:22">
      <c r="K916" s="130"/>
      <c r="R916" s="26" t="s">
        <v>23</v>
      </c>
    </row>
    <row r="917" spans="1:22">
      <c r="B917" s="187" t="str">
        <f>"Corrected  PE2 = "&amp;FIXED(I900,2)&amp;" - "&amp;FIXED(F909,2)&amp;" - "&amp;FIXED(F915,2)&amp;" = "</f>
        <v xml:space="preserve">Corrected  PE2 = 24.78 - 0.83 - 0.94 = </v>
      </c>
      <c r="F917" s="160">
        <f>I900-F909-F915</f>
        <v>23.011129863171526</v>
      </c>
      <c r="G917" t="s">
        <v>72</v>
      </c>
      <c r="K917" s="130"/>
      <c r="L917" s="46"/>
      <c r="M917" s="131"/>
      <c r="N917" s="32"/>
    </row>
    <row r="918" spans="1:22">
      <c r="K918" s="130"/>
      <c r="L918" s="113"/>
      <c r="M918" s="15"/>
      <c r="N918" s="26"/>
      <c r="O918" s="26"/>
      <c r="P918" s="26"/>
      <c r="Q918" s="26"/>
      <c r="R918" s="26"/>
      <c r="S918" s="15"/>
      <c r="T918" s="26"/>
    </row>
    <row r="919" spans="1:22">
      <c r="K919" s="130"/>
      <c r="L919" s="203" t="s">
        <v>1744</v>
      </c>
      <c r="M919" s="732" t="str">
        <f>"     C1 ="&amp;FIXED(F889,2)&amp;"%"</f>
        <v xml:space="preserve">     C1 =76.99%</v>
      </c>
      <c r="N919" s="113"/>
      <c r="O919" s="26"/>
      <c r="P919" s="26"/>
      <c r="Q919" s="26"/>
      <c r="R919" s="26"/>
      <c r="S919" s="720" t="str">
        <f>"E2 ="&amp;FIXED(F917,2)&amp;"%       "</f>
        <v xml:space="preserve">E2 =23.01%       </v>
      </c>
      <c r="T919" s="187" t="s">
        <v>1745</v>
      </c>
      <c r="U919" s="26"/>
    </row>
    <row r="920" spans="1:22">
      <c r="B920" s="36">
        <f>C849</f>
        <v>10.3</v>
      </c>
      <c r="C920" s="26"/>
      <c r="D920" s="26"/>
      <c r="E920" s="26"/>
      <c r="G920" s="26"/>
      <c r="H920" s="26"/>
      <c r="K920" s="130"/>
      <c r="L920" s="20"/>
      <c r="M920" s="26"/>
      <c r="N920" s="26"/>
      <c r="O920" s="26"/>
      <c r="P920" s="26"/>
      <c r="Q920" s="26"/>
      <c r="R920" s="26"/>
      <c r="S920" s="15"/>
      <c r="T920" s="79"/>
      <c r="U920" s="79"/>
    </row>
    <row r="921" spans="1:22">
      <c r="C921" s="26"/>
      <c r="D921" s="26"/>
      <c r="E921" s="26"/>
      <c r="F921" s="26"/>
      <c r="G921" s="26"/>
      <c r="H921" s="6" t="s">
        <v>23</v>
      </c>
      <c r="K921" s="130"/>
      <c r="L921" s="80"/>
      <c r="M921" s="26"/>
      <c r="S921" s="26"/>
    </row>
    <row r="922" spans="1:22">
      <c r="A922" s="187" t="s">
        <v>22</v>
      </c>
      <c r="B922" s="79">
        <f>D757</f>
        <v>4.2000000000000011</v>
      </c>
      <c r="C922" s="15" t="s">
        <v>301</v>
      </c>
      <c r="D922" s="26"/>
      <c r="E922" s="15" t="s">
        <v>302</v>
      </c>
      <c r="F922" s="15"/>
      <c r="G922" s="26"/>
      <c r="H922" s="26"/>
      <c r="K922" s="130"/>
      <c r="M922" s="18" t="str">
        <f>"D1 ="&amp;FIXED(I868,2)&amp;"%"</f>
        <v>D1 =82.71%</v>
      </c>
      <c r="S922" t="str">
        <f>"D2 ="&amp;FIXED(I897,2)&amp;"%"</f>
        <v>D2 =17.29%</v>
      </c>
    </row>
    <row r="923" spans="1:22">
      <c r="A923" s="113" t="s">
        <v>117</v>
      </c>
      <c r="B923" s="113" t="s">
        <v>118</v>
      </c>
      <c r="C923" s="26"/>
      <c r="D923" s="26"/>
      <c r="E923" s="15"/>
      <c r="F923" s="15" t="s">
        <v>303</v>
      </c>
      <c r="G923" s="113" t="s">
        <v>304</v>
      </c>
      <c r="H923" s="26"/>
      <c r="I923" s="79">
        <f>J853</f>
        <v>6.1</v>
      </c>
      <c r="J923" s="79"/>
      <c r="K923" s="130"/>
    </row>
    <row r="924" spans="1:22">
      <c r="A924" s="53"/>
      <c r="B924" s="26"/>
      <c r="C924" s="26"/>
      <c r="D924" s="26"/>
      <c r="E924" s="26"/>
      <c r="F924" s="26"/>
      <c r="G924" s="26"/>
      <c r="H924" s="53"/>
      <c r="I924" s="26"/>
      <c r="J924" s="26"/>
      <c r="K924" s="130"/>
    </row>
    <row r="925" spans="1:22">
      <c r="A925" s="26"/>
      <c r="B925" s="26"/>
      <c r="C925" s="26"/>
      <c r="D925" s="26"/>
      <c r="E925" s="26"/>
      <c r="F925" s="26"/>
      <c r="G925" s="26"/>
      <c r="H925" s="26"/>
      <c r="K925" s="130"/>
      <c r="L925" s="711"/>
      <c r="M925" s="711"/>
      <c r="N925" s="711"/>
      <c r="O925" s="711"/>
      <c r="P925" s="711"/>
      <c r="Q925" s="711"/>
      <c r="R925" s="711"/>
      <c r="S925" s="711"/>
      <c r="T925" s="711"/>
    </row>
    <row r="926" spans="1:22">
      <c r="A926" s="23"/>
      <c r="B926" s="53">
        <f>C823</f>
        <v>15</v>
      </c>
      <c r="C926" s="79">
        <f>C822</f>
        <v>2.7</v>
      </c>
      <c r="D926" s="53">
        <f>D40</f>
        <v>13.6</v>
      </c>
      <c r="E926" s="35">
        <f>C838</f>
        <v>2.7</v>
      </c>
      <c r="F926" s="26"/>
      <c r="G926" s="79">
        <f>C839</f>
        <v>15</v>
      </c>
      <c r="H926" s="26"/>
      <c r="K926" s="130"/>
      <c r="L926" s="711"/>
      <c r="M926" s="711"/>
      <c r="N926" s="711"/>
      <c r="O926" s="711"/>
      <c r="P926" s="711"/>
      <c r="Q926" s="711"/>
      <c r="T926" s="717" t="s">
        <v>1016</v>
      </c>
      <c r="U926" s="718">
        <f>F917</f>
        <v>23.011129863171526</v>
      </c>
      <c r="V926" s="719" t="s">
        <v>78</v>
      </c>
    </row>
    <row r="927" spans="1:22">
      <c r="A927" s="26"/>
      <c r="B927" s="26"/>
      <c r="C927" s="26"/>
      <c r="D927" s="53">
        <f>B926+C926+D926+E926+G926</f>
        <v>49</v>
      </c>
      <c r="E927" s="26"/>
      <c r="F927" s="26"/>
      <c r="G927" s="26"/>
      <c r="H927" s="26"/>
      <c r="K927" s="130"/>
      <c r="L927" s="720" t="s">
        <v>264</v>
      </c>
      <c r="M927" s="721">
        <f>F889</f>
        <v>76.988870136828467</v>
      </c>
      <c r="N927" s="719" t="s">
        <v>265</v>
      </c>
      <c r="O927" s="711"/>
      <c r="P927" s="711"/>
      <c r="Q927" s="711"/>
      <c r="R927" s="711"/>
      <c r="S927" s="719"/>
      <c r="T927" s="711"/>
    </row>
    <row r="928" spans="1:22">
      <c r="K928" s="130"/>
      <c r="L928" s="722"/>
      <c r="M928" s="711"/>
      <c r="N928" s="711"/>
      <c r="O928" s="711"/>
      <c r="P928" s="711"/>
      <c r="Q928" s="720"/>
      <c r="R928" s="711"/>
      <c r="S928" s="711"/>
      <c r="T928" s="711"/>
    </row>
    <row r="929" spans="1:17">
      <c r="A929" s="149" t="s">
        <v>82</v>
      </c>
      <c r="B929" s="149"/>
      <c r="C929" s="1868" t="s">
        <v>1722</v>
      </c>
      <c r="D929" s="150"/>
      <c r="E929" s="149" t="s">
        <v>83</v>
      </c>
      <c r="F929" s="149" t="s">
        <v>84</v>
      </c>
      <c r="G929" s="149"/>
      <c r="H929" s="479" t="s">
        <v>304</v>
      </c>
      <c r="I929" s="149"/>
      <c r="K929" s="130"/>
    </row>
    <row r="930" spans="1:17">
      <c r="A930" s="149"/>
      <c r="B930" s="149"/>
      <c r="C930" s="149"/>
      <c r="D930" s="149"/>
      <c r="E930" s="149"/>
      <c r="F930" s="149"/>
      <c r="G930" s="149"/>
      <c r="H930" s="149"/>
      <c r="I930" s="149"/>
      <c r="K930" s="130"/>
      <c r="P930" s="153"/>
      <c r="Q930" s="26"/>
    </row>
    <row r="931" spans="1:17">
      <c r="A931" s="67"/>
      <c r="B931" s="67"/>
      <c r="C931" s="68"/>
      <c r="D931" s="149"/>
      <c r="F931" s="728">
        <f>(((A932-I931)*G926)/D927+I931)</f>
        <v>0.39534927906127731</v>
      </c>
      <c r="G931" s="149"/>
      <c r="H931" s="17" t="s">
        <v>1733</v>
      </c>
      <c r="I931" s="728">
        <f>F917/100</f>
        <v>0.23011129863171526</v>
      </c>
      <c r="K931" s="130"/>
      <c r="P931" s="153"/>
      <c r="Q931" s="26"/>
    </row>
    <row r="932" spans="1:17">
      <c r="A932" s="727">
        <f>F889/100</f>
        <v>0.76988870136828469</v>
      </c>
      <c r="B932" s="1870" t="s">
        <v>1734</v>
      </c>
      <c r="C932" s="149"/>
      <c r="D932" s="149"/>
      <c r="E932" s="728">
        <f>(((A932-I931)*(G926+E926))/D927+I931)</f>
        <v>0.42509211553859849</v>
      </c>
      <c r="F932" s="149"/>
      <c r="G932" s="149"/>
      <c r="H932" s="149"/>
      <c r="I932" s="149"/>
      <c r="K932" s="130"/>
      <c r="P932" s="153"/>
      <c r="Q932" s="26"/>
    </row>
    <row r="933" spans="1:17">
      <c r="A933" s="149"/>
      <c r="B933" s="149"/>
      <c r="C933" s="149"/>
      <c r="D933" s="149"/>
      <c r="E933" s="149"/>
      <c r="F933" s="149"/>
      <c r="G933" s="149"/>
      <c r="H933" s="68"/>
      <c r="I933" s="149"/>
      <c r="K933" s="130"/>
      <c r="P933" s="153"/>
      <c r="Q933" s="26"/>
    </row>
    <row r="934" spans="1:17">
      <c r="B934" s="149"/>
      <c r="C934" s="149"/>
      <c r="D934" s="149"/>
      <c r="E934" s="149"/>
      <c r="F934" s="149"/>
      <c r="G934" s="149"/>
      <c r="H934" s="149"/>
      <c r="I934" s="149"/>
      <c r="K934" s="130"/>
      <c r="L934" s="23"/>
      <c r="P934" s="153"/>
      <c r="Q934" s="26"/>
    </row>
    <row r="935" spans="1:17">
      <c r="D935" s="4" t="s">
        <v>305</v>
      </c>
      <c r="K935" s="130"/>
      <c r="P935" s="153"/>
      <c r="Q935" s="26"/>
    </row>
    <row r="936" spans="1:17">
      <c r="K936" s="130"/>
      <c r="P936" s="153"/>
      <c r="Q936" s="26"/>
    </row>
    <row r="937" spans="1:17">
      <c r="A937" s="729" t="s">
        <v>1735</v>
      </c>
      <c r="C937" s="624"/>
      <c r="D937" s="624"/>
      <c r="E937" s="624"/>
      <c r="K937" s="130"/>
    </row>
    <row r="938" spans="1:17">
      <c r="A938" t="str">
        <f>"Specific weight of concrete, SWC  =  ( "&amp;C19&amp;" - "&amp;C20&amp;" ) / "&amp;C20&amp;" ="</f>
        <v>Specific weight of concrete, SWC  =  ( 23.6 - 9.81 ) / 9.81 =</v>
      </c>
      <c r="G938" s="54">
        <f>(C19-C20)/C20</f>
        <v>1.4057084607543324</v>
      </c>
      <c r="H938" s="26" t="s">
        <v>251</v>
      </c>
      <c r="K938" s="130"/>
    </row>
    <row r="939" spans="1:17">
      <c r="A939" s="187" t="s">
        <v>288</v>
      </c>
      <c r="G939" s="33">
        <f>B852</f>
        <v>4.2000000000000011</v>
      </c>
      <c r="H939" t="s">
        <v>5</v>
      </c>
      <c r="I939" s="187" t="str">
        <f>IF(G939=D757,"(Pre-Monsoon)","(Post-Monsoon)")</f>
        <v>(Pre-Monsoon)</v>
      </c>
      <c r="K939" s="130"/>
      <c r="L939" s="41"/>
    </row>
    <row r="940" spans="1:17">
      <c r="A940" s="63"/>
      <c r="G940" s="64"/>
      <c r="K940" s="130"/>
    </row>
    <row r="941" spans="1:17">
      <c r="A941" s="3061" t="s">
        <v>1736</v>
      </c>
      <c r="B941" s="3087"/>
      <c r="C941" s="3088" t="s">
        <v>1737</v>
      </c>
      <c r="D941" s="3088"/>
      <c r="E941" s="3088"/>
      <c r="F941" s="3088"/>
      <c r="G941" s="3088"/>
      <c r="K941" s="130"/>
    </row>
    <row r="942" spans="1:17">
      <c r="A942" s="3087"/>
      <c r="B942" s="3087"/>
      <c r="C942" s="3089" t="s">
        <v>85</v>
      </c>
      <c r="D942" s="3089"/>
      <c r="E942" s="3089"/>
      <c r="F942" s="3089"/>
      <c r="G942" s="3089"/>
      <c r="K942" s="130"/>
      <c r="L942" s="46"/>
    </row>
    <row r="943" spans="1:17">
      <c r="C943" s="46"/>
      <c r="D943" s="46"/>
      <c r="E943" s="44"/>
      <c r="F943" s="112"/>
      <c r="K943" s="130"/>
    </row>
    <row r="944" spans="1:17">
      <c r="A944" s="187" t="str">
        <f>"R/S Glacis : At point  d, t  = ( "&amp;FIXED(G939,2)&amp;" * "&amp;FIXED(E932,4)&amp;" ) / "&amp;FIXED(G938,2)&amp;" ="</f>
        <v>R/S Glacis : At point  d, t  = ( 4.20 * 0.4251 ) / 1.41 =</v>
      </c>
      <c r="B944" s="46"/>
      <c r="C944" s="46"/>
      <c r="F944" s="490">
        <f>(G939*E932)/G938</f>
        <v>1.270097559421417</v>
      </c>
      <c r="G944" s="109" t="s">
        <v>1799</v>
      </c>
      <c r="K944" s="130"/>
    </row>
    <row r="945" spans="1:16">
      <c r="A945" s="187" t="str">
        <f>"R/S Apron : At point  e, t  = ( "&amp;FIXED(G939,2)&amp;" * "&amp;FIXED(F931,4)&amp;" ) / "&amp;FIXED(G938,2)&amp;" ="</f>
        <v>R/S Apron : At point  e, t  = ( 4.20 * 0.3953 ) / 1.41 =</v>
      </c>
      <c r="F945" s="84">
        <f>(G939*F931)/G938</f>
        <v>1.1812313992663344</v>
      </c>
      <c r="G945" s="187" t="s">
        <v>1798</v>
      </c>
      <c r="K945" s="130"/>
    </row>
    <row r="946" spans="1:16">
      <c r="A946" s="187" t="str">
        <f>"R/S Apron : At point  f,  t  = ( "&amp;FIXED(G939,2)&amp;" * "&amp;FIXED(I931,4)&amp;" ) / "&amp;FIXED(G938,2)&amp;" ="</f>
        <v>R/S Apron : At point  f,  t  = ( 4.20 * 0.2301 ) / 1.41 =</v>
      </c>
      <c r="F946" s="84">
        <f>(G939*I931)/G938</f>
        <v>0.68753050951587624</v>
      </c>
      <c r="G946" s="187" t="s">
        <v>1862</v>
      </c>
      <c r="K946" s="130"/>
    </row>
    <row r="947" spans="1:16">
      <c r="B947" s="187"/>
      <c r="G947" s="54"/>
      <c r="H947" s="26"/>
      <c r="K947" s="130"/>
      <c r="L947" s="1871"/>
      <c r="M947" s="1872"/>
    </row>
    <row r="948" spans="1:16" ht="15">
      <c r="A948" s="187" t="s">
        <v>1861</v>
      </c>
      <c r="B948" s="187"/>
      <c r="E948" s="340">
        <f>C959-E951*J949</f>
        <v>0.67342476980872024</v>
      </c>
      <c r="F948" s="187" t="s">
        <v>5</v>
      </c>
      <c r="G948" s="54"/>
      <c r="H948" s="26"/>
      <c r="I948" s="495" t="s">
        <v>1859</v>
      </c>
      <c r="J948" s="2158">
        <f>F945-F946</f>
        <v>0.49370088975045812</v>
      </c>
      <c r="K948" s="130"/>
      <c r="L948" s="1871"/>
      <c r="M948" s="1872"/>
    </row>
    <row r="949" spans="1:16" ht="15">
      <c r="B949" s="187"/>
      <c r="G949" s="54"/>
      <c r="H949" s="26"/>
      <c r="I949" s="371" t="s">
        <v>1860</v>
      </c>
      <c r="J949" s="2159">
        <f>J948/E961</f>
        <v>3.1346088238124327E-2</v>
      </c>
      <c r="K949" s="130"/>
      <c r="L949" s="1871"/>
      <c r="M949" s="1872"/>
    </row>
    <row r="950" spans="1:16">
      <c r="A950" s="46"/>
      <c r="B950" s="139"/>
      <c r="C950" s="46"/>
      <c r="D950" s="46"/>
      <c r="E950" s="46"/>
      <c r="F950" s="46"/>
      <c r="G950" s="46"/>
      <c r="H950" s="46"/>
      <c r="I950" s="46"/>
      <c r="J950" s="46"/>
      <c r="K950" s="130"/>
      <c r="L950" s="46"/>
    </row>
    <row r="951" spans="1:16">
      <c r="A951" s="46"/>
      <c r="B951" s="139"/>
      <c r="C951" s="46"/>
      <c r="D951" s="46"/>
      <c r="E951" s="224">
        <f>D952+E952+F952+G952</f>
        <v>16.2</v>
      </c>
      <c r="F951" s="46"/>
      <c r="G951" s="46"/>
      <c r="H951" s="46"/>
      <c r="I951" s="46"/>
      <c r="J951" s="46"/>
      <c r="K951" s="130"/>
      <c r="L951" s="46"/>
    </row>
    <row r="952" spans="1:16">
      <c r="A952" s="46"/>
      <c r="C952" s="46"/>
      <c r="D952" s="489">
        <f>'RS Wing'!D63</f>
        <v>5.8500000000000005</v>
      </c>
      <c r="E952" s="44">
        <f>'RS Wing'!F63</f>
        <v>5.8500000000000005</v>
      </c>
      <c r="F952" s="224">
        <f>'RS Wing'!H63</f>
        <v>3.2999999999999972</v>
      </c>
      <c r="G952" s="224">
        <f>'RS Wing'!I63</f>
        <v>1.2</v>
      </c>
      <c r="H952" s="46"/>
      <c r="I952" s="46"/>
      <c r="J952" s="46"/>
      <c r="K952" s="130"/>
      <c r="L952" s="46"/>
    </row>
    <row r="953" spans="1:16">
      <c r="A953" s="46"/>
      <c r="B953" s="46" t="str">
        <f>'RS Wing'!B63</f>
        <v>Sec 1-1</v>
      </c>
      <c r="C953" s="46"/>
      <c r="D953" s="224"/>
      <c r="E953" s="46"/>
      <c r="F953" s="46"/>
      <c r="G953" s="46"/>
      <c r="H953" s="46"/>
      <c r="I953" s="46"/>
      <c r="J953" s="46"/>
      <c r="K953" s="130"/>
    </row>
    <row r="954" spans="1:16">
      <c r="C954" s="17" t="str">
        <f>"Sec "&amp;'RS Wing'!C357</f>
        <v>Sec 2-2</v>
      </c>
      <c r="E954" t="str">
        <f>"Sec "&amp;'RS Wing'!C605</f>
        <v>Sec 3-3</v>
      </c>
      <c r="F954" t="str">
        <f>"Sec "&amp;'RS Wing'!C853</f>
        <v>Sec 4-4</v>
      </c>
      <c r="G954" s="17" t="str">
        <f>"Sec "&amp;'RS Wing'!C1103</f>
        <v>Sec 5-5</v>
      </c>
      <c r="I954" s="33"/>
      <c r="K954" s="130"/>
    </row>
    <row r="955" spans="1:16" ht="15">
      <c r="A955" s="115">
        <f>F944</f>
        <v>1.270097559421417</v>
      </c>
      <c r="B955" s="520" t="s">
        <v>895</v>
      </c>
      <c r="C955" s="46"/>
      <c r="D955" s="36"/>
      <c r="E955" s="84"/>
      <c r="F955" s="141"/>
      <c r="I955" s="337"/>
      <c r="J955" s="337"/>
      <c r="K955" s="130"/>
      <c r="N955" s="84"/>
      <c r="O955" s="337"/>
      <c r="P955" s="337"/>
    </row>
    <row r="956" spans="1:16" ht="15">
      <c r="B956" s="46"/>
      <c r="C956" s="46"/>
      <c r="D956" s="14"/>
      <c r="I956" s="337"/>
      <c r="J956" s="649"/>
      <c r="K956" s="130"/>
      <c r="L956" s="337"/>
      <c r="N956" s="84"/>
      <c r="O956" s="1933"/>
      <c r="P956" s="337"/>
    </row>
    <row r="957" spans="1:16">
      <c r="B957" s="46"/>
      <c r="C957" s="46" t="s">
        <v>894</v>
      </c>
      <c r="D957" s="34"/>
      <c r="F957" s="11"/>
      <c r="G957" s="519" t="s">
        <v>304</v>
      </c>
      <c r="H957" s="84">
        <f>E948</f>
        <v>0.67342476980872024</v>
      </c>
      <c r="I957" t="s">
        <v>1801</v>
      </c>
      <c r="K957" s="130"/>
    </row>
    <row r="958" spans="1:16">
      <c r="A958" s="139" t="s">
        <v>893</v>
      </c>
      <c r="B958" s="46"/>
      <c r="C958" s="46"/>
      <c r="D958" s="14"/>
      <c r="H958" s="36">
        <f>J28</f>
        <v>0.3</v>
      </c>
      <c r="K958" s="130"/>
    </row>
    <row r="959" spans="1:16">
      <c r="A959" s="139"/>
      <c r="C959" s="115">
        <f>F945</f>
        <v>1.1812313992663344</v>
      </c>
      <c r="D959" t="s">
        <v>5</v>
      </c>
      <c r="E959" s="85">
        <f>H957+(G952+F952+E952)*(C959-H957)/(D952+E952+F952+G952)</f>
        <v>0.99785678307330694</v>
      </c>
      <c r="F959" s="334">
        <f>H957+(G952+F952)*(C959-H957)/(D952+E952+F952+G952)</f>
        <v>0.81448216688027963</v>
      </c>
      <c r="I959" s="33"/>
      <c r="K959" s="130"/>
    </row>
    <row r="960" spans="1:16">
      <c r="C960" s="115"/>
      <c r="D960" s="115"/>
      <c r="E960" s="115"/>
      <c r="F960" s="115"/>
      <c r="G960" s="85">
        <f>H957+G952*(C959-H957)/(D952+E952+F952+G952)</f>
        <v>0.71104007569446948</v>
      </c>
      <c r="K960" s="130"/>
    </row>
    <row r="961" spans="1:11">
      <c r="C961" s="115"/>
      <c r="D961" s="115"/>
      <c r="E961" s="115">
        <f>E951-D28</f>
        <v>15.75</v>
      </c>
      <c r="F961" s="115"/>
      <c r="G961" s="85"/>
      <c r="K961" s="130"/>
    </row>
    <row r="962" spans="1:11">
      <c r="C962" s="115"/>
      <c r="D962" s="115"/>
      <c r="E962" s="115"/>
      <c r="F962" s="115"/>
      <c r="G962" s="85"/>
      <c r="K962" s="130"/>
    </row>
    <row r="963" spans="1:11">
      <c r="K963" s="130"/>
    </row>
    <row r="964" spans="1:11">
      <c r="A964" s="740" t="s">
        <v>298</v>
      </c>
      <c r="B964" s="159"/>
      <c r="C964" s="159"/>
      <c r="D964" s="159"/>
      <c r="E964" s="159"/>
      <c r="F964" s="159"/>
      <c r="G964" s="159"/>
      <c r="K964" s="130"/>
    </row>
    <row r="965" spans="1:11">
      <c r="K965" s="130"/>
    </row>
    <row r="966" spans="1:11">
      <c r="B966" s="7" t="s">
        <v>79</v>
      </c>
      <c r="G966" s="1" t="s">
        <v>80</v>
      </c>
      <c r="K966" s="130"/>
    </row>
    <row r="967" spans="1:11">
      <c r="H967" s="1873">
        <f>E756</f>
        <v>13.9</v>
      </c>
      <c r="K967" s="130"/>
    </row>
    <row r="968" spans="1:11">
      <c r="K968" s="130"/>
    </row>
    <row r="969" spans="1:11">
      <c r="C969" s="1873">
        <f>E755</f>
        <v>10</v>
      </c>
      <c r="G969" s="33">
        <f>E757</f>
        <v>3.9000000000000004</v>
      </c>
      <c r="H969" t="s">
        <v>5</v>
      </c>
      <c r="K969" s="130"/>
    </row>
    <row r="970" spans="1:11">
      <c r="A970" s="113"/>
      <c r="C970" s="26"/>
      <c r="D970" s="26"/>
      <c r="E970" s="26"/>
      <c r="F970" s="26"/>
      <c r="G970" s="26"/>
      <c r="H970" s="113"/>
      <c r="I970" s="26"/>
      <c r="J970" s="26"/>
      <c r="K970" s="130"/>
    </row>
    <row r="971" spans="1:11">
      <c r="A971" s="113" t="s">
        <v>42</v>
      </c>
      <c r="B971" s="732" t="str">
        <f>"      E2 ="&amp;FIXED(F1034,2)&amp;"%"</f>
        <v xml:space="preserve">      E2 =23.01%</v>
      </c>
      <c r="G971" s="731" t="str">
        <f>"C1 ="&amp;FIXED(F1005,2)&amp;"%       "</f>
        <v xml:space="preserve">C1 =76.99%       </v>
      </c>
      <c r="H971" s="26" t="s">
        <v>69</v>
      </c>
      <c r="K971" s="130"/>
    </row>
    <row r="972" spans="1:11">
      <c r="A972" s="28"/>
      <c r="H972" s="28"/>
      <c r="K972" s="130"/>
    </row>
    <row r="973" spans="1:11">
      <c r="A973" s="80">
        <f>A855</f>
        <v>4</v>
      </c>
      <c r="B973" s="26"/>
      <c r="C973" s="26"/>
      <c r="D973" s="26"/>
      <c r="E973" s="26"/>
      <c r="F973" s="26"/>
      <c r="G973" s="26"/>
      <c r="I973" s="79">
        <f>J855</f>
        <v>4</v>
      </c>
      <c r="J973" s="26"/>
      <c r="K973" s="130"/>
    </row>
    <row r="974" spans="1:11">
      <c r="D974" s="17" t="s">
        <v>70</v>
      </c>
      <c r="E974" s="10">
        <f>F739</f>
        <v>51.4</v>
      </c>
      <c r="F974" s="26" t="s">
        <v>5</v>
      </c>
      <c r="K974" s="130"/>
    </row>
    <row r="975" spans="1:11">
      <c r="B975" s="15"/>
      <c r="E975" s="28"/>
      <c r="G975" s="113"/>
      <c r="H975" s="26"/>
      <c r="K975" s="130"/>
    </row>
    <row r="976" spans="1:11">
      <c r="B976" s="15" t="str">
        <f>"D2 ="&amp;FIXED(I1013,2)&amp;"%"</f>
        <v>D2 =17.29%</v>
      </c>
      <c r="E976" s="28"/>
      <c r="G976" s="20" t="str">
        <f>"D1 ="&amp;FIXED(I984,2)&amp;"%"</f>
        <v>D1 =82.71%</v>
      </c>
      <c r="H976" s="26"/>
      <c r="K976" s="130"/>
    </row>
    <row r="977" spans="1:21">
      <c r="K977" s="130"/>
    </row>
    <row r="978" spans="1:21">
      <c r="A978" s="1874" t="s">
        <v>1748</v>
      </c>
      <c r="B978" s="1874"/>
      <c r="C978" s="1874"/>
      <c r="K978" s="130"/>
    </row>
    <row r="979" spans="1:21">
      <c r="K979" s="130"/>
    </row>
    <row r="980" spans="1:21">
      <c r="A980" s="26" t="s">
        <v>222</v>
      </c>
      <c r="D980" s="54">
        <f>E974</f>
        <v>51.4</v>
      </c>
      <c r="E980" s="26" t="s">
        <v>5</v>
      </c>
      <c r="F980" s="140" t="s">
        <v>252</v>
      </c>
      <c r="G980" s="65">
        <v>100</v>
      </c>
      <c r="H980" s="112" t="s">
        <v>266</v>
      </c>
      <c r="K980" s="130"/>
      <c r="L980" s="113" t="s">
        <v>22</v>
      </c>
    </row>
    <row r="981" spans="1:21">
      <c r="A981" s="26" t="s">
        <v>243</v>
      </c>
      <c r="D981" s="54">
        <f>I973</f>
        <v>4</v>
      </c>
      <c r="E981" s="26" t="s">
        <v>5</v>
      </c>
      <c r="F981" s="112" t="s">
        <v>253</v>
      </c>
      <c r="G981" s="65">
        <v>0</v>
      </c>
      <c r="H981" s="112" t="s">
        <v>72</v>
      </c>
      <c r="K981" s="130"/>
      <c r="L981" s="26"/>
      <c r="R981" s="26" t="s">
        <v>23</v>
      </c>
    </row>
    <row r="982" spans="1:21">
      <c r="A982" s="26" t="str">
        <f>"1/α = d/b = "&amp;D981&amp;" / "&amp;D980&amp;" ="</f>
        <v>1/α = d/b = 4 / 51.4 =</v>
      </c>
      <c r="D982" s="708">
        <f>D981/D980</f>
        <v>7.7821011673151752E-2</v>
      </c>
      <c r="K982" s="130"/>
      <c r="L982" s="187"/>
      <c r="M982" s="26"/>
      <c r="N982" s="32"/>
    </row>
    <row r="983" spans="1:21">
      <c r="A983" s="26" t="str">
        <f>"α = b/d  = "&amp;D980&amp;" / "&amp;D981&amp;" ="</f>
        <v>α = b/d  = 51.4 / 4 =</v>
      </c>
      <c r="D983" s="84">
        <f>D980/D981</f>
        <v>12.85</v>
      </c>
      <c r="F983" s="26" t="s">
        <v>257</v>
      </c>
      <c r="I983" s="133">
        <f>100*ACOS(1-1/D984)/PI()</f>
        <v>17.294253318268275</v>
      </c>
      <c r="J983" t="s">
        <v>72</v>
      </c>
      <c r="K983" s="130"/>
      <c r="L983" s="113"/>
      <c r="M983" s="15"/>
      <c r="N983" s="26"/>
      <c r="O983" s="26"/>
      <c r="P983" s="26"/>
      <c r="Q983" s="26"/>
      <c r="R983" s="26"/>
      <c r="S983" s="15"/>
    </row>
    <row r="984" spans="1:21" ht="14.25">
      <c r="A984" s="26" t="s">
        <v>255</v>
      </c>
      <c r="D984" s="131">
        <f>(1+(1+D983^2)^0.5)/2</f>
        <v>6.9444258859886041</v>
      </c>
      <c r="F984" s="26" t="s">
        <v>258</v>
      </c>
      <c r="I984" s="133">
        <f>100-I983</f>
        <v>82.705746681731725</v>
      </c>
      <c r="J984" s="26" t="s">
        <v>72</v>
      </c>
      <c r="K984" s="130"/>
      <c r="L984" s="187" t="s">
        <v>1745</v>
      </c>
      <c r="M984" s="732" t="str">
        <f>"     E2 ="&amp;FIXED(F1034,2)&amp;"%"</f>
        <v xml:space="preserve">     E2 =23.01%</v>
      </c>
      <c r="N984" s="113"/>
      <c r="O984" s="26"/>
      <c r="P984" s="26"/>
      <c r="Q984" s="26"/>
      <c r="R984" s="26"/>
      <c r="S984" s="720" t="str">
        <f>"C1 ="&amp;FIXED(F1005,2)&amp;"%       "</f>
        <v xml:space="preserve">C1 =76.99%       </v>
      </c>
      <c r="T984" s="30" t="s">
        <v>1744</v>
      </c>
    </row>
    <row r="985" spans="1:21">
      <c r="K985" s="130"/>
      <c r="L985" s="20"/>
      <c r="M985" s="26"/>
      <c r="N985" s="26"/>
      <c r="O985" s="26"/>
      <c r="P985" s="26"/>
      <c r="Q985" s="26"/>
      <c r="R985" s="26"/>
      <c r="S985" s="15"/>
      <c r="T985" s="79"/>
      <c r="U985" s="79"/>
    </row>
    <row r="986" spans="1:21" ht="14.25">
      <c r="F986" s="20" t="s">
        <v>256</v>
      </c>
      <c r="I986" s="157">
        <f>100*(ACOS((D984-2)/D984))/PI()</f>
        <v>24.77899339892706</v>
      </c>
      <c r="J986" t="s">
        <v>72</v>
      </c>
      <c r="K986" s="130"/>
      <c r="L986" s="80"/>
      <c r="M986" s="26"/>
      <c r="S986" s="26"/>
    </row>
    <row r="987" spans="1:21">
      <c r="F987" s="26" t="s">
        <v>259</v>
      </c>
      <c r="I987" s="133">
        <f>100-I986</f>
        <v>75.221006601072943</v>
      </c>
      <c r="J987" t="s">
        <v>72</v>
      </c>
      <c r="K987" s="130"/>
      <c r="M987" s="18" t="str">
        <f>"D2 ="&amp;FIXED(I1013,2)&amp;"%"</f>
        <v>D2 =17.29%</v>
      </c>
      <c r="S987" t="str">
        <f>"D1 ="&amp;FIXED(I984,2)&amp;"%"</f>
        <v>D1 =82.71%</v>
      </c>
    </row>
    <row r="988" spans="1:21">
      <c r="B988" s="26"/>
      <c r="E988" s="10"/>
      <c r="K988" s="130"/>
    </row>
    <row r="989" spans="1:21">
      <c r="B989" s="41" t="s">
        <v>103</v>
      </c>
      <c r="K989" s="130"/>
    </row>
    <row r="990" spans="1:21">
      <c r="K990" s="130"/>
    </row>
    <row r="991" spans="1:21">
      <c r="B991" s="26" t="s">
        <v>246</v>
      </c>
      <c r="K991" s="130"/>
    </row>
    <row r="992" spans="1:21">
      <c r="B992" s="17" t="s">
        <v>73</v>
      </c>
      <c r="C992" s="187" t="s">
        <v>1741</v>
      </c>
      <c r="F992" s="10">
        <f>A973</f>
        <v>4</v>
      </c>
      <c r="G992" s="26" t="s">
        <v>5</v>
      </c>
      <c r="K992" s="130"/>
    </row>
    <row r="993" spans="1:11">
      <c r="B993" s="17" t="s">
        <v>71</v>
      </c>
      <c r="C993" s="26" t="s">
        <v>244</v>
      </c>
      <c r="F993" s="10">
        <f>I973</f>
        <v>4</v>
      </c>
      <c r="G993" s="26" t="s">
        <v>5</v>
      </c>
      <c r="K993" s="130"/>
    </row>
    <row r="994" spans="1:11">
      <c r="B994" s="17" t="s">
        <v>74</v>
      </c>
      <c r="C994" s="26" t="s">
        <v>238</v>
      </c>
      <c r="F994" s="10">
        <f>F995-2*D28</f>
        <v>50.5</v>
      </c>
      <c r="G994" s="26" t="s">
        <v>5</v>
      </c>
      <c r="K994" s="130"/>
    </row>
    <row r="995" spans="1:11">
      <c r="B995" s="17" t="s">
        <v>70</v>
      </c>
      <c r="C995" s="26" t="s">
        <v>239</v>
      </c>
      <c r="F995" s="10">
        <f>E974</f>
        <v>51.4</v>
      </c>
      <c r="G995" s="26" t="s">
        <v>5</v>
      </c>
      <c r="K995" s="130"/>
    </row>
    <row r="996" spans="1:11">
      <c r="K996" s="130"/>
    </row>
    <row r="997" spans="1:11">
      <c r="B997" s="26" t="s">
        <v>236</v>
      </c>
      <c r="C997" s="2"/>
      <c r="F997" s="10">
        <f>19*(F992/F994)^0.5*((F993+F992)/F995)</f>
        <v>0.83227102567318556</v>
      </c>
      <c r="G997" t="s">
        <v>100</v>
      </c>
      <c r="K997" s="130"/>
    </row>
    <row r="998" spans="1:11">
      <c r="K998" s="130"/>
    </row>
    <row r="999" spans="1:11">
      <c r="B999" s="26" t="s">
        <v>240</v>
      </c>
      <c r="K999" s="130"/>
    </row>
    <row r="1000" spans="1:11">
      <c r="K1000" s="130"/>
    </row>
    <row r="1001" spans="1:11">
      <c r="B1001" s="20" t="s">
        <v>231</v>
      </c>
      <c r="F1001" s="254">
        <f>F885</f>
        <v>0.5</v>
      </c>
      <c r="G1001" t="s">
        <v>5</v>
      </c>
      <c r="K1001" s="130"/>
    </row>
    <row r="1002" spans="1:11">
      <c r="B1002" s="20" t="s">
        <v>232</v>
      </c>
      <c r="F1002" s="133">
        <f>I973</f>
        <v>4</v>
      </c>
      <c r="G1002" t="s">
        <v>5</v>
      </c>
      <c r="K1002" s="130"/>
    </row>
    <row r="1003" spans="1:11">
      <c r="B1003" s="26" t="s">
        <v>270</v>
      </c>
      <c r="F1003" s="10">
        <f>((I984-I987)*F1001)/F1002</f>
        <v>0.93559251008234767</v>
      </c>
      <c r="G1003" t="s">
        <v>76</v>
      </c>
      <c r="K1003" s="130"/>
    </row>
    <row r="1004" spans="1:11">
      <c r="C1004" s="2"/>
      <c r="G1004" s="28"/>
      <c r="K1004" s="130"/>
    </row>
    <row r="1005" spans="1:11">
      <c r="B1005" s="187" t="str">
        <f>"Corrected  PC1 = "&amp;FIXED(I987,2)&amp;" + "&amp;FIXED(F997,2)&amp;" + "&amp;FIXED(F1003,2)&amp;" ="</f>
        <v>Corrected  PC1 = 75.22 + 0.83 + 0.94 =</v>
      </c>
      <c r="F1005" s="160">
        <f>I987+F997+F1003</f>
        <v>76.988870136828467</v>
      </c>
      <c r="G1005" t="s">
        <v>72</v>
      </c>
      <c r="K1005" s="130"/>
    </row>
    <row r="1006" spans="1:11">
      <c r="B1006" s="112"/>
      <c r="C1006" s="112"/>
      <c r="D1006" s="112"/>
      <c r="G1006" s="28"/>
      <c r="K1006" s="130"/>
    </row>
    <row r="1007" spans="1:11">
      <c r="A1007" s="1874" t="s">
        <v>1749</v>
      </c>
      <c r="B1007" s="1874"/>
      <c r="C1007" s="1874"/>
      <c r="K1007" s="130"/>
    </row>
    <row r="1008" spans="1:11">
      <c r="K1008" s="130"/>
    </row>
    <row r="1009" spans="1:11">
      <c r="A1009" s="26" t="s">
        <v>222</v>
      </c>
      <c r="D1009" s="54">
        <f>E974</f>
        <v>51.4</v>
      </c>
      <c r="E1009" t="s">
        <v>5</v>
      </c>
      <c r="F1009" s="140" t="s">
        <v>252</v>
      </c>
      <c r="G1009" s="65">
        <v>100</v>
      </c>
      <c r="H1009" s="112" t="s">
        <v>254</v>
      </c>
      <c r="K1009" s="130"/>
    </row>
    <row r="1010" spans="1:11">
      <c r="A1010" s="26" t="s">
        <v>223</v>
      </c>
      <c r="D1010" s="54">
        <f>A973</f>
        <v>4</v>
      </c>
      <c r="E1010" t="s">
        <v>5</v>
      </c>
      <c r="F1010" s="112" t="s">
        <v>253</v>
      </c>
      <c r="G1010" s="65">
        <v>0</v>
      </c>
      <c r="H1010" s="112" t="s">
        <v>72</v>
      </c>
      <c r="K1010" s="130"/>
    </row>
    <row r="1011" spans="1:11">
      <c r="A1011" s="26" t="str">
        <f>"1/a = d/b = "&amp;D1010&amp;" / "&amp;D1009&amp;" ="</f>
        <v>1/a = d/b = 4 / 51.4 =</v>
      </c>
      <c r="D1011" s="708">
        <f>D1010/D1009</f>
        <v>7.7821011673151752E-2</v>
      </c>
      <c r="K1011" s="130"/>
    </row>
    <row r="1012" spans="1:11">
      <c r="A1012" s="26" t="str">
        <f>"α = b/d  = "&amp;D1009&amp;" / "&amp;D1010&amp;" ="</f>
        <v>α = b/d  = 51.4 / 4 =</v>
      </c>
      <c r="D1012" s="84">
        <f>D1009/D1010</f>
        <v>12.85</v>
      </c>
      <c r="F1012" s="26" t="s">
        <v>257</v>
      </c>
      <c r="I1012" s="157">
        <f>100*ACOS(1-1/D1013)/PI()</f>
        <v>17.294253318268275</v>
      </c>
      <c r="J1012" t="s">
        <v>72</v>
      </c>
      <c r="K1012" s="130"/>
    </row>
    <row r="1013" spans="1:11" ht="14.25">
      <c r="A1013" s="26" t="s">
        <v>255</v>
      </c>
      <c r="D1013" s="131">
        <f>(1+(1+D1012^2)^0.5)/2</f>
        <v>6.9444258859886041</v>
      </c>
      <c r="F1013" s="26" t="s">
        <v>262</v>
      </c>
      <c r="I1013" s="133">
        <f>I1012</f>
        <v>17.294253318268275</v>
      </c>
      <c r="J1013" s="26" t="s">
        <v>72</v>
      </c>
      <c r="K1013" s="130"/>
    </row>
    <row r="1014" spans="1:11">
      <c r="K1014" s="130"/>
    </row>
    <row r="1015" spans="1:11" ht="14.25">
      <c r="F1015" s="20" t="s">
        <v>256</v>
      </c>
      <c r="I1015" s="157">
        <f>100*(ACOS((D1013-2)/D1013))/PI()</f>
        <v>24.77899339892706</v>
      </c>
      <c r="J1015" t="s">
        <v>72</v>
      </c>
      <c r="K1015" s="130"/>
    </row>
    <row r="1016" spans="1:11">
      <c r="F1016" s="26" t="s">
        <v>261</v>
      </c>
      <c r="I1016" s="133">
        <f>I1015</f>
        <v>24.77899339892706</v>
      </c>
      <c r="J1016" t="s">
        <v>72</v>
      </c>
      <c r="K1016" s="130"/>
    </row>
    <row r="1017" spans="1:11">
      <c r="B1017" s="17"/>
      <c r="C1017" s="2"/>
      <c r="E1017" s="3"/>
      <c r="K1017" s="130"/>
    </row>
    <row r="1018" spans="1:11">
      <c r="B1018" s="41" t="s">
        <v>1751</v>
      </c>
      <c r="C1018" s="2"/>
      <c r="E1018" s="3"/>
      <c r="K1018" s="130"/>
    </row>
    <row r="1019" spans="1:11">
      <c r="B1019" t="s">
        <v>247</v>
      </c>
      <c r="K1019" s="130"/>
    </row>
    <row r="1020" spans="1:11">
      <c r="K1020" s="130"/>
    </row>
    <row r="1021" spans="1:11">
      <c r="B1021" s="17" t="s">
        <v>73</v>
      </c>
      <c r="C1021" s="187" t="s">
        <v>1742</v>
      </c>
      <c r="F1021" s="10">
        <f>I973</f>
        <v>4</v>
      </c>
      <c r="G1021" t="s">
        <v>5</v>
      </c>
      <c r="K1021" s="130"/>
    </row>
    <row r="1022" spans="1:11">
      <c r="B1022" s="17" t="s">
        <v>71</v>
      </c>
      <c r="C1022" s="26" t="s">
        <v>245</v>
      </c>
      <c r="F1022" s="10">
        <f>A973</f>
        <v>4</v>
      </c>
      <c r="G1022" t="s">
        <v>5</v>
      </c>
      <c r="K1022" s="130"/>
    </row>
    <row r="1023" spans="1:11">
      <c r="B1023" s="17" t="s">
        <v>74</v>
      </c>
      <c r="C1023" t="s">
        <v>238</v>
      </c>
      <c r="F1023" s="10">
        <f>F1024-D28*2</f>
        <v>50.5</v>
      </c>
      <c r="G1023" t="s">
        <v>5</v>
      </c>
      <c r="K1023" s="130"/>
    </row>
    <row r="1024" spans="1:11">
      <c r="B1024" s="17" t="s">
        <v>70</v>
      </c>
      <c r="C1024" t="s">
        <v>235</v>
      </c>
      <c r="F1024" s="10">
        <f>E974</f>
        <v>51.4</v>
      </c>
      <c r="G1024" t="s">
        <v>5</v>
      </c>
      <c r="K1024" s="130"/>
    </row>
    <row r="1025" spans="1:13">
      <c r="K1025" s="130"/>
    </row>
    <row r="1026" spans="1:13">
      <c r="B1026" t="s">
        <v>236</v>
      </c>
      <c r="C1026" s="2"/>
      <c r="F1026" s="10">
        <f>19*(F1021/F1023)^0.5*((F1022+F1021)/F1024)</f>
        <v>0.83227102567318556</v>
      </c>
      <c r="G1026" t="s">
        <v>77</v>
      </c>
      <c r="K1026" s="130"/>
    </row>
    <row r="1027" spans="1:13">
      <c r="K1027" s="130"/>
    </row>
    <row r="1028" spans="1:13">
      <c r="B1028" t="s">
        <v>230</v>
      </c>
      <c r="K1028" s="130"/>
    </row>
    <row r="1029" spans="1:13">
      <c r="K1029" s="130"/>
    </row>
    <row r="1030" spans="1:13">
      <c r="B1030" s="20" t="s">
        <v>231</v>
      </c>
      <c r="F1030" s="133">
        <f>F1001</f>
        <v>0.5</v>
      </c>
      <c r="G1030" t="s">
        <v>5</v>
      </c>
      <c r="K1030" s="130"/>
    </row>
    <row r="1031" spans="1:13">
      <c r="B1031" s="20" t="s">
        <v>237</v>
      </c>
      <c r="F1031" s="133">
        <f>A973</f>
        <v>4</v>
      </c>
      <c r="G1031" t="s">
        <v>5</v>
      </c>
      <c r="K1031" s="130"/>
    </row>
    <row r="1032" spans="1:13">
      <c r="B1032" s="26" t="s">
        <v>263</v>
      </c>
      <c r="F1032" s="54">
        <f>((I1016-I1013)*F1030)/F1031</f>
        <v>0.93559251008234812</v>
      </c>
      <c r="G1032" t="s">
        <v>77</v>
      </c>
      <c r="K1032" s="130"/>
    </row>
    <row r="1033" spans="1:13">
      <c r="C1033" s="2" t="s">
        <v>35</v>
      </c>
      <c r="G1033" s="28"/>
      <c r="K1033" s="130"/>
    </row>
    <row r="1034" spans="1:13">
      <c r="B1034" s="187" t="str">
        <f>"Corrected  PE2 = "&amp;FIXED(I1016,2)&amp;" - "&amp;FIXED(F1026,2)&amp;" - "&amp;FIXED(F1032,2)&amp;" = "</f>
        <v xml:space="preserve">Corrected  PE2 = 24.78 - 0.83 - 0.94 = </v>
      </c>
      <c r="F1034" s="160">
        <f>I1016-F1026-F1032</f>
        <v>23.011129863171526</v>
      </c>
      <c r="G1034" t="s">
        <v>72</v>
      </c>
      <c r="K1034" s="130"/>
    </row>
    <row r="1035" spans="1:13">
      <c r="K1035" s="130"/>
    </row>
    <row r="1036" spans="1:13">
      <c r="A1036" s="26"/>
      <c r="B1036" s="27" t="s">
        <v>22</v>
      </c>
      <c r="C1036" s="26"/>
      <c r="D1036" s="26"/>
      <c r="E1036" s="26"/>
      <c r="F1036" s="27" t="s">
        <v>23</v>
      </c>
      <c r="G1036" s="26"/>
      <c r="H1036" s="1"/>
      <c r="K1036" s="130"/>
    </row>
    <row r="1037" spans="1:13">
      <c r="B1037" s="26"/>
      <c r="C1037" s="26"/>
      <c r="D1037" s="26"/>
      <c r="E1037" s="26"/>
      <c r="F1037" s="26"/>
      <c r="G1037" s="26"/>
      <c r="I1037" s="36">
        <f>E756</f>
        <v>13.9</v>
      </c>
      <c r="K1037" s="130"/>
      <c r="M1037" s="149"/>
    </row>
    <row r="1038" spans="1:13">
      <c r="A1038" s="35">
        <f>E755</f>
        <v>10</v>
      </c>
      <c r="B1038" s="26"/>
      <c r="C1038" s="15" t="s">
        <v>301</v>
      </c>
      <c r="D1038" s="26"/>
      <c r="E1038" s="15" t="s">
        <v>302</v>
      </c>
      <c r="F1038" s="15"/>
      <c r="G1038" s="26"/>
      <c r="H1038" s="54">
        <f>E757</f>
        <v>3.9000000000000004</v>
      </c>
      <c r="K1038" s="130"/>
    </row>
    <row r="1039" spans="1:13">
      <c r="A1039" s="113" t="s">
        <v>117</v>
      </c>
      <c r="B1039" s="113" t="s">
        <v>118</v>
      </c>
      <c r="C1039" s="26"/>
      <c r="D1039" s="26"/>
      <c r="E1039" s="15"/>
      <c r="F1039" s="15" t="s">
        <v>303</v>
      </c>
      <c r="G1039" s="113" t="s">
        <v>304</v>
      </c>
      <c r="H1039" s="33"/>
      <c r="K1039" s="130"/>
    </row>
    <row r="1040" spans="1:13">
      <c r="A1040" s="53"/>
      <c r="B1040" s="26"/>
      <c r="C1040" s="26"/>
      <c r="D1040" s="26"/>
      <c r="E1040" s="26"/>
      <c r="F1040" s="26"/>
      <c r="G1040" s="26"/>
      <c r="H1040" s="53"/>
      <c r="I1040" s="213"/>
      <c r="K1040" s="130"/>
    </row>
    <row r="1041" spans="1:20">
      <c r="A1041" s="26"/>
      <c r="B1041" s="26"/>
      <c r="C1041" s="26"/>
      <c r="D1041" s="26"/>
      <c r="E1041" s="26"/>
      <c r="F1041" s="26"/>
      <c r="G1041" s="26"/>
      <c r="H1041" s="26"/>
      <c r="I1041" s="213"/>
      <c r="K1041" s="130"/>
      <c r="L1041" s="33"/>
    </row>
    <row r="1042" spans="1:20">
      <c r="A1042" s="23"/>
      <c r="B1042" s="53">
        <f>C823</f>
        <v>15</v>
      </c>
      <c r="C1042" s="79">
        <f>C822</f>
        <v>2.7</v>
      </c>
      <c r="D1042" s="53">
        <f>D40</f>
        <v>13.6</v>
      </c>
      <c r="E1042" s="35">
        <f>C838</f>
        <v>2.7</v>
      </c>
      <c r="F1042" s="26"/>
      <c r="G1042" s="79">
        <f>C839</f>
        <v>15</v>
      </c>
      <c r="H1042" s="26"/>
      <c r="I1042" s="213"/>
      <c r="K1042" s="130"/>
    </row>
    <row r="1043" spans="1:20">
      <c r="A1043" s="26"/>
      <c r="B1043" s="26"/>
      <c r="C1043" s="26"/>
      <c r="D1043" s="53">
        <f>B1042+C1042+D1042+E1042+G1042</f>
        <v>49</v>
      </c>
      <c r="E1043" s="26"/>
      <c r="F1043" s="26"/>
      <c r="G1043" s="26"/>
      <c r="H1043" s="26"/>
      <c r="I1043" s="213"/>
      <c r="K1043" s="130"/>
    </row>
    <row r="1044" spans="1:20">
      <c r="I1044" s="213"/>
      <c r="K1044" s="130"/>
    </row>
    <row r="1045" spans="1:20">
      <c r="K1045" s="130"/>
    </row>
    <row r="1046" spans="1:20">
      <c r="A1046" s="725" t="s">
        <v>117</v>
      </c>
      <c r="B1046" s="725" t="s">
        <v>118</v>
      </c>
      <c r="C1046" s="726" t="s">
        <v>301</v>
      </c>
      <c r="D1046" s="150"/>
      <c r="E1046" s="149" t="s">
        <v>83</v>
      </c>
      <c r="F1046" s="149" t="s">
        <v>84</v>
      </c>
      <c r="G1046" s="149"/>
      <c r="H1046" s="149" t="s">
        <v>304</v>
      </c>
      <c r="I1046" s="149"/>
      <c r="K1046" s="130"/>
      <c r="L1046" s="213"/>
      <c r="M1046" s="213"/>
      <c r="N1046" s="213"/>
      <c r="O1046" s="213"/>
      <c r="P1046" s="213"/>
      <c r="Q1046" s="213"/>
      <c r="R1046" s="213"/>
      <c r="S1046" s="213"/>
      <c r="T1046" s="213"/>
    </row>
    <row r="1047" spans="1:20">
      <c r="A1047" s="149"/>
      <c r="B1047" s="149"/>
      <c r="C1047" s="149"/>
      <c r="D1047" s="149"/>
      <c r="E1047" s="149"/>
      <c r="F1047" s="149"/>
      <c r="G1047" s="149"/>
      <c r="H1047" s="149"/>
      <c r="I1047" s="149"/>
      <c r="K1047" s="130"/>
      <c r="L1047" s="712" t="s">
        <v>1015</v>
      </c>
      <c r="M1047" s="215">
        <f>F1034</f>
        <v>23.011129863171526</v>
      </c>
      <c r="N1047" s="713" t="s">
        <v>265</v>
      </c>
      <c r="O1047" s="213"/>
      <c r="P1047" s="213"/>
      <c r="Q1047" s="213"/>
      <c r="R1047" s="213"/>
      <c r="S1047" s="713"/>
      <c r="T1047" s="213"/>
    </row>
    <row r="1048" spans="1:20">
      <c r="A1048" s="724">
        <f>F1034/100</f>
        <v>0.23011129863171526</v>
      </c>
      <c r="B1048" s="724">
        <f>(((I1049-A1048)*B1042)/D1043+A1048)</f>
        <v>0.39534927906127731</v>
      </c>
      <c r="D1048" s="723">
        <f>(((I1049-A1048)*(B1042+C1042))/D1043+A1048)</f>
        <v>0.42509211553859849</v>
      </c>
      <c r="E1048" s="69"/>
      <c r="F1048" s="69"/>
      <c r="G1048" s="149"/>
      <c r="H1048" s="151"/>
      <c r="I1048" s="149"/>
      <c r="K1048" s="130"/>
      <c r="L1048" s="714"/>
      <c r="M1048" s="213"/>
      <c r="N1048" s="213"/>
      <c r="O1048" s="213"/>
      <c r="P1048" s="213"/>
      <c r="Q1048" s="219"/>
      <c r="R1048" s="213" t="s">
        <v>264</v>
      </c>
      <c r="S1048" s="715">
        <f>F1005</f>
        <v>76.988870136828467</v>
      </c>
      <c r="T1048" s="713" t="s">
        <v>78</v>
      </c>
    </row>
    <row r="1049" spans="1:20">
      <c r="A1049" s="149"/>
      <c r="B1049" s="149"/>
      <c r="C1049" s="149"/>
      <c r="D1049" s="149"/>
      <c r="E1049" s="149"/>
      <c r="F1049" s="149"/>
      <c r="G1049" s="149"/>
      <c r="H1049" s="149"/>
      <c r="I1049" s="723">
        <f>F1005/100</f>
        <v>0.76988870136828469</v>
      </c>
      <c r="K1049" s="130"/>
      <c r="L1049" s="716"/>
      <c r="M1049" s="713"/>
      <c r="N1049" s="213"/>
      <c r="O1049" s="213"/>
      <c r="P1049" s="213"/>
      <c r="Q1049" s="213"/>
      <c r="R1049" s="716"/>
      <c r="S1049" s="213"/>
      <c r="T1049" s="213"/>
    </row>
    <row r="1050" spans="1:20">
      <c r="A1050" s="149"/>
      <c r="B1050" s="149"/>
      <c r="C1050" s="149"/>
      <c r="D1050" s="149"/>
      <c r="E1050" s="149"/>
      <c r="F1050" s="149"/>
      <c r="G1050" s="149"/>
      <c r="I1050" s="149"/>
      <c r="K1050" s="130"/>
      <c r="L1050" s="213"/>
      <c r="M1050" s="213"/>
      <c r="N1050" s="213"/>
      <c r="O1050" s="213"/>
      <c r="P1050" s="213"/>
      <c r="Q1050" s="213"/>
      <c r="R1050" s="213"/>
      <c r="S1050" s="213"/>
      <c r="T1050" s="213"/>
    </row>
    <row r="1051" spans="1:20">
      <c r="A1051" s="152"/>
      <c r="B1051" s="149"/>
      <c r="C1051" s="149"/>
      <c r="D1051" s="149"/>
      <c r="E1051" s="149"/>
      <c r="F1051" s="149"/>
      <c r="G1051" s="149"/>
      <c r="H1051" s="149"/>
      <c r="I1051" s="149"/>
      <c r="K1051" s="130"/>
    </row>
    <row r="1052" spans="1:20">
      <c r="C1052" s="23" t="s">
        <v>81</v>
      </c>
      <c r="D1052" s="23"/>
      <c r="K1052" s="130"/>
    </row>
    <row r="1053" spans="1:20">
      <c r="K1053" s="130"/>
    </row>
    <row r="1054" spans="1:20">
      <c r="A1054" s="1875" t="s">
        <v>1750</v>
      </c>
      <c r="K1054" s="130"/>
    </row>
    <row r="1055" spans="1:20">
      <c r="A1055" t="str">
        <f>"Specific weight of concrete, SWC  =  ( "&amp;C19&amp;" - "&amp;C20&amp;" ) / "&amp;C20&amp;" ="</f>
        <v>Specific weight of concrete, SWC  =  ( 23.6 - 9.81 ) / 9.81 =</v>
      </c>
      <c r="G1055" s="54">
        <f>(C19-C20)/C20</f>
        <v>1.4057084607543324</v>
      </c>
      <c r="H1055" s="26" t="s">
        <v>251</v>
      </c>
      <c r="K1055" s="130"/>
    </row>
    <row r="1056" spans="1:20">
      <c r="A1056" s="187" t="s">
        <v>287</v>
      </c>
      <c r="F1056" s="33"/>
      <c r="G1056" s="33">
        <f>E757</f>
        <v>3.9000000000000004</v>
      </c>
      <c r="H1056" t="s">
        <v>5</v>
      </c>
      <c r="I1056" s="187" t="s">
        <v>1014</v>
      </c>
      <c r="K1056" s="130"/>
    </row>
    <row r="1057" spans="1:13">
      <c r="K1057" s="130"/>
    </row>
    <row r="1058" spans="1:13">
      <c r="A1058" s="3061" t="s">
        <v>1738</v>
      </c>
      <c r="B1058" s="3087"/>
      <c r="C1058" s="3088" t="s">
        <v>1739</v>
      </c>
      <c r="D1058" s="3088"/>
      <c r="E1058" s="3088"/>
      <c r="F1058" s="3088"/>
      <c r="G1058" s="3088"/>
      <c r="K1058" s="130"/>
      <c r="L1058" s="46"/>
    </row>
    <row r="1059" spans="1:13">
      <c r="A1059" s="3087"/>
      <c r="B1059" s="3087"/>
      <c r="C1059" s="3089" t="s">
        <v>85</v>
      </c>
      <c r="D1059" s="3089"/>
      <c r="E1059" s="3089"/>
      <c r="F1059" s="3089"/>
      <c r="G1059" s="3089"/>
      <c r="K1059" s="130"/>
      <c r="L1059" s="46"/>
    </row>
    <row r="1060" spans="1:13">
      <c r="K1060" s="130"/>
    </row>
    <row r="1061" spans="1:13">
      <c r="A1061" t="str">
        <f>"C/S Apron  : At point  a, t  = ( "&amp;FIXED(G1056,2)&amp;" * "&amp;FIXED(A1048,4)&amp;" ) / "&amp;FIXED(G1055,2)&amp;" ="</f>
        <v>C/S Apron  : At point  a, t  = ( 3.90 * 0.2301 ) / 1.41 =</v>
      </c>
      <c r="F1061" s="84">
        <f>(G1056*A1048)/G1055</f>
        <v>0.63842118740759923</v>
      </c>
      <c r="G1061" s="187" t="s">
        <v>1863</v>
      </c>
      <c r="K1061" s="130"/>
    </row>
    <row r="1062" spans="1:13">
      <c r="A1062" s="187" t="str">
        <f>"C/S Apron  : At point  b, t  = ( "&amp;FIXED(G1056,2)&amp;" * "&amp;FIXED(B1048,4)&amp;" ) / "&amp;FIXED(G1055,2)&amp;" ="</f>
        <v>C/S Apron  : At point  b, t  = ( 3.90 * 0.3953 ) / 1.41 =</v>
      </c>
      <c r="F1062" s="84">
        <f>(G1056*B1048)/G1055</f>
        <v>1.0968577278901674</v>
      </c>
      <c r="G1062" s="187" t="s">
        <v>1802</v>
      </c>
      <c r="K1062" s="130"/>
    </row>
    <row r="1063" spans="1:13">
      <c r="A1063" s="187" t="str">
        <f>"C/S Glacis : At point  c, t  = ( "&amp;FIXED(G1056,2)&amp;" * "&amp;FIXED(D1048,4)&amp;" ) / "&amp;FIXED(G1055,2)&amp;" ="</f>
        <v>C/S Glacis : At point  c, t  = ( 3.90 * 0.4251 ) / 1.41 =</v>
      </c>
      <c r="B1063" s="46"/>
      <c r="C1063" s="46"/>
      <c r="F1063" s="490">
        <f>(G1056*D1048)/G1055</f>
        <v>1.1793763051770298</v>
      </c>
      <c r="G1063" s="109" t="s">
        <v>1803</v>
      </c>
      <c r="K1063" s="130"/>
    </row>
    <row r="1064" spans="1:13">
      <c r="B1064" s="187"/>
      <c r="C1064" s="46"/>
      <c r="D1064" s="46"/>
      <c r="G1064" s="44"/>
      <c r="H1064" s="112"/>
      <c r="K1064" s="130"/>
      <c r="L1064" s="1871"/>
      <c r="M1064" s="1872"/>
    </row>
    <row r="1065" spans="1:13" ht="15">
      <c r="A1065" s="187" t="s">
        <v>1864</v>
      </c>
      <c r="B1065" s="187"/>
      <c r="E1065" s="338">
        <f>F1062-D1079*J1066</f>
        <v>0.62532300053666878</v>
      </c>
      <c r="F1065" s="187" t="s">
        <v>5</v>
      </c>
      <c r="I1065" s="495" t="s">
        <v>1859</v>
      </c>
      <c r="J1065" s="2160">
        <f>F1062-F1061</f>
        <v>0.45843654048256821</v>
      </c>
      <c r="K1065" s="130"/>
      <c r="L1065" s="46"/>
    </row>
    <row r="1066" spans="1:13" ht="15">
      <c r="A1066" s="139"/>
      <c r="C1066" s="4"/>
      <c r="I1066" s="371" t="s">
        <v>1860</v>
      </c>
      <c r="J1066" s="2159">
        <f>J1065/D1077</f>
        <v>2.9107081935401156E-2</v>
      </c>
      <c r="K1066" s="130"/>
      <c r="L1066" s="46"/>
    </row>
    <row r="1067" spans="1:13">
      <c r="A1067" s="139"/>
      <c r="C1067" s="4"/>
      <c r="K1067" s="130"/>
      <c r="L1067" s="46"/>
    </row>
    <row r="1068" spans="1:13">
      <c r="B1068" s="17" t="str">
        <f>"Sec "&amp;'CS Wing'!L70</f>
        <v>Sec 5-5</v>
      </c>
      <c r="D1068" t="str">
        <f>"Sec "&amp; 'CS Wing'!L69</f>
        <v>Sec 4-4</v>
      </c>
      <c r="E1068" s="17" t="str">
        <f>"Sec "&amp;'CS Wing'!L68</f>
        <v>Sec 3-3</v>
      </c>
      <c r="G1068" t="str">
        <f>"Sec "&amp;'CS Wing'!L67</f>
        <v>Sec 2-2</v>
      </c>
      <c r="H1068" t="str">
        <f>'CS Wing'!I62</f>
        <v>Sec 1-1</v>
      </c>
      <c r="K1068" s="130"/>
      <c r="L1068" s="46"/>
    </row>
    <row r="1069" spans="1:13">
      <c r="K1069" s="130"/>
      <c r="L1069" s="46"/>
    </row>
    <row r="1070" spans="1:13">
      <c r="B1070" s="10">
        <f>'CS Wing'!B62</f>
        <v>1.2</v>
      </c>
      <c r="C1070" s="33">
        <f>'CS Wing'!C62</f>
        <v>3.2999999999999972</v>
      </c>
      <c r="E1070" s="10">
        <f>'CS Wing'!E62</f>
        <v>5.8500000000000005</v>
      </c>
      <c r="F1070" s="10">
        <f>'CS Wing'!F62</f>
        <v>5.8500000000000005</v>
      </c>
      <c r="H1070" t="s">
        <v>301</v>
      </c>
      <c r="I1070" s="85">
        <f>F1063</f>
        <v>1.1793763051770298</v>
      </c>
      <c r="K1070" s="130"/>
      <c r="L1070" s="33"/>
    </row>
    <row r="1071" spans="1:13">
      <c r="K1071" s="130"/>
      <c r="L1071" s="33"/>
    </row>
    <row r="1072" spans="1:13">
      <c r="A1072" s="520">
        <f>E1065</f>
        <v>0.62532300053666878</v>
      </c>
      <c r="B1072" s="30" t="s">
        <v>1800</v>
      </c>
      <c r="G1072" t="s">
        <v>118</v>
      </c>
      <c r="K1072" s="130"/>
      <c r="L1072" s="33"/>
    </row>
    <row r="1073" spans="1:17">
      <c r="A1073" s="3049">
        <f>J28</f>
        <v>0.3</v>
      </c>
      <c r="I1073" s="139" t="s">
        <v>892</v>
      </c>
      <c r="K1073" s="130"/>
    </row>
    <row r="1074" spans="1:17">
      <c r="A1074" s="3049"/>
      <c r="B1074" s="46"/>
      <c r="D1074" s="46"/>
      <c r="E1074" s="46"/>
      <c r="F1074" s="46"/>
      <c r="G1074" s="46"/>
      <c r="H1074" s="46"/>
      <c r="I1074" s="46"/>
      <c r="K1074" s="130"/>
      <c r="L1074" s="33"/>
      <c r="M1074" s="33"/>
      <c r="N1074" s="33"/>
      <c r="O1074" s="33"/>
      <c r="P1074" s="33"/>
      <c r="Q1074" s="33"/>
    </row>
    <row r="1075" spans="1:17">
      <c r="A1075" s="46"/>
      <c r="B1075" s="46"/>
      <c r="C1075" s="520">
        <f>B1070*(G1075-A1072)/(B1070+C1070+E1070+F1070)+A1072</f>
        <v>0.66025149885915013</v>
      </c>
      <c r="D1075" s="490">
        <f>(B1070+C1070)*(G1075-A1072)/(B1070+C1070+E1070+F1070)+A1072</f>
        <v>0.75630486924597384</v>
      </c>
      <c r="E1075" s="115">
        <f>(B1070+C1070+E1070)*(G1075-A1072)/(B1070+C1070+E1070+F1070)+A1072</f>
        <v>0.9265812985680707</v>
      </c>
      <c r="F1075" s="46"/>
      <c r="G1075" s="334">
        <f>F1062</f>
        <v>1.0968577278901674</v>
      </c>
      <c r="H1075" s="46" t="s">
        <v>5</v>
      </c>
      <c r="I1075" s="46"/>
      <c r="K1075" s="130"/>
      <c r="L1075" s="33"/>
    </row>
    <row r="1076" spans="1:17">
      <c r="C1076" s="4"/>
      <c r="K1076" s="130"/>
    </row>
    <row r="1077" spans="1:17">
      <c r="D1077" s="33">
        <f>D1079-D28</f>
        <v>15.75</v>
      </c>
      <c r="E1077" s="187" t="s">
        <v>5</v>
      </c>
      <c r="K1077" s="130"/>
    </row>
    <row r="1078" spans="1:17">
      <c r="K1078" s="130"/>
    </row>
    <row r="1079" spans="1:17">
      <c r="D1079" s="33">
        <f>B1070+C1070+E1070+F1070</f>
        <v>16.2</v>
      </c>
      <c r="E1079" t="s">
        <v>5</v>
      </c>
      <c r="K1079" s="130"/>
    </row>
    <row r="1080" spans="1:17">
      <c r="K1080" s="130"/>
    </row>
    <row r="1081" spans="1:17">
      <c r="K1081" s="130"/>
    </row>
    <row r="1082" spans="1:17" ht="15">
      <c r="B1082" s="337"/>
      <c r="C1082" s="337"/>
      <c r="D1082" s="337"/>
      <c r="E1082" s="338"/>
      <c r="F1082" s="84"/>
      <c r="G1082" s="337"/>
      <c r="H1082" s="337"/>
      <c r="K1082" s="130"/>
    </row>
    <row r="1083" spans="1:17" ht="15">
      <c r="B1083" s="337"/>
      <c r="C1083" s="793"/>
      <c r="D1083" s="337"/>
      <c r="E1083" s="649"/>
      <c r="F1083" s="54"/>
      <c r="G1083" s="337"/>
      <c r="H1083" s="337"/>
      <c r="K1083" s="130"/>
    </row>
    <row r="1084" spans="1:17">
      <c r="A1084" s="130"/>
      <c r="B1084" s="130"/>
      <c r="C1084" s="130"/>
      <c r="D1084" s="130"/>
      <c r="E1084" s="130"/>
      <c r="F1084" s="130"/>
      <c r="G1084" s="130"/>
      <c r="H1084" s="130"/>
      <c r="I1084" s="130"/>
      <c r="J1084" s="130"/>
      <c r="K1084" s="130"/>
    </row>
  </sheetData>
  <sheetProtection selectLockedCells="1"/>
  <sortState ref="R153:R163">
    <sortCondition ref="R153"/>
  </sortState>
  <mergeCells count="100">
    <mergeCell ref="L99:O99"/>
    <mergeCell ref="L123:O123"/>
    <mergeCell ref="L132:L133"/>
    <mergeCell ref="B665:E665"/>
    <mergeCell ref="F665:J665"/>
    <mergeCell ref="M360:O360"/>
    <mergeCell ref="C609:E610"/>
    <mergeCell ref="F609:F610"/>
    <mergeCell ref="B674:F674"/>
    <mergeCell ref="L134:L135"/>
    <mergeCell ref="L131:Q131"/>
    <mergeCell ref="I830:J830"/>
    <mergeCell ref="AQ231:AR232"/>
    <mergeCell ref="P347:Q349"/>
    <mergeCell ref="P350:Q351"/>
    <mergeCell ref="AM235:AO235"/>
    <mergeCell ref="AP235:AT235"/>
    <mergeCell ref="Z236:Z237"/>
    <mergeCell ref="AM272:AO272"/>
    <mergeCell ref="AM254:AO254"/>
    <mergeCell ref="AB236:AB237"/>
    <mergeCell ref="L231:M232"/>
    <mergeCell ref="C411:D412"/>
    <mergeCell ref="C413:D414"/>
    <mergeCell ref="A413:A414"/>
    <mergeCell ref="J238:J248"/>
    <mergeCell ref="G299:G305"/>
    <mergeCell ref="H309:H317"/>
    <mergeCell ref="G240:G245"/>
    <mergeCell ref="A352:A353"/>
    <mergeCell ref="C339:C340"/>
    <mergeCell ref="B339:B340"/>
    <mergeCell ref="C363:E364"/>
    <mergeCell ref="G339:G340"/>
    <mergeCell ref="G295:I295"/>
    <mergeCell ref="B352:C353"/>
    <mergeCell ref="F363:F364"/>
    <mergeCell ref="H299:H306"/>
    <mergeCell ref="A1058:B1059"/>
    <mergeCell ref="C1058:G1058"/>
    <mergeCell ref="C1059:G1059"/>
    <mergeCell ref="A941:B942"/>
    <mergeCell ref="C942:G942"/>
    <mergeCell ref="C941:G941"/>
    <mergeCell ref="A538:A539"/>
    <mergeCell ref="AP254:AT254"/>
    <mergeCell ref="AP272:AT272"/>
    <mergeCell ref="Z295:Z296"/>
    <mergeCell ref="AM294:AO294"/>
    <mergeCell ref="AP294:AT294"/>
    <mergeCell ref="C536:D537"/>
    <mergeCell ref="C538:D539"/>
    <mergeCell ref="C525:C526"/>
    <mergeCell ref="D525:D526"/>
    <mergeCell ref="I525:I526"/>
    <mergeCell ref="H525:H526"/>
    <mergeCell ref="B491:F491"/>
    <mergeCell ref="G310:G316"/>
    <mergeCell ref="Z255:Z256"/>
    <mergeCell ref="Z273:Z274"/>
    <mergeCell ref="A1:I1"/>
    <mergeCell ref="C5:I6"/>
    <mergeCell ref="B350:C351"/>
    <mergeCell ref="H339:H340"/>
    <mergeCell ref="G255:H255"/>
    <mergeCell ref="H273:I273"/>
    <mergeCell ref="H277:H282"/>
    <mergeCell ref="I277:I283"/>
    <mergeCell ref="H240:H246"/>
    <mergeCell ref="G15:G16"/>
    <mergeCell ref="A141:J141"/>
    <mergeCell ref="G236:J236"/>
    <mergeCell ref="D134:E134"/>
    <mergeCell ref="A133:E133"/>
    <mergeCell ref="G259:G264"/>
    <mergeCell ref="H259:H264"/>
    <mergeCell ref="BA235:BE235"/>
    <mergeCell ref="BA254:BE254"/>
    <mergeCell ref="BA272:BE272"/>
    <mergeCell ref="BA294:BE294"/>
    <mergeCell ref="AU235:AY235"/>
    <mergeCell ref="AU254:AY254"/>
    <mergeCell ref="AU272:AY272"/>
    <mergeCell ref="AU294:AY294"/>
    <mergeCell ref="S20:T20"/>
    <mergeCell ref="A1073:A1074"/>
    <mergeCell ref="J28:J29"/>
    <mergeCell ref="F480:J480"/>
    <mergeCell ref="B480:E480"/>
    <mergeCell ref="F424:F425"/>
    <mergeCell ref="C424:E425"/>
    <mergeCell ref="C549:E550"/>
    <mergeCell ref="F549:F550"/>
    <mergeCell ref="C585:C586"/>
    <mergeCell ref="D585:D586"/>
    <mergeCell ref="H585:H586"/>
    <mergeCell ref="I585:I586"/>
    <mergeCell ref="C596:D597"/>
    <mergeCell ref="A598:A599"/>
    <mergeCell ref="C598:D599"/>
  </mergeCells>
  <pageMargins left="0.7" right="0.56000000000000005" top="0.75" bottom="0.75" header="0.3" footer="0.3"/>
  <pageSetup paperSize="9" orientation="portrait" horizontalDpi="300" verticalDpi="300" r:id="rId1"/>
  <headerFooter>
    <oddFooter>&amp;C&amp;F           &amp;A                &amp;P of &amp;N</oddFooter>
  </headerFooter>
  <rowBreaks count="1" manualBreakCount="1">
    <brk id="702" max="9" man="1"/>
  </rowBreaks>
  <ignoredErrors>
    <ignoredError sqref="C124:C125 C129:C130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HO393"/>
  <sheetViews>
    <sheetView topLeftCell="A234" workbookViewId="0">
      <selection activeCell="C249" sqref="C249"/>
    </sheetView>
  </sheetViews>
  <sheetFormatPr defaultRowHeight="12.75"/>
  <cols>
    <col min="4" max="4" width="10.5703125" bestFit="1" customWidth="1"/>
    <col min="10" max="10" width="9.140625" customWidth="1"/>
  </cols>
  <sheetData>
    <row r="1" spans="1:223">
      <c r="J1" s="227"/>
      <c r="HO1">
        <v>2</v>
      </c>
    </row>
    <row r="2" spans="1:223">
      <c r="B2" s="41" t="s">
        <v>696</v>
      </c>
      <c r="J2" s="227"/>
    </row>
    <row r="3" spans="1:223">
      <c r="B3" t="s">
        <v>700</v>
      </c>
      <c r="J3" s="227"/>
    </row>
    <row r="4" spans="1:223">
      <c r="B4" t="s">
        <v>701</v>
      </c>
      <c r="J4" s="227"/>
      <c r="K4" t="s">
        <v>13</v>
      </c>
      <c r="O4" t="s">
        <v>18</v>
      </c>
    </row>
    <row r="5" spans="1:223">
      <c r="B5" t="s">
        <v>697</v>
      </c>
      <c r="J5" s="227"/>
      <c r="K5" t="s">
        <v>14</v>
      </c>
      <c r="O5" t="s">
        <v>15</v>
      </c>
    </row>
    <row r="6" spans="1:223">
      <c r="B6" t="s">
        <v>188</v>
      </c>
      <c r="C6">
        <v>0.6</v>
      </c>
      <c r="J6" s="227"/>
      <c r="K6" t="s">
        <v>16</v>
      </c>
      <c r="O6" t="s">
        <v>17</v>
      </c>
    </row>
    <row r="7" spans="1:223">
      <c r="J7" s="227"/>
      <c r="K7" t="s">
        <v>19</v>
      </c>
    </row>
    <row r="8" spans="1:223">
      <c r="B8" t="s">
        <v>702</v>
      </c>
      <c r="J8" s="227"/>
    </row>
    <row r="9" spans="1:223">
      <c r="B9" t="s">
        <v>703</v>
      </c>
      <c r="J9" s="227"/>
    </row>
    <row r="10" spans="1:223">
      <c r="B10" t="s">
        <v>698</v>
      </c>
      <c r="J10" s="227"/>
    </row>
    <row r="11" spans="1:223">
      <c r="B11" t="s">
        <v>699</v>
      </c>
      <c r="J11" s="227"/>
    </row>
    <row r="12" spans="1:223">
      <c r="A12" s="462"/>
      <c r="B12" s="97"/>
      <c r="C12" s="463"/>
      <c r="D12" s="463"/>
      <c r="J12" s="227"/>
    </row>
    <row r="13" spans="1:223">
      <c r="A13" s="462"/>
      <c r="B13" s="97"/>
      <c r="C13" s="3130" t="s">
        <v>589</v>
      </c>
      <c r="D13" s="3130"/>
      <c r="E13" s="3130"/>
      <c r="F13" s="3130"/>
      <c r="J13" s="227"/>
    </row>
    <row r="14" spans="1:223">
      <c r="A14" s="462"/>
      <c r="B14" s="97"/>
      <c r="C14" s="3130" t="s">
        <v>694</v>
      </c>
      <c r="D14" s="3130"/>
      <c r="E14" s="3130"/>
      <c r="F14" s="3130"/>
      <c r="J14" s="227"/>
    </row>
    <row r="15" spans="1:223">
      <c r="A15" s="462"/>
      <c r="B15" s="97"/>
      <c r="C15" s="3131" t="s">
        <v>704</v>
      </c>
      <c r="D15" s="3131"/>
      <c r="E15" s="3131"/>
      <c r="F15" s="3131"/>
      <c r="J15" s="227"/>
    </row>
    <row r="16" spans="1:223">
      <c r="A16" s="462"/>
      <c r="B16" s="97"/>
      <c r="C16" s="464" t="s">
        <v>144</v>
      </c>
      <c r="D16" s="381" t="s">
        <v>795</v>
      </c>
      <c r="E16" s="464" t="s">
        <v>144</v>
      </c>
      <c r="F16" s="381" t="s">
        <v>795</v>
      </c>
      <c r="J16" s="227"/>
    </row>
    <row r="17" spans="1:10">
      <c r="A17" s="462"/>
      <c r="B17" s="97"/>
      <c r="C17" s="465"/>
      <c r="D17" s="104" t="s">
        <v>145</v>
      </c>
      <c r="E17" s="465"/>
      <c r="F17" s="104" t="s">
        <v>146</v>
      </c>
      <c r="J17" s="227"/>
    </row>
    <row r="18" spans="1:10">
      <c r="A18" s="462"/>
      <c r="B18" s="97"/>
      <c r="C18" s="96">
        <v>0</v>
      </c>
      <c r="D18" s="466">
        <v>0.61</v>
      </c>
      <c r="E18" s="469">
        <v>0</v>
      </c>
      <c r="F18" s="98">
        <v>0.61</v>
      </c>
      <c r="J18" s="227"/>
    </row>
    <row r="19" spans="1:10">
      <c r="A19" s="462"/>
      <c r="B19" s="97"/>
      <c r="C19" s="96">
        <v>0.02</v>
      </c>
      <c r="D19" s="467">
        <v>0.6</v>
      </c>
      <c r="E19" s="470">
        <v>0.06</v>
      </c>
      <c r="F19" s="98">
        <v>0.60699999999999998</v>
      </c>
      <c r="J19" s="227"/>
    </row>
    <row r="20" spans="1:10">
      <c r="A20" s="462"/>
      <c r="B20" s="97"/>
      <c r="C20" s="96">
        <v>0.04</v>
      </c>
      <c r="D20" s="467">
        <v>0.59</v>
      </c>
      <c r="E20" s="470">
        <v>0.1</v>
      </c>
      <c r="F20" s="98">
        <v>0.60599999999999998</v>
      </c>
      <c r="J20" s="227"/>
    </row>
    <row r="21" spans="1:10">
      <c r="A21" s="462"/>
      <c r="B21" s="97"/>
      <c r="C21" s="96">
        <v>7.0000000000000007E-2</v>
      </c>
      <c r="D21" s="467">
        <v>0.57699999999999996</v>
      </c>
      <c r="E21" s="470">
        <v>0.2</v>
      </c>
      <c r="F21" s="98">
        <v>0.60499999999999998</v>
      </c>
      <c r="J21" s="227"/>
    </row>
    <row r="22" spans="1:10">
      <c r="A22" s="462"/>
      <c r="B22" s="97"/>
      <c r="C22" s="96">
        <v>0.1</v>
      </c>
      <c r="D22" s="467">
        <v>0.56799999999999995</v>
      </c>
      <c r="E22" s="470">
        <v>0.3</v>
      </c>
      <c r="F22" s="98">
        <v>0.60399999999999998</v>
      </c>
      <c r="J22" s="227"/>
    </row>
    <row r="23" spans="1:10">
      <c r="A23" s="462"/>
      <c r="B23" s="97"/>
      <c r="C23" s="96">
        <v>0.17</v>
      </c>
      <c r="D23" s="467">
        <v>0.55000000000000004</v>
      </c>
      <c r="E23" s="470">
        <v>0.4</v>
      </c>
      <c r="F23" s="98">
        <v>0.60399999999999998</v>
      </c>
      <c r="J23" s="227"/>
    </row>
    <row r="24" spans="1:10">
      <c r="A24" s="462"/>
      <c r="B24" s="97"/>
      <c r="C24" s="96">
        <v>0.24</v>
      </c>
      <c r="D24" s="467">
        <v>0.53500000000000003</v>
      </c>
      <c r="E24" s="470">
        <v>0.45</v>
      </c>
      <c r="F24" s="98">
        <v>0.60499999999999998</v>
      </c>
      <c r="J24" s="227"/>
    </row>
    <row r="25" spans="1:10">
      <c r="A25" s="462"/>
      <c r="B25" s="97"/>
      <c r="C25" s="96">
        <v>0.3</v>
      </c>
      <c r="D25" s="467">
        <v>0.52600000000000002</v>
      </c>
      <c r="E25" s="470">
        <v>0.5</v>
      </c>
      <c r="F25" s="98">
        <v>0.60699999999999998</v>
      </c>
      <c r="J25" s="227"/>
    </row>
    <row r="26" spans="1:10">
      <c r="A26" s="462"/>
      <c r="B26" s="97"/>
      <c r="C26" s="96">
        <v>0.4</v>
      </c>
      <c r="D26" s="467">
        <v>0.51200000000000001</v>
      </c>
      <c r="E26" s="470">
        <v>0.56000000000000005</v>
      </c>
      <c r="F26" s="98">
        <v>0.61</v>
      </c>
      <c r="J26" s="227"/>
    </row>
    <row r="27" spans="1:10">
      <c r="A27" s="462"/>
      <c r="B27" s="97"/>
      <c r="C27" s="96">
        <v>0.5</v>
      </c>
      <c r="D27" s="467">
        <v>0.502</v>
      </c>
      <c r="E27" s="470">
        <v>0.6</v>
      </c>
      <c r="F27" s="98">
        <v>0.61399999999999999</v>
      </c>
      <c r="J27" s="227"/>
    </row>
    <row r="28" spans="1:10">
      <c r="A28" s="462"/>
      <c r="B28" s="97"/>
      <c r="C28" s="96">
        <v>0.56000000000000005</v>
      </c>
      <c r="D28" s="467">
        <v>0.496</v>
      </c>
      <c r="E28" s="470">
        <v>0.66</v>
      </c>
      <c r="F28" s="98">
        <v>0.62</v>
      </c>
      <c r="J28" s="227"/>
    </row>
    <row r="29" spans="1:10">
      <c r="A29" s="462"/>
      <c r="B29" s="97"/>
      <c r="C29" s="96">
        <v>0.6</v>
      </c>
      <c r="D29" s="467">
        <v>0.49299999999999999</v>
      </c>
      <c r="E29" s="470">
        <v>0.7</v>
      </c>
      <c r="F29" s="98">
        <v>0.627</v>
      </c>
      <c r="J29" s="227"/>
    </row>
    <row r="30" spans="1:10">
      <c r="A30" s="462"/>
      <c r="B30" s="97"/>
      <c r="C30" s="96">
        <v>0.66500000000000004</v>
      </c>
      <c r="D30" s="467">
        <v>0.49</v>
      </c>
      <c r="E30" s="470">
        <v>0.8</v>
      </c>
      <c r="F30" s="98">
        <v>0.65</v>
      </c>
      <c r="J30" s="227"/>
    </row>
    <row r="31" spans="1:10">
      <c r="C31" s="99">
        <v>0.8</v>
      </c>
      <c r="D31" s="468">
        <v>0.49</v>
      </c>
      <c r="E31" s="471"/>
      <c r="F31" s="100"/>
      <c r="J31" s="227"/>
    </row>
    <row r="32" spans="1:10">
      <c r="J32" s="227"/>
    </row>
    <row r="33" spans="1:10">
      <c r="B33" s="3130" t="s">
        <v>590</v>
      </c>
      <c r="C33" s="3130"/>
      <c r="D33" s="3130"/>
      <c r="E33" s="3130"/>
      <c r="F33" s="3130"/>
      <c r="J33" s="227"/>
    </row>
    <row r="34" spans="1:10">
      <c r="B34" s="3130" t="s">
        <v>274</v>
      </c>
      <c r="C34" s="3130"/>
      <c r="D34" s="3130"/>
      <c r="E34" s="3130"/>
      <c r="F34" s="3130"/>
      <c r="J34" s="227"/>
    </row>
    <row r="35" spans="1:10">
      <c r="C35" s="187" t="s">
        <v>705</v>
      </c>
      <c r="J35" s="227"/>
    </row>
    <row r="36" spans="1:10">
      <c r="B36" s="118" t="s">
        <v>143</v>
      </c>
      <c r="C36" s="119"/>
      <c r="D36" s="119"/>
      <c r="E36" s="137" t="s">
        <v>175</v>
      </c>
      <c r="F36" s="137" t="s">
        <v>174</v>
      </c>
      <c r="J36" s="227"/>
    </row>
    <row r="37" spans="1:10">
      <c r="B37" s="91"/>
      <c r="C37" s="59"/>
      <c r="D37" s="59"/>
      <c r="E37" s="167" t="s">
        <v>272</v>
      </c>
      <c r="F37" s="166" t="s">
        <v>273</v>
      </c>
      <c r="J37" s="227"/>
    </row>
    <row r="38" spans="1:10">
      <c r="B38" s="120" t="s">
        <v>176</v>
      </c>
      <c r="C38" s="55"/>
      <c r="D38" s="55"/>
      <c r="E38" s="122">
        <v>1.62</v>
      </c>
      <c r="F38" s="168">
        <v>2.94</v>
      </c>
      <c r="J38" s="227"/>
    </row>
    <row r="39" spans="1:10">
      <c r="B39" s="57" t="s">
        <v>137</v>
      </c>
      <c r="C39" s="16"/>
      <c r="D39" s="16"/>
      <c r="E39" s="123">
        <v>1.58</v>
      </c>
      <c r="F39" s="155">
        <v>2.86</v>
      </c>
      <c r="J39" s="227"/>
    </row>
    <row r="40" spans="1:10">
      <c r="B40" s="57" t="s">
        <v>138</v>
      </c>
      <c r="C40" s="16"/>
      <c r="D40" s="16"/>
      <c r="E40" s="123">
        <v>1.56</v>
      </c>
      <c r="F40" s="155">
        <v>2.8</v>
      </c>
      <c r="J40" s="227"/>
    </row>
    <row r="41" spans="1:10">
      <c r="B41" s="57" t="s">
        <v>139</v>
      </c>
      <c r="C41" s="16"/>
      <c r="D41" s="16"/>
      <c r="E41" s="123">
        <v>1.48</v>
      </c>
      <c r="F41" s="155">
        <v>2.68</v>
      </c>
      <c r="J41" s="227"/>
    </row>
    <row r="42" spans="1:10">
      <c r="B42" s="116" t="s">
        <v>140</v>
      </c>
      <c r="C42" s="117"/>
      <c r="D42" s="117"/>
      <c r="E42" s="124">
        <v>1.35</v>
      </c>
      <c r="F42" s="169">
        <v>2.4500000000000002</v>
      </c>
      <c r="J42" s="227"/>
    </row>
    <row r="43" spans="1:10">
      <c r="B43" s="57" t="s">
        <v>141</v>
      </c>
      <c r="C43" s="16"/>
      <c r="D43" s="16"/>
      <c r="E43" s="123"/>
      <c r="F43" s="155">
        <v>2.68</v>
      </c>
      <c r="J43" s="227"/>
    </row>
    <row r="44" spans="1:10">
      <c r="B44" s="91" t="s">
        <v>142</v>
      </c>
      <c r="C44" s="59"/>
      <c r="D44" s="59"/>
      <c r="E44" s="104"/>
      <c r="F44" s="170">
        <v>2.4500000000000002</v>
      </c>
      <c r="J44" s="227"/>
    </row>
    <row r="45" spans="1:10">
      <c r="J45" s="227"/>
    </row>
    <row r="46" spans="1:10">
      <c r="B46" s="1" t="s">
        <v>591</v>
      </c>
      <c r="J46" s="227"/>
    </row>
    <row r="47" spans="1:10">
      <c r="B47" t="s">
        <v>592</v>
      </c>
      <c r="J47" s="227"/>
    </row>
    <row r="48" spans="1:10">
      <c r="A48" s="30" t="s">
        <v>517</v>
      </c>
      <c r="J48" s="227"/>
    </row>
    <row r="49" spans="1:10">
      <c r="A49" s="30"/>
      <c r="J49" s="227"/>
    </row>
    <row r="50" spans="1:10">
      <c r="A50" s="187" t="s">
        <v>516</v>
      </c>
      <c r="D50" s="17" t="s">
        <v>800</v>
      </c>
      <c r="E50" s="33">
        <v>1</v>
      </c>
      <c r="F50" t="s">
        <v>118</v>
      </c>
      <c r="H50" s="4"/>
      <c r="J50" s="227"/>
    </row>
    <row r="51" spans="1:10">
      <c r="H51" s="4"/>
      <c r="J51" s="227"/>
    </row>
    <row r="52" spans="1:10">
      <c r="A52" s="303" t="s">
        <v>513</v>
      </c>
      <c r="B52" s="256" t="s">
        <v>123</v>
      </c>
      <c r="C52" s="249" t="s">
        <v>124</v>
      </c>
      <c r="D52" s="256" t="s">
        <v>514</v>
      </c>
      <c r="E52" s="250" t="s">
        <v>515</v>
      </c>
      <c r="F52" s="149"/>
      <c r="H52" s="5" t="s">
        <v>558</v>
      </c>
      <c r="J52" s="227"/>
    </row>
    <row r="53" spans="1:10">
      <c r="A53" s="297">
        <f>1/8</f>
        <v>0.125</v>
      </c>
      <c r="B53" s="123">
        <v>5.1999999999999998E-3</v>
      </c>
      <c r="C53" s="75">
        <v>7.1999999999999998E-3</v>
      </c>
      <c r="D53" s="304">
        <v>9.64E-2</v>
      </c>
      <c r="E53" s="147">
        <v>0.27060000000000001</v>
      </c>
      <c r="H53" s="4"/>
      <c r="J53" s="227"/>
    </row>
    <row r="54" spans="1:10">
      <c r="A54" s="297">
        <f>1/4</f>
        <v>0.25</v>
      </c>
      <c r="B54" s="304">
        <v>1.4999999999999999E-2</v>
      </c>
      <c r="C54" s="75">
        <v>2.2100000000000002E-2</v>
      </c>
      <c r="D54" s="304">
        <v>0.15129999999999999</v>
      </c>
      <c r="E54" s="147">
        <v>0.42320000000000002</v>
      </c>
      <c r="H54" s="4"/>
      <c r="J54" s="227"/>
    </row>
    <row r="55" spans="1:10">
      <c r="A55" s="297">
        <f>3/8</f>
        <v>0.375</v>
      </c>
      <c r="B55" s="123">
        <v>2.46E-2</v>
      </c>
      <c r="C55" s="75">
        <v>3.5400000000000001E-2</v>
      </c>
      <c r="D55" s="304">
        <v>0.20499999999999999</v>
      </c>
      <c r="E55" s="147">
        <v>0.41849999999999998</v>
      </c>
      <c r="F55" s="18" t="s">
        <v>802</v>
      </c>
      <c r="G55" s="191" t="s">
        <v>118</v>
      </c>
      <c r="H55" s="3" t="s">
        <v>537</v>
      </c>
      <c r="J55" s="227"/>
    </row>
    <row r="56" spans="1:10">
      <c r="A56" s="297">
        <f>1/2</f>
        <v>0.5</v>
      </c>
      <c r="B56" s="123">
        <v>3.3399999999999999E-2</v>
      </c>
      <c r="C56" s="75">
        <v>5.4600000000000003E-2</v>
      </c>
      <c r="D56" s="304">
        <v>0.2311</v>
      </c>
      <c r="E56" s="147">
        <v>0.48270000000000002</v>
      </c>
      <c r="H56" s="4"/>
      <c r="J56" s="227"/>
    </row>
    <row r="57" spans="1:10">
      <c r="A57" s="297">
        <f>3/4</f>
        <v>0.75</v>
      </c>
      <c r="B57" s="123">
        <v>4.87E-2</v>
      </c>
      <c r="C57" s="298">
        <v>8.9599999999999999E-2</v>
      </c>
      <c r="D57" s="304">
        <v>0.23830000000000001</v>
      </c>
      <c r="E57" s="299">
        <v>0.55049999999999999</v>
      </c>
      <c r="H57" s="4"/>
      <c r="J57" s="227"/>
    </row>
    <row r="58" spans="1:10">
      <c r="A58" s="300">
        <v>1</v>
      </c>
      <c r="B58" s="104">
        <v>6.6199999999999995E-2</v>
      </c>
      <c r="C58" s="301">
        <v>1.157E-2</v>
      </c>
      <c r="D58" s="305">
        <v>0.24809999999999999</v>
      </c>
      <c r="E58" s="302">
        <v>0.55859999999999999</v>
      </c>
      <c r="H58" s="4"/>
      <c r="J58" s="227"/>
    </row>
    <row r="59" spans="1:10">
      <c r="A59" s="2"/>
      <c r="B59" s="2"/>
      <c r="C59" s="10"/>
      <c r="D59" s="2"/>
      <c r="E59" s="14"/>
      <c r="H59" s="191"/>
      <c r="J59" s="227"/>
    </row>
    <row r="60" spans="1:10">
      <c r="B60" s="2"/>
      <c r="C60" s="10"/>
      <c r="D60" s="2"/>
      <c r="E60" s="14"/>
      <c r="F60" s="203" t="s">
        <v>555</v>
      </c>
      <c r="G60" s="10"/>
      <c r="H60" s="18"/>
      <c r="J60" s="227"/>
    </row>
    <row r="61" spans="1:10">
      <c r="A61" s="191" t="s">
        <v>556</v>
      </c>
      <c r="B61" s="2"/>
      <c r="C61" s="223" t="s">
        <v>557</v>
      </c>
      <c r="D61" s="2"/>
      <c r="E61" s="14"/>
      <c r="G61" s="10"/>
      <c r="H61" s="18"/>
      <c r="J61" s="227"/>
    </row>
    <row r="62" spans="1:10">
      <c r="A62" s="2"/>
      <c r="B62" s="2"/>
      <c r="C62" s="10"/>
      <c r="D62" s="2"/>
      <c r="E62" s="14"/>
      <c r="H62" s="191" t="s">
        <v>117</v>
      </c>
      <c r="J62" s="227"/>
    </row>
    <row r="63" spans="1:10">
      <c r="A63" s="187" t="s">
        <v>516</v>
      </c>
      <c r="D63" s="17" t="s">
        <v>800</v>
      </c>
      <c r="E63">
        <f>2/3</f>
        <v>0.66666666666666663</v>
      </c>
      <c r="F63" t="s">
        <v>118</v>
      </c>
      <c r="J63" s="227"/>
    </row>
    <row r="64" spans="1:10">
      <c r="J64" s="227"/>
    </row>
    <row r="65" spans="1:10">
      <c r="A65" s="443" t="s">
        <v>513</v>
      </c>
      <c r="B65" s="256" t="s">
        <v>123</v>
      </c>
      <c r="C65" s="445" t="s">
        <v>124</v>
      </c>
      <c r="D65" s="256" t="s">
        <v>514</v>
      </c>
      <c r="E65" s="444" t="s">
        <v>515</v>
      </c>
      <c r="G65" s="149"/>
      <c r="J65" s="227"/>
    </row>
    <row r="66" spans="1:10">
      <c r="A66" s="297">
        <f>1/8</f>
        <v>0.125</v>
      </c>
      <c r="B66" s="123">
        <v>4.4000000000000003E-3</v>
      </c>
      <c r="C66" s="75">
        <v>6.6E-3</v>
      </c>
      <c r="D66" s="304">
        <v>8.43E-2</v>
      </c>
      <c r="E66" s="147">
        <v>0.25</v>
      </c>
      <c r="J66" s="227"/>
    </row>
    <row r="67" spans="1:10">
      <c r="A67" s="297">
        <f>1/4</f>
        <v>0.25</v>
      </c>
      <c r="B67" s="304">
        <v>9.7999999999999997E-3</v>
      </c>
      <c r="C67" s="75">
        <v>1.8100000000000002E-2</v>
      </c>
      <c r="D67" s="304">
        <v>0.1288</v>
      </c>
      <c r="E67" s="147">
        <v>0.35439999999999999</v>
      </c>
      <c r="J67" s="227"/>
    </row>
    <row r="68" spans="1:10">
      <c r="A68" s="297">
        <f>3/8</f>
        <v>0.375</v>
      </c>
      <c r="B68" s="123">
        <v>1.4800000000000001E-2</v>
      </c>
      <c r="C68" s="75">
        <v>2.5700000000000001E-2</v>
      </c>
      <c r="D68" s="304">
        <v>0.1353</v>
      </c>
      <c r="E68" s="147">
        <v>0.31590000000000001</v>
      </c>
      <c r="J68" s="227"/>
    </row>
    <row r="69" spans="1:10">
      <c r="A69" s="297">
        <f>1/2</f>
        <v>0.5</v>
      </c>
      <c r="B69" s="123">
        <v>1.78E-2</v>
      </c>
      <c r="C69" s="75">
        <v>3.5799999999999998E-2</v>
      </c>
      <c r="D69" s="304">
        <v>0.15079999999999999</v>
      </c>
      <c r="E69" s="147">
        <v>0.3382</v>
      </c>
      <c r="J69" s="227"/>
    </row>
    <row r="70" spans="1:10">
      <c r="A70" s="297">
        <f>3/4</f>
        <v>0.75</v>
      </c>
      <c r="B70" s="123">
        <v>1.9300000000000001E-2</v>
      </c>
      <c r="C70" s="298">
        <v>5.0700000000000002E-2</v>
      </c>
      <c r="D70" s="304">
        <v>0.15609999999999999</v>
      </c>
      <c r="E70" s="299">
        <v>0.3569</v>
      </c>
      <c r="G70" t="s">
        <v>802</v>
      </c>
      <c r="J70" s="227"/>
    </row>
    <row r="71" spans="1:10">
      <c r="A71" s="300">
        <v>1</v>
      </c>
      <c r="B71" s="104">
        <v>2.0899999999999998E-2</v>
      </c>
      <c r="C71" s="472">
        <v>6.0299999999999999E-2</v>
      </c>
      <c r="D71" s="305">
        <v>0.1522</v>
      </c>
      <c r="E71" s="302">
        <v>0.35670000000000002</v>
      </c>
      <c r="J71" s="227"/>
    </row>
    <row r="72" spans="1:10">
      <c r="A72" s="2"/>
      <c r="B72" s="2"/>
      <c r="C72" s="10"/>
      <c r="D72" s="2"/>
      <c r="E72" s="14"/>
      <c r="J72" s="227"/>
    </row>
    <row r="73" spans="1:10">
      <c r="B73" s="2"/>
      <c r="C73" s="10"/>
      <c r="D73" s="2"/>
      <c r="E73" s="14"/>
      <c r="G73" s="203" t="s">
        <v>555</v>
      </c>
      <c r="J73" s="227"/>
    </row>
    <row r="74" spans="1:10">
      <c r="J74" s="227"/>
    </row>
    <row r="75" spans="1:10">
      <c r="A75" s="187" t="s">
        <v>516</v>
      </c>
      <c r="D75" s="17" t="s">
        <v>800</v>
      </c>
      <c r="E75">
        <f>1/3</f>
        <v>0.33333333333333331</v>
      </c>
      <c r="F75" t="s">
        <v>118</v>
      </c>
      <c r="J75" s="227"/>
    </row>
    <row r="76" spans="1:10">
      <c r="J76" s="227"/>
    </row>
    <row r="77" spans="1:10">
      <c r="A77" s="443" t="s">
        <v>513</v>
      </c>
      <c r="B77" s="256" t="s">
        <v>123</v>
      </c>
      <c r="C77" s="445" t="s">
        <v>124</v>
      </c>
      <c r="D77" s="256" t="s">
        <v>514</v>
      </c>
      <c r="E77" s="444" t="s">
        <v>515</v>
      </c>
      <c r="G77" s="149"/>
      <c r="J77" s="227"/>
    </row>
    <row r="78" spans="1:10">
      <c r="A78" s="297">
        <f>1/8</f>
        <v>0.125</v>
      </c>
      <c r="B78" s="123">
        <v>2.3E-3</v>
      </c>
      <c r="C78" s="75">
        <v>4.1000000000000003E-3</v>
      </c>
      <c r="D78" s="304">
        <v>4.82E-2</v>
      </c>
      <c r="E78" s="147">
        <v>0.1925</v>
      </c>
      <c r="J78" s="227"/>
    </row>
    <row r="79" spans="1:10">
      <c r="A79" s="297">
        <f>1/4</f>
        <v>0.25</v>
      </c>
      <c r="B79" s="304">
        <v>4.7000000000000002E-3</v>
      </c>
      <c r="C79" s="75">
        <v>8.6999999999999994E-3</v>
      </c>
      <c r="D79" s="304">
        <v>7.1900000000000006E-2</v>
      </c>
      <c r="E79" s="147">
        <v>0.21659999999999999</v>
      </c>
      <c r="J79" s="227"/>
    </row>
    <row r="80" spans="1:10">
      <c r="A80" s="297">
        <f>3/8</f>
        <v>0.375</v>
      </c>
      <c r="B80" s="123">
        <v>5.1000000000000004E-3</v>
      </c>
      <c r="C80" s="75">
        <v>1.18E-2</v>
      </c>
      <c r="D80" s="304">
        <v>7.5600000000000001E-2</v>
      </c>
      <c r="E80" s="147">
        <v>0.1699</v>
      </c>
      <c r="J80" s="227"/>
    </row>
    <row r="81" spans="1:10">
      <c r="A81" s="297">
        <f>1/2</f>
        <v>0.5</v>
      </c>
      <c r="B81" s="123">
        <v>4.8999999999999998E-3</v>
      </c>
      <c r="C81" s="298">
        <v>1.4E-2</v>
      </c>
      <c r="D81" s="304">
        <v>7.4700000000000003E-2</v>
      </c>
      <c r="E81" s="147">
        <v>0.17050000000000001</v>
      </c>
      <c r="J81" s="227"/>
    </row>
    <row r="82" spans="1:10">
      <c r="A82" s="297">
        <f>3/4</f>
        <v>0.75</v>
      </c>
      <c r="B82" s="123">
        <v>4.1000000000000003E-3</v>
      </c>
      <c r="C82" s="298">
        <v>1.67E-2</v>
      </c>
      <c r="D82" s="304">
        <v>7.2300000000000003E-2</v>
      </c>
      <c r="E82" s="299">
        <v>0.17100000000000001</v>
      </c>
      <c r="G82" t="s">
        <v>802</v>
      </c>
      <c r="J82" s="227"/>
    </row>
    <row r="83" spans="1:10">
      <c r="A83" s="300">
        <v>1</v>
      </c>
      <c r="B83" s="104">
        <v>3.8999999999999998E-3</v>
      </c>
      <c r="C83" s="472">
        <v>1.8100000000000002E-2</v>
      </c>
      <c r="D83" s="305">
        <v>7.2300000000000003E-2</v>
      </c>
      <c r="E83" s="302">
        <v>0.1704</v>
      </c>
      <c r="J83" s="227"/>
    </row>
    <row r="84" spans="1:10">
      <c r="A84" s="2"/>
      <c r="B84" s="2"/>
      <c r="C84" s="10"/>
      <c r="D84" s="2"/>
      <c r="E84" s="14"/>
      <c r="J84" s="227"/>
    </row>
    <row r="85" spans="1:10">
      <c r="B85" s="2"/>
      <c r="C85" s="10"/>
      <c r="D85" s="2"/>
      <c r="E85" s="14"/>
      <c r="G85" s="203" t="s">
        <v>555</v>
      </c>
      <c r="J85" s="227"/>
    </row>
    <row r="86" spans="1:10">
      <c r="D86" s="10"/>
      <c r="E86" s="18"/>
      <c r="F86" s="14"/>
      <c r="J86" s="227"/>
    </row>
    <row r="87" spans="1:10">
      <c r="A87" s="187" t="s">
        <v>516</v>
      </c>
      <c r="D87" s="17" t="s">
        <v>800</v>
      </c>
      <c r="E87">
        <f>1/6</f>
        <v>0.16666666666666666</v>
      </c>
      <c r="F87" t="s">
        <v>118</v>
      </c>
      <c r="J87" s="227"/>
    </row>
    <row r="88" spans="1:10">
      <c r="J88" s="227"/>
    </row>
    <row r="89" spans="1:10">
      <c r="A89" s="443" t="s">
        <v>513</v>
      </c>
      <c r="B89" s="256" t="s">
        <v>123</v>
      </c>
      <c r="C89" s="445" t="s">
        <v>124</v>
      </c>
      <c r="D89" s="256" t="s">
        <v>514</v>
      </c>
      <c r="E89" s="444" t="s">
        <v>515</v>
      </c>
      <c r="G89" s="149"/>
      <c r="J89" s="227"/>
    </row>
    <row r="90" spans="1:10">
      <c r="A90" s="297">
        <f>1/8</f>
        <v>0.125</v>
      </c>
      <c r="B90" s="123">
        <v>5.9999999999999995E-4</v>
      </c>
      <c r="C90" s="75">
        <v>2.7000000000000001E-3</v>
      </c>
      <c r="D90" s="304">
        <v>1.37E-2</v>
      </c>
      <c r="E90" s="147">
        <v>0.11849999999999999</v>
      </c>
      <c r="J90" s="227"/>
    </row>
    <row r="91" spans="1:10">
      <c r="A91" s="297">
        <f>1/4</f>
        <v>0.25</v>
      </c>
      <c r="B91" s="304">
        <v>1.1999999999999999E-3</v>
      </c>
      <c r="C91" s="75">
        <v>3.5999999999999999E-3</v>
      </c>
      <c r="D91" s="304">
        <v>2.0199999999999999E-2</v>
      </c>
      <c r="E91" s="147">
        <v>0.1086</v>
      </c>
      <c r="J91" s="227"/>
    </row>
    <row r="92" spans="1:10">
      <c r="A92" s="297">
        <f>3/8</f>
        <v>0.375</v>
      </c>
      <c r="B92" s="123">
        <v>1.2999999999999999E-3</v>
      </c>
      <c r="C92" s="75">
        <v>3.8E-3</v>
      </c>
      <c r="D92" s="304">
        <v>2.12E-2</v>
      </c>
      <c r="E92" s="147">
        <v>8.4599999999999995E-2</v>
      </c>
      <c r="J92" s="227"/>
    </row>
    <row r="93" spans="1:10">
      <c r="A93" s="297">
        <f>1/2</f>
        <v>0.5</v>
      </c>
      <c r="B93" s="123">
        <v>1.1999999999999999E-3</v>
      </c>
      <c r="C93" s="75">
        <v>4.3E-3</v>
      </c>
      <c r="D93" s="304">
        <v>2.0899999999999998E-2</v>
      </c>
      <c r="E93" s="147">
        <v>8.43E-2</v>
      </c>
      <c r="J93" s="227"/>
    </row>
    <row r="94" spans="1:10">
      <c r="A94" s="297">
        <f>3/4</f>
        <v>0.75</v>
      </c>
      <c r="B94" s="123">
        <v>1E-3</v>
      </c>
      <c r="C94" s="298">
        <v>4.7999999999999996E-3</v>
      </c>
      <c r="D94" s="304">
        <v>2.3300000000000001E-2</v>
      </c>
      <c r="E94" s="299">
        <v>8.4099999999999994E-2</v>
      </c>
      <c r="J94" s="227"/>
    </row>
    <row r="95" spans="1:10">
      <c r="A95" s="300">
        <v>1</v>
      </c>
      <c r="B95" s="104">
        <v>1E-3</v>
      </c>
      <c r="C95" s="472">
        <v>5.0000000000000001E-3</v>
      </c>
      <c r="D95" s="305">
        <v>2.7E-2</v>
      </c>
      <c r="E95" s="302">
        <v>8.3900000000000002E-2</v>
      </c>
      <c r="J95" s="227"/>
    </row>
    <row r="96" spans="1:10">
      <c r="A96" s="2"/>
      <c r="B96" s="2"/>
      <c r="C96" s="10"/>
      <c r="D96" s="2"/>
      <c r="E96" s="14"/>
      <c r="G96" t="s">
        <v>802</v>
      </c>
      <c r="J96" s="227"/>
    </row>
    <row r="97" spans="1:10">
      <c r="A97" s="2" t="s">
        <v>566</v>
      </c>
      <c r="B97" s="2"/>
      <c r="C97" s="10"/>
      <c r="D97" s="2"/>
      <c r="E97" s="14"/>
      <c r="J97" s="227"/>
    </row>
    <row r="98" spans="1:10">
      <c r="A98" s="18" t="s">
        <v>796</v>
      </c>
      <c r="B98" s="18"/>
      <c r="D98" s="17"/>
      <c r="E98" s="247">
        <f>'CS gate'!C165</f>
        <v>0.18867924528301885</v>
      </c>
      <c r="G98" s="203" t="s">
        <v>555</v>
      </c>
      <c r="J98" s="227"/>
    </row>
    <row r="99" spans="1:10">
      <c r="A99" s="459" t="s">
        <v>801</v>
      </c>
      <c r="B99" s="256" t="s">
        <v>123</v>
      </c>
      <c r="C99" s="445" t="s">
        <v>124</v>
      </c>
      <c r="D99" s="256" t="s">
        <v>514</v>
      </c>
      <c r="E99" s="444" t="s">
        <v>515</v>
      </c>
      <c r="F99" s="14"/>
      <c r="J99" s="227"/>
    </row>
    <row r="100" spans="1:10">
      <c r="A100" s="473">
        <f>E87</f>
        <v>0.16666666666666666</v>
      </c>
      <c r="B100" s="252">
        <f>VLOOKUP(E98,A90:E95,2,TRUE)</f>
        <v>5.9999999999999995E-4</v>
      </c>
      <c r="C100" s="474">
        <f>VLOOKUP(E98,A90:E95,3,TRUE)</f>
        <v>2.7000000000000001E-3</v>
      </c>
      <c r="D100" s="474">
        <f>VLOOKUP(E98,A90:E95,4,TRUE)</f>
        <v>1.37E-2</v>
      </c>
      <c r="E100" s="480">
        <f>VLOOKUP(E98,A90:E95,5,TRUE)</f>
        <v>0.11849999999999999</v>
      </c>
      <c r="F100" s="14"/>
      <c r="J100" s="227"/>
    </row>
    <row r="101" spans="1:10">
      <c r="A101" s="297">
        <f>E75</f>
        <v>0.33333333333333331</v>
      </c>
      <c r="B101" s="252">
        <f>VLOOKUP(E98,A78:E83,2,TRUE)</f>
        <v>2.3E-3</v>
      </c>
      <c r="C101" s="75">
        <f>VLOOKUP(E98,A78:E83,3,TRUE)</f>
        <v>4.1000000000000003E-3</v>
      </c>
      <c r="D101" s="298">
        <f>VLOOKUP(E98,A78:E83,4,TRUE)</f>
        <v>4.82E-2</v>
      </c>
      <c r="E101" s="147">
        <f>VLOOKUP(E98,A78:E83,5,TRUE)</f>
        <v>0.1925</v>
      </c>
      <c r="F101" s="14"/>
      <c r="J101" s="227"/>
    </row>
    <row r="102" spans="1:10">
      <c r="A102" s="297">
        <f>E63</f>
        <v>0.66666666666666663</v>
      </c>
      <c r="B102" s="75">
        <f>VLOOKUP(E98,A66:E71,2,TRUE)</f>
        <v>4.4000000000000003E-3</v>
      </c>
      <c r="C102" s="75">
        <f>VLOOKUP(E98,A66:E71,3,TRUE)</f>
        <v>6.6E-3</v>
      </c>
      <c r="D102" s="298">
        <f>VLOOKUP(E98,A66:E71,4,TRUE)</f>
        <v>8.43E-2</v>
      </c>
      <c r="E102" s="147">
        <f>VLOOKUP(E98,A66:E71,5,TRUE)</f>
        <v>0.25</v>
      </c>
      <c r="F102" s="14"/>
      <c r="J102" s="227"/>
    </row>
    <row r="103" spans="1:10" ht="13.5" thickBot="1">
      <c r="A103" s="297">
        <v>1</v>
      </c>
      <c r="B103" s="298">
        <f>VLOOKUP(E98,A53:E58,2,TRUE)</f>
        <v>5.1999999999999998E-3</v>
      </c>
      <c r="C103" s="298">
        <f>VLOOKUP(E98,A53:E58,3,TRUE)</f>
        <v>7.1999999999999998E-3</v>
      </c>
      <c r="D103" s="298">
        <f>VLOOKUP(E98,A53:E58,4,TRUE)</f>
        <v>9.64E-2</v>
      </c>
      <c r="E103" s="299">
        <f>VLOOKUP(E98,A53:E58,5,TRUE)</f>
        <v>0.27060000000000001</v>
      </c>
      <c r="F103" s="14"/>
      <c r="J103" s="227"/>
    </row>
    <row r="104" spans="1:10" ht="13.5" thickBot="1">
      <c r="A104" s="476">
        <f>'CS gate'!C166</f>
        <v>0.41509433962264158</v>
      </c>
      <c r="B104" s="481">
        <f>VLOOKUP(A104,A100:E103,2,TRUE)</f>
        <v>2.3E-3</v>
      </c>
      <c r="C104" s="481">
        <f>VLOOKUP(A104,A100:E103,3,TRUE)</f>
        <v>4.1000000000000003E-3</v>
      </c>
      <c r="D104" s="475">
        <f>VLOOKUP(A104,A100:E103,4,TRUE)</f>
        <v>4.82E-2</v>
      </c>
      <c r="E104" s="482">
        <f>VLOOKUP(A104,A100:E103,5,TRUE)</f>
        <v>0.1925</v>
      </c>
      <c r="F104" s="14"/>
      <c r="J104" s="227"/>
    </row>
    <row r="105" spans="1:10">
      <c r="B105" s="2"/>
      <c r="C105" s="2"/>
      <c r="D105" s="10"/>
      <c r="E105" s="2"/>
      <c r="F105" s="14"/>
      <c r="J105" s="227"/>
    </row>
    <row r="106" spans="1:10">
      <c r="A106" s="2" t="s">
        <v>567</v>
      </c>
      <c r="B106" s="2"/>
      <c r="C106" s="10"/>
      <c r="D106" s="2"/>
      <c r="E106" s="14"/>
      <c r="F106" s="14"/>
      <c r="J106" s="227"/>
    </row>
    <row r="107" spans="1:10">
      <c r="A107" s="18" t="s">
        <v>796</v>
      </c>
      <c r="B107" s="2"/>
      <c r="C107" s="2"/>
      <c r="D107" s="2"/>
      <c r="E107" s="247">
        <f>'CS gate'!C193</f>
        <v>0.18867924528301885</v>
      </c>
      <c r="F107" s="14"/>
      <c r="J107" s="227"/>
    </row>
    <row r="108" spans="1:10">
      <c r="A108" s="459" t="s">
        <v>801</v>
      </c>
      <c r="B108" s="256" t="s">
        <v>123</v>
      </c>
      <c r="C108" s="461" t="s">
        <v>124</v>
      </c>
      <c r="D108" s="256" t="s">
        <v>514</v>
      </c>
      <c r="E108" s="460" t="s">
        <v>515</v>
      </c>
      <c r="F108" s="14"/>
      <c r="J108" s="227"/>
    </row>
    <row r="109" spans="1:10">
      <c r="A109" s="473">
        <f>A100</f>
        <v>0.16666666666666666</v>
      </c>
      <c r="B109" s="252">
        <f>VLOOKUP(E107,A90:E95,2,TRUE)</f>
        <v>5.9999999999999995E-4</v>
      </c>
      <c r="C109" s="474">
        <f>VLOOKUP(E107,A90:E95,3,TRUE)</f>
        <v>2.7000000000000001E-3</v>
      </c>
      <c r="D109" s="474">
        <f>VLOOKUP(E107,A90:E95,4,TRUE)</f>
        <v>1.37E-2</v>
      </c>
      <c r="E109" s="480">
        <f>VLOOKUP(E107,A90:E95,5,TRUE)</f>
        <v>0.11849999999999999</v>
      </c>
      <c r="F109" s="14"/>
      <c r="J109" s="227"/>
    </row>
    <row r="110" spans="1:10">
      <c r="A110" s="473">
        <f t="shared" ref="A110:A112" si="0">A101</f>
        <v>0.33333333333333331</v>
      </c>
      <c r="B110" s="252">
        <f>VLOOKUP(E107,A78:E83,2,TRUE)</f>
        <v>2.3E-3</v>
      </c>
      <c r="C110" s="75">
        <f>VLOOKUP(E107,A78:E83,3,TRUE)</f>
        <v>4.1000000000000003E-3</v>
      </c>
      <c r="D110" s="298">
        <f>VLOOKUP(E107,A78:E83,4,TRUE)</f>
        <v>4.82E-2</v>
      </c>
      <c r="E110" s="147">
        <f>VLOOKUP(E107,A78:E83,5,TRUE)</f>
        <v>0.1925</v>
      </c>
      <c r="F110" s="14"/>
      <c r="J110" s="227"/>
    </row>
    <row r="111" spans="1:10">
      <c r="A111" s="473">
        <f t="shared" si="0"/>
        <v>0.66666666666666663</v>
      </c>
      <c r="B111" s="75">
        <f>VLOOKUP(E107,A66:E71,2,TRUE)</f>
        <v>4.4000000000000003E-3</v>
      </c>
      <c r="C111" s="75">
        <f>VLOOKUP(E107,A66:E71,3,TRUE)</f>
        <v>6.6E-3</v>
      </c>
      <c r="D111" s="298">
        <f>VLOOKUP(E107,A66:E71,4,TRUE)</f>
        <v>8.43E-2</v>
      </c>
      <c r="E111" s="147">
        <f>VLOOKUP(E107,A66:E71,5,TRUE)</f>
        <v>0.25</v>
      </c>
      <c r="F111" s="14"/>
      <c r="J111" s="227"/>
    </row>
    <row r="112" spans="1:10" ht="13.5" thickBot="1">
      <c r="A112" s="473">
        <f t="shared" si="0"/>
        <v>1</v>
      </c>
      <c r="B112" s="298">
        <f>VLOOKUP(E107,A53:E58,2,TRUE)</f>
        <v>5.1999999999999998E-3</v>
      </c>
      <c r="C112" s="298">
        <f>VLOOKUP(E107,A53:E58,3,TRUE)</f>
        <v>7.1999999999999998E-3</v>
      </c>
      <c r="D112" s="298">
        <f>VLOOKUP(E107,A53:E58,4,TRUE)</f>
        <v>9.64E-2</v>
      </c>
      <c r="E112" s="299">
        <f>VLOOKUP(E107,A53:E58,5,TRUE)</f>
        <v>0.27060000000000001</v>
      </c>
      <c r="F112" s="14"/>
      <c r="J112" s="227"/>
    </row>
    <row r="113" spans="1:10" ht="13.5" thickBot="1">
      <c r="A113" s="476">
        <f>'CS gate'!C194</f>
        <v>0.37735849056603771</v>
      </c>
      <c r="B113" s="481">
        <f>VLOOKUP(A113,A109:E112,2,TRUE)</f>
        <v>2.3E-3</v>
      </c>
      <c r="C113" s="481">
        <f>VLOOKUP(A113,A109:E112,3,TRUE)</f>
        <v>4.1000000000000003E-3</v>
      </c>
      <c r="D113" s="475">
        <f>VLOOKUP(A113,A109:E112,4,TRUE)</f>
        <v>4.82E-2</v>
      </c>
      <c r="E113" s="482">
        <f>VLOOKUP(A113,A109:E112,5,TRUE)</f>
        <v>0.1925</v>
      </c>
      <c r="F113" s="14"/>
      <c r="J113" s="227"/>
    </row>
    <row r="114" spans="1:10">
      <c r="B114" s="2"/>
      <c r="C114" s="2"/>
      <c r="D114" s="10"/>
      <c r="E114" s="2"/>
      <c r="F114" s="14"/>
      <c r="J114" s="227"/>
    </row>
    <row r="115" spans="1:10">
      <c r="B115" s="2"/>
      <c r="C115" s="2"/>
      <c r="D115" s="10"/>
      <c r="E115" s="2"/>
      <c r="F115" s="14"/>
      <c r="J115" s="227"/>
    </row>
    <row r="116" spans="1:10">
      <c r="A116" s="18" t="s">
        <v>797</v>
      </c>
      <c r="B116" s="2"/>
      <c r="C116" s="2"/>
      <c r="D116" s="2"/>
      <c r="E116" s="247">
        <f>'CS gate'!C310</f>
        <v>0.18867924528301885</v>
      </c>
      <c r="F116" s="14"/>
      <c r="J116" s="227"/>
    </row>
    <row r="117" spans="1:10">
      <c r="A117" s="459" t="s">
        <v>801</v>
      </c>
      <c r="B117" s="256" t="s">
        <v>123</v>
      </c>
      <c r="C117" s="461" t="s">
        <v>124</v>
      </c>
      <c r="D117" s="256" t="s">
        <v>514</v>
      </c>
      <c r="E117" s="460" t="s">
        <v>515</v>
      </c>
      <c r="F117" s="14"/>
      <c r="J117" s="227"/>
    </row>
    <row r="118" spans="1:10">
      <c r="A118" s="473">
        <f>A100</f>
        <v>0.16666666666666666</v>
      </c>
      <c r="B118" s="252">
        <f>VLOOKUP(E116,A90:E95,2,TRUE)</f>
        <v>5.9999999999999995E-4</v>
      </c>
      <c r="C118" s="252">
        <f>VLOOKUP(E116,A90:E95,3,TRUE)</f>
        <v>2.7000000000000001E-3</v>
      </c>
      <c r="D118" s="478">
        <f>VLOOKUP(E116,A90:E95,4,TRUE)</f>
        <v>1.37E-2</v>
      </c>
      <c r="E118" s="375">
        <f>VLOOKUP(E116,A90:E95,5,TRUE)</f>
        <v>0.11849999999999999</v>
      </c>
      <c r="F118" s="14"/>
      <c r="J118" s="227"/>
    </row>
    <row r="119" spans="1:10">
      <c r="A119" s="473">
        <f>A101</f>
        <v>0.33333333333333331</v>
      </c>
      <c r="B119" s="75">
        <f>VLOOKUP(E116,A78:E83,2,TRUE)</f>
        <v>2.3E-3</v>
      </c>
      <c r="C119" s="75">
        <f>VLOOKUP(E116,A78:E83,3,TRUE)</f>
        <v>4.1000000000000003E-3</v>
      </c>
      <c r="D119" s="298">
        <f>VLOOKUP(E116,A78:E83,4,TRUE)</f>
        <v>4.82E-2</v>
      </c>
      <c r="E119" s="147">
        <f>VLOOKUP(E116,A78:E83,5,TRUE)</f>
        <v>0.1925</v>
      </c>
      <c r="F119" s="14"/>
      <c r="J119" s="227"/>
    </row>
    <row r="120" spans="1:10">
      <c r="A120" s="473">
        <f>A102</f>
        <v>0.66666666666666663</v>
      </c>
      <c r="B120" s="75">
        <f>VLOOKUP(E116,A66:E71,2,TRUE)</f>
        <v>4.4000000000000003E-3</v>
      </c>
      <c r="C120" s="75">
        <f>VLOOKUP(E116,A66:E71,3,TRUE)</f>
        <v>6.6E-3</v>
      </c>
      <c r="D120" s="298">
        <f>VLOOKUP(E116,A66:E71,4,TRUE)</f>
        <v>8.43E-2</v>
      </c>
      <c r="E120" s="147">
        <f>VLOOKUP(E116,A66:E71,5,TRUE)</f>
        <v>0.25</v>
      </c>
      <c r="F120" s="14"/>
      <c r="J120" s="227"/>
    </row>
    <row r="121" spans="1:10" ht="13.5" thickBot="1">
      <c r="A121" s="473">
        <f>A103</f>
        <v>1</v>
      </c>
      <c r="B121" s="472">
        <f>VLOOKUP(E116,A53:E58,2,TRUE)</f>
        <v>5.1999999999999998E-3</v>
      </c>
      <c r="C121" s="472">
        <f>VLOOKUP(E116,A53:E58,3,TRUE)</f>
        <v>7.1999999999999998E-3</v>
      </c>
      <c r="D121" s="472">
        <f>VLOOKUP(E116,A53:E58,4,TRUE)</f>
        <v>9.64E-2</v>
      </c>
      <c r="E121" s="302">
        <f>VLOOKUP(E116,A53:E58,5,TRUE)</f>
        <v>0.27060000000000001</v>
      </c>
      <c r="F121" s="14"/>
      <c r="J121" s="227"/>
    </row>
    <row r="122" spans="1:10" ht="13.5" thickBot="1">
      <c r="A122" s="476">
        <f>'CS gate'!C311</f>
        <v>0.41509433962264153</v>
      </c>
      <c r="B122" s="481">
        <f>VLOOKUP(A122,A118:E121,2,TRUE)</f>
        <v>2.3E-3</v>
      </c>
      <c r="C122" s="481">
        <f>VLOOKUP(A122,A118:E121,3,TRUE)</f>
        <v>4.1000000000000003E-3</v>
      </c>
      <c r="D122" s="475">
        <f>VLOOKUP(A122,A118:E121,4,TRUE)</f>
        <v>4.82E-2</v>
      </c>
      <c r="E122" s="482">
        <f>VLOOKUP(A122,A118:E121,5,TRUE)</f>
        <v>0.1925</v>
      </c>
      <c r="F122" s="14"/>
      <c r="J122" s="227"/>
    </row>
    <row r="123" spans="1:10">
      <c r="D123" s="10"/>
      <c r="E123" s="18"/>
      <c r="F123" s="14"/>
      <c r="J123" s="227"/>
    </row>
    <row r="124" spans="1:10">
      <c r="D124" s="10"/>
      <c r="E124" s="18"/>
      <c r="F124" s="14"/>
      <c r="J124" s="227"/>
    </row>
    <row r="125" spans="1:10">
      <c r="A125" s="41" t="s">
        <v>1603</v>
      </c>
      <c r="B125" s="41"/>
      <c r="D125" s="10"/>
      <c r="E125" s="18"/>
      <c r="F125" s="14"/>
      <c r="J125" s="227"/>
    </row>
    <row r="126" spans="1:10">
      <c r="D126" s="10"/>
      <c r="E126" s="18"/>
      <c r="F126" s="14"/>
      <c r="J126" s="227"/>
    </row>
    <row r="127" spans="1:10">
      <c r="A127" s="1" t="s">
        <v>2199</v>
      </c>
      <c r="C127" s="187" t="s">
        <v>2206</v>
      </c>
      <c r="D127" s="2863"/>
      <c r="E127" s="18"/>
      <c r="F127" s="2862"/>
      <c r="J127" s="227"/>
    </row>
    <row r="128" spans="1:10">
      <c r="A128" s="1"/>
      <c r="D128" s="2863"/>
      <c r="E128" s="18"/>
      <c r="F128" s="2862"/>
      <c r="J128" s="227"/>
    </row>
    <row r="129" spans="1:10">
      <c r="A129" s="1" t="s">
        <v>2200</v>
      </c>
      <c r="C129" t="s">
        <v>1604</v>
      </c>
      <c r="D129" s="1820"/>
      <c r="E129" s="18"/>
      <c r="J129" s="227"/>
    </row>
    <row r="130" spans="1:10">
      <c r="A130" s="187" t="s">
        <v>2195</v>
      </c>
      <c r="C130" t="s">
        <v>1605</v>
      </c>
      <c r="J130" s="227"/>
    </row>
    <row r="131" spans="1:10">
      <c r="C131" t="s">
        <v>1606</v>
      </c>
      <c r="E131" s="187" t="s">
        <v>1703</v>
      </c>
      <c r="J131" s="227"/>
    </row>
    <row r="132" spans="1:10">
      <c r="C132" t="s">
        <v>1607</v>
      </c>
      <c r="J132" s="227"/>
    </row>
    <row r="133" spans="1:10">
      <c r="C133" t="s">
        <v>1613</v>
      </c>
      <c r="J133" s="227"/>
    </row>
    <row r="134" spans="1:10">
      <c r="C134" s="85" t="s">
        <v>1610</v>
      </c>
      <c r="J134" s="227"/>
    </row>
    <row r="135" spans="1:10">
      <c r="C135" t="s">
        <v>1608</v>
      </c>
      <c r="E135" t="s">
        <v>1609</v>
      </c>
      <c r="J135" s="227"/>
    </row>
    <row r="136" spans="1:10">
      <c r="C136" s="126" t="s">
        <v>1553</v>
      </c>
      <c r="D136" s="126"/>
      <c r="J136" s="227"/>
    </row>
    <row r="137" spans="1:10">
      <c r="J137" s="227"/>
    </row>
    <row r="138" spans="1:10">
      <c r="J138" s="227"/>
    </row>
    <row r="139" spans="1:10">
      <c r="A139" s="1" t="s">
        <v>2201</v>
      </c>
      <c r="C139" t="s">
        <v>1611</v>
      </c>
      <c r="J139" s="227"/>
    </row>
    <row r="140" spans="1:10">
      <c r="A140" s="187" t="s">
        <v>2196</v>
      </c>
      <c r="C140" t="s">
        <v>1612</v>
      </c>
      <c r="J140" s="227"/>
    </row>
    <row r="141" spans="1:10">
      <c r="C141" s="85" t="s">
        <v>1610</v>
      </c>
      <c r="J141" s="227"/>
    </row>
    <row r="142" spans="1:10">
      <c r="C142" t="s">
        <v>1613</v>
      </c>
      <c r="J142" s="227"/>
    </row>
    <row r="143" spans="1:10">
      <c r="C143" s="126" t="s">
        <v>1553</v>
      </c>
      <c r="D143" s="126"/>
      <c r="J143" s="227"/>
    </row>
    <row r="144" spans="1:10">
      <c r="J144" s="227"/>
    </row>
    <row r="145" spans="1:10">
      <c r="J145" s="227"/>
    </row>
    <row r="146" spans="1:10">
      <c r="A146" s="1" t="s">
        <v>2202</v>
      </c>
      <c r="C146" t="s">
        <v>1618</v>
      </c>
      <c r="J146" s="227"/>
    </row>
    <row r="147" spans="1:10">
      <c r="A147" s="187" t="s">
        <v>2197</v>
      </c>
      <c r="C147" t="s">
        <v>1619</v>
      </c>
      <c r="J147" s="227"/>
    </row>
    <row r="148" spans="1:10">
      <c r="C148" t="s">
        <v>1620</v>
      </c>
      <c r="J148" s="227"/>
    </row>
    <row r="149" spans="1:10">
      <c r="C149" t="s">
        <v>1623</v>
      </c>
      <c r="J149" s="227"/>
    </row>
    <row r="150" spans="1:10">
      <c r="C150" s="187" t="s">
        <v>1702</v>
      </c>
      <c r="J150" s="227"/>
    </row>
    <row r="151" spans="1:10">
      <c r="C151" s="85" t="s">
        <v>1621</v>
      </c>
      <c r="J151" s="227"/>
    </row>
    <row r="152" spans="1:10">
      <c r="C152" t="s">
        <v>1622</v>
      </c>
      <c r="J152" s="227"/>
    </row>
    <row r="153" spans="1:10">
      <c r="C153" t="s">
        <v>1624</v>
      </c>
      <c r="J153" s="227"/>
    </row>
    <row r="154" spans="1:10">
      <c r="C154" s="3132" t="s">
        <v>1704</v>
      </c>
      <c r="D154" s="3132"/>
      <c r="E154" s="3132"/>
      <c r="F154" s="3132"/>
      <c r="G154" s="3132"/>
      <c r="H154" s="3132"/>
      <c r="I154" s="3132"/>
      <c r="J154" s="227"/>
    </row>
    <row r="155" spans="1:10">
      <c r="C155" s="3132"/>
      <c r="D155" s="3132"/>
      <c r="E155" s="3132"/>
      <c r="F155" s="3132"/>
      <c r="G155" s="3132"/>
      <c r="H155" s="3132"/>
      <c r="I155" s="3132"/>
      <c r="J155" s="227"/>
    </row>
    <row r="156" spans="1:10">
      <c r="C156" s="1844" t="s">
        <v>1709</v>
      </c>
      <c r="D156" s="126"/>
      <c r="E156" s="126"/>
      <c r="F156" s="126"/>
      <c r="G156" s="126"/>
      <c r="J156" s="227"/>
    </row>
    <row r="157" spans="1:10">
      <c r="C157" s="1846" t="s">
        <v>1710</v>
      </c>
      <c r="D157" s="126"/>
      <c r="E157" s="126"/>
      <c r="J157" s="227"/>
    </row>
    <row r="158" spans="1:10">
      <c r="J158" s="227"/>
    </row>
    <row r="159" spans="1:10">
      <c r="A159" s="1" t="s">
        <v>2203</v>
      </c>
      <c r="C159" s="187" t="s">
        <v>1626</v>
      </c>
      <c r="J159" s="227"/>
    </row>
    <row r="160" spans="1:10">
      <c r="A160" s="187" t="s">
        <v>2198</v>
      </c>
      <c r="C160" s="245" t="s">
        <v>1705</v>
      </c>
      <c r="J160" s="227"/>
    </row>
    <row r="161" spans="1:11">
      <c r="C161" s="207" t="s">
        <v>1557</v>
      </c>
      <c r="D161" s="126"/>
      <c r="E161" s="126"/>
      <c r="J161" s="227"/>
    </row>
    <row r="162" spans="1:11">
      <c r="C162" s="187" t="s">
        <v>1706</v>
      </c>
      <c r="J162" s="227"/>
    </row>
    <row r="163" spans="1:11">
      <c r="J163" s="227"/>
    </row>
    <row r="164" spans="1:11">
      <c r="C164" s="3135" t="s">
        <v>1627</v>
      </c>
      <c r="D164" s="3135"/>
      <c r="E164" s="3135"/>
      <c r="F164" s="3135"/>
      <c r="G164" s="3135"/>
      <c r="H164" s="3135"/>
      <c r="I164" s="3135"/>
      <c r="J164" s="227"/>
    </row>
    <row r="165" spans="1:11">
      <c r="C165" s="3135"/>
      <c r="D165" s="3135"/>
      <c r="E165" s="3135"/>
      <c r="F165" s="3135"/>
      <c r="G165" s="3135"/>
      <c r="H165" s="3135"/>
      <c r="I165" s="3135"/>
      <c r="J165" s="227"/>
    </row>
    <row r="166" spans="1:11">
      <c r="C166" s="187" t="s">
        <v>1628</v>
      </c>
      <c r="J166" s="227"/>
    </row>
    <row r="167" spans="1:11">
      <c r="C167" s="187" t="s">
        <v>1629</v>
      </c>
      <c r="J167" s="227"/>
    </row>
    <row r="168" spans="1:11">
      <c r="C168" s="187" t="s">
        <v>1630</v>
      </c>
      <c r="J168" s="227"/>
    </row>
    <row r="169" spans="1:11">
      <c r="C169" s="1845" t="s">
        <v>1707</v>
      </c>
      <c r="D169" s="1845"/>
      <c r="E169" s="1845"/>
      <c r="F169" s="1845"/>
      <c r="G169" s="1845"/>
      <c r="J169" s="227"/>
      <c r="K169" s="213" t="s">
        <v>1708</v>
      </c>
    </row>
    <row r="170" spans="1:11">
      <c r="C170" s="187"/>
      <c r="J170" s="227"/>
    </row>
    <row r="171" spans="1:11">
      <c r="C171" s="187"/>
      <c r="J171" s="227"/>
    </row>
    <row r="172" spans="1:11">
      <c r="A172" s="1" t="s">
        <v>2204</v>
      </c>
      <c r="C172" s="187" t="s">
        <v>2205</v>
      </c>
      <c r="J172" s="227"/>
    </row>
    <row r="173" spans="1:11">
      <c r="J173" s="227"/>
    </row>
    <row r="174" spans="1:11">
      <c r="J174" s="227"/>
    </row>
    <row r="175" spans="1:11">
      <c r="D175" s="3133" t="s">
        <v>1625</v>
      </c>
      <c r="E175" s="3136" t="s">
        <v>1615</v>
      </c>
      <c r="F175" s="3138" t="s">
        <v>1617</v>
      </c>
      <c r="G175" s="3140" t="s">
        <v>1616</v>
      </c>
      <c r="H175" s="3142" t="s">
        <v>1690</v>
      </c>
      <c r="I175" s="3138" t="s">
        <v>1691</v>
      </c>
      <c r="J175" s="227"/>
    </row>
    <row r="176" spans="1:11">
      <c r="D176" s="3134"/>
      <c r="E176" s="3137"/>
      <c r="F176" s="3139"/>
      <c r="G176" s="3141"/>
      <c r="H176" s="3143"/>
      <c r="I176" s="3144"/>
      <c r="J176" s="227"/>
    </row>
    <row r="177" spans="1:11">
      <c r="A177" s="101" t="s">
        <v>1614</v>
      </c>
      <c r="B177" s="102"/>
      <c r="C177" s="102"/>
      <c r="D177" s="354" t="s">
        <v>641</v>
      </c>
      <c r="E177" s="137" t="s">
        <v>95</v>
      </c>
      <c r="F177" s="136" t="s">
        <v>96</v>
      </c>
      <c r="G177" s="137" t="s">
        <v>97</v>
      </c>
      <c r="H177" s="1779" t="s">
        <v>1689</v>
      </c>
      <c r="I177" s="1608" t="s">
        <v>1692</v>
      </c>
      <c r="J177" s="227"/>
    </row>
    <row r="178" spans="1:11" ht="12.75" customHeight="1">
      <c r="A178" s="423" t="s">
        <v>1553</v>
      </c>
      <c r="B178" s="55"/>
      <c r="C178" s="55"/>
      <c r="D178" s="248">
        <v>0</v>
      </c>
      <c r="E178" s="1847">
        <v>4</v>
      </c>
      <c r="F178" s="347" t="s">
        <v>1003</v>
      </c>
      <c r="G178" s="347" t="s">
        <v>1003</v>
      </c>
      <c r="H178" s="347" t="s">
        <v>1003</v>
      </c>
      <c r="I178" s="347" t="s">
        <v>1003</v>
      </c>
      <c r="J178" s="227"/>
    </row>
    <row r="179" spans="1:11">
      <c r="A179" s="1610"/>
      <c r="B179" s="16"/>
      <c r="C179" s="16"/>
      <c r="D179" s="367">
        <v>1.7</v>
      </c>
      <c r="E179" s="1848">
        <v>4</v>
      </c>
      <c r="F179" s="75" t="s">
        <v>1003</v>
      </c>
      <c r="G179" s="123" t="s">
        <v>1003</v>
      </c>
      <c r="H179" s="123" t="s">
        <v>1003</v>
      </c>
      <c r="I179" s="123" t="s">
        <v>1003</v>
      </c>
      <c r="J179" s="227"/>
    </row>
    <row r="180" spans="1:11" ht="12.75" customHeight="1">
      <c r="A180" s="3124" t="s">
        <v>1610</v>
      </c>
      <c r="B180" s="3125"/>
      <c r="C180" s="3126"/>
      <c r="D180" s="367">
        <v>1.8</v>
      </c>
      <c r="E180" s="1849">
        <v>4.3</v>
      </c>
      <c r="F180" s="275" t="s">
        <v>1003</v>
      </c>
      <c r="G180" s="123" t="s">
        <v>1003</v>
      </c>
      <c r="H180" s="123" t="s">
        <v>1003</v>
      </c>
      <c r="I180" s="123" t="s">
        <v>1003</v>
      </c>
      <c r="J180" s="227"/>
    </row>
    <row r="181" spans="1:11">
      <c r="A181" s="3124"/>
      <c r="B181" s="3125"/>
      <c r="C181" s="3126"/>
      <c r="D181" s="367">
        <v>1.9</v>
      </c>
      <c r="E181" s="1849">
        <v>4.4000000000000004</v>
      </c>
      <c r="F181" s="275" t="s">
        <v>1003</v>
      </c>
      <c r="G181" s="123" t="s">
        <v>1003</v>
      </c>
      <c r="H181" s="123" t="s">
        <v>1003</v>
      </c>
      <c r="I181" s="123" t="s">
        <v>1003</v>
      </c>
      <c r="J181" s="227"/>
    </row>
    <row r="182" spans="1:11">
      <c r="A182" s="3124"/>
      <c r="B182" s="3125"/>
      <c r="C182" s="3126"/>
      <c r="D182" s="1653">
        <v>2</v>
      </c>
      <c r="E182" s="1849">
        <v>4.5</v>
      </c>
      <c r="F182" s="275" t="s">
        <v>1003</v>
      </c>
      <c r="G182" s="123" t="s">
        <v>1003</v>
      </c>
      <c r="H182" s="123" t="s">
        <v>1003</v>
      </c>
      <c r="I182" s="123" t="s">
        <v>1003</v>
      </c>
      <c r="J182" s="227"/>
    </row>
    <row r="183" spans="1:11">
      <c r="A183" s="1610"/>
      <c r="B183" s="16"/>
      <c r="C183" s="16"/>
      <c r="D183" s="367">
        <v>2.1</v>
      </c>
      <c r="E183" s="1849">
        <v>4.5999999999999996</v>
      </c>
      <c r="F183" s="275" t="s">
        <v>1003</v>
      </c>
      <c r="G183" s="123" t="s">
        <v>1003</v>
      </c>
      <c r="H183" s="123" t="s">
        <v>1003</v>
      </c>
      <c r="I183" s="123" t="s">
        <v>1003</v>
      </c>
      <c r="J183" s="227"/>
    </row>
    <row r="184" spans="1:11">
      <c r="A184" s="1610"/>
      <c r="B184" s="16"/>
      <c r="C184" s="16"/>
      <c r="D184" s="367">
        <v>2.2000000000000002</v>
      </c>
      <c r="E184" s="1849">
        <v>4.7</v>
      </c>
      <c r="F184" s="275" t="s">
        <v>1003</v>
      </c>
      <c r="G184" s="123" t="s">
        <v>1003</v>
      </c>
      <c r="H184" s="123" t="s">
        <v>1003</v>
      </c>
      <c r="I184" s="123" t="s">
        <v>1003</v>
      </c>
      <c r="J184" s="227"/>
    </row>
    <row r="185" spans="1:11">
      <c r="A185" s="1610"/>
      <c r="B185" s="16"/>
      <c r="C185" s="16"/>
      <c r="D185" s="367">
        <v>2.2999999999999998</v>
      </c>
      <c r="E185" s="1849">
        <v>4.8</v>
      </c>
      <c r="F185" s="275" t="s">
        <v>1003</v>
      </c>
      <c r="G185" s="123" t="s">
        <v>1003</v>
      </c>
      <c r="H185" s="123" t="s">
        <v>1003</v>
      </c>
      <c r="I185" s="123" t="s">
        <v>1003</v>
      </c>
      <c r="J185" s="227"/>
    </row>
    <row r="186" spans="1:11">
      <c r="A186" s="1610"/>
      <c r="B186" s="16"/>
      <c r="C186" s="16"/>
      <c r="D186" s="367">
        <v>2.4</v>
      </c>
      <c r="E186" s="1849">
        <v>4.9000000000000004</v>
      </c>
      <c r="F186" s="75" t="s">
        <v>1003</v>
      </c>
      <c r="G186" s="123" t="s">
        <v>1003</v>
      </c>
      <c r="H186" s="123" t="s">
        <v>1003</v>
      </c>
      <c r="I186" s="123" t="s">
        <v>1003</v>
      </c>
      <c r="J186" s="227"/>
    </row>
    <row r="187" spans="1:11">
      <c r="A187" s="1610"/>
      <c r="B187" s="16"/>
      <c r="C187" s="16"/>
      <c r="D187" s="367">
        <v>2.4500000000000002</v>
      </c>
      <c r="E187" s="1849">
        <v>4.95</v>
      </c>
      <c r="F187" s="1726" t="s">
        <v>1003</v>
      </c>
      <c r="G187" s="123" t="s">
        <v>1003</v>
      </c>
      <c r="H187" s="123" t="s">
        <v>1003</v>
      </c>
      <c r="I187" s="123" t="s">
        <v>1003</v>
      </c>
      <c r="J187" s="227"/>
    </row>
    <row r="188" spans="1:11">
      <c r="A188" s="1611"/>
      <c r="B188" s="59"/>
      <c r="C188" s="59"/>
      <c r="D188" s="156">
        <v>2.4900000000000002</v>
      </c>
      <c r="E188" s="1850">
        <v>5</v>
      </c>
      <c r="F188" s="1726" t="s">
        <v>1003</v>
      </c>
      <c r="G188" s="123" t="s">
        <v>1003</v>
      </c>
      <c r="H188" s="123" t="s">
        <v>1003</v>
      </c>
      <c r="I188" s="123" t="s">
        <v>1003</v>
      </c>
      <c r="J188" s="227"/>
    </row>
    <row r="189" spans="1:11">
      <c r="A189" s="423"/>
      <c r="B189" s="55"/>
      <c r="C189" s="56"/>
      <c r="D189" s="699">
        <v>2.5</v>
      </c>
      <c r="E189" s="103">
        <v>3.25</v>
      </c>
      <c r="F189" s="1818">
        <v>2.75</v>
      </c>
      <c r="G189" s="379">
        <v>1.37</v>
      </c>
      <c r="H189" s="381" t="s">
        <v>1003</v>
      </c>
      <c r="I189" s="381" t="s">
        <v>1003</v>
      </c>
      <c r="J189" s="227"/>
    </row>
    <row r="190" spans="1:11">
      <c r="A190" s="1610" t="s">
        <v>1556</v>
      </c>
      <c r="B190" s="16"/>
      <c r="C190" s="58"/>
      <c r="D190" s="699">
        <v>3</v>
      </c>
      <c r="E190" s="103">
        <v>3.2</v>
      </c>
      <c r="F190" s="1819">
        <v>2.6</v>
      </c>
      <c r="G190" s="103">
        <v>1.25</v>
      </c>
      <c r="H190" s="123" t="s">
        <v>1003</v>
      </c>
      <c r="I190" s="123" t="s">
        <v>1003</v>
      </c>
      <c r="J190" s="227"/>
      <c r="K190" s="187" t="s">
        <v>1631</v>
      </c>
    </row>
    <row r="191" spans="1:11">
      <c r="A191" s="1610"/>
      <c r="B191" s="16"/>
      <c r="C191" s="58"/>
      <c r="D191" s="699">
        <v>3.25</v>
      </c>
      <c r="E191" s="103">
        <v>3.19</v>
      </c>
      <c r="F191" s="1819">
        <v>2.5</v>
      </c>
      <c r="G191" s="103">
        <v>1.23</v>
      </c>
      <c r="H191" s="123" t="s">
        <v>1003</v>
      </c>
      <c r="I191" s="123" t="s">
        <v>1003</v>
      </c>
      <c r="J191" s="227"/>
      <c r="K191" s="187" t="s">
        <v>1633</v>
      </c>
    </row>
    <row r="192" spans="1:11">
      <c r="A192" s="1610"/>
      <c r="B192" s="16"/>
      <c r="C192" s="58"/>
      <c r="D192" s="699">
        <v>3.5</v>
      </c>
      <c r="E192" s="103">
        <v>3.17</v>
      </c>
      <c r="F192" s="1819">
        <v>2.4</v>
      </c>
      <c r="G192" s="103">
        <v>1.2</v>
      </c>
      <c r="H192" s="123" t="s">
        <v>1003</v>
      </c>
      <c r="I192" s="123" t="s">
        <v>1003</v>
      </c>
      <c r="J192" s="227"/>
    </row>
    <row r="193" spans="1:11">
      <c r="A193" s="1610"/>
      <c r="B193" s="16"/>
      <c r="C193" s="58"/>
      <c r="D193" s="699">
        <v>4</v>
      </c>
      <c r="E193" s="103">
        <v>3.15</v>
      </c>
      <c r="F193" s="1819">
        <v>2.35</v>
      </c>
      <c r="G193" s="103">
        <v>1.1000000000000001</v>
      </c>
      <c r="H193" s="123" t="s">
        <v>1003</v>
      </c>
      <c r="I193" s="123" t="s">
        <v>1003</v>
      </c>
      <c r="J193" s="227"/>
    </row>
    <row r="194" spans="1:11">
      <c r="A194" s="1611"/>
      <c r="B194" s="59"/>
      <c r="C194" s="60"/>
      <c r="D194" s="700">
        <v>4.5</v>
      </c>
      <c r="E194" s="138">
        <v>3</v>
      </c>
      <c r="F194" s="353">
        <v>2.25</v>
      </c>
      <c r="G194" s="138">
        <v>0.9</v>
      </c>
      <c r="H194" s="1236">
        <v>1.4</v>
      </c>
      <c r="I194" s="563">
        <v>1.25</v>
      </c>
      <c r="J194" s="227"/>
    </row>
    <row r="195" spans="1:11">
      <c r="A195" s="1648" t="s">
        <v>1557</v>
      </c>
      <c r="B195" s="16"/>
      <c r="C195" s="16"/>
      <c r="D195" s="1683">
        <v>4.51</v>
      </c>
      <c r="E195" s="1684">
        <v>2.2000000000000002</v>
      </c>
      <c r="F195" s="381" t="s">
        <v>1003</v>
      </c>
      <c r="G195" s="381" t="s">
        <v>1003</v>
      </c>
      <c r="H195" s="561">
        <f>H194+(D195-D194)*($H$212-$H$194)/($D$212-$D$194)</f>
        <v>1.4016521739130434</v>
      </c>
      <c r="I195" s="557">
        <f>I194+(D195-D194)*($I$212-$I$194)/($D$212-$D$194)</f>
        <v>1.2506086956521738</v>
      </c>
      <c r="J195" s="227"/>
      <c r="K195" s="187" t="s">
        <v>1632</v>
      </c>
    </row>
    <row r="196" spans="1:11">
      <c r="A196" s="1610"/>
      <c r="B196" s="16"/>
      <c r="C196" s="16"/>
      <c r="D196" s="1093">
        <v>4.55</v>
      </c>
      <c r="E196" s="1140">
        <v>2.2999999999999998</v>
      </c>
      <c r="F196" s="123" t="s">
        <v>1003</v>
      </c>
      <c r="G196" s="123" t="s">
        <v>1003</v>
      </c>
      <c r="H196" s="561">
        <f t="shared" ref="H196:H211" si="1">H195+(D196-D195)*($H$212-$H$194)/($D$212-$D$194)</f>
        <v>1.4082608695652172</v>
      </c>
      <c r="I196" s="557">
        <f t="shared" ref="I196:I211" si="2">I195+(D196-D195)*($I$212-$I$194)/($D$212-$D$194)</f>
        <v>1.2530434782608695</v>
      </c>
      <c r="J196" s="227"/>
    </row>
    <row r="197" spans="1:11">
      <c r="A197" s="1610"/>
      <c r="B197" s="16"/>
      <c r="C197" s="16"/>
      <c r="D197" s="699">
        <v>5</v>
      </c>
      <c r="E197" s="1694">
        <v>2.35</v>
      </c>
      <c r="F197" s="123" t="s">
        <v>1003</v>
      </c>
      <c r="G197" s="123" t="s">
        <v>1003</v>
      </c>
      <c r="H197" s="561">
        <f t="shared" si="1"/>
        <v>1.4826086956521738</v>
      </c>
      <c r="I197" s="557">
        <f t="shared" si="2"/>
        <v>1.2804347826086955</v>
      </c>
      <c r="J197" s="108"/>
    </row>
    <row r="198" spans="1:11">
      <c r="A198" s="1648"/>
      <c r="B198" s="16"/>
      <c r="C198" s="16"/>
      <c r="D198" s="699">
        <v>5.5</v>
      </c>
      <c r="E198" s="1694">
        <v>2.4</v>
      </c>
      <c r="F198" s="123" t="s">
        <v>1003</v>
      </c>
      <c r="G198" s="123" t="s">
        <v>1003</v>
      </c>
      <c r="H198" s="561">
        <f t="shared" si="1"/>
        <v>1.5652173913043477</v>
      </c>
      <c r="I198" s="557">
        <f t="shared" si="2"/>
        <v>1.3108695652173912</v>
      </c>
      <c r="J198" s="108"/>
    </row>
    <row r="199" spans="1:11">
      <c r="A199" s="1648"/>
      <c r="B199" s="16"/>
      <c r="C199" s="16"/>
      <c r="D199" s="699">
        <v>6</v>
      </c>
      <c r="E199" s="1647">
        <v>2.4500000000000002</v>
      </c>
      <c r="F199" s="123" t="s">
        <v>1003</v>
      </c>
      <c r="G199" s="123" t="s">
        <v>1003</v>
      </c>
      <c r="H199" s="561">
        <f t="shared" si="1"/>
        <v>1.6478260869565216</v>
      </c>
      <c r="I199" s="557">
        <f t="shared" si="2"/>
        <v>1.3413043478260869</v>
      </c>
      <c r="J199" s="108"/>
    </row>
    <row r="200" spans="1:11">
      <c r="A200" s="1648"/>
      <c r="B200" s="16"/>
      <c r="C200" s="16"/>
      <c r="D200" s="699">
        <v>6.5</v>
      </c>
      <c r="E200" s="1694">
        <v>2.5499999999999998</v>
      </c>
      <c r="F200" s="123" t="s">
        <v>1003</v>
      </c>
      <c r="G200" s="123" t="s">
        <v>1003</v>
      </c>
      <c r="H200" s="561">
        <f t="shared" si="1"/>
        <v>1.7304347826086954</v>
      </c>
      <c r="I200" s="557">
        <f t="shared" si="2"/>
        <v>1.3717391304347826</v>
      </c>
      <c r="J200" s="108"/>
    </row>
    <row r="201" spans="1:11">
      <c r="A201" s="1696"/>
      <c r="B201" s="16"/>
      <c r="C201" s="16"/>
      <c r="D201" s="699">
        <v>7</v>
      </c>
      <c r="E201" s="1694">
        <v>2.6</v>
      </c>
      <c r="F201" s="123" t="s">
        <v>1003</v>
      </c>
      <c r="G201" s="123" t="s">
        <v>1003</v>
      </c>
      <c r="H201" s="561">
        <f t="shared" si="1"/>
        <v>1.8130434782608693</v>
      </c>
      <c r="I201" s="557">
        <f t="shared" si="2"/>
        <v>1.4021739130434783</v>
      </c>
      <c r="J201" s="108"/>
    </row>
    <row r="202" spans="1:11">
      <c r="A202" s="1696"/>
      <c r="B202" s="16"/>
      <c r="C202" s="16"/>
      <c r="D202" s="699">
        <v>7.5</v>
      </c>
      <c r="E202" s="1694">
        <v>2.61</v>
      </c>
      <c r="F202" s="123" t="s">
        <v>1003</v>
      </c>
      <c r="G202" s="123" t="s">
        <v>1003</v>
      </c>
      <c r="H202" s="561">
        <f t="shared" si="1"/>
        <v>1.8956521739130432</v>
      </c>
      <c r="I202" s="557">
        <f t="shared" si="2"/>
        <v>1.432608695652174</v>
      </c>
      <c r="J202" s="108"/>
    </row>
    <row r="203" spans="1:11">
      <c r="A203" s="1696"/>
      <c r="B203" s="16"/>
      <c r="C203" s="16"/>
      <c r="D203" s="699">
        <v>8</v>
      </c>
      <c r="E203" s="1694">
        <v>2.63</v>
      </c>
      <c r="F203" s="123" t="s">
        <v>1003</v>
      </c>
      <c r="G203" s="123" t="s">
        <v>1003</v>
      </c>
      <c r="H203" s="561">
        <f t="shared" si="1"/>
        <v>1.9782608695652171</v>
      </c>
      <c r="I203" s="557">
        <f t="shared" si="2"/>
        <v>1.4630434782608697</v>
      </c>
      <c r="J203" s="108"/>
    </row>
    <row r="204" spans="1:11">
      <c r="A204" s="1696"/>
      <c r="B204" s="16"/>
      <c r="C204" s="16"/>
      <c r="D204" s="699">
        <v>8.5</v>
      </c>
      <c r="E204" s="1694">
        <v>2.64</v>
      </c>
      <c r="F204" s="123" t="s">
        <v>1003</v>
      </c>
      <c r="G204" s="123" t="s">
        <v>1003</v>
      </c>
      <c r="H204" s="561">
        <f t="shared" si="1"/>
        <v>2.060869565217391</v>
      </c>
      <c r="I204" s="557">
        <f t="shared" si="2"/>
        <v>1.4934782608695654</v>
      </c>
      <c r="J204" s="108"/>
    </row>
    <row r="205" spans="1:11">
      <c r="A205" s="1696"/>
      <c r="B205" s="16"/>
      <c r="C205" s="16"/>
      <c r="D205" s="699">
        <v>9</v>
      </c>
      <c r="E205" s="1694">
        <v>2.7</v>
      </c>
      <c r="F205" s="123" t="s">
        <v>1003</v>
      </c>
      <c r="G205" s="123" t="s">
        <v>1003</v>
      </c>
      <c r="H205" s="561">
        <f t="shared" si="1"/>
        <v>2.1434782608695651</v>
      </c>
      <c r="I205" s="557">
        <f t="shared" si="2"/>
        <v>1.5239130434782611</v>
      </c>
      <c r="J205" s="108"/>
    </row>
    <row r="206" spans="1:11">
      <c r="A206" s="1696"/>
      <c r="B206" s="16"/>
      <c r="C206" s="16"/>
      <c r="D206" s="699">
        <v>10</v>
      </c>
      <c r="E206" s="1694">
        <v>2.75</v>
      </c>
      <c r="F206" s="123" t="s">
        <v>1003</v>
      </c>
      <c r="G206" s="123" t="s">
        <v>1003</v>
      </c>
      <c r="H206" s="561">
        <f t="shared" si="1"/>
        <v>2.3086956521739128</v>
      </c>
      <c r="I206" s="557">
        <f t="shared" si="2"/>
        <v>1.5847826086956525</v>
      </c>
      <c r="J206" s="108"/>
    </row>
    <row r="207" spans="1:11">
      <c r="A207" s="1696"/>
      <c r="B207" s="16"/>
      <c r="C207" s="16"/>
      <c r="D207" s="699">
        <v>11</v>
      </c>
      <c r="E207" s="1694">
        <v>2.78</v>
      </c>
      <c r="F207" s="123" t="s">
        <v>1003</v>
      </c>
      <c r="G207" s="123" t="s">
        <v>1003</v>
      </c>
      <c r="H207" s="561">
        <f t="shared" si="1"/>
        <v>2.4739130434782606</v>
      </c>
      <c r="I207" s="557">
        <f t="shared" si="2"/>
        <v>1.6456521739130439</v>
      </c>
      <c r="J207" s="108"/>
    </row>
    <row r="208" spans="1:11">
      <c r="A208" s="1696"/>
      <c r="B208" s="16"/>
      <c r="C208" s="16"/>
      <c r="D208" s="699">
        <v>12</v>
      </c>
      <c r="E208" s="1694">
        <v>2.8</v>
      </c>
      <c r="F208" s="123" t="s">
        <v>1003</v>
      </c>
      <c r="G208" s="123" t="s">
        <v>1003</v>
      </c>
      <c r="H208" s="561">
        <f t="shared" si="1"/>
        <v>2.6391304347826083</v>
      </c>
      <c r="I208" s="557">
        <f t="shared" si="2"/>
        <v>1.7065217391304353</v>
      </c>
      <c r="J208" s="108"/>
    </row>
    <row r="209" spans="1:22">
      <c r="A209" s="1776"/>
      <c r="B209" s="16"/>
      <c r="C209" s="16"/>
      <c r="D209" s="699">
        <v>13</v>
      </c>
      <c r="E209" s="1772">
        <v>2.8</v>
      </c>
      <c r="F209" s="123" t="s">
        <v>1003</v>
      </c>
      <c r="G209" s="123" t="s">
        <v>1003</v>
      </c>
      <c r="H209" s="561">
        <f t="shared" si="1"/>
        <v>2.8043478260869561</v>
      </c>
      <c r="I209" s="557">
        <f t="shared" si="2"/>
        <v>1.7673913043478267</v>
      </c>
      <c r="J209" s="108"/>
    </row>
    <row r="210" spans="1:22">
      <c r="A210" s="1776"/>
      <c r="B210" s="16"/>
      <c r="C210" s="16"/>
      <c r="D210" s="699">
        <v>14</v>
      </c>
      <c r="E210" s="1772">
        <v>2.8</v>
      </c>
      <c r="F210" s="123" t="s">
        <v>1003</v>
      </c>
      <c r="G210" s="1839" t="s">
        <v>1003</v>
      </c>
      <c r="H210" s="561">
        <f t="shared" si="1"/>
        <v>2.9695652173913039</v>
      </c>
      <c r="I210" s="557">
        <f t="shared" si="2"/>
        <v>1.828260869565218</v>
      </c>
      <c r="J210" s="108"/>
    </row>
    <row r="211" spans="1:22">
      <c r="A211" s="1776"/>
      <c r="B211" s="16"/>
      <c r="C211" s="16"/>
      <c r="D211" s="699">
        <v>15</v>
      </c>
      <c r="E211" s="1772">
        <v>2.79</v>
      </c>
      <c r="F211" s="123" t="s">
        <v>1003</v>
      </c>
      <c r="G211" s="1839" t="s">
        <v>1003</v>
      </c>
      <c r="H211" s="561">
        <f t="shared" si="1"/>
        <v>3.1347826086956516</v>
      </c>
      <c r="I211" s="557">
        <f t="shared" si="2"/>
        <v>1.8891304347826094</v>
      </c>
      <c r="J211" s="108"/>
    </row>
    <row r="212" spans="1:22">
      <c r="A212" s="1776"/>
      <c r="B212" s="16"/>
      <c r="C212" s="16"/>
      <c r="D212" s="700">
        <v>16</v>
      </c>
      <c r="E212" s="121">
        <v>2.75</v>
      </c>
      <c r="F212" s="104" t="s">
        <v>1003</v>
      </c>
      <c r="G212" s="453" t="s">
        <v>1003</v>
      </c>
      <c r="H212" s="353">
        <v>3.3</v>
      </c>
      <c r="I212" s="138">
        <v>1.95</v>
      </c>
      <c r="J212" s="108"/>
    </row>
    <row r="213" spans="1:22">
      <c r="D213" s="1724"/>
      <c r="E213" s="18"/>
      <c r="F213" s="14"/>
      <c r="J213" s="108"/>
    </row>
    <row r="214" spans="1:22">
      <c r="D214" s="1724"/>
      <c r="E214" s="18"/>
      <c r="F214" s="14"/>
      <c r="J214" s="108"/>
    </row>
    <row r="215" spans="1:22">
      <c r="D215" s="1724"/>
      <c r="E215" s="18"/>
      <c r="F215" s="14"/>
      <c r="J215" s="108"/>
    </row>
    <row r="216" spans="1:22">
      <c r="D216" s="1724"/>
      <c r="E216" s="18"/>
      <c r="F216" s="14"/>
      <c r="J216" s="108"/>
    </row>
    <row r="217" spans="1:22">
      <c r="D217" s="10"/>
      <c r="E217" s="18"/>
      <c r="F217" s="14"/>
      <c r="J217" s="108"/>
    </row>
    <row r="218" spans="1:22">
      <c r="D218" s="10"/>
      <c r="E218" s="18"/>
      <c r="F218" s="14"/>
      <c r="J218" s="108"/>
    </row>
    <row r="219" spans="1:22">
      <c r="D219" s="2638"/>
      <c r="E219" s="18"/>
      <c r="F219" s="14"/>
    </row>
    <row r="220" spans="1:22">
      <c r="D220" s="2638"/>
      <c r="E220" s="18"/>
    </row>
    <row r="221" spans="1:22" ht="13.5" thickBot="1">
      <c r="D221" s="2638"/>
      <c r="E221" s="18"/>
    </row>
    <row r="222" spans="1:22">
      <c r="A222" s="2691"/>
      <c r="B222" s="2692"/>
      <c r="C222" s="2692"/>
      <c r="D222" s="2693"/>
      <c r="E222" s="2694"/>
      <c r="F222" s="2692"/>
      <c r="G222" s="2692"/>
      <c r="H222" s="2692"/>
      <c r="I222" s="2692"/>
      <c r="J222" s="2692"/>
      <c r="K222" s="2692"/>
      <c r="L222" s="2692"/>
      <c r="M222" s="2692"/>
      <c r="N222" s="2692"/>
      <c r="O222" s="2692"/>
      <c r="P222" s="2692"/>
      <c r="Q222" s="2692"/>
      <c r="R222" s="2692"/>
      <c r="S222" s="2692"/>
      <c r="T222" s="2692"/>
      <c r="U222" s="2692"/>
      <c r="V222" s="2695"/>
    </row>
    <row r="223" spans="1:22">
      <c r="A223" s="2720" t="s">
        <v>2099</v>
      </c>
      <c r="B223" s="2721"/>
      <c r="C223" s="2889">
        <v>2</v>
      </c>
      <c r="D223" s="2763"/>
      <c r="E223" s="1048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2681"/>
    </row>
    <row r="224" spans="1:22">
      <c r="A224" s="2682"/>
      <c r="B224" s="16"/>
      <c r="C224" s="16"/>
      <c r="D224" s="2763"/>
      <c r="E224" s="1048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2681"/>
    </row>
    <row r="225" spans="1:22">
      <c r="A225" s="2682"/>
      <c r="B225" s="16"/>
      <c r="C225" s="2045">
        <v>2</v>
      </c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2681"/>
    </row>
    <row r="226" spans="1:22" ht="15.75">
      <c r="A226" s="2722" t="s">
        <v>2107</v>
      </c>
      <c r="B226" s="2761"/>
      <c r="C226" s="381">
        <v>1</v>
      </c>
      <c r="D226" s="16"/>
      <c r="E226" s="2683" t="s">
        <v>2102</v>
      </c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2681"/>
    </row>
    <row r="227" spans="1:22">
      <c r="A227" s="2684" t="s">
        <v>285</v>
      </c>
      <c r="B227" s="77"/>
      <c r="C227" s="104">
        <v>2</v>
      </c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2681"/>
    </row>
    <row r="228" spans="1:22">
      <c r="A228" s="2682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2681"/>
    </row>
    <row r="229" spans="1:22">
      <c r="A229" s="2680" t="s">
        <v>2100</v>
      </c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2681"/>
    </row>
    <row r="230" spans="1:22">
      <c r="A230" s="2682"/>
      <c r="B230" s="16"/>
      <c r="C230" s="16"/>
      <c r="D230" s="2763"/>
      <c r="E230" s="1048"/>
      <c r="F230" s="2663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2681"/>
    </row>
    <row r="231" spans="1:22">
      <c r="A231" s="2685" t="str">
        <f>IF(C225=1,"Pre","Post")</f>
        <v>Post</v>
      </c>
      <c r="B231" s="3127">
        <v>1</v>
      </c>
      <c r="C231" s="3128"/>
      <c r="D231" s="3129"/>
      <c r="E231" s="3128">
        <v>2</v>
      </c>
      <c r="F231" s="3128"/>
      <c r="G231" s="3129"/>
      <c r="H231" s="3066">
        <v>3</v>
      </c>
      <c r="I231" s="3067"/>
      <c r="J231" s="3068"/>
      <c r="K231" s="3066">
        <v>4</v>
      </c>
      <c r="L231" s="3067"/>
      <c r="M231" s="3068"/>
      <c r="N231" s="3066">
        <v>5</v>
      </c>
      <c r="O231" s="3067"/>
      <c r="P231" s="3067"/>
      <c r="Q231" s="381">
        <v>1</v>
      </c>
      <c r="R231" s="381">
        <v>2</v>
      </c>
      <c r="S231" s="381">
        <v>3</v>
      </c>
      <c r="T231" s="381">
        <v>4</v>
      </c>
      <c r="U231" s="381">
        <v>5</v>
      </c>
      <c r="V231" s="2681"/>
    </row>
    <row r="232" spans="1:22">
      <c r="A232" s="2686" t="s">
        <v>673</v>
      </c>
      <c r="B232" s="3118" t="s">
        <v>675</v>
      </c>
      <c r="C232" s="3070" t="s">
        <v>674</v>
      </c>
      <c r="D232" s="3068"/>
      <c r="E232" s="3119" t="s">
        <v>675</v>
      </c>
      <c r="F232" s="3070" t="s">
        <v>674</v>
      </c>
      <c r="G232" s="3067"/>
      <c r="H232" s="3118" t="s">
        <v>675</v>
      </c>
      <c r="I232" s="3070" t="s">
        <v>674</v>
      </c>
      <c r="J232" s="3068"/>
      <c r="K232" s="3118" t="s">
        <v>675</v>
      </c>
      <c r="L232" s="3070" t="s">
        <v>674</v>
      </c>
      <c r="M232" s="3068"/>
      <c r="N232" s="3119" t="s">
        <v>675</v>
      </c>
      <c r="O232" s="3070" t="s">
        <v>674</v>
      </c>
      <c r="P232" s="3067"/>
      <c r="Q232" s="2778" t="s">
        <v>2125</v>
      </c>
      <c r="R232" s="94"/>
      <c r="S232" s="94"/>
      <c r="T232" s="94"/>
      <c r="U232" s="172"/>
      <c r="V232" s="2681"/>
    </row>
    <row r="233" spans="1:22">
      <c r="A233" s="2687"/>
      <c r="B233" s="3092"/>
      <c r="C233" s="3121" t="s">
        <v>665</v>
      </c>
      <c r="D233" s="3118" t="s">
        <v>672</v>
      </c>
      <c r="E233" s="3120"/>
      <c r="F233" s="3121" t="s">
        <v>665</v>
      </c>
      <c r="G233" s="3122" t="s">
        <v>672</v>
      </c>
      <c r="H233" s="3092"/>
      <c r="I233" s="3121" t="s">
        <v>665</v>
      </c>
      <c r="J233" s="3118" t="s">
        <v>672</v>
      </c>
      <c r="K233" s="3092"/>
      <c r="L233" s="3121" t="s">
        <v>665</v>
      </c>
      <c r="M233" s="3118" t="s">
        <v>672</v>
      </c>
      <c r="N233" s="3120"/>
      <c r="O233" s="3121" t="s">
        <v>665</v>
      </c>
      <c r="P233" s="3122" t="s">
        <v>672</v>
      </c>
      <c r="Q233" s="3117" t="s">
        <v>2124</v>
      </c>
      <c r="R233" s="3117"/>
      <c r="S233" s="3117"/>
      <c r="T233" s="3117"/>
      <c r="U233" s="3117"/>
      <c r="V233" s="2681"/>
    </row>
    <row r="234" spans="1:22">
      <c r="A234" s="2688"/>
      <c r="B234" s="365"/>
      <c r="C234" s="3121"/>
      <c r="D234" s="3092"/>
      <c r="E234" s="380"/>
      <c r="F234" s="3121"/>
      <c r="G234" s="3123"/>
      <c r="H234" s="365"/>
      <c r="I234" s="3121"/>
      <c r="J234" s="3092"/>
      <c r="K234" s="365"/>
      <c r="L234" s="3121"/>
      <c r="M234" s="3092"/>
      <c r="N234" s="380"/>
      <c r="O234" s="3121"/>
      <c r="P234" s="3123"/>
      <c r="Q234" s="123"/>
      <c r="R234" s="123"/>
      <c r="S234" s="123"/>
      <c r="T234" s="123"/>
      <c r="U234" s="123"/>
      <c r="V234" s="2681"/>
    </row>
    <row r="235" spans="1:22">
      <c r="A235" s="2689"/>
      <c r="B235" s="381" t="s">
        <v>107</v>
      </c>
      <c r="C235" s="2761" t="s">
        <v>107</v>
      </c>
      <c r="D235" s="381" t="s">
        <v>107</v>
      </c>
      <c r="E235" s="2767" t="s">
        <v>107</v>
      </c>
      <c r="F235" s="2761" t="s">
        <v>107</v>
      </c>
      <c r="G235" s="2766" t="s">
        <v>107</v>
      </c>
      <c r="H235" s="381" t="s">
        <v>107</v>
      </c>
      <c r="I235" s="2761" t="s">
        <v>107</v>
      </c>
      <c r="J235" s="381" t="s">
        <v>107</v>
      </c>
      <c r="K235" s="381" t="s">
        <v>107</v>
      </c>
      <c r="L235" s="2761" t="s">
        <v>107</v>
      </c>
      <c r="M235" s="381" t="s">
        <v>107</v>
      </c>
      <c r="N235" s="2767" t="s">
        <v>107</v>
      </c>
      <c r="O235" s="2761" t="s">
        <v>107</v>
      </c>
      <c r="P235" s="2766" t="s">
        <v>107</v>
      </c>
      <c r="Q235" s="94" t="str">
        <f>'CS Wing'!AB7</f>
        <v>m</v>
      </c>
      <c r="R235" s="94" t="str">
        <f>'CS Wing'!AC7</f>
        <v>m</v>
      </c>
      <c r="S235" s="94" t="str">
        <f>'CS Wing'!AD7</f>
        <v>m</v>
      </c>
      <c r="T235" s="94" t="str">
        <f>'CS Wing'!AE7</f>
        <v>m</v>
      </c>
      <c r="U235" s="94" t="str">
        <f>'CS Wing'!AF7</f>
        <v>m</v>
      </c>
      <c r="V235" s="2681"/>
    </row>
    <row r="236" spans="1:22">
      <c r="A236" s="2686" t="s">
        <v>666</v>
      </c>
      <c r="B236" s="2702">
        <f>'CS Wing'!M8</f>
        <v>0</v>
      </c>
      <c r="C236" s="2702">
        <f>'CS Wing'!N8</f>
        <v>0</v>
      </c>
      <c r="D236" s="2702">
        <f>'CS Wing'!O8</f>
        <v>0</v>
      </c>
      <c r="E236" s="2702">
        <f>'CS Wing'!P8</f>
        <v>0</v>
      </c>
      <c r="F236" s="2702">
        <f>'CS Wing'!Q8</f>
        <v>0</v>
      </c>
      <c r="G236" s="2702">
        <f>'CS Wing'!R8</f>
        <v>0</v>
      </c>
      <c r="H236" s="2702">
        <f>'CS Wing'!S8</f>
        <v>0</v>
      </c>
      <c r="I236" s="2702">
        <f>'CS Wing'!T8</f>
        <v>0</v>
      </c>
      <c r="J236" s="2702">
        <f>'CS Wing'!U8</f>
        <v>0</v>
      </c>
      <c r="K236" s="2702">
        <f>'CS Wing'!V8</f>
        <v>0</v>
      </c>
      <c r="L236" s="2702">
        <f>'CS Wing'!W8</f>
        <v>0</v>
      </c>
      <c r="M236" s="2702">
        <f>'CS Wing'!X8</f>
        <v>0</v>
      </c>
      <c r="N236" s="2702">
        <f>'CS Wing'!Y8</f>
        <v>0</v>
      </c>
      <c r="O236" s="2702">
        <f>'CS Wing'!Z8</f>
        <v>0</v>
      </c>
      <c r="P236" s="2772">
        <f>'CS Wing'!AA8</f>
        <v>0</v>
      </c>
      <c r="Q236" s="123"/>
      <c r="R236" s="123"/>
      <c r="S236" s="123"/>
      <c r="T236" s="123"/>
      <c r="U236" s="123"/>
      <c r="V236" s="2681"/>
    </row>
    <row r="237" spans="1:22">
      <c r="A237" s="2687" t="s">
        <v>667</v>
      </c>
      <c r="B237" s="2703">
        <f>'CS Wing'!M9</f>
        <v>539.68685923224393</v>
      </c>
      <c r="C237" s="2703">
        <f>'CS Wing'!N9</f>
        <v>0</v>
      </c>
      <c r="D237" s="2703">
        <f>'CS Wing'!O9</f>
        <v>410.2190467322439</v>
      </c>
      <c r="E237" s="2703">
        <f>'CS Wing'!P9</f>
        <v>539.68685923224393</v>
      </c>
      <c r="F237" s="2703">
        <f>'CS Wing'!Q9</f>
        <v>0</v>
      </c>
      <c r="G237" s="2703">
        <f>'CS Wing'!R9</f>
        <v>366.77052660512527</v>
      </c>
      <c r="H237" s="2703">
        <f>'CS Wing'!S9</f>
        <v>227.68039373860282</v>
      </c>
      <c r="I237" s="2703">
        <f>'CS Wing'!T9</f>
        <v>0</v>
      </c>
      <c r="J237" s="2703">
        <f>'CS Wing'!U9</f>
        <v>75.468211932458757</v>
      </c>
      <c r="K237" s="2703">
        <f>'CS Wing'!V9</f>
        <v>67.460857404030492</v>
      </c>
      <c r="L237" s="2703">
        <f>'CS Wing'!W9</f>
        <v>37.270905572664446</v>
      </c>
      <c r="M237" s="2703">
        <f>'CS Wing'!X9</f>
        <v>0</v>
      </c>
      <c r="N237" s="2703">
        <f>'CS Wing'!Y9</f>
        <v>67.460857404030492</v>
      </c>
      <c r="O237" s="2703">
        <f>'CS Wing'!Z9</f>
        <v>52.668892595969538</v>
      </c>
      <c r="P237" s="2773">
        <f>'CS Wing'!AA9</f>
        <v>0</v>
      </c>
      <c r="Q237" s="2768" t="e">
        <f>'CS Wing'!AB9</f>
        <v>#NUM!</v>
      </c>
      <c r="R237" s="2768" t="e">
        <f>'CS Wing'!AC9</f>
        <v>#NUM!</v>
      </c>
      <c r="S237" s="2768" t="e">
        <f>'CS Wing'!AD9</f>
        <v>#NUM!</v>
      </c>
      <c r="T237" s="2768">
        <f>'CS Wing'!AE9</f>
        <v>3.3814496629350961</v>
      </c>
      <c r="U237" s="2768">
        <f>'CS Wing'!AF9</f>
        <v>3.537323233575115</v>
      </c>
      <c r="V237" s="2681"/>
    </row>
    <row r="238" spans="1:22">
      <c r="A238" s="2687" t="s">
        <v>668</v>
      </c>
      <c r="B238" s="2703">
        <f>'CS Wing'!M10</f>
        <v>565.80236402288631</v>
      </c>
      <c r="C238" s="2703">
        <f>'CS Wing'!N10</f>
        <v>0</v>
      </c>
      <c r="D238" s="2703">
        <f>'CS Wing'!O10</f>
        <v>460.2851012940688</v>
      </c>
      <c r="E238" s="2703">
        <f>'CS Wing'!P10</f>
        <v>582.11920072890814</v>
      </c>
      <c r="F238" s="2703">
        <f>'CS Wing'!Q10</f>
        <v>0</v>
      </c>
      <c r="G238" s="2703">
        <f>'CS Wing'!R10</f>
        <v>449.52330029862281</v>
      </c>
      <c r="H238" s="2703">
        <f>'CS Wing'!S10</f>
        <v>272.78984012565195</v>
      </c>
      <c r="I238" s="2703">
        <f>'CS Wing'!T10</f>
        <v>0</v>
      </c>
      <c r="J238" s="2703">
        <f>'CS Wing'!U10</f>
        <v>165.53009921188783</v>
      </c>
      <c r="K238" s="2703">
        <f>'CS Wing'!V10</f>
        <v>32.44545998955752</v>
      </c>
      <c r="L238" s="2703">
        <f>'CS Wing'!W10</f>
        <v>27.257000074001894</v>
      </c>
      <c r="M238" s="2703">
        <f>'CS Wing'!X10</f>
        <v>0</v>
      </c>
      <c r="N238" s="2703">
        <f>'CS Wing'!Y10</f>
        <v>32.44545998955752</v>
      </c>
      <c r="O238" s="2703">
        <f>'CS Wing'!Z10</f>
        <v>36.034640010442558</v>
      </c>
      <c r="P238" s="2773">
        <f>'CS Wing'!AA10</f>
        <v>0</v>
      </c>
      <c r="Q238" s="123"/>
      <c r="R238" s="123"/>
      <c r="S238" s="123"/>
      <c r="T238" s="123"/>
      <c r="U238" s="123"/>
      <c r="V238" s="2681"/>
    </row>
    <row r="239" spans="1:22">
      <c r="A239" s="2687" t="s">
        <v>669</v>
      </c>
      <c r="B239" s="2703">
        <f>'CS Wing'!M11</f>
        <v>565.80236402288631</v>
      </c>
      <c r="C239" s="2703">
        <f>'CS Wing'!N11</f>
        <v>0</v>
      </c>
      <c r="D239" s="2703">
        <f>'CS Wing'!O11</f>
        <v>438.2126012940688</v>
      </c>
      <c r="E239" s="2703">
        <f>'CS Wing'!P11</f>
        <v>582.11920072890814</v>
      </c>
      <c r="F239" s="2703">
        <f>'CS Wing'!Q11</f>
        <v>0</v>
      </c>
      <c r="G239" s="2703">
        <f>'CS Wing'!R11</f>
        <v>411.19945453591083</v>
      </c>
      <c r="H239" s="2703">
        <f>'CS Wing'!S11</f>
        <v>272.78984012565195</v>
      </c>
      <c r="I239" s="2703">
        <f>'CS Wing'!T11</f>
        <v>0</v>
      </c>
      <c r="J239" s="2703">
        <f>'CS Wing'!U11</f>
        <v>121.13912177544717</v>
      </c>
      <c r="K239" s="2703">
        <f>'CS Wing'!V11</f>
        <v>32.44545998955752</v>
      </c>
      <c r="L239" s="2703">
        <f>'CS Wing'!W11</f>
        <v>72.286302987137418</v>
      </c>
      <c r="M239" s="2703">
        <f>'CS Wing'!X11</f>
        <v>0</v>
      </c>
      <c r="N239" s="2703">
        <f>'CS Wing'!Y11</f>
        <v>32.44545998955752</v>
      </c>
      <c r="O239" s="2703">
        <f>'CS Wing'!Z11</f>
        <v>87.68429001044251</v>
      </c>
      <c r="P239" s="2773">
        <f>'CS Wing'!AA11</f>
        <v>0</v>
      </c>
      <c r="Q239" s="2768" t="e">
        <f>'CS Wing'!AB11</f>
        <v>#NUM!</v>
      </c>
      <c r="R239" s="2768" t="e">
        <f>'CS Wing'!AC11</f>
        <v>#NUM!</v>
      </c>
      <c r="S239" s="2768" t="e">
        <f>'CS Wing'!AD11</f>
        <v>#NUM!</v>
      </c>
      <c r="T239" s="2768">
        <f>'CS Wing'!AE11</f>
        <v>2.4785500943559051</v>
      </c>
      <c r="U239" s="2768">
        <f>'CS Wing'!AF11</f>
        <v>2.6918328425422189</v>
      </c>
      <c r="V239" s="2681"/>
    </row>
    <row r="240" spans="1:22">
      <c r="A240" s="2690" t="s">
        <v>671</v>
      </c>
      <c r="B240" s="2678">
        <f>MAX(B236:B239)</f>
        <v>565.80236402288631</v>
      </c>
      <c r="C240" s="2678">
        <f t="shared" ref="C240:P240" si="3">MAX(C236:C239)</f>
        <v>0</v>
      </c>
      <c r="D240" s="2678">
        <f t="shared" si="3"/>
        <v>460.2851012940688</v>
      </c>
      <c r="E240" s="2678">
        <f t="shared" si="3"/>
        <v>582.11920072890814</v>
      </c>
      <c r="F240" s="2678">
        <f t="shared" si="3"/>
        <v>0</v>
      </c>
      <c r="G240" s="2678">
        <f t="shared" si="3"/>
        <v>449.52330029862281</v>
      </c>
      <c r="H240" s="2678">
        <f t="shared" si="3"/>
        <v>272.78984012565195</v>
      </c>
      <c r="I240" s="2678">
        <f t="shared" si="3"/>
        <v>0</v>
      </c>
      <c r="J240" s="2678">
        <f t="shared" si="3"/>
        <v>165.53009921188783</v>
      </c>
      <c r="K240" s="2678">
        <f t="shared" si="3"/>
        <v>67.460857404030492</v>
      </c>
      <c r="L240" s="2678">
        <f t="shared" si="3"/>
        <v>72.286302987137418</v>
      </c>
      <c r="M240" s="2678">
        <f t="shared" si="3"/>
        <v>0</v>
      </c>
      <c r="N240" s="2678">
        <f t="shared" si="3"/>
        <v>67.460857404030492</v>
      </c>
      <c r="O240" s="2678">
        <f t="shared" si="3"/>
        <v>87.68429001044251</v>
      </c>
      <c r="P240" s="2774">
        <f t="shared" si="3"/>
        <v>0</v>
      </c>
      <c r="Q240" s="457" t="e">
        <f>'CS Wing'!AB12</f>
        <v>#NUM!</v>
      </c>
      <c r="R240" s="457" t="e">
        <f>'CS Wing'!AC12</f>
        <v>#NUM!</v>
      </c>
      <c r="S240" s="457" t="e">
        <f>'CS Wing'!AD12</f>
        <v>#NUM!</v>
      </c>
      <c r="T240" s="457">
        <f>'CS Wing'!AE12</f>
        <v>2.4785500943559051</v>
      </c>
      <c r="U240" s="457">
        <f>'CS Wing'!AF12</f>
        <v>2.6918328425422189</v>
      </c>
      <c r="V240" s="2681"/>
    </row>
    <row r="241" spans="1:22">
      <c r="A241" s="2682"/>
      <c r="B241" s="16"/>
      <c r="C241" s="16"/>
      <c r="D241" s="2763"/>
      <c r="E241" s="1048"/>
      <c r="F241" s="2663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2681"/>
    </row>
    <row r="242" spans="1:22">
      <c r="A242" s="2680" t="s">
        <v>2101</v>
      </c>
      <c r="B242" s="16"/>
      <c r="C242" s="16"/>
      <c r="D242" s="2763"/>
      <c r="E242" s="1048"/>
      <c r="F242" s="2663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2681"/>
    </row>
    <row r="243" spans="1:22">
      <c r="A243" s="2682"/>
      <c r="B243" s="16"/>
      <c r="C243" s="16"/>
      <c r="D243" s="2763"/>
      <c r="E243" s="1048"/>
      <c r="F243" s="2663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586"/>
      <c r="R243" s="16"/>
      <c r="S243" s="16"/>
      <c r="T243" s="16"/>
      <c r="U243" s="16"/>
      <c r="V243" s="2681"/>
    </row>
    <row r="244" spans="1:22">
      <c r="A244" s="2685" t="s">
        <v>974</v>
      </c>
      <c r="B244" s="3127">
        <v>1</v>
      </c>
      <c r="C244" s="3128"/>
      <c r="D244" s="3129"/>
      <c r="E244" s="3128">
        <v>2</v>
      </c>
      <c r="F244" s="3128"/>
      <c r="G244" s="3129"/>
      <c r="H244" s="3066">
        <v>3</v>
      </c>
      <c r="I244" s="3067"/>
      <c r="J244" s="3068"/>
      <c r="K244" s="3066">
        <v>4</v>
      </c>
      <c r="L244" s="3067"/>
      <c r="M244" s="3068"/>
      <c r="N244" s="3066">
        <v>5</v>
      </c>
      <c r="O244" s="3067"/>
      <c r="P244" s="3068"/>
      <c r="Q244" s="381">
        <v>1</v>
      </c>
      <c r="R244" s="381">
        <v>2</v>
      </c>
      <c r="S244" s="381">
        <v>3</v>
      </c>
      <c r="T244" s="381">
        <v>4</v>
      </c>
      <c r="U244" s="381">
        <v>5</v>
      </c>
      <c r="V244" s="2681"/>
    </row>
    <row r="245" spans="1:22">
      <c r="A245" s="2686" t="s">
        <v>673</v>
      </c>
      <c r="B245" s="3118" t="s">
        <v>675</v>
      </c>
      <c r="C245" s="3070" t="s">
        <v>674</v>
      </c>
      <c r="D245" s="3068"/>
      <c r="E245" s="3119" t="s">
        <v>675</v>
      </c>
      <c r="F245" s="3070" t="s">
        <v>674</v>
      </c>
      <c r="G245" s="3067"/>
      <c r="H245" s="3118" t="s">
        <v>675</v>
      </c>
      <c r="I245" s="3070" t="s">
        <v>674</v>
      </c>
      <c r="J245" s="3068"/>
      <c r="K245" s="3118" t="s">
        <v>675</v>
      </c>
      <c r="L245" s="3070" t="s">
        <v>674</v>
      </c>
      <c r="M245" s="3068"/>
      <c r="N245" s="3119" t="s">
        <v>675</v>
      </c>
      <c r="O245" s="3070" t="s">
        <v>674</v>
      </c>
      <c r="P245" s="3068"/>
      <c r="Q245" s="2778" t="s">
        <v>2125</v>
      </c>
      <c r="R245" s="94"/>
      <c r="S245" s="94"/>
      <c r="T245" s="94"/>
      <c r="U245" s="172"/>
      <c r="V245" s="2681"/>
    </row>
    <row r="246" spans="1:22">
      <c r="A246" s="2687"/>
      <c r="B246" s="3092"/>
      <c r="C246" s="3121" t="s">
        <v>665</v>
      </c>
      <c r="D246" s="3118" t="s">
        <v>672</v>
      </c>
      <c r="E246" s="3120"/>
      <c r="F246" s="3121" t="s">
        <v>665</v>
      </c>
      <c r="G246" s="3122" t="s">
        <v>672</v>
      </c>
      <c r="H246" s="3092"/>
      <c r="I246" s="3121" t="s">
        <v>665</v>
      </c>
      <c r="J246" s="3118" t="s">
        <v>672</v>
      </c>
      <c r="K246" s="3092"/>
      <c r="L246" s="3121" t="s">
        <v>665</v>
      </c>
      <c r="M246" s="3118" t="s">
        <v>672</v>
      </c>
      <c r="N246" s="3120"/>
      <c r="O246" s="3121" t="s">
        <v>665</v>
      </c>
      <c r="P246" s="3118" t="s">
        <v>672</v>
      </c>
      <c r="Q246" s="3117" t="s">
        <v>2124</v>
      </c>
      <c r="R246" s="3117"/>
      <c r="S246" s="3117"/>
      <c r="T246" s="3117"/>
      <c r="U246" s="3117"/>
      <c r="V246" s="2681"/>
    </row>
    <row r="247" spans="1:22">
      <c r="A247" s="2688"/>
      <c r="B247" s="365"/>
      <c r="C247" s="3121"/>
      <c r="D247" s="3092"/>
      <c r="E247" s="380"/>
      <c r="F247" s="3121"/>
      <c r="G247" s="3123"/>
      <c r="H247" s="365"/>
      <c r="I247" s="3121"/>
      <c r="J247" s="3092"/>
      <c r="K247" s="365"/>
      <c r="L247" s="3121"/>
      <c r="M247" s="3092"/>
      <c r="N247" s="380"/>
      <c r="O247" s="3121"/>
      <c r="P247" s="3092"/>
      <c r="Q247" s="381"/>
      <c r="R247" s="381"/>
      <c r="S247" s="381"/>
      <c r="T247" s="381"/>
      <c r="U247" s="381"/>
      <c r="V247" s="2681"/>
    </row>
    <row r="248" spans="1:22">
      <c r="A248" s="2689"/>
      <c r="B248" s="381" t="s">
        <v>107</v>
      </c>
      <c r="C248" s="2761" t="s">
        <v>107</v>
      </c>
      <c r="D248" s="381" t="s">
        <v>107</v>
      </c>
      <c r="E248" s="2767" t="s">
        <v>107</v>
      </c>
      <c r="F248" s="2761" t="s">
        <v>107</v>
      </c>
      <c r="G248" s="2766" t="s">
        <v>107</v>
      </c>
      <c r="H248" s="381" t="s">
        <v>107</v>
      </c>
      <c r="I248" s="2761" t="s">
        <v>107</v>
      </c>
      <c r="J248" s="381" t="s">
        <v>107</v>
      </c>
      <c r="K248" s="381" t="s">
        <v>107</v>
      </c>
      <c r="L248" s="2761" t="s">
        <v>107</v>
      </c>
      <c r="M248" s="381" t="s">
        <v>107</v>
      </c>
      <c r="N248" s="2767" t="s">
        <v>107</v>
      </c>
      <c r="O248" s="2761" t="s">
        <v>107</v>
      </c>
      <c r="P248" s="381" t="s">
        <v>107</v>
      </c>
      <c r="Q248" s="256" t="s">
        <v>5</v>
      </c>
      <c r="R248" s="256" t="s">
        <v>5</v>
      </c>
      <c r="S248" s="256" t="s">
        <v>5</v>
      </c>
      <c r="T248" s="256" t="s">
        <v>5</v>
      </c>
      <c r="U248" s="256" t="s">
        <v>5</v>
      </c>
      <c r="V248" s="2681"/>
    </row>
    <row r="249" spans="1:22">
      <c r="A249" s="2686" t="s">
        <v>666</v>
      </c>
      <c r="B249" s="3041">
        <v>0</v>
      </c>
      <c r="C249" s="3041">
        <v>0</v>
      </c>
      <c r="D249" s="3041">
        <v>0</v>
      </c>
      <c r="E249" s="3041">
        <v>0</v>
      </c>
      <c r="F249" s="3041">
        <v>0</v>
      </c>
      <c r="G249" s="3041">
        <v>0</v>
      </c>
      <c r="H249" s="3041">
        <v>0</v>
      </c>
      <c r="I249" s="3041">
        <v>0</v>
      </c>
      <c r="J249" s="3041">
        <v>0</v>
      </c>
      <c r="K249" s="3041">
        <v>0</v>
      </c>
      <c r="L249" s="3041">
        <v>0</v>
      </c>
      <c r="M249" s="3041">
        <v>0</v>
      </c>
      <c r="N249" s="3041">
        <v>0</v>
      </c>
      <c r="O249" s="3041">
        <v>0</v>
      </c>
      <c r="P249" s="3042">
        <v>0</v>
      </c>
      <c r="Q249" s="810"/>
      <c r="R249" s="810"/>
      <c r="S249" s="810"/>
      <c r="T249" s="810"/>
      <c r="U249" s="810"/>
      <c r="V249" s="2681"/>
    </row>
    <row r="250" spans="1:22">
      <c r="A250" s="2687" t="s">
        <v>667</v>
      </c>
      <c r="B250" s="3043">
        <v>539.68685923224393</v>
      </c>
      <c r="C250" s="3043">
        <v>0</v>
      </c>
      <c r="D250" s="3043">
        <v>394.67998423224384</v>
      </c>
      <c r="E250" s="3043">
        <v>539.68685923224393</v>
      </c>
      <c r="F250" s="3043">
        <v>0</v>
      </c>
      <c r="G250" s="3043">
        <v>346.01666007970141</v>
      </c>
      <c r="H250" s="3043">
        <v>227.68039373860282</v>
      </c>
      <c r="I250" s="3043">
        <v>0</v>
      </c>
      <c r="J250" s="3043">
        <v>51.428755497077418</v>
      </c>
      <c r="K250" s="3043">
        <v>67.460857404030492</v>
      </c>
      <c r="L250" s="3043">
        <v>37.270905572664446</v>
      </c>
      <c r="M250" s="3043">
        <v>0</v>
      </c>
      <c r="N250" s="3043">
        <v>67.460857404030492</v>
      </c>
      <c r="O250" s="3043">
        <v>52.668892595969538</v>
      </c>
      <c r="P250" s="3044">
        <v>0</v>
      </c>
      <c r="Q250" s="591" t="e">
        <v>#NUM!</v>
      </c>
      <c r="R250" s="591" t="e">
        <v>#NUM!</v>
      </c>
      <c r="S250" s="591" t="e">
        <v>#NUM!</v>
      </c>
      <c r="T250" s="591">
        <v>3.3814496629350961</v>
      </c>
      <c r="U250" s="591">
        <v>3.537323233575115</v>
      </c>
      <c r="V250" s="2681"/>
    </row>
    <row r="251" spans="1:22">
      <c r="A251" s="2687" t="s">
        <v>668</v>
      </c>
      <c r="B251" s="3043">
        <v>565.80236402288631</v>
      </c>
      <c r="C251" s="3043">
        <v>0</v>
      </c>
      <c r="D251" s="3043">
        <v>447.88071124830526</v>
      </c>
      <c r="E251" s="3043">
        <v>582.11920072890814</v>
      </c>
      <c r="F251" s="3043">
        <v>0</v>
      </c>
      <c r="G251" s="3043">
        <v>433.95923178036224</v>
      </c>
      <c r="H251" s="3043">
        <v>272.78984012565195</v>
      </c>
      <c r="I251" s="3043">
        <v>0</v>
      </c>
      <c r="J251" s="3043">
        <v>149.07629350122636</v>
      </c>
      <c r="K251" s="3043">
        <v>32.44545998955752</v>
      </c>
      <c r="L251" s="3043">
        <v>27.257000074001894</v>
      </c>
      <c r="M251" s="3043">
        <v>0</v>
      </c>
      <c r="N251" s="3043">
        <v>32.44545998955752</v>
      </c>
      <c r="O251" s="3043">
        <v>36.034640010442558</v>
      </c>
      <c r="P251" s="3044">
        <v>0</v>
      </c>
      <c r="Q251" s="591"/>
      <c r="R251" s="591"/>
      <c r="S251" s="591"/>
      <c r="T251" s="591"/>
      <c r="U251" s="591"/>
      <c r="V251" s="2681"/>
    </row>
    <row r="252" spans="1:22">
      <c r="A252" s="2687" t="s">
        <v>669</v>
      </c>
      <c r="B252" s="3045">
        <v>565.80236402288631</v>
      </c>
      <c r="C252" s="3045">
        <v>0</v>
      </c>
      <c r="D252" s="3045">
        <v>423.04914874830524</v>
      </c>
      <c r="E252" s="3045">
        <v>582.11920072890814</v>
      </c>
      <c r="F252" s="3045">
        <v>0</v>
      </c>
      <c r="G252" s="3045">
        <v>390.84490529731136</v>
      </c>
      <c r="H252" s="3045">
        <v>272.78984012565195</v>
      </c>
      <c r="I252" s="3045">
        <v>0</v>
      </c>
      <c r="J252" s="3045">
        <v>97.286819825378984</v>
      </c>
      <c r="K252" s="3045">
        <v>32.44545998955752</v>
      </c>
      <c r="L252" s="3045">
        <v>72.286302987137418</v>
      </c>
      <c r="M252" s="3045">
        <v>0</v>
      </c>
      <c r="N252" s="3045">
        <v>32.44545998955752</v>
      </c>
      <c r="O252" s="3045">
        <v>87.68429001044251</v>
      </c>
      <c r="P252" s="3046">
        <v>0</v>
      </c>
      <c r="Q252" s="592" t="e">
        <v>#NUM!</v>
      </c>
      <c r="R252" s="592" t="e">
        <v>#NUM!</v>
      </c>
      <c r="S252" s="592" t="e">
        <v>#NUM!</v>
      </c>
      <c r="T252" s="592">
        <v>2.4785500943559051</v>
      </c>
      <c r="U252" s="592">
        <v>2.6918328425422189</v>
      </c>
      <c r="V252" s="2681"/>
    </row>
    <row r="253" spans="1:22">
      <c r="A253" s="2690" t="s">
        <v>671</v>
      </c>
      <c r="B253" s="2679">
        <f>MAX(B249:B252)</f>
        <v>565.80236402288631</v>
      </c>
      <c r="C253" s="2679">
        <f t="shared" ref="C253" si="4">MAX(C249:C252)</f>
        <v>0</v>
      </c>
      <c r="D253" s="2679">
        <f t="shared" ref="D253" si="5">MAX(D249:D252)</f>
        <v>447.88071124830526</v>
      </c>
      <c r="E253" s="2679">
        <f t="shared" ref="E253" si="6">MAX(E249:E252)</f>
        <v>582.11920072890814</v>
      </c>
      <c r="F253" s="2679">
        <f t="shared" ref="F253" si="7">MAX(F249:F252)</f>
        <v>0</v>
      </c>
      <c r="G253" s="2679">
        <f t="shared" ref="G253" si="8">MAX(G249:G252)</f>
        <v>433.95923178036224</v>
      </c>
      <c r="H253" s="2679">
        <f t="shared" ref="H253" si="9">MAX(H249:H252)</f>
        <v>272.78984012565195</v>
      </c>
      <c r="I253" s="2679">
        <f t="shared" ref="I253" si="10">MAX(I249:I252)</f>
        <v>0</v>
      </c>
      <c r="J253" s="2679">
        <f t="shared" ref="J253" si="11">MAX(J249:J252)</f>
        <v>149.07629350122636</v>
      </c>
      <c r="K253" s="2679">
        <f t="shared" ref="K253" si="12">MAX(K249:K252)</f>
        <v>67.460857404030492</v>
      </c>
      <c r="L253" s="2679">
        <f t="shared" ref="L253" si="13">MAX(L249:L252)</f>
        <v>72.286302987137418</v>
      </c>
      <c r="M253" s="2679">
        <f t="shared" ref="M253" si="14">MAX(M249:M252)</f>
        <v>0</v>
      </c>
      <c r="N253" s="2679">
        <f t="shared" ref="N253" si="15">MAX(N249:N252)</f>
        <v>67.460857404030492</v>
      </c>
      <c r="O253" s="2679">
        <f t="shared" ref="O253" si="16">MAX(O249:O252)</f>
        <v>87.68429001044251</v>
      </c>
      <c r="P253" s="2779">
        <f t="shared" ref="P253" si="17">MAX(P249:P252)</f>
        <v>0</v>
      </c>
      <c r="Q253" s="2770" t="e">
        <f>MIN(Q250,Q252)</f>
        <v>#NUM!</v>
      </c>
      <c r="R253" s="2770" t="e">
        <f t="shared" ref="R253:U253" si="18">MIN(R250,R252)</f>
        <v>#NUM!</v>
      </c>
      <c r="S253" s="2770" t="e">
        <f t="shared" si="18"/>
        <v>#NUM!</v>
      </c>
      <c r="T253" s="2770">
        <f t="shared" si="18"/>
        <v>2.4785500943559051</v>
      </c>
      <c r="U253" s="2770">
        <f t="shared" si="18"/>
        <v>2.6918328425422189</v>
      </c>
      <c r="V253" s="2681"/>
    </row>
    <row r="254" spans="1:22">
      <c r="A254" s="2682"/>
      <c r="B254" s="2763"/>
      <c r="C254" s="2763"/>
      <c r="D254" s="2763"/>
      <c r="E254" s="2763"/>
      <c r="F254" s="2763"/>
      <c r="G254" s="2763"/>
      <c r="H254" s="2763"/>
      <c r="I254" s="2763"/>
      <c r="J254" s="2763"/>
      <c r="K254" s="2763"/>
      <c r="L254" s="2763"/>
      <c r="M254" s="2763"/>
      <c r="N254" s="2763"/>
      <c r="O254" s="2763"/>
      <c r="P254" s="2763"/>
      <c r="Q254" s="2763"/>
      <c r="R254" s="2763"/>
      <c r="S254" s="2763"/>
      <c r="T254" s="2763"/>
      <c r="U254" s="2763"/>
      <c r="V254" s="2771"/>
    </row>
    <row r="255" spans="1:22" ht="13.5" thickBot="1">
      <c r="A255" s="2696"/>
      <c r="B255" s="2697"/>
      <c r="C255" s="2697"/>
      <c r="D255" s="2698"/>
      <c r="E255" s="2699"/>
      <c r="F255" s="2700"/>
      <c r="G255" s="2697"/>
      <c r="H255" s="2697"/>
      <c r="I255" s="2697"/>
      <c r="J255" s="2697"/>
      <c r="K255" s="2697"/>
      <c r="L255" s="2697"/>
      <c r="M255" s="2697"/>
      <c r="N255" s="2697"/>
      <c r="O255" s="2697"/>
      <c r="P255" s="2697"/>
      <c r="Q255" s="2697"/>
      <c r="R255" s="2697"/>
      <c r="S255" s="2697"/>
      <c r="T255" s="2697"/>
      <c r="U255" s="2697"/>
      <c r="V255" s="2701"/>
    </row>
    <row r="258" spans="1:22" ht="13.5" thickBot="1"/>
    <row r="259" spans="1:22">
      <c r="A259" s="2691"/>
      <c r="B259" s="2692"/>
      <c r="C259" s="2692"/>
      <c r="D259" s="2693"/>
      <c r="E259" s="2694"/>
      <c r="F259" s="2692"/>
      <c r="G259" s="2692"/>
      <c r="H259" s="2692"/>
      <c r="I259" s="2692"/>
      <c r="J259" s="2692"/>
      <c r="K259" s="2692"/>
      <c r="L259" s="2692"/>
      <c r="M259" s="2692"/>
      <c r="N259" s="2692"/>
      <c r="O259" s="2692"/>
      <c r="P259" s="2692"/>
      <c r="Q259" s="2692"/>
      <c r="R259" s="2692"/>
      <c r="S259" s="2692"/>
      <c r="T259" s="2692"/>
      <c r="U259" s="2692"/>
      <c r="V259" s="2695"/>
    </row>
    <row r="260" spans="1:22">
      <c r="A260" s="2720" t="s">
        <v>2104</v>
      </c>
      <c r="B260" s="2721"/>
      <c r="C260" s="2889">
        <v>2</v>
      </c>
      <c r="D260" s="2656"/>
      <c r="E260" s="1048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V260" s="2681"/>
    </row>
    <row r="261" spans="1:22">
      <c r="A261" s="2682"/>
      <c r="B261" s="16"/>
      <c r="C261" s="16"/>
      <c r="D261" s="2656"/>
      <c r="E261" s="1048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V261" s="2681"/>
    </row>
    <row r="262" spans="1:22">
      <c r="A262" s="2682"/>
      <c r="B262" s="16"/>
      <c r="C262" s="2045">
        <v>2</v>
      </c>
      <c r="D262" s="16"/>
      <c r="E262" s="16"/>
      <c r="F262" s="1285" t="s">
        <v>1648</v>
      </c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V262" s="2681"/>
    </row>
    <row r="263" spans="1:22" ht="15.75">
      <c r="A263" s="2722" t="s">
        <v>2107</v>
      </c>
      <c r="B263" s="2655"/>
      <c r="C263" s="381">
        <v>1</v>
      </c>
      <c r="D263" s="16"/>
      <c r="E263" s="2683" t="s">
        <v>2105</v>
      </c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V263" s="2681"/>
    </row>
    <row r="264" spans="1:22">
      <c r="A264" s="2684" t="s">
        <v>285</v>
      </c>
      <c r="B264" s="77"/>
      <c r="C264" s="104">
        <v>2</v>
      </c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V264" s="2681"/>
    </row>
    <row r="265" spans="1:22">
      <c r="A265" s="2682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V265" s="2681"/>
    </row>
    <row r="266" spans="1:22">
      <c r="A266" s="2680" t="s">
        <v>2106</v>
      </c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V266" s="2681"/>
    </row>
    <row r="267" spans="1:22">
      <c r="A267" s="2682"/>
      <c r="B267" s="16"/>
      <c r="C267" s="16"/>
      <c r="D267" s="2656"/>
      <c r="E267" s="1048"/>
      <c r="F267" s="2663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V267" s="2681"/>
    </row>
    <row r="268" spans="1:22">
      <c r="A268" s="2685" t="str">
        <f>IF(C262=1,"Pre","Post")</f>
        <v>Post</v>
      </c>
      <c r="B268" s="3127">
        <v>1</v>
      </c>
      <c r="C268" s="3128"/>
      <c r="D268" s="3129"/>
      <c r="E268" s="3128">
        <v>2</v>
      </c>
      <c r="F268" s="3128"/>
      <c r="G268" s="3129"/>
      <c r="H268" s="3066">
        <v>3</v>
      </c>
      <c r="I268" s="3067"/>
      <c r="J268" s="3068"/>
      <c r="K268" s="3066">
        <v>4</v>
      </c>
      <c r="L268" s="3067"/>
      <c r="M268" s="3068"/>
      <c r="N268" s="3066">
        <v>5</v>
      </c>
      <c r="O268" s="3067"/>
      <c r="P268" s="3068"/>
      <c r="Q268" s="381">
        <v>1</v>
      </c>
      <c r="R268" s="381">
        <v>2</v>
      </c>
      <c r="S268" s="381">
        <v>3</v>
      </c>
      <c r="T268" s="381">
        <v>4</v>
      </c>
      <c r="U268" s="381">
        <v>5</v>
      </c>
      <c r="V268" s="2681"/>
    </row>
    <row r="269" spans="1:22">
      <c r="A269" s="2686" t="s">
        <v>673</v>
      </c>
      <c r="B269" s="3118" t="s">
        <v>675</v>
      </c>
      <c r="C269" s="3070" t="s">
        <v>674</v>
      </c>
      <c r="D269" s="3068"/>
      <c r="E269" s="3119" t="s">
        <v>675</v>
      </c>
      <c r="F269" s="3070" t="s">
        <v>674</v>
      </c>
      <c r="G269" s="3067"/>
      <c r="H269" s="3118" t="s">
        <v>675</v>
      </c>
      <c r="I269" s="3070" t="s">
        <v>674</v>
      </c>
      <c r="J269" s="3068"/>
      <c r="K269" s="3118" t="s">
        <v>675</v>
      </c>
      <c r="L269" s="3070" t="s">
        <v>674</v>
      </c>
      <c r="M269" s="3068"/>
      <c r="N269" s="3119" t="s">
        <v>675</v>
      </c>
      <c r="O269" s="3070" t="s">
        <v>674</v>
      </c>
      <c r="P269" s="3068"/>
      <c r="Q269" s="2778" t="s">
        <v>2125</v>
      </c>
      <c r="R269" s="94"/>
      <c r="S269" s="94"/>
      <c r="T269" s="94"/>
      <c r="U269" s="172"/>
      <c r="V269" s="2681"/>
    </row>
    <row r="270" spans="1:22">
      <c r="A270" s="2687"/>
      <c r="B270" s="3092"/>
      <c r="C270" s="3121" t="s">
        <v>665</v>
      </c>
      <c r="D270" s="3118" t="s">
        <v>672</v>
      </c>
      <c r="E270" s="3120"/>
      <c r="F270" s="3121" t="s">
        <v>665</v>
      </c>
      <c r="G270" s="3122" t="s">
        <v>672</v>
      </c>
      <c r="H270" s="3092"/>
      <c r="I270" s="3121" t="s">
        <v>665</v>
      </c>
      <c r="J270" s="3118" t="s">
        <v>672</v>
      </c>
      <c r="K270" s="3092"/>
      <c r="L270" s="3121" t="s">
        <v>665</v>
      </c>
      <c r="M270" s="3118" t="s">
        <v>672</v>
      </c>
      <c r="N270" s="3120"/>
      <c r="O270" s="3121" t="s">
        <v>665</v>
      </c>
      <c r="P270" s="3118" t="s">
        <v>672</v>
      </c>
      <c r="Q270" s="3117" t="s">
        <v>2124</v>
      </c>
      <c r="R270" s="3117"/>
      <c r="S270" s="3117"/>
      <c r="T270" s="3117"/>
      <c r="U270" s="3117"/>
      <c r="V270" s="2681"/>
    </row>
    <row r="271" spans="1:22">
      <c r="A271" s="2688"/>
      <c r="B271" s="365"/>
      <c r="C271" s="3121"/>
      <c r="D271" s="3092"/>
      <c r="E271" s="380"/>
      <c r="F271" s="3121"/>
      <c r="G271" s="3123"/>
      <c r="H271" s="365"/>
      <c r="I271" s="3121"/>
      <c r="J271" s="3092"/>
      <c r="K271" s="365"/>
      <c r="L271" s="3121"/>
      <c r="M271" s="3092"/>
      <c r="N271" s="380"/>
      <c r="O271" s="3121"/>
      <c r="P271" s="3092"/>
      <c r="Q271" s="123"/>
      <c r="R271" s="123"/>
      <c r="S271" s="123"/>
      <c r="T271" s="123"/>
      <c r="U271" s="123"/>
      <c r="V271" s="2681"/>
    </row>
    <row r="272" spans="1:22">
      <c r="A272" s="2689"/>
      <c r="B272" s="381" t="s">
        <v>107</v>
      </c>
      <c r="C272" s="2655" t="s">
        <v>107</v>
      </c>
      <c r="D272" s="381" t="s">
        <v>107</v>
      </c>
      <c r="E272" s="2659" t="s">
        <v>107</v>
      </c>
      <c r="F272" s="2655" t="s">
        <v>107</v>
      </c>
      <c r="G272" s="2658" t="s">
        <v>107</v>
      </c>
      <c r="H272" s="381" t="s">
        <v>107</v>
      </c>
      <c r="I272" s="2655" t="s">
        <v>107</v>
      </c>
      <c r="J272" s="381" t="s">
        <v>107</v>
      </c>
      <c r="K272" s="381" t="s">
        <v>107</v>
      </c>
      <c r="L272" s="2655" t="s">
        <v>107</v>
      </c>
      <c r="M272" s="381" t="s">
        <v>107</v>
      </c>
      <c r="N272" s="2659" t="s">
        <v>107</v>
      </c>
      <c r="O272" s="2655" t="s">
        <v>107</v>
      </c>
      <c r="P272" s="381" t="s">
        <v>107</v>
      </c>
      <c r="Q272" s="256" t="s">
        <v>5</v>
      </c>
      <c r="R272" s="256" t="s">
        <v>5</v>
      </c>
      <c r="S272" s="256" t="s">
        <v>5</v>
      </c>
      <c r="T272" s="256" t="s">
        <v>5</v>
      </c>
      <c r="U272" s="256" t="s">
        <v>5</v>
      </c>
      <c r="V272" s="2681"/>
    </row>
    <row r="273" spans="1:22">
      <c r="A273" s="2686" t="s">
        <v>666</v>
      </c>
      <c r="B273" s="2702">
        <f>'RS Wing'!M8</f>
        <v>0</v>
      </c>
      <c r="C273" s="2702">
        <f>'RS Wing'!N8</f>
        <v>0</v>
      </c>
      <c r="D273" s="2702">
        <f>'RS Wing'!O8</f>
        <v>0</v>
      </c>
      <c r="E273" s="2702">
        <f>'RS Wing'!P8</f>
        <v>0</v>
      </c>
      <c r="F273" s="2702">
        <f>'RS Wing'!Q8</f>
        <v>0</v>
      </c>
      <c r="G273" s="2702">
        <f>'RS Wing'!R8</f>
        <v>0</v>
      </c>
      <c r="H273" s="2702">
        <f>'RS Wing'!S8</f>
        <v>0</v>
      </c>
      <c r="I273" s="2702">
        <f>'RS Wing'!T8</f>
        <v>0</v>
      </c>
      <c r="J273" s="2702">
        <f>'RS Wing'!U8</f>
        <v>0</v>
      </c>
      <c r="K273" s="2702">
        <f>'RS Wing'!V8</f>
        <v>0</v>
      </c>
      <c r="L273" s="2702">
        <f>'RS Wing'!W8</f>
        <v>0</v>
      </c>
      <c r="M273" s="2702">
        <f>'RS Wing'!X8</f>
        <v>0</v>
      </c>
      <c r="N273" s="2702">
        <f>'RS Wing'!Y8</f>
        <v>0</v>
      </c>
      <c r="O273" s="2702">
        <f>'RS Wing'!Z8</f>
        <v>0</v>
      </c>
      <c r="P273" s="2702">
        <f>'RS Wing'!AA8</f>
        <v>0</v>
      </c>
      <c r="Q273" s="2769"/>
      <c r="R273" s="2769"/>
      <c r="S273" s="2769"/>
      <c r="T273" s="2769"/>
      <c r="U273" s="2769"/>
      <c r="V273" s="2681"/>
    </row>
    <row r="274" spans="1:22">
      <c r="A274" s="2687" t="s">
        <v>667</v>
      </c>
      <c r="B274" s="2702">
        <f>'RS Wing'!M9</f>
        <v>539.68685923224393</v>
      </c>
      <c r="C274" s="2702">
        <f>'RS Wing'!N9</f>
        <v>0</v>
      </c>
      <c r="D274" s="2702">
        <f>'RS Wing'!O9</f>
        <v>410.2190467322439</v>
      </c>
      <c r="E274" s="2702">
        <f>'RS Wing'!P9</f>
        <v>539.68685923224393</v>
      </c>
      <c r="F274" s="2702">
        <f>'RS Wing'!Q9</f>
        <v>0</v>
      </c>
      <c r="G274" s="2702">
        <f>'RS Wing'!R9</f>
        <v>366.77052660512527</v>
      </c>
      <c r="H274" s="2702">
        <f>'RS Wing'!S9</f>
        <v>227.68039373860282</v>
      </c>
      <c r="I274" s="2702">
        <f>'RS Wing'!T9</f>
        <v>0</v>
      </c>
      <c r="J274" s="2702">
        <f>'RS Wing'!U9</f>
        <v>75.468211932458757</v>
      </c>
      <c r="K274" s="2702">
        <f>'RS Wing'!V9</f>
        <v>67.460857404030492</v>
      </c>
      <c r="L274" s="2702">
        <f>'RS Wing'!W9</f>
        <v>37.270905572664446</v>
      </c>
      <c r="M274" s="2702">
        <f>'RS Wing'!X9</f>
        <v>0</v>
      </c>
      <c r="N274" s="2702">
        <f>'RS Wing'!Y9</f>
        <v>67.460857404030492</v>
      </c>
      <c r="O274" s="2702">
        <f>'RS Wing'!Z9</f>
        <v>52.668892595969538</v>
      </c>
      <c r="P274" s="2702">
        <f>'RS Wing'!AA9</f>
        <v>0</v>
      </c>
      <c r="Q274" s="2768" t="e">
        <f>'RS Wing'!AB9</f>
        <v>#NUM!</v>
      </c>
      <c r="R274" s="2768" t="e">
        <f>'RS Wing'!AC9</f>
        <v>#NUM!</v>
      </c>
      <c r="S274" s="2768" t="e">
        <f>'RS Wing'!AD9</f>
        <v>#NUM!</v>
      </c>
      <c r="T274" s="2768">
        <f>'RS Wing'!AE9</f>
        <v>3.3814496629350961</v>
      </c>
      <c r="U274" s="2768">
        <f>'RS Wing'!AF9</f>
        <v>3.537323233575115</v>
      </c>
      <c r="V274" s="2681"/>
    </row>
    <row r="275" spans="1:22">
      <c r="A275" s="2687" t="s">
        <v>668</v>
      </c>
      <c r="B275" s="2702">
        <f>'RS Wing'!M10</f>
        <v>120.43583572756029</v>
      </c>
      <c r="C275" s="2702">
        <f>'RS Wing'!N10</f>
        <v>0</v>
      </c>
      <c r="D275" s="2702">
        <f>'RS Wing'!O10</f>
        <v>43.342987740681679</v>
      </c>
      <c r="E275" s="2702">
        <f>'RS Wing'!P10</f>
        <v>-3.8649429769237713</v>
      </c>
      <c r="F275" s="2702">
        <f>'RS Wing'!Q10</f>
        <v>98.732026821602119</v>
      </c>
      <c r="G275" s="2702">
        <f>'RS Wing'!R10</f>
        <v>0</v>
      </c>
      <c r="H275" s="2702">
        <f>'RS Wing'!S10</f>
        <v>109.50342746475667</v>
      </c>
      <c r="I275" s="2702">
        <f>'RS Wing'!T10</f>
        <v>0</v>
      </c>
      <c r="J275" s="2702">
        <f>'RS Wing'!U10</f>
        <v>23.877711813273606</v>
      </c>
      <c r="K275" s="2702">
        <f>'RS Wing'!V10</f>
        <v>32.44545998955752</v>
      </c>
      <c r="L275" s="2702">
        <f>'RS Wing'!W10</f>
        <v>27.257000074001894</v>
      </c>
      <c r="M275" s="2702">
        <f>'RS Wing'!X10</f>
        <v>0</v>
      </c>
      <c r="N275" s="2702">
        <f>'RS Wing'!Y10</f>
        <v>32.44545998955752</v>
      </c>
      <c r="O275" s="2702">
        <f>'RS Wing'!Z10</f>
        <v>36.034640010442558</v>
      </c>
      <c r="P275" s="2702">
        <f>'RS Wing'!AA10</f>
        <v>0</v>
      </c>
      <c r="Q275" s="2768"/>
      <c r="R275" s="2768"/>
      <c r="S275" s="2768"/>
      <c r="T275" s="2768"/>
      <c r="U275" s="2768"/>
      <c r="V275" s="2681"/>
    </row>
    <row r="276" spans="1:22">
      <c r="A276" s="2687" t="s">
        <v>669</v>
      </c>
      <c r="B276" s="2702">
        <f>'RS Wing'!M11</f>
        <v>120.43583572756029</v>
      </c>
      <c r="C276" s="2702">
        <f>'RS Wing'!N11</f>
        <v>7.4237622593183232</v>
      </c>
      <c r="D276" s="2702">
        <f>'RS Wing'!O11</f>
        <v>0</v>
      </c>
      <c r="E276" s="2702">
        <f>'RS Wing'!P11</f>
        <v>-3.8649429769237713</v>
      </c>
      <c r="F276" s="2702">
        <f>'RS Wing'!Q11</f>
        <v>175.37971834702589</v>
      </c>
      <c r="G276" s="2702">
        <f>'RS Wing'!R11</f>
        <v>0</v>
      </c>
      <c r="H276" s="2702">
        <f>'RS Wing'!S11</f>
        <v>109.50342746475667</v>
      </c>
      <c r="I276" s="2702">
        <f>'RS Wing'!T11</f>
        <v>42.708754341387362</v>
      </c>
      <c r="J276" s="2702">
        <f>'RS Wing'!U11</f>
        <v>0</v>
      </c>
      <c r="K276" s="2702">
        <f>'RS Wing'!V11</f>
        <v>32.44545998955752</v>
      </c>
      <c r="L276" s="2702">
        <f>'RS Wing'!W11</f>
        <v>72.286302987137418</v>
      </c>
      <c r="M276" s="2702">
        <f>'RS Wing'!X11</f>
        <v>0</v>
      </c>
      <c r="N276" s="2702">
        <f>'RS Wing'!Y11</f>
        <v>32.44545998955752</v>
      </c>
      <c r="O276" s="2702">
        <f>'RS Wing'!Z11</f>
        <v>87.68429001044251</v>
      </c>
      <c r="P276" s="2702">
        <f>'RS Wing'!AA11</f>
        <v>0</v>
      </c>
      <c r="Q276" s="2770">
        <f>'RS Wing'!AB11</f>
        <v>2.2934135964385352</v>
      </c>
      <c r="R276" s="2770">
        <f>'RS Wing'!AC11</f>
        <v>1.2474126319544294</v>
      </c>
      <c r="S276" s="2770">
        <f>'RS Wing'!AD11</f>
        <v>2.9106333038934995</v>
      </c>
      <c r="T276" s="2770">
        <f>'RS Wing'!AE11</f>
        <v>2.4785500943559051</v>
      </c>
      <c r="U276" s="2770">
        <f>'RS Wing'!AF11</f>
        <v>2.6918328425422189</v>
      </c>
      <c r="V276" s="2681"/>
    </row>
    <row r="277" spans="1:22">
      <c r="A277" s="2690" t="s">
        <v>671</v>
      </c>
      <c r="B277" s="2678">
        <f>MAX(B273:B276)</f>
        <v>539.68685923224393</v>
      </c>
      <c r="C277" s="2678">
        <f t="shared" ref="C277:P277" si="19">MAX(C273:C276)</f>
        <v>7.4237622593183232</v>
      </c>
      <c r="D277" s="2678">
        <f t="shared" si="19"/>
        <v>410.2190467322439</v>
      </c>
      <c r="E277" s="2678">
        <f t="shared" si="19"/>
        <v>539.68685923224393</v>
      </c>
      <c r="F277" s="2678">
        <f t="shared" si="19"/>
        <v>175.37971834702589</v>
      </c>
      <c r="G277" s="2678">
        <f t="shared" si="19"/>
        <v>366.77052660512527</v>
      </c>
      <c r="H277" s="2678">
        <f t="shared" si="19"/>
        <v>227.68039373860282</v>
      </c>
      <c r="I277" s="2678">
        <f t="shared" si="19"/>
        <v>42.708754341387362</v>
      </c>
      <c r="J277" s="2678">
        <f t="shared" si="19"/>
        <v>75.468211932458757</v>
      </c>
      <c r="K277" s="2678">
        <f t="shared" si="19"/>
        <v>67.460857404030492</v>
      </c>
      <c r="L277" s="2678">
        <f t="shared" si="19"/>
        <v>72.286302987137418</v>
      </c>
      <c r="M277" s="2678">
        <f t="shared" si="19"/>
        <v>0</v>
      </c>
      <c r="N277" s="2678">
        <f t="shared" si="19"/>
        <v>67.460857404030492</v>
      </c>
      <c r="O277" s="2678">
        <f t="shared" si="19"/>
        <v>87.68429001044251</v>
      </c>
      <c r="P277" s="2678">
        <f t="shared" si="19"/>
        <v>0</v>
      </c>
      <c r="Q277" s="2770" t="e">
        <f>MIN(Q274,Q276)</f>
        <v>#NUM!</v>
      </c>
      <c r="R277" s="2770" t="e">
        <f t="shared" ref="R277:U277" si="20">MIN(R274,R276)</f>
        <v>#NUM!</v>
      </c>
      <c r="S277" s="2770" t="e">
        <f t="shared" si="20"/>
        <v>#NUM!</v>
      </c>
      <c r="T277" s="2770">
        <f t="shared" si="20"/>
        <v>2.4785500943559051</v>
      </c>
      <c r="U277" s="2770">
        <f t="shared" si="20"/>
        <v>2.6918328425422189</v>
      </c>
      <c r="V277" s="2681"/>
    </row>
    <row r="278" spans="1:22">
      <c r="A278" s="2682"/>
      <c r="B278" s="16"/>
      <c r="C278" s="16"/>
      <c r="D278" s="2656"/>
      <c r="E278" s="1048"/>
      <c r="F278" s="2663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2681"/>
    </row>
    <row r="279" spans="1:22">
      <c r="A279" s="2680" t="s">
        <v>2101</v>
      </c>
      <c r="B279" s="16"/>
      <c r="C279" s="16"/>
      <c r="D279" s="2656"/>
      <c r="E279" s="1048"/>
      <c r="F279" s="2663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2681"/>
    </row>
    <row r="280" spans="1:22">
      <c r="A280" s="2682"/>
      <c r="B280" s="16"/>
      <c r="C280" s="16"/>
      <c r="D280" s="2656"/>
      <c r="E280" s="1048"/>
      <c r="F280" s="2663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2681"/>
    </row>
    <row r="281" spans="1:22">
      <c r="A281" s="2685" t="s">
        <v>974</v>
      </c>
      <c r="B281" s="3127">
        <v>1</v>
      </c>
      <c r="C281" s="3128"/>
      <c r="D281" s="3129"/>
      <c r="E281" s="3128">
        <v>2</v>
      </c>
      <c r="F281" s="3128"/>
      <c r="G281" s="3129"/>
      <c r="H281" s="3066">
        <v>3</v>
      </c>
      <c r="I281" s="3067"/>
      <c r="J281" s="3068"/>
      <c r="K281" s="3066">
        <v>4</v>
      </c>
      <c r="L281" s="3067"/>
      <c r="M281" s="3068"/>
      <c r="N281" s="3066">
        <v>5</v>
      </c>
      <c r="O281" s="3067"/>
      <c r="P281" s="3068"/>
      <c r="Q281" s="381">
        <v>1</v>
      </c>
      <c r="R281" s="381">
        <v>2</v>
      </c>
      <c r="S281" s="381">
        <v>3</v>
      </c>
      <c r="T281" s="381">
        <v>4</v>
      </c>
      <c r="U281" s="381">
        <v>5</v>
      </c>
      <c r="V281" s="2681"/>
    </row>
    <row r="282" spans="1:22">
      <c r="A282" s="2686" t="s">
        <v>673</v>
      </c>
      <c r="B282" s="3118" t="s">
        <v>675</v>
      </c>
      <c r="C282" s="3070" t="s">
        <v>674</v>
      </c>
      <c r="D282" s="3068"/>
      <c r="E282" s="3119" t="s">
        <v>675</v>
      </c>
      <c r="F282" s="3070" t="s">
        <v>674</v>
      </c>
      <c r="G282" s="3067"/>
      <c r="H282" s="3118" t="s">
        <v>675</v>
      </c>
      <c r="I282" s="3070" t="s">
        <v>674</v>
      </c>
      <c r="J282" s="3068"/>
      <c r="K282" s="3118" t="s">
        <v>675</v>
      </c>
      <c r="L282" s="3070" t="s">
        <v>674</v>
      </c>
      <c r="M282" s="3068"/>
      <c r="N282" s="3119" t="s">
        <v>675</v>
      </c>
      <c r="O282" s="3070" t="s">
        <v>674</v>
      </c>
      <c r="P282" s="3068"/>
      <c r="Q282" s="2778" t="s">
        <v>2125</v>
      </c>
      <c r="R282" s="94"/>
      <c r="S282" s="94"/>
      <c r="T282" s="94"/>
      <c r="U282" s="172"/>
      <c r="V282" s="2681"/>
    </row>
    <row r="283" spans="1:22">
      <c r="A283" s="2687"/>
      <c r="B283" s="3092"/>
      <c r="C283" s="3121" t="s">
        <v>665</v>
      </c>
      <c r="D283" s="3118" t="s">
        <v>672</v>
      </c>
      <c r="E283" s="3120"/>
      <c r="F283" s="3121" t="s">
        <v>665</v>
      </c>
      <c r="G283" s="3122" t="s">
        <v>672</v>
      </c>
      <c r="H283" s="3092"/>
      <c r="I283" s="3121" t="s">
        <v>665</v>
      </c>
      <c r="J283" s="3118" t="s">
        <v>672</v>
      </c>
      <c r="K283" s="3092"/>
      <c r="L283" s="3121" t="s">
        <v>665</v>
      </c>
      <c r="M283" s="3118" t="s">
        <v>672</v>
      </c>
      <c r="N283" s="3120"/>
      <c r="O283" s="3121" t="s">
        <v>665</v>
      </c>
      <c r="P283" s="3118" t="s">
        <v>672</v>
      </c>
      <c r="Q283" s="3117" t="s">
        <v>2124</v>
      </c>
      <c r="R283" s="3117"/>
      <c r="S283" s="3117"/>
      <c r="T283" s="3117"/>
      <c r="U283" s="3117"/>
      <c r="V283" s="2681"/>
    </row>
    <row r="284" spans="1:22">
      <c r="A284" s="2688"/>
      <c r="B284" s="365"/>
      <c r="C284" s="3121"/>
      <c r="D284" s="3092"/>
      <c r="E284" s="380"/>
      <c r="F284" s="3121"/>
      <c r="G284" s="3123"/>
      <c r="H284" s="365"/>
      <c r="I284" s="3121"/>
      <c r="J284" s="3092"/>
      <c r="K284" s="365"/>
      <c r="L284" s="3121"/>
      <c r="M284" s="3092"/>
      <c r="N284" s="380"/>
      <c r="O284" s="3121"/>
      <c r="P284" s="3092"/>
      <c r="Q284" s="381"/>
      <c r="R284" s="381"/>
      <c r="S284" s="381"/>
      <c r="T284" s="381"/>
      <c r="U284" s="381"/>
      <c r="V284" s="2681"/>
    </row>
    <row r="285" spans="1:22">
      <c r="A285" s="2689"/>
      <c r="B285" s="381" t="s">
        <v>107</v>
      </c>
      <c r="C285" s="2655" t="s">
        <v>107</v>
      </c>
      <c r="D285" s="381" t="s">
        <v>107</v>
      </c>
      <c r="E285" s="2659" t="s">
        <v>107</v>
      </c>
      <c r="F285" s="2655" t="s">
        <v>107</v>
      </c>
      <c r="G285" s="2658" t="s">
        <v>107</v>
      </c>
      <c r="H285" s="381" t="s">
        <v>107</v>
      </c>
      <c r="I285" s="2655" t="s">
        <v>107</v>
      </c>
      <c r="J285" s="381" t="s">
        <v>107</v>
      </c>
      <c r="K285" s="381" t="s">
        <v>107</v>
      </c>
      <c r="L285" s="2655" t="s">
        <v>107</v>
      </c>
      <c r="M285" s="381" t="s">
        <v>107</v>
      </c>
      <c r="N285" s="2659" t="s">
        <v>107</v>
      </c>
      <c r="O285" s="2655" t="s">
        <v>107</v>
      </c>
      <c r="P285" s="381" t="s">
        <v>107</v>
      </c>
      <c r="Q285" s="256" t="s">
        <v>5</v>
      </c>
      <c r="R285" s="256" t="s">
        <v>5</v>
      </c>
      <c r="S285" s="256" t="s">
        <v>5</v>
      </c>
      <c r="T285" s="256" t="s">
        <v>5</v>
      </c>
      <c r="U285" s="256" t="s">
        <v>5</v>
      </c>
      <c r="V285" s="2681"/>
    </row>
    <row r="286" spans="1:22">
      <c r="A286" s="2686" t="s">
        <v>666</v>
      </c>
      <c r="B286" s="3041">
        <v>0</v>
      </c>
      <c r="C286" s="3041">
        <v>0</v>
      </c>
      <c r="D286" s="3041">
        <v>0</v>
      </c>
      <c r="E286" s="3041">
        <v>0</v>
      </c>
      <c r="F286" s="3041">
        <v>0</v>
      </c>
      <c r="G286" s="3041">
        <v>0</v>
      </c>
      <c r="H286" s="3041">
        <v>0</v>
      </c>
      <c r="I286" s="3041">
        <v>0</v>
      </c>
      <c r="J286" s="3041">
        <v>0</v>
      </c>
      <c r="K286" s="3041">
        <v>0</v>
      </c>
      <c r="L286" s="3041">
        <v>0</v>
      </c>
      <c r="M286" s="3041">
        <v>0</v>
      </c>
      <c r="N286" s="3041">
        <v>0</v>
      </c>
      <c r="O286" s="3041">
        <v>0</v>
      </c>
      <c r="P286" s="3041">
        <v>0</v>
      </c>
      <c r="Q286" s="810"/>
      <c r="R286" s="810"/>
      <c r="S286" s="810"/>
      <c r="T286" s="810"/>
      <c r="U286" s="810"/>
      <c r="V286" s="2681"/>
    </row>
    <row r="287" spans="1:22">
      <c r="A287" s="2687" t="s">
        <v>667</v>
      </c>
      <c r="B287" s="3043">
        <v>539.68685923224393</v>
      </c>
      <c r="C287" s="3043">
        <v>0</v>
      </c>
      <c r="D287" s="3043">
        <v>394.67998423224384</v>
      </c>
      <c r="E287" s="3043">
        <v>539.68685923224393</v>
      </c>
      <c r="F287" s="3043">
        <v>0</v>
      </c>
      <c r="G287" s="3043">
        <v>346.01666007970141</v>
      </c>
      <c r="H287" s="3043">
        <v>227.68039373860282</v>
      </c>
      <c r="I287" s="3043">
        <v>0</v>
      </c>
      <c r="J287" s="3043">
        <v>51.428755497077418</v>
      </c>
      <c r="K287" s="3043">
        <v>67.460857404030492</v>
      </c>
      <c r="L287" s="3043">
        <v>37.270905572664446</v>
      </c>
      <c r="M287" s="3043">
        <v>0</v>
      </c>
      <c r="N287" s="3043">
        <v>67.460857404030492</v>
      </c>
      <c r="O287" s="3043">
        <v>52.668892595969538</v>
      </c>
      <c r="P287" s="3043">
        <v>0</v>
      </c>
      <c r="Q287" s="591" t="e">
        <v>#NUM!</v>
      </c>
      <c r="R287" s="591" t="e">
        <v>#NUM!</v>
      </c>
      <c r="S287" s="591" t="e">
        <v>#NUM!</v>
      </c>
      <c r="T287" s="591">
        <v>3.3814496629350961</v>
      </c>
      <c r="U287" s="591">
        <v>3.537323233575115</v>
      </c>
      <c r="V287" s="2681"/>
    </row>
    <row r="288" spans="1:22">
      <c r="A288" s="2687" t="s">
        <v>668</v>
      </c>
      <c r="B288" s="3043">
        <v>120.43583572756029</v>
      </c>
      <c r="C288" s="3043">
        <v>0</v>
      </c>
      <c r="D288" s="3043">
        <v>34.471411893306026</v>
      </c>
      <c r="E288" s="3043">
        <v>-3.8649429769237713</v>
      </c>
      <c r="F288" s="3043">
        <v>109.62462045494453</v>
      </c>
      <c r="G288" s="3043">
        <v>0</v>
      </c>
      <c r="H288" s="3043">
        <v>109.50342746475667</v>
      </c>
      <c r="I288" s="3043">
        <v>0</v>
      </c>
      <c r="J288" s="3043">
        <v>10.935999737002305</v>
      </c>
      <c r="K288" s="3043">
        <v>32.44545998955752</v>
      </c>
      <c r="L288" s="3043">
        <v>27.257000074001894</v>
      </c>
      <c r="M288" s="3043">
        <v>0</v>
      </c>
      <c r="N288" s="3043">
        <v>32.44545998955752</v>
      </c>
      <c r="O288" s="3043">
        <v>36.034640010442558</v>
      </c>
      <c r="P288" s="3043">
        <v>0</v>
      </c>
      <c r="Q288" s="591"/>
      <c r="R288" s="591"/>
      <c r="S288" s="591"/>
      <c r="T288" s="591"/>
      <c r="U288" s="591"/>
      <c r="V288" s="2681"/>
    </row>
    <row r="289" spans="1:22">
      <c r="A289" s="2687" t="s">
        <v>669</v>
      </c>
      <c r="B289" s="3045">
        <v>120.43583572756029</v>
      </c>
      <c r="C289" s="3045">
        <v>22.641181856694004</v>
      </c>
      <c r="D289" s="3045">
        <v>0</v>
      </c>
      <c r="E289" s="3045">
        <v>-3.8649429769237713</v>
      </c>
      <c r="F289" s="3045">
        <v>195.85327342104631</v>
      </c>
      <c r="G289" s="3045">
        <v>0</v>
      </c>
      <c r="H289" s="3045">
        <v>109.50342746475667</v>
      </c>
      <c r="I289" s="3045">
        <v>66.748210776768758</v>
      </c>
      <c r="J289" s="3045">
        <v>0</v>
      </c>
      <c r="K289" s="3045">
        <v>32.44545998955752</v>
      </c>
      <c r="L289" s="3045">
        <v>72.286302987137418</v>
      </c>
      <c r="M289" s="3045">
        <v>0</v>
      </c>
      <c r="N289" s="3045">
        <v>32.44545998955752</v>
      </c>
      <c r="O289" s="3045">
        <v>87.68429001044251</v>
      </c>
      <c r="P289" s="3045">
        <v>0</v>
      </c>
      <c r="Q289" s="592">
        <v>2.1333743177575744</v>
      </c>
      <c r="R289" s="592">
        <v>1.3189751654073572</v>
      </c>
      <c r="S289" s="592">
        <v>2.7386363093439887</v>
      </c>
      <c r="T289" s="592">
        <v>2.4785500943559051</v>
      </c>
      <c r="U289" s="592">
        <v>2.6918328425422189</v>
      </c>
      <c r="V289" s="2681"/>
    </row>
    <row r="290" spans="1:22">
      <c r="A290" s="2690" t="s">
        <v>671</v>
      </c>
      <c r="B290" s="2679">
        <f>MAX(B286:B289)</f>
        <v>539.68685923224393</v>
      </c>
      <c r="C290" s="2679">
        <f t="shared" ref="C290:P290" si="21">MAX(C286:C289)</f>
        <v>22.641181856694004</v>
      </c>
      <c r="D290" s="2679">
        <f t="shared" si="21"/>
        <v>394.67998423224384</v>
      </c>
      <c r="E290" s="2679">
        <f t="shared" si="21"/>
        <v>539.68685923224393</v>
      </c>
      <c r="F290" s="2679">
        <f t="shared" si="21"/>
        <v>195.85327342104631</v>
      </c>
      <c r="G290" s="2679">
        <f t="shared" si="21"/>
        <v>346.01666007970141</v>
      </c>
      <c r="H290" s="2679">
        <f t="shared" si="21"/>
        <v>227.68039373860282</v>
      </c>
      <c r="I290" s="2679">
        <f t="shared" si="21"/>
        <v>66.748210776768758</v>
      </c>
      <c r="J290" s="2679">
        <f t="shared" si="21"/>
        <v>51.428755497077418</v>
      </c>
      <c r="K290" s="2679">
        <f t="shared" si="21"/>
        <v>67.460857404030492</v>
      </c>
      <c r="L290" s="2679">
        <f t="shared" si="21"/>
        <v>72.286302987137418</v>
      </c>
      <c r="M290" s="2679">
        <f t="shared" si="21"/>
        <v>0</v>
      </c>
      <c r="N290" s="2679">
        <f t="shared" si="21"/>
        <v>67.460857404030492</v>
      </c>
      <c r="O290" s="2679">
        <f t="shared" si="21"/>
        <v>87.68429001044251</v>
      </c>
      <c r="P290" s="2679">
        <f t="shared" si="21"/>
        <v>0</v>
      </c>
      <c r="Q290" s="2770" t="e">
        <f>MIN(Q287,Q289)</f>
        <v>#NUM!</v>
      </c>
      <c r="R290" s="2770" t="e">
        <f t="shared" ref="R290:U290" si="22">MIN(R287,R289)</f>
        <v>#NUM!</v>
      </c>
      <c r="S290" s="2770" t="e">
        <f t="shared" si="22"/>
        <v>#NUM!</v>
      </c>
      <c r="T290" s="2770">
        <f t="shared" si="22"/>
        <v>2.4785500943559051</v>
      </c>
      <c r="U290" s="2770">
        <f t="shared" si="22"/>
        <v>2.6918328425422189</v>
      </c>
      <c r="V290" s="2681"/>
    </row>
    <row r="291" spans="1:22">
      <c r="A291" s="2682"/>
      <c r="B291" s="2656"/>
      <c r="C291" s="2656"/>
      <c r="D291" s="2656"/>
      <c r="E291" s="2656"/>
      <c r="F291" s="2656"/>
      <c r="G291" s="2656"/>
      <c r="H291" s="2656"/>
      <c r="I291" s="2656"/>
      <c r="J291" s="2656"/>
      <c r="K291" s="2656"/>
      <c r="L291" s="2656"/>
      <c r="M291" s="2656"/>
      <c r="N291" s="2656"/>
      <c r="O291" s="2656"/>
      <c r="P291" s="2656"/>
      <c r="V291" s="2681"/>
    </row>
    <row r="292" spans="1:22" ht="13.5" thickBot="1">
      <c r="A292" s="2696"/>
      <c r="B292" s="2697"/>
      <c r="C292" s="2697"/>
      <c r="D292" s="2698"/>
      <c r="E292" s="2699"/>
      <c r="F292" s="2700"/>
      <c r="G292" s="2697"/>
      <c r="H292" s="2697"/>
      <c r="I292" s="2697"/>
      <c r="J292" s="2697"/>
      <c r="K292" s="2697"/>
      <c r="L292" s="2697"/>
      <c r="M292" s="2697"/>
      <c r="N292" s="2697"/>
      <c r="O292" s="2697"/>
      <c r="P292" s="2697"/>
      <c r="Q292" s="2697"/>
      <c r="R292" s="2697"/>
      <c r="S292" s="2697"/>
      <c r="T292" s="2697"/>
      <c r="U292" s="2697"/>
      <c r="V292" s="2701"/>
    </row>
    <row r="293" spans="1:22">
      <c r="D293" s="10"/>
      <c r="E293" s="18"/>
      <c r="F293" s="14"/>
    </row>
    <row r="294" spans="1:22">
      <c r="D294" s="10"/>
      <c r="E294" s="18"/>
      <c r="F294" s="14"/>
    </row>
    <row r="295" spans="1:22"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</row>
    <row r="296" spans="1:22">
      <c r="D296" s="10"/>
      <c r="E296" s="18"/>
      <c r="F296" s="14"/>
    </row>
    <row r="297" spans="1:22">
      <c r="D297" s="10"/>
      <c r="E297" s="18"/>
      <c r="F297" s="14"/>
    </row>
    <row r="298" spans="1:22">
      <c r="D298" s="10"/>
      <c r="E298" s="18"/>
      <c r="F298" s="14"/>
    </row>
    <row r="299" spans="1:22">
      <c r="D299" s="10"/>
      <c r="E299" s="18"/>
      <c r="F299" s="14"/>
    </row>
    <row r="300" spans="1:22">
      <c r="D300" s="10"/>
      <c r="E300" s="18"/>
      <c r="F300" s="14"/>
    </row>
    <row r="301" spans="1:22">
      <c r="D301" s="10"/>
      <c r="E301" s="18"/>
      <c r="F301" s="14"/>
    </row>
    <row r="302" spans="1:22">
      <c r="D302" s="10"/>
      <c r="E302" s="18"/>
      <c r="F302" s="14"/>
    </row>
    <row r="303" spans="1:22">
      <c r="D303" s="10"/>
      <c r="E303" s="18"/>
      <c r="F303" s="14"/>
    </row>
    <row r="304" spans="1:22">
      <c r="D304" s="10"/>
      <c r="E304" s="18"/>
      <c r="F304" s="14"/>
    </row>
    <row r="305" spans="4:6">
      <c r="D305" s="10"/>
      <c r="E305" s="18"/>
      <c r="F305" s="14"/>
    </row>
    <row r="306" spans="4:6">
      <c r="D306" s="10"/>
      <c r="E306" s="18"/>
      <c r="F306" s="14"/>
    </row>
    <row r="307" spans="4:6">
      <c r="D307" s="10"/>
      <c r="E307" s="18"/>
      <c r="F307" s="14"/>
    </row>
    <row r="308" spans="4:6">
      <c r="D308" s="10"/>
      <c r="E308" s="18"/>
      <c r="F308" s="14"/>
    </row>
    <row r="309" spans="4:6">
      <c r="D309" s="10"/>
      <c r="E309" s="18"/>
      <c r="F309" s="14"/>
    </row>
    <row r="310" spans="4:6">
      <c r="D310" s="10"/>
      <c r="E310" s="18"/>
      <c r="F310" s="14"/>
    </row>
    <row r="311" spans="4:6">
      <c r="D311" s="10"/>
      <c r="E311" s="18"/>
      <c r="F311" s="14"/>
    </row>
    <row r="312" spans="4:6">
      <c r="D312" s="10"/>
      <c r="E312" s="18"/>
      <c r="F312" s="14"/>
    </row>
    <row r="313" spans="4:6">
      <c r="D313" s="10"/>
      <c r="E313" s="18"/>
      <c r="F313" s="14"/>
    </row>
    <row r="314" spans="4:6">
      <c r="D314" s="10"/>
      <c r="E314" s="18"/>
      <c r="F314" s="14"/>
    </row>
    <row r="315" spans="4:6">
      <c r="D315" s="10"/>
      <c r="E315" s="18"/>
      <c r="F315" s="14"/>
    </row>
    <row r="316" spans="4:6">
      <c r="D316" s="10"/>
      <c r="E316" s="18"/>
      <c r="F316" s="14"/>
    </row>
    <row r="317" spans="4:6">
      <c r="D317" s="10"/>
      <c r="E317" s="18"/>
      <c r="F317" s="14"/>
    </row>
    <row r="318" spans="4:6">
      <c r="D318" s="10"/>
      <c r="E318" s="18"/>
      <c r="F318" s="14"/>
    </row>
    <row r="319" spans="4:6">
      <c r="D319" s="10"/>
      <c r="E319" s="18"/>
      <c r="F319" s="14"/>
    </row>
    <row r="320" spans="4:6">
      <c r="D320" s="10"/>
      <c r="E320" s="18"/>
      <c r="F320" s="14"/>
    </row>
    <row r="321" spans="4:6">
      <c r="D321" s="10"/>
      <c r="E321" s="18"/>
      <c r="F321" s="14"/>
    </row>
    <row r="322" spans="4:6">
      <c r="D322" s="10"/>
      <c r="E322" s="18"/>
      <c r="F322" s="14"/>
    </row>
    <row r="323" spans="4:6">
      <c r="D323" s="10"/>
      <c r="E323" s="18"/>
      <c r="F323" s="14"/>
    </row>
    <row r="324" spans="4:6">
      <c r="D324" s="10"/>
      <c r="E324" s="18"/>
      <c r="F324" s="14"/>
    </row>
    <row r="325" spans="4:6">
      <c r="D325" s="10"/>
      <c r="E325" s="18"/>
      <c r="F325" s="14"/>
    </row>
    <row r="326" spans="4:6">
      <c r="D326" s="10"/>
      <c r="E326" s="18"/>
      <c r="F326" s="14"/>
    </row>
    <row r="327" spans="4:6">
      <c r="D327" s="10"/>
      <c r="E327" s="18"/>
      <c r="F327" s="14"/>
    </row>
    <row r="328" spans="4:6">
      <c r="D328" s="10"/>
      <c r="E328" s="18"/>
      <c r="F328" s="14"/>
    </row>
    <row r="329" spans="4:6">
      <c r="D329" s="10"/>
      <c r="E329" s="18"/>
      <c r="F329" s="14"/>
    </row>
    <row r="330" spans="4:6">
      <c r="D330" s="10"/>
      <c r="E330" s="18"/>
      <c r="F330" s="14"/>
    </row>
    <row r="331" spans="4:6">
      <c r="D331" s="10"/>
      <c r="E331" s="18"/>
      <c r="F331" s="14"/>
    </row>
    <row r="332" spans="4:6">
      <c r="D332" s="10"/>
      <c r="E332" s="18"/>
      <c r="F332" s="14"/>
    </row>
    <row r="333" spans="4:6">
      <c r="D333" s="10"/>
      <c r="E333" s="18"/>
      <c r="F333" s="14"/>
    </row>
    <row r="334" spans="4:6">
      <c r="D334" s="10"/>
      <c r="E334" s="18"/>
      <c r="F334" s="14"/>
    </row>
    <row r="335" spans="4:6">
      <c r="D335" s="10"/>
      <c r="E335" s="18"/>
      <c r="F335" s="14"/>
    </row>
    <row r="336" spans="4:6">
      <c r="D336" s="10"/>
      <c r="E336" s="18"/>
      <c r="F336" s="14"/>
    </row>
    <row r="337" spans="4:6">
      <c r="D337" s="10"/>
      <c r="E337" s="18"/>
      <c r="F337" s="14"/>
    </row>
    <row r="338" spans="4:6">
      <c r="D338" s="10"/>
      <c r="E338" s="18"/>
      <c r="F338" s="14"/>
    </row>
    <row r="339" spans="4:6">
      <c r="D339" s="10"/>
      <c r="E339" s="18"/>
      <c r="F339" s="14"/>
    </row>
    <row r="340" spans="4:6">
      <c r="D340" s="10"/>
      <c r="E340" s="18"/>
      <c r="F340" s="14"/>
    </row>
    <row r="341" spans="4:6">
      <c r="D341" s="10"/>
      <c r="E341" s="18"/>
      <c r="F341" s="14"/>
    </row>
    <row r="342" spans="4:6">
      <c r="D342" s="10"/>
      <c r="E342" s="18"/>
      <c r="F342" s="14"/>
    </row>
    <row r="343" spans="4:6">
      <c r="D343" s="247"/>
      <c r="E343" s="18"/>
      <c r="F343" s="14"/>
    </row>
    <row r="344" spans="4:6">
      <c r="D344" s="247"/>
      <c r="E344" s="18"/>
      <c r="F344" s="14"/>
    </row>
    <row r="345" spans="4:6">
      <c r="D345" s="247"/>
      <c r="E345" s="18"/>
      <c r="F345" s="14"/>
    </row>
    <row r="346" spans="4:6">
      <c r="D346" s="10"/>
      <c r="E346" s="18"/>
      <c r="F346" s="14"/>
    </row>
    <row r="347" spans="4:6">
      <c r="D347" s="10"/>
      <c r="E347" s="18"/>
      <c r="F347" s="14"/>
    </row>
    <row r="348" spans="4:6">
      <c r="D348" s="10"/>
      <c r="E348" s="18"/>
      <c r="F348" s="14"/>
    </row>
    <row r="349" spans="4:6">
      <c r="D349" s="10"/>
      <c r="E349" s="18"/>
      <c r="F349" s="14"/>
    </row>
    <row r="350" spans="4:6">
      <c r="D350" s="10"/>
      <c r="E350" s="18"/>
      <c r="F350" s="14"/>
    </row>
    <row r="351" spans="4:6">
      <c r="D351" s="10"/>
      <c r="E351" s="18"/>
      <c r="F351" s="14"/>
    </row>
    <row r="352" spans="4:6">
      <c r="D352" s="10"/>
      <c r="E352" s="18"/>
      <c r="F352" s="14"/>
    </row>
    <row r="353" spans="4:6">
      <c r="D353" s="10"/>
      <c r="E353" s="18"/>
      <c r="F353" s="14"/>
    </row>
    <row r="354" spans="4:6">
      <c r="D354" s="10"/>
      <c r="E354" s="18"/>
      <c r="F354" s="14"/>
    </row>
    <row r="355" spans="4:6">
      <c r="D355" s="10"/>
      <c r="E355" s="18"/>
      <c r="F355" s="14"/>
    </row>
    <row r="356" spans="4:6">
      <c r="D356" s="10"/>
      <c r="E356" s="18"/>
      <c r="F356" s="14"/>
    </row>
    <row r="357" spans="4:6">
      <c r="D357" s="10"/>
      <c r="E357" s="18"/>
      <c r="F357" s="14"/>
    </row>
    <row r="358" spans="4:6">
      <c r="D358" s="10"/>
      <c r="E358" s="18"/>
      <c r="F358" s="14"/>
    </row>
    <row r="359" spans="4:6">
      <c r="D359" s="10"/>
      <c r="E359" s="18"/>
      <c r="F359" s="14"/>
    </row>
    <row r="360" spans="4:6">
      <c r="D360" s="10"/>
      <c r="E360" s="18"/>
      <c r="F360" s="14"/>
    </row>
    <row r="361" spans="4:6">
      <c r="D361" s="10"/>
      <c r="E361" s="18"/>
      <c r="F361" s="14"/>
    </row>
    <row r="362" spans="4:6">
      <c r="D362" s="10"/>
      <c r="E362" s="18"/>
      <c r="F362" s="14"/>
    </row>
    <row r="363" spans="4:6">
      <c r="D363" s="10"/>
      <c r="E363" s="18"/>
      <c r="F363" s="14"/>
    </row>
    <row r="364" spans="4:6">
      <c r="D364" s="10"/>
      <c r="E364" s="18"/>
      <c r="F364" s="14"/>
    </row>
    <row r="365" spans="4:6">
      <c r="D365" s="10"/>
      <c r="E365" s="18"/>
      <c r="F365" s="14"/>
    </row>
    <row r="366" spans="4:6">
      <c r="D366" s="10"/>
      <c r="E366" s="18"/>
      <c r="F366" s="14"/>
    </row>
    <row r="367" spans="4:6">
      <c r="D367" s="10"/>
      <c r="E367" s="18"/>
      <c r="F367" s="14"/>
    </row>
    <row r="368" spans="4:6">
      <c r="D368" s="10"/>
      <c r="E368" s="18"/>
      <c r="F368" s="14"/>
    </row>
    <row r="369" spans="4:6">
      <c r="D369" s="10"/>
      <c r="E369" s="18"/>
      <c r="F369" s="14"/>
    </row>
    <row r="370" spans="4:6">
      <c r="D370" s="10"/>
      <c r="E370" s="18"/>
      <c r="F370" s="14"/>
    </row>
    <row r="371" spans="4:6">
      <c r="D371" s="10"/>
      <c r="E371" s="18"/>
      <c r="F371" s="14"/>
    </row>
    <row r="372" spans="4:6">
      <c r="D372" s="10"/>
      <c r="E372" s="18"/>
      <c r="F372" s="14"/>
    </row>
    <row r="373" spans="4:6">
      <c r="D373" s="10"/>
      <c r="E373" s="18"/>
      <c r="F373" s="14"/>
    </row>
    <row r="374" spans="4:6">
      <c r="D374" s="10"/>
      <c r="E374" s="18"/>
      <c r="F374" s="14"/>
    </row>
    <row r="375" spans="4:6">
      <c r="D375" s="10"/>
      <c r="E375" s="18"/>
      <c r="F375" s="14"/>
    </row>
    <row r="376" spans="4:6">
      <c r="D376" s="10"/>
      <c r="E376" s="18"/>
      <c r="F376" s="14"/>
    </row>
    <row r="377" spans="4:6">
      <c r="D377" s="10"/>
      <c r="E377" s="18"/>
      <c r="F377" s="14"/>
    </row>
    <row r="378" spans="4:6">
      <c r="D378" s="10"/>
      <c r="E378" s="18"/>
      <c r="F378" s="14"/>
    </row>
    <row r="379" spans="4:6">
      <c r="D379" s="10"/>
      <c r="E379" s="18"/>
      <c r="F379" s="14"/>
    </row>
    <row r="380" spans="4:6">
      <c r="D380" s="10"/>
      <c r="E380" s="18"/>
      <c r="F380" s="14"/>
    </row>
    <row r="381" spans="4:6">
      <c r="D381" s="10"/>
      <c r="E381" s="18"/>
      <c r="F381" s="14"/>
    </row>
    <row r="382" spans="4:6">
      <c r="D382" s="10"/>
      <c r="E382" s="18"/>
      <c r="F382" s="14"/>
    </row>
    <row r="383" spans="4:6">
      <c r="D383" s="10"/>
      <c r="E383" s="18"/>
      <c r="F383" s="14"/>
    </row>
    <row r="384" spans="4:6">
      <c r="D384" s="10"/>
      <c r="E384" s="18"/>
      <c r="F384" s="14"/>
    </row>
    <row r="385" spans="4:6">
      <c r="D385" s="10"/>
      <c r="E385" s="18"/>
      <c r="F385" s="14"/>
    </row>
    <row r="386" spans="4:6">
      <c r="D386" s="10"/>
      <c r="E386" s="18"/>
      <c r="F386" s="14"/>
    </row>
    <row r="387" spans="4:6">
      <c r="D387" s="10"/>
      <c r="E387" s="18"/>
      <c r="F387" s="14"/>
    </row>
    <row r="388" spans="4:6">
      <c r="D388" s="10"/>
      <c r="E388" s="18"/>
      <c r="F388" s="14"/>
    </row>
    <row r="389" spans="4:6">
      <c r="D389" s="10"/>
      <c r="E389" s="18"/>
      <c r="F389" s="14"/>
    </row>
    <row r="390" spans="4:6">
      <c r="D390" s="10"/>
      <c r="E390" s="18"/>
      <c r="F390" s="14"/>
    </row>
    <row r="391" spans="4:6">
      <c r="D391" s="10"/>
      <c r="E391" s="18"/>
      <c r="F391" s="14"/>
    </row>
    <row r="392" spans="4:6">
      <c r="D392" s="10"/>
      <c r="E392" s="18"/>
      <c r="F392" s="14"/>
    </row>
    <row r="393" spans="4:6">
      <c r="D393" s="10"/>
      <c r="E393" s="18"/>
    </row>
  </sheetData>
  <sheetProtection sheet="1" objects="1" scenarios="1" selectLockedCells="1"/>
  <sortState ref="C43:D153">
    <sortCondition descending="1" ref="C43"/>
  </sortState>
  <mergeCells count="118">
    <mergeCell ref="G233:G234"/>
    <mergeCell ref="N244:P244"/>
    <mergeCell ref="B245:B246"/>
    <mergeCell ref="C245:D245"/>
    <mergeCell ref="E245:E246"/>
    <mergeCell ref="F245:G245"/>
    <mergeCell ref="H245:H246"/>
    <mergeCell ref="I245:J245"/>
    <mergeCell ref="K245:K246"/>
    <mergeCell ref="L245:M245"/>
    <mergeCell ref="N245:N246"/>
    <mergeCell ref="O245:P245"/>
    <mergeCell ref="C246:C247"/>
    <mergeCell ref="D246:D247"/>
    <mergeCell ref="F246:F247"/>
    <mergeCell ref="G246:G247"/>
    <mergeCell ref="I246:I247"/>
    <mergeCell ref="J246:J247"/>
    <mergeCell ref="L246:L247"/>
    <mergeCell ref="B244:D244"/>
    <mergeCell ref="E244:G244"/>
    <mergeCell ref="H244:J244"/>
    <mergeCell ref="K244:M244"/>
    <mergeCell ref="B231:D231"/>
    <mergeCell ref="E231:G231"/>
    <mergeCell ref="H231:J231"/>
    <mergeCell ref="K231:M231"/>
    <mergeCell ref="N231:P231"/>
    <mergeCell ref="N232:N233"/>
    <mergeCell ref="O232:P232"/>
    <mergeCell ref="I233:I234"/>
    <mergeCell ref="J233:J234"/>
    <mergeCell ref="L233:L234"/>
    <mergeCell ref="M233:M234"/>
    <mergeCell ref="O233:O234"/>
    <mergeCell ref="P233:P234"/>
    <mergeCell ref="I232:J232"/>
    <mergeCell ref="K232:K233"/>
    <mergeCell ref="L232:M232"/>
    <mergeCell ref="B232:B233"/>
    <mergeCell ref="C232:D232"/>
    <mergeCell ref="E232:E233"/>
    <mergeCell ref="F232:G232"/>
    <mergeCell ref="H232:H233"/>
    <mergeCell ref="C233:C234"/>
    <mergeCell ref="D233:D234"/>
    <mergeCell ref="F233:F234"/>
    <mergeCell ref="C14:F14"/>
    <mergeCell ref="C13:F13"/>
    <mergeCell ref="B33:F33"/>
    <mergeCell ref="B34:F34"/>
    <mergeCell ref="C15:F15"/>
    <mergeCell ref="C154:I155"/>
    <mergeCell ref="D175:D176"/>
    <mergeCell ref="C164:I165"/>
    <mergeCell ref="E175:E176"/>
    <mergeCell ref="F175:F176"/>
    <mergeCell ref="G175:G176"/>
    <mergeCell ref="H175:H176"/>
    <mergeCell ref="I175:I176"/>
    <mergeCell ref="A180:C182"/>
    <mergeCell ref="B281:D281"/>
    <mergeCell ref="E281:G281"/>
    <mergeCell ref="H281:J281"/>
    <mergeCell ref="K281:M281"/>
    <mergeCell ref="N281:P281"/>
    <mergeCell ref="B268:D268"/>
    <mergeCell ref="E268:G268"/>
    <mergeCell ref="H268:J268"/>
    <mergeCell ref="K268:M268"/>
    <mergeCell ref="N268:P268"/>
    <mergeCell ref="B269:B270"/>
    <mergeCell ref="C269:D269"/>
    <mergeCell ref="E269:E270"/>
    <mergeCell ref="F269:G269"/>
    <mergeCell ref="H269:H270"/>
    <mergeCell ref="I269:J269"/>
    <mergeCell ref="K269:K270"/>
    <mergeCell ref="L269:M269"/>
    <mergeCell ref="N269:N270"/>
    <mergeCell ref="O269:P269"/>
    <mergeCell ref="C270:C271"/>
    <mergeCell ref="D270:D271"/>
    <mergeCell ref="F270:F271"/>
    <mergeCell ref="G270:G271"/>
    <mergeCell ref="B282:B283"/>
    <mergeCell ref="C282:D282"/>
    <mergeCell ref="E282:E283"/>
    <mergeCell ref="F282:G282"/>
    <mergeCell ref="H282:H283"/>
    <mergeCell ref="C283:C284"/>
    <mergeCell ref="D283:D284"/>
    <mergeCell ref="F283:F284"/>
    <mergeCell ref="G283:G284"/>
    <mergeCell ref="Q233:U233"/>
    <mergeCell ref="Q246:U246"/>
    <mergeCell ref="Q270:U270"/>
    <mergeCell ref="Q283:U283"/>
    <mergeCell ref="I282:J282"/>
    <mergeCell ref="K282:K283"/>
    <mergeCell ref="L282:M282"/>
    <mergeCell ref="N282:N283"/>
    <mergeCell ref="O282:P282"/>
    <mergeCell ref="I283:I284"/>
    <mergeCell ref="J283:J284"/>
    <mergeCell ref="L283:L284"/>
    <mergeCell ref="M283:M284"/>
    <mergeCell ref="O283:O284"/>
    <mergeCell ref="P283:P284"/>
    <mergeCell ref="P270:P271"/>
    <mergeCell ref="M246:M247"/>
    <mergeCell ref="O246:O247"/>
    <mergeCell ref="P246:P247"/>
    <mergeCell ref="I270:I271"/>
    <mergeCell ref="J270:J271"/>
    <mergeCell ref="L270:L271"/>
    <mergeCell ref="M270:M271"/>
    <mergeCell ref="O270:O271"/>
  </mergeCells>
  <phoneticPr fontId="13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K500"/>
  <sheetViews>
    <sheetView topLeftCell="A473" zoomScaleSheetLayoutView="100" workbookViewId="0">
      <selection activeCell="B485" sqref="B485"/>
    </sheetView>
  </sheetViews>
  <sheetFormatPr defaultRowHeight="12.75"/>
  <cols>
    <col min="3" max="3" width="10.5703125" bestFit="1" customWidth="1"/>
    <col min="5" max="5" width="9.140625" customWidth="1"/>
    <col min="10" max="10" width="4.42578125" customWidth="1"/>
    <col min="11" max="11" width="3" customWidth="1"/>
    <col min="12" max="12" width="9" customWidth="1"/>
  </cols>
  <sheetData>
    <row r="1" spans="1:25">
      <c r="A1" s="392" t="s">
        <v>1020</v>
      </c>
      <c r="B1" s="174"/>
      <c r="C1" s="46"/>
      <c r="D1" s="46"/>
      <c r="E1" s="2212"/>
      <c r="F1" s="2213" t="str">
        <f>"Gate Type : "&amp;IF(Hydraulic!G13=1,Hydraulic!I14,Hydraulic!H15)</f>
        <v>Gate Type : VLG on R/S &amp; no FG</v>
      </c>
      <c r="G1" s="2211"/>
      <c r="H1" s="2211"/>
      <c r="I1" s="2211"/>
      <c r="J1" s="46"/>
      <c r="K1" s="130"/>
      <c r="L1" s="2221">
        <f>Hydraulic!G13</f>
        <v>2</v>
      </c>
      <c r="M1" s="2214" t="s">
        <v>1017</v>
      </c>
      <c r="N1" s="2215"/>
      <c r="O1" s="2216"/>
    </row>
    <row r="2" spans="1:25" ht="15.75">
      <c r="J2" s="46"/>
      <c r="K2" s="130"/>
      <c r="L2" s="2217">
        <v>1</v>
      </c>
      <c r="M2" s="2218" t="s">
        <v>2143</v>
      </c>
      <c r="N2" s="2219"/>
      <c r="O2" s="2220"/>
      <c r="P2" s="46"/>
      <c r="Q2" s="2975" t="s">
        <v>2266</v>
      </c>
      <c r="R2" s="2975"/>
      <c r="S2" s="2975"/>
      <c r="T2" s="2976">
        <v>28</v>
      </c>
      <c r="U2" s="2977" t="s">
        <v>321</v>
      </c>
      <c r="V2" s="2978">
        <f>+T2*22/7/180</f>
        <v>0.48888888888888887</v>
      </c>
      <c r="W2" s="2975" t="s">
        <v>322</v>
      </c>
    </row>
    <row r="3" spans="1:25">
      <c r="A3" s="187" t="s">
        <v>329</v>
      </c>
      <c r="D3" s="205">
        <f>Hydraulic!C19</f>
        <v>23.6</v>
      </c>
      <c r="E3" s="187" t="s">
        <v>1</v>
      </c>
      <c r="F3" s="187"/>
      <c r="J3" s="46"/>
      <c r="K3" s="477"/>
      <c r="L3" s="3077">
        <v>2</v>
      </c>
      <c r="M3" s="2891" t="s">
        <v>1019</v>
      </c>
      <c r="N3" s="2891"/>
      <c r="O3" s="2894"/>
      <c r="P3" s="333"/>
      <c r="R3" s="46"/>
      <c r="S3" s="46"/>
      <c r="T3" s="17"/>
      <c r="Y3" s="2560"/>
    </row>
    <row r="4" spans="1:25">
      <c r="A4" s="187" t="s">
        <v>325</v>
      </c>
      <c r="D4" s="581">
        <v>15.7</v>
      </c>
      <c r="E4" s="187" t="s">
        <v>1</v>
      </c>
      <c r="F4" s="187" t="s">
        <v>988</v>
      </c>
      <c r="I4">
        <f>Hydraulic!D28</f>
        <v>0.45</v>
      </c>
      <c r="J4" s="46" t="s">
        <v>5</v>
      </c>
      <c r="K4" s="130"/>
      <c r="L4" s="3078"/>
      <c r="M4" s="2892" t="s">
        <v>2214</v>
      </c>
      <c r="N4" s="2893"/>
      <c r="O4" s="2872" t="str">
        <f>Hydraulic!J16</f>
        <v>y</v>
      </c>
    </row>
    <row r="5" spans="1:25">
      <c r="A5" s="187" t="s">
        <v>326</v>
      </c>
      <c r="D5" s="581">
        <v>17.3</v>
      </c>
      <c r="E5" s="187" t="s">
        <v>1</v>
      </c>
      <c r="F5" s="187"/>
      <c r="J5" s="46"/>
      <c r="K5" s="130"/>
      <c r="L5" s="740" t="s">
        <v>2144</v>
      </c>
      <c r="M5" s="741"/>
      <c r="N5" s="740" t="s">
        <v>2145</v>
      </c>
      <c r="O5" s="740"/>
      <c r="P5" s="740"/>
      <c r="Q5" s="740" t="s">
        <v>2146</v>
      </c>
      <c r="R5" s="937"/>
    </row>
    <row r="6" spans="1:25">
      <c r="A6" s="187" t="s">
        <v>327</v>
      </c>
      <c r="D6" s="581">
        <v>18.899999999999999</v>
      </c>
      <c r="E6" s="187" t="s">
        <v>1</v>
      </c>
      <c r="F6" s="187"/>
      <c r="J6" s="46"/>
      <c r="K6" s="130"/>
    </row>
    <row r="7" spans="1:25">
      <c r="A7" s="187" t="s">
        <v>328</v>
      </c>
      <c r="D7" s="587">
        <f>Hydraulic!C20</f>
        <v>9.81</v>
      </c>
      <c r="E7" s="187" t="s">
        <v>1</v>
      </c>
      <c r="F7" s="187"/>
      <c r="J7" s="46"/>
      <c r="K7" s="130"/>
    </row>
    <row r="8" spans="1:25">
      <c r="A8" s="187" t="s">
        <v>1034</v>
      </c>
      <c r="C8" s="745" t="s">
        <v>502</v>
      </c>
      <c r="D8" s="581">
        <f>20*G8</f>
        <v>196.14000000000001</v>
      </c>
      <c r="E8" s="187" t="s">
        <v>4</v>
      </c>
      <c r="F8" s="187" t="s">
        <v>1035</v>
      </c>
      <c r="G8">
        <v>9.8070000000000004</v>
      </c>
      <c r="H8" t="s">
        <v>341</v>
      </c>
      <c r="J8" s="46"/>
      <c r="K8" s="130"/>
      <c r="L8">
        <f>R8+P9-N9</f>
        <v>700</v>
      </c>
      <c r="R8">
        <f>D22*1000</f>
        <v>600</v>
      </c>
      <c r="X8">
        <f>R8+(T9-V9)</f>
        <v>700</v>
      </c>
    </row>
    <row r="9" spans="1:25" ht="12.75" customHeight="1">
      <c r="A9" s="187" t="s">
        <v>324</v>
      </c>
      <c r="D9" s="581">
        <v>7.2</v>
      </c>
      <c r="E9" s="187" t="s">
        <v>3</v>
      </c>
      <c r="F9" s="187" t="s">
        <v>410</v>
      </c>
      <c r="J9" s="46"/>
      <c r="K9" s="130"/>
      <c r="N9" s="590">
        <v>100</v>
      </c>
      <c r="P9" s="18">
        <f>P13</f>
        <v>200</v>
      </c>
      <c r="T9" s="509">
        <v>200</v>
      </c>
      <c r="U9" s="758"/>
      <c r="V9" s="18">
        <f>V13</f>
        <v>100</v>
      </c>
    </row>
    <row r="10" spans="1:25">
      <c r="A10" s="187" t="s">
        <v>504</v>
      </c>
      <c r="D10" s="587">
        <f>IF(Hydraulic!P6="",Hydraulic!P5,Hydraulic!P6)</f>
        <v>205.8</v>
      </c>
      <c r="E10" t="s">
        <v>4</v>
      </c>
      <c r="F10" t="s">
        <v>1883</v>
      </c>
      <c r="J10" s="46"/>
      <c r="K10" s="130"/>
      <c r="O10" s="3146">
        <f>Q11-P9-P13</f>
        <v>1500</v>
      </c>
      <c r="U10" s="3145">
        <f>C15*1000</f>
        <v>1500</v>
      </c>
    </row>
    <row r="11" spans="1:25">
      <c r="A11" s="40" t="s">
        <v>465</v>
      </c>
      <c r="D11" s="581">
        <v>0.9</v>
      </c>
      <c r="E11" s="187" t="s">
        <v>509</v>
      </c>
      <c r="J11" s="46"/>
      <c r="K11" s="130"/>
      <c r="L11">
        <f>C15*1000+IF(C14=1,N9+N35,N9)</f>
        <v>1600</v>
      </c>
      <c r="N11" s="187" t="s">
        <v>1758</v>
      </c>
      <c r="O11" s="3146"/>
      <c r="Q11">
        <f>C15*1000+T9+T13</f>
        <v>1900</v>
      </c>
      <c r="U11" s="3145"/>
      <c r="V11" s="187" t="s">
        <v>1757</v>
      </c>
      <c r="X11">
        <f>C15*1000+V9+V13</f>
        <v>1700</v>
      </c>
    </row>
    <row r="12" spans="1:25">
      <c r="J12" s="46"/>
      <c r="K12" s="130"/>
      <c r="O12" s="3146"/>
      <c r="U12" s="3145"/>
    </row>
    <row r="13" spans="1:25" ht="15.75">
      <c r="A13" s="187" t="s">
        <v>363</v>
      </c>
      <c r="D13" s="293">
        <v>28</v>
      </c>
      <c r="E13" s="12" t="s">
        <v>321</v>
      </c>
      <c r="F13" s="229">
        <f>+D13*22/7/180</f>
        <v>0.48888888888888887</v>
      </c>
      <c r="G13" t="s">
        <v>322</v>
      </c>
      <c r="H13" s="2531" t="s">
        <v>2030</v>
      </c>
      <c r="I13" s="2532"/>
      <c r="J13" s="2533"/>
      <c r="K13" s="130"/>
      <c r="P13" s="590">
        <v>200</v>
      </c>
      <c r="T13" s="509">
        <v>200</v>
      </c>
      <c r="U13" s="758"/>
      <c r="V13" s="590">
        <v>100</v>
      </c>
    </row>
    <row r="14" spans="1:25" ht="15.75">
      <c r="A14" t="s">
        <v>24</v>
      </c>
      <c r="C14" s="291">
        <f>Hydraulic!C7</f>
        <v>2</v>
      </c>
      <c r="H14" s="2534" t="s">
        <v>2025</v>
      </c>
      <c r="I14" s="2529">
        <v>20</v>
      </c>
      <c r="J14" s="2527" t="s">
        <v>2028</v>
      </c>
      <c r="K14" s="130"/>
      <c r="L14" s="17">
        <f>R14+P13+P15</f>
        <v>850</v>
      </c>
      <c r="M14" s="33"/>
      <c r="P14" s="18"/>
      <c r="R14">
        <f>D23*1000</f>
        <v>450</v>
      </c>
      <c r="X14">
        <f>R14+T13+T15-V13-V15</f>
        <v>650</v>
      </c>
      <c r="Y14" s="33"/>
    </row>
    <row r="15" spans="1:25" ht="12.75" customHeight="1">
      <c r="A15" s="187" t="s">
        <v>784</v>
      </c>
      <c r="C15" s="133">
        <f>Hydraulic!C8</f>
        <v>1.5</v>
      </c>
      <c r="D15" s="112" t="s">
        <v>156</v>
      </c>
      <c r="E15" s="133">
        <f>Hydraulic!E8</f>
        <v>1.8</v>
      </c>
      <c r="F15" s="26" t="s">
        <v>5</v>
      </c>
      <c r="H15" s="2534" t="s">
        <v>2026</v>
      </c>
      <c r="I15" s="2529">
        <v>20</v>
      </c>
      <c r="J15" s="2527" t="s">
        <v>2028</v>
      </c>
      <c r="K15" s="130"/>
      <c r="M15" s="115"/>
      <c r="P15" s="18">
        <f>P13</f>
        <v>200</v>
      </c>
      <c r="T15" s="46">
        <f>T13</f>
        <v>200</v>
      </c>
      <c r="U15" s="758"/>
      <c r="V15" s="18">
        <f>V13</f>
        <v>100</v>
      </c>
    </row>
    <row r="16" spans="1:25" ht="15.75">
      <c r="A16" s="26" t="s">
        <v>204</v>
      </c>
      <c r="C16" s="20">
        <f>Hydraulic!D29</f>
        <v>1</v>
      </c>
      <c r="H16" s="2534" t="s">
        <v>2029</v>
      </c>
      <c r="I16" s="2529">
        <v>28</v>
      </c>
      <c r="J16" s="2527" t="s">
        <v>2028</v>
      </c>
      <c r="K16" s="130"/>
      <c r="M16" s="115"/>
      <c r="O16" s="3146">
        <f>Q17-P15-P20</f>
        <v>1500</v>
      </c>
      <c r="U16" s="3145">
        <f>C15*1000</f>
        <v>1500</v>
      </c>
    </row>
    <row r="17" spans="1:24" ht="15.75">
      <c r="A17" s="26"/>
      <c r="C17" s="113"/>
      <c r="H17" s="2535" t="s">
        <v>2027</v>
      </c>
      <c r="I17" s="2530">
        <f>T2</f>
        <v>28</v>
      </c>
      <c r="J17" s="2528" t="s">
        <v>2028</v>
      </c>
      <c r="K17" s="130"/>
      <c r="M17" s="115"/>
      <c r="O17" s="3146"/>
      <c r="Q17">
        <f>C15*1000+T15+T20</f>
        <v>1900</v>
      </c>
      <c r="U17" s="3145"/>
    </row>
    <row r="18" spans="1:24">
      <c r="A18" s="207" t="s">
        <v>1023</v>
      </c>
      <c r="C18" s="113"/>
      <c r="J18" s="46"/>
      <c r="K18" s="130"/>
      <c r="L18">
        <f>C15*1000</f>
        <v>1500</v>
      </c>
      <c r="M18" s="757"/>
      <c r="N18" s="692" t="s">
        <v>22</v>
      </c>
      <c r="O18" s="3146"/>
      <c r="U18" s="3145"/>
      <c r="W18" s="739" t="s">
        <v>23</v>
      </c>
      <c r="X18">
        <f>C15*1000+V15+V20</f>
        <v>1700</v>
      </c>
    </row>
    <row r="19" spans="1:24">
      <c r="A19" s="26" t="s">
        <v>199</v>
      </c>
      <c r="C19" s="133">
        <f>(D24-2*D22-C16*D23)/C14</f>
        <v>1.7999999999999998</v>
      </c>
      <c r="D19" s="112" t="s">
        <v>156</v>
      </c>
      <c r="E19" s="133">
        <f>E15</f>
        <v>1.8</v>
      </c>
      <c r="F19" s="26" t="s">
        <v>5</v>
      </c>
      <c r="K19" s="130"/>
      <c r="O19" s="3146"/>
      <c r="U19" s="3145"/>
    </row>
    <row r="20" spans="1:24">
      <c r="A20" s="187" t="s">
        <v>775</v>
      </c>
      <c r="D20" s="577">
        <v>0.6</v>
      </c>
      <c r="E20" s="126" t="str">
        <f>"m, "&amp;IF(AND(Barrel!I169="ok",Barrel!I170="ok"),"ok","Not ok, (Provide roughly "&amp;D51/10000&amp;" m )")</f>
        <v>m, ok</v>
      </c>
      <c r="K20" s="130"/>
      <c r="P20" s="18">
        <f>P13</f>
        <v>200</v>
      </c>
      <c r="T20">
        <f>T13</f>
        <v>200</v>
      </c>
      <c r="U20" s="758"/>
      <c r="V20" s="18">
        <f>V13</f>
        <v>100</v>
      </c>
    </row>
    <row r="21" spans="1:24">
      <c r="A21" s="187" t="s">
        <v>777</v>
      </c>
      <c r="D21" s="577">
        <v>0.7</v>
      </c>
      <c r="E21" s="207" t="str">
        <f>"m, "&amp;IF(AND(Barrel!I219="ok",Barrel!I220="ok"),"ok","Not ok")</f>
        <v>m, ok</v>
      </c>
      <c r="K21" s="130"/>
      <c r="L21">
        <f>R21+P20+P22</f>
        <v>850</v>
      </c>
      <c r="M21" s="33"/>
      <c r="P21" s="18"/>
      <c r="R21">
        <f>D23*1000</f>
        <v>450</v>
      </c>
      <c r="X21">
        <f>R21+T20+T22-V20-V22</f>
        <v>650</v>
      </c>
    </row>
    <row r="22" spans="1:24">
      <c r="A22" s="187" t="s">
        <v>781</v>
      </c>
      <c r="D22" s="577">
        <v>0.6</v>
      </c>
      <c r="E22" s="207" t="str">
        <f>"m, "&amp;IF(AND(Barrel!I271="ok",Barrel!I272="ok"),"ok","Not ok")</f>
        <v>m, ok</v>
      </c>
      <c r="F22" s="187" t="s">
        <v>1021</v>
      </c>
      <c r="H22" s="33">
        <f>IF(L1=1,Q11,Q49)/1000</f>
        <v>1.8</v>
      </c>
      <c r="I22" s="187" t="s">
        <v>5</v>
      </c>
      <c r="J22" s="46"/>
      <c r="K22" s="130"/>
      <c r="M22" s="115"/>
      <c r="P22" s="18">
        <f>P13</f>
        <v>200</v>
      </c>
      <c r="T22">
        <f>T13</f>
        <v>200</v>
      </c>
      <c r="V22" s="18">
        <f>V13</f>
        <v>100</v>
      </c>
    </row>
    <row r="23" spans="1:24">
      <c r="A23" s="187" t="s">
        <v>780</v>
      </c>
      <c r="D23" s="743">
        <f>IF(C14&lt;2,0,Hydraulic!D30)</f>
        <v>0.45</v>
      </c>
      <c r="E23" s="26" t="s">
        <v>5</v>
      </c>
      <c r="F23" s="187" t="s">
        <v>1022</v>
      </c>
      <c r="H23" s="33">
        <f>IF(L1=1,Q17,Q55)/1000</f>
        <v>1.8</v>
      </c>
      <c r="I23" s="187" t="s">
        <v>5</v>
      </c>
      <c r="J23" s="46"/>
      <c r="K23" s="130"/>
      <c r="M23" s="115"/>
      <c r="O23" s="3146">
        <f>Q25-P22-P28</f>
        <v>1500</v>
      </c>
      <c r="U23" s="3145">
        <f>C15*1000</f>
        <v>1500</v>
      </c>
    </row>
    <row r="24" spans="1:24">
      <c r="A24" s="187" t="s">
        <v>412</v>
      </c>
      <c r="D24" s="33">
        <f>H24+D22*2</f>
        <v>5.25</v>
      </c>
      <c r="E24" s="187" t="s">
        <v>5</v>
      </c>
      <c r="F24" s="187" t="s">
        <v>380</v>
      </c>
      <c r="H24" s="33">
        <f>H22*2+H23*(C14-2)+C16*D23</f>
        <v>4.05</v>
      </c>
      <c r="I24" s="187" t="s">
        <v>5</v>
      </c>
      <c r="J24" s="46"/>
      <c r="K24" s="130"/>
      <c r="M24" s="115"/>
      <c r="O24" s="3146"/>
      <c r="U24" s="3145"/>
    </row>
    <row r="25" spans="1:24">
      <c r="A25" s="26"/>
      <c r="C25" s="113"/>
      <c r="J25" s="46"/>
      <c r="K25" s="130"/>
      <c r="L25">
        <f>C15*1000</f>
        <v>1500</v>
      </c>
      <c r="M25" s="115"/>
      <c r="O25" s="3146"/>
      <c r="Q25">
        <f>C15*1000+T22+T28</f>
        <v>1900</v>
      </c>
      <c r="U25" s="3145"/>
      <c r="X25">
        <f>C15*1000+V22+V28</f>
        <v>1700</v>
      </c>
    </row>
    <row r="26" spans="1:24">
      <c r="A26" s="207" t="s">
        <v>352</v>
      </c>
      <c r="B26" s="126"/>
      <c r="C26" s="113"/>
      <c r="J26" s="46"/>
      <c r="K26" s="130"/>
      <c r="M26" s="115"/>
      <c r="O26" s="3146"/>
      <c r="U26" s="3145"/>
    </row>
    <row r="27" spans="1:24">
      <c r="F27" s="187" t="s">
        <v>358</v>
      </c>
      <c r="H27" s="133">
        <f>C48-E57+G57/1000</f>
        <v>8.4</v>
      </c>
      <c r="I27" s="26" t="s">
        <v>5</v>
      </c>
      <c r="J27" s="46"/>
      <c r="K27" s="130"/>
      <c r="O27" s="3146"/>
      <c r="U27" s="3145"/>
    </row>
    <row r="28" spans="1:24">
      <c r="A28" s="187" t="s">
        <v>785</v>
      </c>
      <c r="D28" s="577">
        <v>0.45</v>
      </c>
      <c r="E28" s="207" t="str">
        <f>IF(D28="","","m, "&amp;IF(AND('RS gate'!I96="ok",'RS gate'!I97="ok"),"ok","Not ok"))</f>
        <v>m, ok</v>
      </c>
      <c r="F28" s="187" t="s">
        <v>1021</v>
      </c>
      <c r="H28" s="224">
        <f>IF(L1=1,X11,X49)/1000</f>
        <v>1.5</v>
      </c>
      <c r="I28" s="187" t="s">
        <v>5</v>
      </c>
      <c r="J28" s="46"/>
      <c r="K28" s="130"/>
      <c r="P28" s="18">
        <f>P13</f>
        <v>200</v>
      </c>
      <c r="T28">
        <f>T13</f>
        <v>200</v>
      </c>
      <c r="V28" s="18">
        <f>V13</f>
        <v>100</v>
      </c>
    </row>
    <row r="29" spans="1:24">
      <c r="A29" s="187" t="s">
        <v>777</v>
      </c>
      <c r="D29" s="577">
        <v>1.2</v>
      </c>
      <c r="E29" s="207" t="str">
        <f>"m, "&amp;IF(AND('RS gate'!I457="ok",'RS gate'!I458="ok"),"ok","Not ok")</f>
        <v>m, ok</v>
      </c>
      <c r="F29" s="187" t="s">
        <v>1022</v>
      </c>
      <c r="H29" s="33">
        <f>IF(L1=1,X18,IF(C14&lt;3,X49,X56))/1000</f>
        <v>1.5</v>
      </c>
      <c r="I29" s="187" t="s">
        <v>5</v>
      </c>
      <c r="J29" s="46"/>
      <c r="K29" s="130"/>
      <c r="L29">
        <f>R29+P28+P30</f>
        <v>850</v>
      </c>
      <c r="M29" s="33"/>
      <c r="P29" s="18"/>
      <c r="R29">
        <f>D23*1000</f>
        <v>450</v>
      </c>
      <c r="X29">
        <f>R29+T28+T30-V28-V30</f>
        <v>650</v>
      </c>
    </row>
    <row r="30" spans="1:24">
      <c r="A30" s="187" t="s">
        <v>776</v>
      </c>
      <c r="D30" s="742">
        <f>IF(L1=1,X8,X46)/1000</f>
        <v>0.75</v>
      </c>
      <c r="E30" s="187" t="s">
        <v>779</v>
      </c>
      <c r="F30" s="187"/>
      <c r="H30" s="577">
        <f>D30</f>
        <v>0.75</v>
      </c>
      <c r="I30" s="187" t="s">
        <v>547</v>
      </c>
      <c r="J30" s="46"/>
      <c r="K30" s="130"/>
      <c r="M30" s="115"/>
      <c r="P30" s="18">
        <f>P13</f>
        <v>200</v>
      </c>
      <c r="T30">
        <f>T13</f>
        <v>200</v>
      </c>
      <c r="V30" s="18">
        <f>V13</f>
        <v>100</v>
      </c>
    </row>
    <row r="31" spans="1:24">
      <c r="A31" s="187" t="s">
        <v>778</v>
      </c>
      <c r="D31" s="743">
        <f>IF(C14&lt;2,0,IF(L1=1,X14,X52)/1000)</f>
        <v>0.75</v>
      </c>
      <c r="E31" s="26" t="s">
        <v>5</v>
      </c>
      <c r="J31" s="46"/>
      <c r="K31" s="130"/>
      <c r="M31" s="115"/>
      <c r="O31" s="3146">
        <f>Q33-P30-P35</f>
        <v>1500</v>
      </c>
      <c r="U31" s="3145">
        <f>C15*1000</f>
        <v>1500</v>
      </c>
    </row>
    <row r="32" spans="1:24">
      <c r="A32" s="187" t="s">
        <v>412</v>
      </c>
      <c r="D32" s="33">
        <f>H32+2*D30</f>
        <v>5.25</v>
      </c>
      <c r="E32" s="187" t="s">
        <v>5</v>
      </c>
      <c r="F32" s="187" t="s">
        <v>380</v>
      </c>
      <c r="H32" s="33">
        <f>H28*2+H29*(C14-2)+C16*D31</f>
        <v>3.75</v>
      </c>
      <c r="I32" s="187" t="s">
        <v>5</v>
      </c>
      <c r="J32" s="46"/>
      <c r="K32" s="130"/>
      <c r="M32" s="115"/>
      <c r="O32" s="3146"/>
      <c r="U32" s="3145"/>
      <c r="X32">
        <f>C15*1000+V30+V35</f>
        <v>1700</v>
      </c>
    </row>
    <row r="33" spans="1:37">
      <c r="J33" s="46"/>
      <c r="K33" s="130"/>
      <c r="L33">
        <f>C15*1000++IF(C14=1,N9+N35,N35)</f>
        <v>1600</v>
      </c>
      <c r="M33" s="115"/>
      <c r="O33" s="3146"/>
      <c r="Q33">
        <f>C15*1000+T30+T35</f>
        <v>1900</v>
      </c>
      <c r="U33" s="3145"/>
    </row>
    <row r="34" spans="1:37">
      <c r="A34" s="207" t="s">
        <v>353</v>
      </c>
      <c r="B34" s="126"/>
      <c r="C34" s="113"/>
      <c r="F34" s="187" t="s">
        <v>358</v>
      </c>
      <c r="H34" s="133">
        <f>C48-E57</f>
        <v>8.4</v>
      </c>
      <c r="I34" s="26" t="s">
        <v>5</v>
      </c>
      <c r="K34" s="130"/>
      <c r="M34" s="115"/>
      <c r="O34" s="3146"/>
      <c r="U34" s="3145"/>
    </row>
    <row r="35" spans="1:37">
      <c r="A35" s="187" t="s">
        <v>785</v>
      </c>
      <c r="D35" s="577">
        <v>0.45</v>
      </c>
      <c r="E35" s="207" t="str">
        <f>IF(D35="","","m, "&amp;IF(AND('CS gate'!I95="ok",'CS gate'!I96="ok"),"ok","Not ok"))</f>
        <v>m, ok</v>
      </c>
      <c r="F35" s="187" t="s">
        <v>1021</v>
      </c>
      <c r="H35" s="33">
        <f>IF(L1=1,L11,L49)/1000</f>
        <v>1.5</v>
      </c>
      <c r="I35" s="26" t="s">
        <v>5</v>
      </c>
      <c r="K35" s="130"/>
      <c r="N35" s="18">
        <f>N9</f>
        <v>100</v>
      </c>
      <c r="P35" s="18">
        <f>P9</f>
        <v>200</v>
      </c>
      <c r="T35">
        <f>T9</f>
        <v>200</v>
      </c>
      <c r="V35" s="18">
        <f>V13</f>
        <v>100</v>
      </c>
    </row>
    <row r="36" spans="1:37">
      <c r="A36" s="187" t="s">
        <v>777</v>
      </c>
      <c r="D36" s="577">
        <v>1.2</v>
      </c>
      <c r="E36" s="207" t="str">
        <f>"m, "&amp;IF(AND('CS gate'!I456="ok",'CS gate'!I457="ok"),"ok","Not ok")</f>
        <v>m, ok</v>
      </c>
      <c r="F36" s="187" t="s">
        <v>1022</v>
      </c>
      <c r="H36" s="33">
        <f>IF(L1=1,IF(C14&lt;3,L11,L18),IF(C14&lt;3,L49,L56))/1000</f>
        <v>1.5</v>
      </c>
      <c r="I36" s="26" t="s">
        <v>5</v>
      </c>
      <c r="K36" s="130"/>
    </row>
    <row r="37" spans="1:37">
      <c r="A37" s="187" t="s">
        <v>783</v>
      </c>
      <c r="D37" s="742">
        <f>IF(L1=1,L8,L46)/1000</f>
        <v>0.75</v>
      </c>
      <c r="E37" s="187" t="s">
        <v>779</v>
      </c>
      <c r="F37" s="187"/>
      <c r="H37" s="577">
        <f>D37</f>
        <v>0.75</v>
      </c>
      <c r="I37" s="187" t="s">
        <v>547</v>
      </c>
      <c r="K37" s="130"/>
      <c r="L37">
        <f>R37+P35-N35</f>
        <v>700</v>
      </c>
      <c r="R37">
        <f>D22*1000</f>
        <v>600</v>
      </c>
      <c r="X37">
        <f>R37+(T35-V35)</f>
        <v>700</v>
      </c>
    </row>
    <row r="38" spans="1:37">
      <c r="A38" s="187" t="s">
        <v>782</v>
      </c>
      <c r="D38" s="743">
        <f>IF(C14&lt;2,0,IF(L1=1,L14,L52)/1000)</f>
        <v>0.75</v>
      </c>
      <c r="E38" s="26" t="s">
        <v>5</v>
      </c>
      <c r="K38" s="130"/>
      <c r="P38" s="18"/>
      <c r="V38" s="18"/>
    </row>
    <row r="39" spans="1:37">
      <c r="A39" s="187" t="s">
        <v>412</v>
      </c>
      <c r="D39" s="33">
        <f>H39+D37*2</f>
        <v>5.25</v>
      </c>
      <c r="E39" s="187" t="s">
        <v>5</v>
      </c>
      <c r="F39" s="187" t="s">
        <v>380</v>
      </c>
      <c r="H39" s="33">
        <f>H35*2+H36*(C14-2)+C16*D38</f>
        <v>3.75</v>
      </c>
      <c r="I39" s="187" t="s">
        <v>5</v>
      </c>
      <c r="K39" s="130"/>
      <c r="L39" s="46"/>
      <c r="M39" s="33"/>
      <c r="N39" s="33"/>
    </row>
    <row r="40" spans="1:37">
      <c r="J40" s="46"/>
      <c r="K40" s="130"/>
      <c r="S40" s="753" t="s">
        <v>1024</v>
      </c>
      <c r="T40" s="753"/>
      <c r="U40" s="754">
        <f>H29</f>
        <v>1.5</v>
      </c>
      <c r="V40" s="753" t="s">
        <v>156</v>
      </c>
      <c r="W40" s="753">
        <f>C48-E57+G57/1000</f>
        <v>8.4</v>
      </c>
      <c r="X40" s="753" t="s">
        <v>5</v>
      </c>
    </row>
    <row r="41" spans="1:37">
      <c r="J41" s="46"/>
      <c r="K41" s="130"/>
      <c r="S41" s="753" t="s">
        <v>1025</v>
      </c>
      <c r="T41" s="753"/>
      <c r="U41" s="755">
        <f>H35</f>
        <v>1.5</v>
      </c>
      <c r="V41" s="753" t="s">
        <v>156</v>
      </c>
      <c r="W41" s="756">
        <f>C48-E57</f>
        <v>8.4</v>
      </c>
      <c r="X41" s="753" t="s">
        <v>5</v>
      </c>
      <c r="AK41" s="2210">
        <f>C14*H35+C16*D38</f>
        <v>3.75</v>
      </c>
    </row>
    <row r="42" spans="1:37">
      <c r="A42" s="177"/>
      <c r="B42" s="25"/>
      <c r="D42" s="1513">
        <f>Hydraulic!D35</f>
        <v>0</v>
      </c>
      <c r="E42" s="180">
        <f>Hydraulic!C10*1000</f>
        <v>10000</v>
      </c>
      <c r="F42" s="1513">
        <f>Hydraulic!D39</f>
        <v>0</v>
      </c>
      <c r="G42" t="s">
        <v>98</v>
      </c>
      <c r="I42" s="22" t="s">
        <v>27</v>
      </c>
      <c r="J42" s="46"/>
      <c r="K42" s="130"/>
    </row>
    <row r="43" spans="1:37">
      <c r="B43" s="25" t="s">
        <v>26</v>
      </c>
      <c r="C43" s="179"/>
      <c r="E43" s="179"/>
      <c r="G43" s="179"/>
      <c r="J43" s="46"/>
      <c r="K43" s="130"/>
      <c r="L43" s="740" t="s">
        <v>2149</v>
      </c>
      <c r="M43" s="741"/>
      <c r="N43" s="740" t="s">
        <v>2147</v>
      </c>
      <c r="O43" s="741"/>
      <c r="P43" s="741"/>
      <c r="Q43" s="740" t="s">
        <v>2148</v>
      </c>
      <c r="R43" s="740"/>
      <c r="S43" s="740"/>
    </row>
    <row r="44" spans="1:37">
      <c r="D44" s="532">
        <f>Hydraulic!D36*1000</f>
        <v>300</v>
      </c>
      <c r="F44" s="180">
        <f>Hydraulic!D37*1000</f>
        <v>300</v>
      </c>
      <c r="J44" s="46"/>
      <c r="K44" s="130"/>
    </row>
    <row r="45" spans="1:37">
      <c r="A45" s="187" t="s">
        <v>22</v>
      </c>
      <c r="C45" s="180">
        <f>Hydraulic!D34*1000</f>
        <v>1500</v>
      </c>
      <c r="D45" s="179"/>
      <c r="E45" s="180">
        <f>E42+D42+F42</f>
        <v>10000</v>
      </c>
      <c r="F45" s="179"/>
      <c r="G45" s="180">
        <f>Hydraulic!D38*1000</f>
        <v>1500</v>
      </c>
      <c r="J45" s="46"/>
      <c r="K45" s="130"/>
    </row>
    <row r="46" spans="1:37">
      <c r="A46" s="139"/>
      <c r="B46" s="199">
        <f>Hydraulic!C9</f>
        <v>15.4</v>
      </c>
      <c r="D46" s="179"/>
      <c r="E46" s="179"/>
      <c r="F46" s="179"/>
      <c r="G46" s="179"/>
      <c r="J46" s="46"/>
      <c r="K46" s="217"/>
      <c r="L46">
        <f>R46+P47-N47</f>
        <v>750</v>
      </c>
      <c r="R46">
        <f>D22*1000</f>
        <v>600</v>
      </c>
      <c r="X46">
        <f>R46+(T47-V47)</f>
        <v>750</v>
      </c>
    </row>
    <row r="47" spans="1:37">
      <c r="C47" s="179"/>
      <c r="D47" s="179"/>
      <c r="E47" s="179"/>
      <c r="F47" s="179"/>
      <c r="G47" s="1513">
        <f>B46-C48</f>
        <v>0</v>
      </c>
      <c r="H47" t="s">
        <v>5</v>
      </c>
      <c r="I47" s="139" t="s">
        <v>23</v>
      </c>
      <c r="J47" s="46"/>
      <c r="K47" s="217"/>
      <c r="N47" s="745">
        <f>V47</f>
        <v>0</v>
      </c>
      <c r="P47" s="18">
        <f>T51</f>
        <v>150</v>
      </c>
      <c r="T47" s="509">
        <v>150</v>
      </c>
      <c r="V47" s="745">
        <v>0</v>
      </c>
    </row>
    <row r="48" spans="1:37">
      <c r="C48" s="33">
        <f>Hydraulic!D33</f>
        <v>15.4</v>
      </c>
      <c r="J48" s="46"/>
      <c r="K48" s="217"/>
      <c r="O48" s="3146">
        <f>Q49-P51-P47</f>
        <v>1500</v>
      </c>
      <c r="U48" s="3145">
        <f>C15*1000</f>
        <v>1500</v>
      </c>
    </row>
    <row r="49" spans="1:24">
      <c r="A49" s="17"/>
      <c r="C49" s="275"/>
      <c r="I49" s="37"/>
      <c r="J49" s="46"/>
      <c r="K49" s="130"/>
      <c r="L49">
        <f>C15*1000+N47+N51</f>
        <v>1500</v>
      </c>
      <c r="O49" s="3146"/>
      <c r="Q49">
        <f>C15*1000+T47+T51</f>
        <v>1800</v>
      </c>
      <c r="U49" s="3145"/>
      <c r="W49" s="187" t="s">
        <v>1758</v>
      </c>
      <c r="X49">
        <f>C15*1000+IF(C14=1,V47+V73,V47)</f>
        <v>1500</v>
      </c>
    </row>
    <row r="50" spans="1:24">
      <c r="A50" s="4"/>
      <c r="F50" s="187" t="s">
        <v>320</v>
      </c>
      <c r="H50" s="54">
        <f>I130</f>
        <v>13.9</v>
      </c>
      <c r="I50" s="19" t="s">
        <v>52</v>
      </c>
      <c r="J50" s="46"/>
      <c r="K50" s="130"/>
      <c r="O50" s="3146"/>
      <c r="U50" s="3145"/>
    </row>
    <row r="51" spans="1:24">
      <c r="A51" s="33">
        <f>A135</f>
        <v>10</v>
      </c>
      <c r="D51" s="26">
        <f>(C48-E53)*1000</f>
        <v>6000</v>
      </c>
      <c r="J51" s="109"/>
      <c r="K51" s="130"/>
      <c r="N51" s="509">
        <v>0</v>
      </c>
      <c r="P51" s="590">
        <v>150</v>
      </c>
      <c r="T51" s="509">
        <v>150</v>
      </c>
      <c r="V51" s="744"/>
    </row>
    <row r="52" spans="1:24">
      <c r="A52" s="32"/>
      <c r="I52" s="37"/>
      <c r="J52" s="46"/>
      <c r="K52" s="130"/>
      <c r="L52" s="17">
        <f>R52+P51+P53-N51-N53</f>
        <v>750</v>
      </c>
      <c r="M52" s="33"/>
      <c r="P52" s="18"/>
      <c r="R52">
        <f>D23*1000</f>
        <v>450</v>
      </c>
      <c r="X52">
        <f>R52+T51+T53</f>
        <v>750</v>
      </c>
    </row>
    <row r="53" spans="1:24">
      <c r="E53">
        <f>E57+(D56+D54)/1000</f>
        <v>9.4</v>
      </c>
      <c r="J53" s="46"/>
      <c r="K53" s="130"/>
      <c r="M53" s="115"/>
      <c r="N53">
        <f>N51</f>
        <v>0</v>
      </c>
      <c r="P53" s="18">
        <f>P51</f>
        <v>150</v>
      </c>
      <c r="T53" s="46">
        <f>T51</f>
        <v>150</v>
      </c>
      <c r="V53" s="18"/>
    </row>
    <row r="54" spans="1:24">
      <c r="D54" s="439">
        <f>D20*1000</f>
        <v>600</v>
      </c>
      <c r="G54" s="489">
        <f>F134</f>
        <v>12.233463301397501</v>
      </c>
      <c r="I54" s="20">
        <f>(H50-E57)*1000+G57</f>
        <v>6900</v>
      </c>
      <c r="J54" s="46"/>
      <c r="K54" s="130"/>
      <c r="M54" s="115"/>
      <c r="O54" s="3146">
        <f>+Q55-P53-P58</f>
        <v>1500</v>
      </c>
      <c r="U54" s="3145">
        <f>+C15*1000</f>
        <v>1500</v>
      </c>
    </row>
    <row r="55" spans="1:24">
      <c r="B55" s="197">
        <f>(A51-E57)*1000</f>
        <v>3000</v>
      </c>
      <c r="J55" s="46"/>
      <c r="K55" s="130"/>
      <c r="M55" s="115"/>
      <c r="O55" s="3146"/>
      <c r="Q55">
        <f>C15*1000+T53+T58</f>
        <v>1800</v>
      </c>
      <c r="U55" s="3145"/>
    </row>
    <row r="56" spans="1:24">
      <c r="C56" s="54">
        <f>C134</f>
        <v>11.666536698602499</v>
      </c>
      <c r="D56" s="153">
        <f>E19*1000</f>
        <v>1800</v>
      </c>
      <c r="J56" s="46"/>
      <c r="K56" s="130"/>
      <c r="L56">
        <f>C15*1000+N58+N53</f>
        <v>1500</v>
      </c>
      <c r="M56" s="757"/>
      <c r="N56" s="692" t="s">
        <v>22</v>
      </c>
      <c r="O56" s="3146"/>
      <c r="U56" s="3145"/>
      <c r="X56">
        <f>C15*1000</f>
        <v>1500</v>
      </c>
    </row>
    <row r="57" spans="1:24">
      <c r="A57" s="179"/>
      <c r="B57" s="179"/>
      <c r="C57" s="179"/>
      <c r="D57" s="179"/>
      <c r="E57" s="196">
        <f>Hydraulic!D26</f>
        <v>7</v>
      </c>
      <c r="G57" s="179">
        <f>Hydraulic!D27*1000</f>
        <v>0</v>
      </c>
      <c r="H57" s="179"/>
      <c r="I57" s="179"/>
      <c r="J57" s="46"/>
      <c r="K57" s="130"/>
      <c r="O57" s="3146"/>
      <c r="U57" s="3145"/>
    </row>
    <row r="58" spans="1:24">
      <c r="A58" s="179"/>
      <c r="B58" s="179"/>
      <c r="C58" s="179"/>
      <c r="D58" s="177">
        <f>D21*1000</f>
        <v>700</v>
      </c>
      <c r="E58" s="181"/>
      <c r="F58" s="179"/>
      <c r="G58" s="179"/>
      <c r="H58" s="179"/>
      <c r="I58" s="179"/>
      <c r="J58" s="46"/>
      <c r="K58" s="130"/>
      <c r="N58">
        <f>N51</f>
        <v>0</v>
      </c>
      <c r="P58" s="18">
        <f>P51</f>
        <v>150</v>
      </c>
      <c r="T58">
        <f>T51</f>
        <v>150</v>
      </c>
      <c r="V58" s="18"/>
    </row>
    <row r="59" spans="1:24">
      <c r="A59" s="179"/>
      <c r="B59" s="218">
        <f>D36*1000</f>
        <v>1200</v>
      </c>
      <c r="C59" s="179"/>
      <c r="D59" s="179"/>
      <c r="E59" s="179"/>
      <c r="F59" s="179"/>
      <c r="G59" s="182"/>
      <c r="H59" s="179"/>
      <c r="I59" s="218">
        <f>D29*1000</f>
        <v>1200</v>
      </c>
      <c r="J59" s="46"/>
      <c r="K59" s="130"/>
      <c r="L59">
        <f>R59+P58+P60-N58-N60</f>
        <v>750</v>
      </c>
      <c r="M59" s="33"/>
      <c r="P59" s="18"/>
      <c r="R59">
        <f>D23*1000</f>
        <v>450</v>
      </c>
      <c r="X59">
        <f>R59+T58+T60</f>
        <v>750</v>
      </c>
    </row>
    <row r="60" spans="1:24">
      <c r="A60" s="179"/>
      <c r="B60" s="179"/>
      <c r="D60" s="183">
        <f>B59-D58</f>
        <v>500</v>
      </c>
      <c r="E60" s="218"/>
      <c r="F60" s="200">
        <f>I59-D58</f>
        <v>500</v>
      </c>
      <c r="H60" s="179"/>
      <c r="I60" s="179"/>
      <c r="J60" s="46"/>
      <c r="K60" s="130"/>
      <c r="M60" s="115"/>
      <c r="N60">
        <f>N51</f>
        <v>0</v>
      </c>
      <c r="P60" s="18">
        <f>P51</f>
        <v>150</v>
      </c>
      <c r="T60">
        <f>T51</f>
        <v>150</v>
      </c>
      <c r="V60" s="18"/>
    </row>
    <row r="61" spans="1:24">
      <c r="A61" s="179"/>
      <c r="B61" s="179"/>
      <c r="C61" s="180">
        <f>C45</f>
        <v>1500</v>
      </c>
      <c r="D61" s="179"/>
      <c r="E61" s="181">
        <f>E45+D44+F44</f>
        <v>10600</v>
      </c>
      <c r="F61" s="179"/>
      <c r="G61" s="180">
        <f>G45</f>
        <v>1500</v>
      </c>
      <c r="H61" s="179"/>
      <c r="I61" s="179"/>
      <c r="J61" s="46"/>
      <c r="K61" s="130"/>
      <c r="M61" s="115"/>
      <c r="O61" s="3146">
        <f>+Q63-P60-P66</f>
        <v>1500</v>
      </c>
      <c r="U61" s="3145">
        <f>C15*1000</f>
        <v>1500</v>
      </c>
    </row>
    <row r="62" spans="1:24">
      <c r="A62" s="179"/>
      <c r="B62" s="179"/>
      <c r="C62" s="179"/>
      <c r="D62" s="179"/>
      <c r="E62" s="181">
        <f>C45+D44+E45+F44+G45</f>
        <v>13600</v>
      </c>
      <c r="F62" s="179"/>
      <c r="G62" s="179"/>
      <c r="H62" s="179"/>
      <c r="I62" s="179"/>
      <c r="J62" s="46"/>
      <c r="K62" s="130"/>
      <c r="M62" s="115"/>
      <c r="O62" s="3146"/>
      <c r="U62" s="3145"/>
    </row>
    <row r="63" spans="1:24">
      <c r="A63" s="179"/>
      <c r="B63" s="199">
        <f>D7*B55/1000</f>
        <v>29.43</v>
      </c>
      <c r="C63" s="179"/>
      <c r="D63" s="179"/>
      <c r="E63" s="179"/>
      <c r="F63" s="179"/>
      <c r="G63" s="179"/>
      <c r="H63" s="184">
        <f>D7*I54/1000</f>
        <v>67.688999999999993</v>
      </c>
      <c r="I63" s="179" t="s">
        <v>0</v>
      </c>
      <c r="J63" s="46"/>
      <c r="K63" s="130"/>
      <c r="L63">
        <f>C15*1000+N60+N66</f>
        <v>1500</v>
      </c>
      <c r="M63" s="115"/>
      <c r="O63" s="3146"/>
      <c r="Q63">
        <f>C15*1000+T60+T66</f>
        <v>1800</v>
      </c>
      <c r="U63" s="3145"/>
      <c r="W63" s="739" t="s">
        <v>23</v>
      </c>
      <c r="X63">
        <f>C15*1000</f>
        <v>1500</v>
      </c>
    </row>
    <row r="64" spans="1:24">
      <c r="B64" t="s">
        <v>0</v>
      </c>
      <c r="C64" s="4"/>
      <c r="E64" s="26"/>
      <c r="F64" s="26"/>
      <c r="G64" s="4"/>
      <c r="H64" s="80"/>
      <c r="J64" s="46"/>
      <c r="K64" s="130"/>
      <c r="M64" s="115"/>
      <c r="O64" s="3146"/>
      <c r="U64" s="3145"/>
    </row>
    <row r="65" spans="1:24">
      <c r="A65" s="187"/>
      <c r="B65" s="187"/>
      <c r="C65" s="187"/>
      <c r="D65" s="187"/>
      <c r="E65" s="187"/>
      <c r="F65" s="187"/>
      <c r="G65" s="187"/>
      <c r="H65" s="187"/>
      <c r="I65" s="187"/>
      <c r="J65" s="46"/>
      <c r="K65" s="130"/>
      <c r="O65" s="3146"/>
      <c r="U65" s="3145"/>
    </row>
    <row r="66" spans="1:24">
      <c r="A66" s="187"/>
      <c r="B66" s="187"/>
      <c r="C66" s="187"/>
      <c r="D66" s="187"/>
      <c r="E66" s="187"/>
      <c r="F66" s="187"/>
      <c r="G66" s="187"/>
      <c r="H66" s="187"/>
      <c r="I66" s="187"/>
      <c r="J66" s="46"/>
      <c r="K66" s="130"/>
      <c r="N66">
        <f>N51</f>
        <v>0</v>
      </c>
      <c r="P66" s="18">
        <f>P51</f>
        <v>150</v>
      </c>
      <c r="T66">
        <f>T51</f>
        <v>150</v>
      </c>
      <c r="V66" s="18"/>
    </row>
    <row r="67" spans="1:24">
      <c r="A67" s="187"/>
      <c r="B67" s="201">
        <f>D37*1000</f>
        <v>750</v>
      </c>
      <c r="C67" s="109"/>
      <c r="D67" s="109"/>
      <c r="E67" s="201">
        <f>D22*1000</f>
        <v>600</v>
      </c>
      <c r="F67" s="187"/>
      <c r="G67" s="187"/>
      <c r="H67" s="201">
        <f>D30*1000</f>
        <v>750</v>
      </c>
      <c r="I67" s="187"/>
      <c r="J67" s="46"/>
      <c r="K67" s="130"/>
      <c r="L67">
        <f>R67+P66+P68-N66-N68</f>
        <v>750</v>
      </c>
      <c r="M67" s="33"/>
      <c r="P67" s="18"/>
      <c r="R67">
        <f>D23*1000</f>
        <v>450</v>
      </c>
      <c r="X67">
        <f>R67+T66+T68</f>
        <v>750</v>
      </c>
    </row>
    <row r="68" spans="1:24">
      <c r="A68" s="187"/>
      <c r="B68" s="109"/>
      <c r="C68" s="109"/>
      <c r="D68" s="109"/>
      <c r="E68" s="109"/>
      <c r="F68" s="187"/>
      <c r="G68" s="187"/>
      <c r="H68" s="187"/>
      <c r="I68" s="187"/>
      <c r="J68" s="46"/>
      <c r="K68" s="130"/>
      <c r="M68" s="115"/>
      <c r="N68">
        <f>N51</f>
        <v>0</v>
      </c>
      <c r="P68" s="18">
        <f>P51</f>
        <v>150</v>
      </c>
      <c r="T68">
        <f>T51</f>
        <v>150</v>
      </c>
      <c r="V68" s="18"/>
    </row>
    <row r="69" spans="1:24">
      <c r="A69" s="296">
        <f>H37*1000</f>
        <v>750</v>
      </c>
      <c r="B69" s="109"/>
      <c r="C69" s="109">
        <f>H35*1000</f>
        <v>1500</v>
      </c>
      <c r="D69" s="109">
        <f>H22*1000</f>
        <v>1800</v>
      </c>
      <c r="E69" s="109"/>
      <c r="F69" s="187"/>
      <c r="G69" s="187">
        <f>H28*1000</f>
        <v>1500</v>
      </c>
      <c r="H69" s="187"/>
      <c r="I69" s="201">
        <f>H30*1000</f>
        <v>750</v>
      </c>
      <c r="J69" s="46"/>
      <c r="K69" s="130"/>
      <c r="M69" s="115"/>
      <c r="O69" s="3146">
        <f>+Q71-P68-P73</f>
        <v>1500</v>
      </c>
      <c r="U69" s="3145">
        <f>+C15*1000</f>
        <v>1500</v>
      </c>
    </row>
    <row r="70" spans="1:24">
      <c r="A70" s="187"/>
      <c r="B70" s="109"/>
      <c r="C70" s="109"/>
      <c r="D70" s="109"/>
      <c r="E70" s="109"/>
      <c r="F70" s="187"/>
      <c r="G70" s="187"/>
      <c r="H70" s="187"/>
      <c r="I70" s="187"/>
      <c r="J70" s="46"/>
      <c r="K70" s="130"/>
      <c r="M70" s="115"/>
      <c r="O70" s="3146"/>
      <c r="U70" s="3145"/>
      <c r="X70">
        <f>C15*1000+IF(C14=1,V47+V73,V73)</f>
        <v>1500</v>
      </c>
    </row>
    <row r="71" spans="1:24">
      <c r="A71" s="187"/>
      <c r="B71" s="201">
        <f>D38*1000</f>
        <v>750</v>
      </c>
      <c r="C71" s="109"/>
      <c r="D71" s="109"/>
      <c r="E71" s="201">
        <f>D23*1000</f>
        <v>450</v>
      </c>
      <c r="F71" s="187"/>
      <c r="G71" s="187"/>
      <c r="H71" s="201">
        <f>D31*1000</f>
        <v>750</v>
      </c>
      <c r="I71" s="187"/>
      <c r="J71" s="46"/>
      <c r="K71" s="130"/>
      <c r="L71">
        <f>C15*1000+N68+N73</f>
        <v>1500</v>
      </c>
      <c r="M71" s="115"/>
      <c r="O71" s="3146"/>
      <c r="Q71">
        <f>C15*1000+T68+T73</f>
        <v>1800</v>
      </c>
      <c r="U71" s="3145"/>
    </row>
    <row r="72" spans="1:24">
      <c r="A72" s="187"/>
      <c r="B72" s="109"/>
      <c r="C72" s="109"/>
      <c r="D72" s="109"/>
      <c r="E72" s="109"/>
      <c r="F72" s="187"/>
      <c r="G72" s="187"/>
      <c r="H72" s="187"/>
      <c r="I72" s="187"/>
      <c r="J72" s="46"/>
      <c r="K72" s="130"/>
      <c r="M72" s="115"/>
      <c r="O72" s="3146"/>
      <c r="U72" s="3145"/>
    </row>
    <row r="73" spans="1:24">
      <c r="A73" s="187">
        <f>D39*1000</f>
        <v>5250</v>
      </c>
      <c r="B73" s="109"/>
      <c r="C73" s="109">
        <f>H36*1000</f>
        <v>1500</v>
      </c>
      <c r="D73" s="109">
        <f>H23*1000</f>
        <v>1800</v>
      </c>
      <c r="E73" s="109"/>
      <c r="F73" s="30">
        <f>D24*1000</f>
        <v>5250</v>
      </c>
      <c r="G73" s="187">
        <f>H29*1000</f>
        <v>1500</v>
      </c>
      <c r="H73" s="187"/>
      <c r="I73" s="515">
        <f>D32*1000</f>
        <v>5250</v>
      </c>
      <c r="J73" s="46"/>
      <c r="K73" s="130"/>
      <c r="N73" s="17">
        <f>N47</f>
        <v>0</v>
      </c>
      <c r="P73" s="18">
        <f>P47</f>
        <v>150</v>
      </c>
      <c r="T73">
        <f>T47</f>
        <v>150</v>
      </c>
      <c r="V73" s="17">
        <f>V47</f>
        <v>0</v>
      </c>
    </row>
    <row r="74" spans="1:24">
      <c r="A74" s="187"/>
      <c r="B74" s="109"/>
      <c r="C74" s="109"/>
      <c r="D74" s="109"/>
      <c r="E74" s="109"/>
      <c r="F74" s="187"/>
      <c r="G74" s="187"/>
      <c r="H74" s="187"/>
      <c r="I74" s="187"/>
      <c r="J74" s="46"/>
      <c r="K74" s="130"/>
      <c r="L74">
        <f>R75+P73-N73</f>
        <v>750</v>
      </c>
    </row>
    <row r="75" spans="1:24">
      <c r="A75" s="187" t="s">
        <v>22</v>
      </c>
      <c r="B75" s="201">
        <f>D38*1000</f>
        <v>750</v>
      </c>
      <c r="C75" s="109"/>
      <c r="D75" s="109"/>
      <c r="E75" s="201">
        <f>D23*1000</f>
        <v>450</v>
      </c>
      <c r="F75" s="187"/>
      <c r="G75" s="187"/>
      <c r="H75" s="296">
        <f>D31*1000</f>
        <v>750</v>
      </c>
      <c r="I75" s="187"/>
      <c r="J75" s="46"/>
      <c r="K75" s="477"/>
      <c r="R75">
        <f>D22*1000</f>
        <v>600</v>
      </c>
      <c r="X75">
        <f>R75+(T73-V73)</f>
        <v>750</v>
      </c>
    </row>
    <row r="76" spans="1:24">
      <c r="A76" s="187"/>
      <c r="B76" s="109"/>
      <c r="C76" s="109"/>
      <c r="D76" s="109"/>
      <c r="E76" s="109"/>
      <c r="F76" s="187"/>
      <c r="G76" s="187"/>
      <c r="H76" s="187"/>
      <c r="I76" s="203" t="s">
        <v>23</v>
      </c>
      <c r="J76" s="46"/>
      <c r="K76" s="130"/>
      <c r="P76" s="18"/>
      <c r="V76" s="18"/>
    </row>
    <row r="77" spans="1:24">
      <c r="A77" s="187"/>
      <c r="B77" s="109"/>
      <c r="C77" s="109">
        <f>H35*1000</f>
        <v>1500</v>
      </c>
      <c r="D77" s="109">
        <f>H22*1000</f>
        <v>1800</v>
      </c>
      <c r="E77" s="109"/>
      <c r="F77" s="187"/>
      <c r="G77" s="187">
        <f>H28*1000</f>
        <v>1500</v>
      </c>
      <c r="H77" s="187"/>
      <c r="I77" s="187"/>
      <c r="J77" s="46"/>
      <c r="K77" s="130"/>
      <c r="L77" s="46"/>
    </row>
    <row r="78" spans="1:24">
      <c r="A78" s="187"/>
      <c r="B78" s="109"/>
      <c r="C78" s="109"/>
      <c r="D78" s="109"/>
      <c r="E78" s="109"/>
      <c r="F78" s="187"/>
      <c r="G78" s="187"/>
      <c r="H78" s="187"/>
      <c r="I78" s="187"/>
      <c r="J78" s="46"/>
      <c r="K78" s="130"/>
      <c r="L78" s="46"/>
      <c r="M78" s="115"/>
    </row>
    <row r="79" spans="1:24">
      <c r="A79" s="187"/>
      <c r="B79" s="201">
        <f>D37*1000</f>
        <v>750</v>
      </c>
      <c r="C79" s="109"/>
      <c r="D79" s="109"/>
      <c r="E79" s="201">
        <f>D22*1000</f>
        <v>600</v>
      </c>
      <c r="F79" s="187"/>
      <c r="G79" s="187"/>
      <c r="H79" s="191">
        <f>D30*1000</f>
        <v>750</v>
      </c>
      <c r="I79" s="187"/>
      <c r="J79" s="46"/>
      <c r="K79" s="130"/>
    </row>
    <row r="80" spans="1:24">
      <c r="A80" s="187"/>
      <c r="B80" s="187"/>
      <c r="C80" s="187"/>
      <c r="D80" s="187"/>
      <c r="E80" s="187"/>
      <c r="F80" s="187"/>
      <c r="G80" s="187"/>
      <c r="H80" s="187"/>
      <c r="I80" s="187"/>
      <c r="J80" s="46"/>
      <c r="K80" s="130"/>
    </row>
    <row r="81" spans="1:11">
      <c r="J81" s="46"/>
      <c r="K81" s="130"/>
    </row>
    <row r="82" spans="1:11">
      <c r="E82" s="191">
        <f>E62</f>
        <v>13600</v>
      </c>
      <c r="J82" s="46"/>
      <c r="K82" s="130"/>
    </row>
    <row r="83" spans="1:11">
      <c r="J83" s="46"/>
      <c r="K83" s="130"/>
    </row>
    <row r="84" spans="1:11">
      <c r="J84" s="46"/>
      <c r="K84" s="130"/>
    </row>
    <row r="85" spans="1:11">
      <c r="A85" s="1882" t="s">
        <v>1756</v>
      </c>
      <c r="B85" s="1882"/>
      <c r="C85" s="1882"/>
      <c r="D85" s="1882"/>
      <c r="J85" s="46"/>
      <c r="K85" s="130"/>
    </row>
    <row r="86" spans="1:11">
      <c r="J86" s="46"/>
      <c r="K86" s="130"/>
    </row>
    <row r="87" spans="1:11">
      <c r="B87" s="18"/>
      <c r="E87" s="46"/>
      <c r="J87" s="46"/>
      <c r="K87" s="130"/>
    </row>
    <row r="88" spans="1:11">
      <c r="A88" s="139" t="s">
        <v>1752</v>
      </c>
      <c r="H88" s="139" t="str">
        <f>IF(Hydraulic!G939=Hydraulic!D757,"(Pre-Monsoon)","(Post-Monsoon)")</f>
        <v>(Pre-Monsoon)</v>
      </c>
      <c r="J88" s="46"/>
      <c r="K88" s="130"/>
    </row>
    <row r="89" spans="1:11">
      <c r="A89" s="26"/>
      <c r="C89" s="1"/>
      <c r="J89" s="46"/>
      <c r="K89" s="130"/>
    </row>
    <row r="90" spans="1:11">
      <c r="A90" t="str">
        <f>"Design Head = "&amp;FIXED(A100,2)&amp;" - "&amp;FIXED(I105,2)&amp;" ="</f>
        <v>Design Head = 10.30 - 6.10 =</v>
      </c>
      <c r="D90" s="2"/>
      <c r="F90" s="54">
        <f>A100-I105</f>
        <v>4.2000000000000011</v>
      </c>
      <c r="G90" t="s">
        <v>47</v>
      </c>
      <c r="J90" s="46"/>
      <c r="K90" s="130"/>
    </row>
    <row r="91" spans="1:11">
      <c r="A91" t="s">
        <v>1026</v>
      </c>
      <c r="D91" s="2"/>
      <c r="F91" s="178">
        <f>Hydraulic!F889</f>
        <v>76.988870136828467</v>
      </c>
      <c r="G91" t="s">
        <v>48</v>
      </c>
      <c r="J91" s="46"/>
      <c r="K91" s="130"/>
    </row>
    <row r="92" spans="1:11">
      <c r="A92" t="s">
        <v>1027</v>
      </c>
      <c r="D92" s="2"/>
      <c r="F92" s="178">
        <f>Hydraulic!F917</f>
        <v>23.011129863171526</v>
      </c>
      <c r="G92" t="s">
        <v>48</v>
      </c>
      <c r="J92" s="46"/>
      <c r="K92" s="130"/>
    </row>
    <row r="93" spans="1:11">
      <c r="A93" t="str">
        <f>"Hyraulic grade line at C1 = "&amp;F90&amp;" * "&amp;FIXED(F91,2)&amp;" / 100 + "&amp;I105&amp;" ="</f>
        <v>Hyraulic grade line at C1 = 4.2 * 76.99 / 100 + 6.1 =</v>
      </c>
      <c r="D93" s="2"/>
      <c r="F93" s="54">
        <f>F90*F91/100+I105</f>
        <v>9.3335325457467953</v>
      </c>
      <c r="G93" t="s">
        <v>46</v>
      </c>
      <c r="J93" s="46"/>
      <c r="K93" s="130"/>
    </row>
    <row r="94" spans="1:11">
      <c r="A94" t="str">
        <f>"Hyraulic grade line at E2 = "&amp;F90&amp;" * "&amp;FIXED(F92,2)&amp;" / 100 + "&amp;I105&amp;" ="</f>
        <v>Hyraulic grade line at E2 = 4.2 * 23.01 / 100 + 6.1 =</v>
      </c>
      <c r="D94" s="2"/>
      <c r="F94" s="54">
        <f>F90*F92/100+I105</f>
        <v>7.0664674542532042</v>
      </c>
      <c r="G94" t="s">
        <v>46</v>
      </c>
      <c r="J94" s="46"/>
      <c r="K94" s="130"/>
    </row>
    <row r="95" spans="1:11">
      <c r="A95" t="str">
        <f>"Hyraulic grade line at End of C/S R wall = "</f>
        <v xml:space="preserve">Hyraulic grade line at End of C/S R wall = </v>
      </c>
      <c r="D95" s="2"/>
      <c r="F95" s="54">
        <f>F93-(C109-I4)*(F93-F94)/D113</f>
        <v>9.2998632622097617</v>
      </c>
      <c r="G95" t="s">
        <v>46</v>
      </c>
      <c r="J95" s="46"/>
      <c r="K95" s="130"/>
    </row>
    <row r="96" spans="1:11">
      <c r="A96" t="str">
        <f>"Hyraulic grade line at End of R/S R wall = "</f>
        <v xml:space="preserve">Hyraulic grade line at End of R/S R wall = </v>
      </c>
      <c r="D96" s="2"/>
      <c r="F96" s="54">
        <f>F94+(G109-I4)*(F93-F94)/D113</f>
        <v>7.1001367377902378</v>
      </c>
      <c r="G96" t="s">
        <v>46</v>
      </c>
      <c r="J96" s="46"/>
      <c r="K96" s="130"/>
    </row>
    <row r="97" spans="1:11">
      <c r="I97" s="26" t="s">
        <v>318</v>
      </c>
      <c r="J97" s="46"/>
      <c r="K97" s="130"/>
    </row>
    <row r="98" spans="1:11">
      <c r="A98" s="26" t="s">
        <v>317</v>
      </c>
      <c r="C98" s="10" t="s">
        <v>320</v>
      </c>
      <c r="J98" s="46"/>
      <c r="K98" s="130"/>
    </row>
    <row r="99" spans="1:11">
      <c r="J99" s="46"/>
      <c r="K99" s="130"/>
    </row>
    <row r="100" spans="1:11">
      <c r="A100" s="195">
        <f>Hydraulic!C849</f>
        <v>10.3</v>
      </c>
      <c r="B100" s="34"/>
      <c r="H100" s="54">
        <f>F94</f>
        <v>7.0664674542532042</v>
      </c>
      <c r="I100" t="s">
        <v>46</v>
      </c>
      <c r="J100" s="46"/>
      <c r="K100" s="130"/>
    </row>
    <row r="101" spans="1:11">
      <c r="J101" s="46"/>
      <c r="K101" s="130"/>
    </row>
    <row r="102" spans="1:11">
      <c r="J102" s="46"/>
      <c r="K102" s="130"/>
    </row>
    <row r="103" spans="1:11">
      <c r="C103" s="54">
        <f>(A104-H100)*(G111+G109+E111-I4)/D113+H100</f>
        <v>8.5052681707357696</v>
      </c>
      <c r="F103" s="54">
        <f>(A104-H100)*(G111+G109-I4)/D113+H100</f>
        <v>7.894731829264229</v>
      </c>
      <c r="J103" s="46"/>
      <c r="K103" s="130"/>
    </row>
    <row r="104" spans="1:11">
      <c r="A104" s="36">
        <f>F93</f>
        <v>9.3335325457467953</v>
      </c>
      <c r="D104" s="203" t="s">
        <v>1501</v>
      </c>
      <c r="E104" s="36">
        <f>IL</f>
        <v>7</v>
      </c>
      <c r="G104" s="10">
        <f>(A104-H100)*(G109-I4)/D113+H100</f>
        <v>7.1001367377902378</v>
      </c>
      <c r="J104" s="46"/>
      <c r="K104" s="130"/>
    </row>
    <row r="105" spans="1:11">
      <c r="I105" s="194">
        <f>Hydraulic!J853</f>
        <v>6.1</v>
      </c>
      <c r="J105" s="46"/>
      <c r="K105" s="130"/>
    </row>
    <row r="106" spans="1:11">
      <c r="B106" s="2"/>
      <c r="J106" s="46"/>
      <c r="K106" s="130"/>
    </row>
    <row r="107" spans="1:11">
      <c r="B107" s="2" t="s">
        <v>41</v>
      </c>
      <c r="J107" s="46"/>
      <c r="K107" s="130"/>
    </row>
    <row r="108" spans="1:11">
      <c r="C108" s="33"/>
      <c r="D108" s="33"/>
      <c r="E108" s="33"/>
      <c r="F108" s="33"/>
      <c r="G108" s="33"/>
      <c r="H108" s="33"/>
      <c r="J108" s="46"/>
      <c r="K108" s="130"/>
    </row>
    <row r="109" spans="1:11">
      <c r="C109" s="526">
        <f>Hydraulic!D56</f>
        <v>1.2</v>
      </c>
      <c r="D109" s="224"/>
      <c r="E109" s="224"/>
      <c r="F109" s="224"/>
      <c r="G109" s="527">
        <f>Hydraulic!I56</f>
        <v>1.2</v>
      </c>
      <c r="H109" s="10"/>
      <c r="J109" s="46"/>
      <c r="K109" s="130"/>
    </row>
    <row r="110" spans="1:11">
      <c r="C110" s="33"/>
      <c r="D110" s="33"/>
      <c r="E110" s="33"/>
      <c r="F110" s="33"/>
      <c r="G110" s="33"/>
      <c r="H110" s="186"/>
      <c r="J110" s="46"/>
      <c r="K110" s="130"/>
    </row>
    <row r="111" spans="1:11">
      <c r="C111" s="71">
        <f>Hydraulic!D48+Hydraulic!D46-C109</f>
        <v>17.7</v>
      </c>
      <c r="D111" s="33"/>
      <c r="E111" s="71">
        <f>Hydraulic!D40</f>
        <v>13.6</v>
      </c>
      <c r="F111" s="33"/>
      <c r="G111" s="35">
        <f>Hydraulic!I48+Hydraulic!I46-G109</f>
        <v>17.7</v>
      </c>
      <c r="H111" s="33" t="s">
        <v>5</v>
      </c>
      <c r="J111" s="46"/>
      <c r="K111" s="130"/>
    </row>
    <row r="112" spans="1:11">
      <c r="J112" s="46"/>
      <c r="K112" s="130"/>
    </row>
    <row r="113" spans="1:17">
      <c r="D113" s="33">
        <f>E115-2*I4</f>
        <v>50.500000000000007</v>
      </c>
      <c r="E113" t="s">
        <v>1755</v>
      </c>
      <c r="F113" s="187"/>
      <c r="J113" s="46"/>
      <c r="K113" s="130"/>
    </row>
    <row r="114" spans="1:17">
      <c r="J114" s="46"/>
      <c r="K114" s="130"/>
    </row>
    <row r="115" spans="1:17">
      <c r="E115" s="72">
        <f>G109+G111+E111+C111+C109</f>
        <v>51.400000000000006</v>
      </c>
      <c r="F115" t="s">
        <v>5</v>
      </c>
      <c r="J115" s="46"/>
      <c r="K115" s="130"/>
      <c r="L115" s="46"/>
      <c r="M115" s="33"/>
      <c r="N115" s="33"/>
    </row>
    <row r="116" spans="1:17">
      <c r="J116" s="46"/>
      <c r="K116" s="130"/>
      <c r="L116" s="46"/>
      <c r="M116" s="33"/>
      <c r="N116" s="33"/>
    </row>
    <row r="117" spans="1:17">
      <c r="J117" s="46"/>
      <c r="K117" s="130"/>
      <c r="L117" s="46"/>
    </row>
    <row r="118" spans="1:17">
      <c r="A118" s="139" t="s">
        <v>364</v>
      </c>
      <c r="J118" s="46"/>
      <c r="K118" s="130"/>
      <c r="L118" s="46"/>
      <c r="M118" s="33"/>
    </row>
    <row r="119" spans="1:17">
      <c r="J119" s="46"/>
      <c r="K119" s="130"/>
      <c r="L119" s="46"/>
      <c r="N119" s="33"/>
    </row>
    <row r="120" spans="1:17">
      <c r="A120" t="str">
        <f>"Design Head = "&amp;FIXED(I130,2)&amp;" - "&amp;FIXED(A135,2)&amp;" ="</f>
        <v>Design Head = 13.90 - 10.00 =</v>
      </c>
      <c r="D120" s="2"/>
      <c r="F120" s="54">
        <f>I130-A135</f>
        <v>3.9000000000000004</v>
      </c>
      <c r="G120" t="s">
        <v>47</v>
      </c>
      <c r="J120" s="46"/>
      <c r="K120" s="130"/>
      <c r="L120" s="46"/>
    </row>
    <row r="121" spans="1:17">
      <c r="A121" t="s">
        <v>50</v>
      </c>
      <c r="D121" s="2"/>
      <c r="F121" s="72">
        <f>Hydraulic!F1005</f>
        <v>76.988870136828467</v>
      </c>
      <c r="G121" t="s">
        <v>48</v>
      </c>
      <c r="J121" s="46"/>
      <c r="K121" s="130"/>
      <c r="L121" s="46"/>
    </row>
    <row r="122" spans="1:17">
      <c r="A122" t="s">
        <v>49</v>
      </c>
      <c r="D122" s="2"/>
      <c r="F122" s="72">
        <f>Hydraulic!F1034</f>
        <v>23.011129863171526</v>
      </c>
      <c r="G122" t="s">
        <v>48</v>
      </c>
      <c r="J122" s="46"/>
      <c r="K122" s="130"/>
      <c r="L122" s="46"/>
    </row>
    <row r="123" spans="1:17">
      <c r="A123" t="str">
        <f>"Hyraulic grade line at C1 = "&amp;FIXED(F120,2)&amp;" * "&amp;FIXED(F121,2)&amp;" / 100 + "&amp;A135&amp;" ="</f>
        <v>Hyraulic grade line at C1 = 3.90 * 76.99 / 100 + 10 =</v>
      </c>
      <c r="D123" s="2"/>
      <c r="F123" s="54">
        <f>F120*F121/100+A135</f>
        <v>13.00256593533631</v>
      </c>
      <c r="G123" t="s">
        <v>46</v>
      </c>
      <c r="J123" s="46"/>
      <c r="K123" s="130"/>
      <c r="L123" s="46"/>
      <c r="N123" s="33"/>
      <c r="P123" s="33"/>
      <c r="Q123" s="33"/>
    </row>
    <row r="124" spans="1:17">
      <c r="A124" t="str">
        <f>"Hyraulic grade line at E2 = "&amp;FIXED(F120,2)&amp;" * "&amp;FIXED(F122,2)&amp;" / 100 + "&amp;A135&amp;" ="</f>
        <v>Hyraulic grade line at E2 = 3.90 * 23.01 / 100 + 10 =</v>
      </c>
      <c r="D124" s="2"/>
      <c r="F124" s="54">
        <f>F120*F122/100+A135</f>
        <v>10.89743406466369</v>
      </c>
      <c r="G124" t="s">
        <v>46</v>
      </c>
      <c r="J124" s="46"/>
      <c r="K124" s="130"/>
      <c r="L124" s="46"/>
    </row>
    <row r="125" spans="1:17">
      <c r="A125" t="str">
        <f>"Hyraulic grade line at End of C/S R wall = "</f>
        <v xml:space="preserve">Hyraulic grade line at End of C/S R wall = </v>
      </c>
      <c r="D125" s="2"/>
      <c r="F125" s="54">
        <f>(I133-A131)*(C140-I4)/D144+A131</f>
        <v>10.92869839937665</v>
      </c>
      <c r="G125" t="s">
        <v>46</v>
      </c>
      <c r="J125" s="46"/>
      <c r="K125" s="130"/>
      <c r="L125" s="46"/>
    </row>
    <row r="126" spans="1:17">
      <c r="A126" t="str">
        <f>"Hyraulic grade line at End of R/S R wall = "</f>
        <v xml:space="preserve">Hyraulic grade line at End of R/S R wall = </v>
      </c>
      <c r="D126" s="2"/>
      <c r="F126" s="54">
        <f>I133-(I133-A131)*(G140-I4)/D144</f>
        <v>12.971301600623351</v>
      </c>
      <c r="G126" t="s">
        <v>46</v>
      </c>
      <c r="J126" s="46"/>
      <c r="K126" s="130"/>
      <c r="L126" s="46"/>
    </row>
    <row r="127" spans="1:17">
      <c r="C127" s="1"/>
      <c r="J127" s="46"/>
      <c r="K127" s="130"/>
      <c r="L127" s="46"/>
    </row>
    <row r="128" spans="1:17">
      <c r="A128" s="187" t="s">
        <v>319</v>
      </c>
      <c r="I128" s="187" t="s">
        <v>80</v>
      </c>
      <c r="J128" s="46"/>
      <c r="K128" s="130"/>
      <c r="L128" s="46"/>
      <c r="M128" s="33"/>
    </row>
    <row r="129" spans="1:15">
      <c r="C129" s="10"/>
      <c r="J129" s="46"/>
      <c r="K129" s="130"/>
      <c r="L129" s="46"/>
    </row>
    <row r="130" spans="1:15">
      <c r="I130" s="193">
        <f>Hydraulic!E135</f>
        <v>13.9</v>
      </c>
      <c r="J130" s="188" t="s">
        <v>5</v>
      </c>
      <c r="K130" s="130"/>
      <c r="M130" s="33"/>
    </row>
    <row r="131" spans="1:15">
      <c r="A131" s="36">
        <f>F124</f>
        <v>10.89743406466369</v>
      </c>
      <c r="B131" s="34"/>
      <c r="C131" s="2" t="s">
        <v>320</v>
      </c>
      <c r="I131" s="46" t="s">
        <v>1833</v>
      </c>
      <c r="J131" s="46"/>
      <c r="K131" s="130"/>
      <c r="L131" s="46"/>
      <c r="M131" s="33"/>
    </row>
    <row r="132" spans="1:15">
      <c r="J132" s="46"/>
      <c r="K132" s="130"/>
      <c r="L132" s="46"/>
      <c r="M132" s="33"/>
    </row>
    <row r="133" spans="1:15">
      <c r="I133" s="33">
        <f>F123</f>
        <v>13.00256593533631</v>
      </c>
      <c r="J133" s="46"/>
      <c r="K133" s="130"/>
      <c r="L133" s="46"/>
    </row>
    <row r="134" spans="1:15">
      <c r="C134" s="54">
        <f>(I133-A131)*(C140+C142-I4)/D144+A131</f>
        <v>11.666536698602499</v>
      </c>
      <c r="F134" s="54">
        <f>(I133-A131)*(C140+C142+E142-I4)/D144+A131</f>
        <v>12.233463301397501</v>
      </c>
      <c r="I134" t="s">
        <v>1834</v>
      </c>
      <c r="J134" s="46"/>
      <c r="K134" s="130"/>
      <c r="L134" s="46"/>
    </row>
    <row r="135" spans="1:15">
      <c r="A135" s="192">
        <f>Hydraulic!E136</f>
        <v>10</v>
      </c>
      <c r="D135" s="203" t="s">
        <v>1501</v>
      </c>
      <c r="E135" s="36">
        <f>IL</f>
        <v>7</v>
      </c>
      <c r="J135" s="46"/>
      <c r="K135" s="130"/>
      <c r="L135" s="46"/>
    </row>
    <row r="136" spans="1:15">
      <c r="J136" s="46"/>
      <c r="K136" s="130"/>
      <c r="L136" s="46"/>
    </row>
    <row r="137" spans="1:15">
      <c r="B137" s="191"/>
      <c r="H137" s="191"/>
      <c r="J137" s="46"/>
      <c r="K137" s="130"/>
      <c r="L137" s="46"/>
    </row>
    <row r="138" spans="1:15">
      <c r="B138" s="1881" t="s">
        <v>221</v>
      </c>
      <c r="H138" s="1881" t="s">
        <v>41</v>
      </c>
      <c r="J138" s="46"/>
      <c r="K138" s="130"/>
      <c r="L138" s="46"/>
    </row>
    <row r="139" spans="1:15">
      <c r="C139" s="188"/>
      <c r="D139" s="188"/>
      <c r="E139" s="188"/>
      <c r="F139" s="188"/>
      <c r="G139" s="188"/>
      <c r="H139" s="33"/>
      <c r="J139" s="46"/>
      <c r="K139" s="130"/>
      <c r="L139" s="1876"/>
      <c r="M139" s="1877" t="s">
        <v>1753</v>
      </c>
      <c r="N139" s="178">
        <f>Hydraulic!C9</f>
        <v>15.4</v>
      </c>
      <c r="O139" t="s">
        <v>46</v>
      </c>
    </row>
    <row r="140" spans="1:15">
      <c r="C140" s="189">
        <f>C109</f>
        <v>1.2</v>
      </c>
      <c r="D140" s="188"/>
      <c r="E140" s="188"/>
      <c r="F140" s="188"/>
      <c r="G140" s="190">
        <f>G109</f>
        <v>1.2</v>
      </c>
      <c r="H140" s="10"/>
      <c r="J140" s="46"/>
      <c r="K140" s="130"/>
      <c r="L140" s="1876"/>
      <c r="M140" s="1877" t="s">
        <v>53</v>
      </c>
      <c r="N140" s="178">
        <f>Hydraulic!D26</f>
        <v>7</v>
      </c>
      <c r="O140" t="s">
        <v>46</v>
      </c>
    </row>
    <row r="141" spans="1:15">
      <c r="C141" s="188"/>
      <c r="D141" s="188"/>
      <c r="E141" s="188"/>
      <c r="F141" s="188"/>
      <c r="G141" s="188"/>
      <c r="H141" s="186"/>
      <c r="J141" s="46"/>
      <c r="K141" s="130"/>
      <c r="L141" s="46"/>
    </row>
    <row r="142" spans="1:15">
      <c r="C142" s="189">
        <f>C111</f>
        <v>17.7</v>
      </c>
      <c r="D142" s="188"/>
      <c r="E142" s="189">
        <f>E111</f>
        <v>13.6</v>
      </c>
      <c r="F142" s="188"/>
      <c r="G142" s="188">
        <f>G111</f>
        <v>17.7</v>
      </c>
      <c r="H142" s="33" t="s">
        <v>5</v>
      </c>
      <c r="J142" s="46"/>
      <c r="K142" s="130"/>
      <c r="L142" s="46"/>
    </row>
    <row r="143" spans="1:15">
      <c r="J143" s="46"/>
      <c r="K143" s="130"/>
      <c r="L143" s="46"/>
    </row>
    <row r="144" spans="1:15">
      <c r="D144" s="33">
        <f>E146-2*I4</f>
        <v>50.500000000000007</v>
      </c>
      <c r="E144" t="s">
        <v>1755</v>
      </c>
      <c r="J144" s="46"/>
      <c r="K144" s="130"/>
      <c r="L144" s="46"/>
    </row>
    <row r="145" spans="1:18">
      <c r="J145" s="46"/>
      <c r="K145" s="130"/>
      <c r="L145" s="46"/>
    </row>
    <row r="146" spans="1:18">
      <c r="E146" s="72">
        <f>E115</f>
        <v>51.400000000000006</v>
      </c>
      <c r="F146" s="187" t="s">
        <v>5</v>
      </c>
      <c r="J146" s="46"/>
      <c r="K146" s="130"/>
      <c r="L146" s="46"/>
    </row>
    <row r="147" spans="1:18">
      <c r="J147" s="46"/>
      <c r="K147" s="130"/>
      <c r="L147" s="46"/>
    </row>
    <row r="148" spans="1:18">
      <c r="J148" s="46"/>
      <c r="K148" s="130"/>
      <c r="L148" s="46"/>
    </row>
    <row r="149" spans="1:18">
      <c r="J149" s="46"/>
      <c r="K149" s="130"/>
      <c r="L149" s="46"/>
    </row>
    <row r="150" spans="1:18">
      <c r="A150" s="130"/>
      <c r="B150" s="130"/>
      <c r="C150" s="130"/>
      <c r="D150" s="130"/>
      <c r="E150" s="130"/>
      <c r="F150" s="130"/>
      <c r="G150" s="130"/>
      <c r="H150" s="130"/>
      <c r="I150" s="130"/>
      <c r="J150" s="130"/>
      <c r="K150" s="130"/>
      <c r="L150" s="46"/>
    </row>
    <row r="151" spans="1:18">
      <c r="J151" s="46"/>
      <c r="K151" s="130"/>
      <c r="L151" s="46"/>
    </row>
    <row r="152" spans="1:18">
      <c r="A152" s="392" t="s">
        <v>1365</v>
      </c>
      <c r="B152" s="174"/>
      <c r="C152" s="174"/>
      <c r="D152" s="174"/>
      <c r="J152" s="46"/>
      <c r="K152" s="130"/>
      <c r="L152" s="46"/>
    </row>
    <row r="153" spans="1:18">
      <c r="B153" s="1" t="s">
        <v>1759</v>
      </c>
      <c r="C153" s="1"/>
      <c r="D153" s="1"/>
      <c r="J153" s="46"/>
      <c r="K153" s="130"/>
      <c r="L153" s="46"/>
    </row>
    <row r="154" spans="1:18">
      <c r="B154" s="207" t="s">
        <v>342</v>
      </c>
      <c r="C154" s="1"/>
      <c r="D154" s="1"/>
      <c r="H154" s="17" t="s">
        <v>2221</v>
      </c>
      <c r="I154" s="2942">
        <f>IF(Hydraulic!P15="",1,Hydraulic!P15)</f>
        <v>2</v>
      </c>
      <c r="J154" s="46" t="s">
        <v>2218</v>
      </c>
      <c r="K154" s="130"/>
      <c r="L154" s="46"/>
    </row>
    <row r="155" spans="1:18">
      <c r="B155" s="1"/>
      <c r="C155" s="1"/>
      <c r="D155" s="1"/>
      <c r="H155" s="17" t="s">
        <v>2219</v>
      </c>
      <c r="I155" s="2942" t="str">
        <f>Hydraulic!P16</f>
        <v>y</v>
      </c>
      <c r="K155" s="130"/>
      <c r="L155" s="46"/>
    </row>
    <row r="156" spans="1:18">
      <c r="B156" s="217" t="s">
        <v>371</v>
      </c>
      <c r="C156" s="1"/>
      <c r="D156" s="1"/>
      <c r="J156" s="46"/>
      <c r="K156" s="130"/>
      <c r="L156" s="46"/>
    </row>
    <row r="157" spans="1:18">
      <c r="B157" s="187" t="s">
        <v>332</v>
      </c>
      <c r="D157" s="109">
        <f>D23*1000</f>
        <v>450</v>
      </c>
      <c r="E157" s="187" t="s">
        <v>98</v>
      </c>
      <c r="F157" s="30" t="s">
        <v>343</v>
      </c>
      <c r="J157" s="46"/>
      <c r="K157" s="130"/>
      <c r="L157" s="46"/>
    </row>
    <row r="158" spans="1:18">
      <c r="B158" s="187" t="s">
        <v>330</v>
      </c>
      <c r="C158" s="187"/>
      <c r="D158" s="109">
        <f>D22*1000</f>
        <v>600</v>
      </c>
      <c r="E158" s="187" t="s">
        <v>98</v>
      </c>
      <c r="F158" s="187" t="s">
        <v>331</v>
      </c>
      <c r="G158" s="187"/>
      <c r="H158" s="206">
        <f>D160*D161*D163*D3/10^9</f>
        <v>919.33799999999997</v>
      </c>
      <c r="I158" s="187" t="s">
        <v>341</v>
      </c>
      <c r="J158" s="46"/>
      <c r="K158" s="130"/>
      <c r="L158" s="46"/>
    </row>
    <row r="159" spans="1:18">
      <c r="B159" s="187" t="s">
        <v>339</v>
      </c>
      <c r="C159" s="187"/>
      <c r="D159" s="109">
        <f>E15*1000</f>
        <v>1800</v>
      </c>
      <c r="E159" s="187" t="s">
        <v>98</v>
      </c>
      <c r="F159" s="187" t="s">
        <v>337</v>
      </c>
      <c r="G159" s="187"/>
      <c r="H159" s="206">
        <f>D160*D161*D162*D3/10^9</f>
        <v>788.00400000000002</v>
      </c>
      <c r="I159" s="187" t="s">
        <v>341</v>
      </c>
      <c r="J159" s="46"/>
      <c r="K159" s="130"/>
      <c r="L159" s="46"/>
      <c r="Q159" s="33"/>
      <c r="R159" s="187"/>
    </row>
    <row r="160" spans="1:18">
      <c r="B160" s="187" t="s">
        <v>333</v>
      </c>
      <c r="C160" s="187"/>
      <c r="D160" s="187">
        <f>D24*1000</f>
        <v>5250</v>
      </c>
      <c r="E160" s="187" t="s">
        <v>98</v>
      </c>
      <c r="F160" s="187" t="s">
        <v>338</v>
      </c>
      <c r="G160" s="187"/>
      <c r="H160" s="206">
        <f>C16*D161*D157*D159*D3/10^9</f>
        <v>202.62960000000001</v>
      </c>
      <c r="I160" s="187" t="s">
        <v>341</v>
      </c>
      <c r="J160" s="46"/>
      <c r="K160" s="130"/>
      <c r="L160" s="46"/>
      <c r="Q160" s="33"/>
      <c r="R160" s="187"/>
    </row>
    <row r="161" spans="2:18">
      <c r="B161" s="187" t="s">
        <v>334</v>
      </c>
      <c r="C161" s="187"/>
      <c r="D161" s="202">
        <f>E45+D44+F44</f>
        <v>10600</v>
      </c>
      <c r="E161" s="187" t="s">
        <v>98</v>
      </c>
      <c r="F161" s="204" t="s">
        <v>340</v>
      </c>
      <c r="G161" s="204"/>
      <c r="H161" s="208">
        <f>2*D161*D158*D159*D3/10^9</f>
        <v>540.3456000000001</v>
      </c>
      <c r="I161" s="187" t="s">
        <v>341</v>
      </c>
      <c r="J161" s="46"/>
      <c r="K161" s="130"/>
      <c r="L161" s="46"/>
    </row>
    <row r="162" spans="2:18">
      <c r="B162" s="187" t="s">
        <v>335</v>
      </c>
      <c r="C162" s="187"/>
      <c r="D162" s="202">
        <f>D54</f>
        <v>600</v>
      </c>
      <c r="E162" s="187" t="s">
        <v>98</v>
      </c>
      <c r="F162" s="187" t="s">
        <v>344</v>
      </c>
      <c r="G162" s="187"/>
      <c r="H162" s="206">
        <f>SUM(H158:H161)</f>
        <v>2450.3172000000004</v>
      </c>
      <c r="I162" s="187" t="s">
        <v>341</v>
      </c>
      <c r="J162" s="46"/>
      <c r="K162" s="130"/>
      <c r="L162" s="46"/>
    </row>
    <row r="163" spans="2:18">
      <c r="B163" s="187" t="s">
        <v>336</v>
      </c>
      <c r="C163" s="187"/>
      <c r="D163" s="202">
        <f>D58</f>
        <v>700</v>
      </c>
      <c r="E163" s="187" t="s">
        <v>98</v>
      </c>
      <c r="J163" s="46"/>
      <c r="K163" s="130"/>
      <c r="L163" s="46"/>
    </row>
    <row r="164" spans="2:18">
      <c r="B164" s="187"/>
      <c r="C164" s="187"/>
      <c r="D164" s="187"/>
      <c r="E164" s="202"/>
      <c r="J164" s="46"/>
      <c r="K164" s="130"/>
      <c r="L164" s="46"/>
    </row>
    <row r="165" spans="2:18">
      <c r="B165" s="217" t="s">
        <v>345</v>
      </c>
      <c r="J165" s="46"/>
      <c r="K165" s="130"/>
      <c r="L165" s="46"/>
      <c r="Q165" s="33"/>
    </row>
    <row r="166" spans="2:18">
      <c r="B166" s="187" t="s">
        <v>346</v>
      </c>
      <c r="C166" s="187"/>
      <c r="D166" s="202">
        <f>E45</f>
        <v>10000</v>
      </c>
      <c r="E166" s="187" t="s">
        <v>98</v>
      </c>
      <c r="F166" s="187" t="s">
        <v>349</v>
      </c>
      <c r="G166" s="187"/>
      <c r="I166" s="206">
        <f>D166*D167*D168*D6/10^9</f>
        <v>5953.5</v>
      </c>
      <c r="J166" s="187" t="s">
        <v>341</v>
      </c>
      <c r="K166" s="130"/>
      <c r="L166" s="423" t="s">
        <v>2222</v>
      </c>
      <c r="M166" s="55"/>
      <c r="N166" s="55"/>
      <c r="O166" s="2882" t="s">
        <v>2140</v>
      </c>
      <c r="P166" s="2880"/>
    </row>
    <row r="167" spans="2:18">
      <c r="B167" s="187" t="s">
        <v>347</v>
      </c>
      <c r="C167" s="187"/>
      <c r="D167" s="202">
        <f>D160</f>
        <v>5250</v>
      </c>
      <c r="E167" s="187" t="s">
        <v>98</v>
      </c>
      <c r="F167" s="187" t="s">
        <v>2234</v>
      </c>
      <c r="G167" s="187"/>
      <c r="H167" s="202"/>
      <c r="I167" s="187">
        <f>IF(O166="y",N172,0)</f>
        <v>0</v>
      </c>
      <c r="J167" s="187" t="s">
        <v>341</v>
      </c>
      <c r="K167" s="130"/>
      <c r="L167" s="2883" t="s">
        <v>2223</v>
      </c>
      <c r="M167" s="16"/>
      <c r="N167" s="16"/>
      <c r="O167" s="2884">
        <v>3</v>
      </c>
      <c r="P167" s="58" t="s">
        <v>5</v>
      </c>
    </row>
    <row r="168" spans="2:18">
      <c r="B168" s="187" t="s">
        <v>348</v>
      </c>
      <c r="C168" s="187"/>
      <c r="D168" s="202">
        <f>IF(O166="y",O167*1000,D51)</f>
        <v>6000</v>
      </c>
      <c r="E168" s="187" t="s">
        <v>98</v>
      </c>
      <c r="F168" s="204" t="s">
        <v>2224</v>
      </c>
      <c r="G168" s="204"/>
      <c r="H168" s="59"/>
      <c r="I168" s="208">
        <f>((E42+E45)/2)*G47*D167*D5/10^9</f>
        <v>0</v>
      </c>
      <c r="J168" s="204" t="s">
        <v>341</v>
      </c>
      <c r="K168" s="130"/>
      <c r="L168" s="960"/>
      <c r="M168" s="16"/>
      <c r="N168" s="16"/>
      <c r="O168" s="16"/>
      <c r="P168" s="58"/>
    </row>
    <row r="169" spans="2:18">
      <c r="F169" s="187" t="s">
        <v>350</v>
      </c>
      <c r="G169" s="187"/>
      <c r="I169" s="206">
        <f>SUM(I166:I168)</f>
        <v>5953.5</v>
      </c>
      <c r="J169" s="187" t="s">
        <v>341</v>
      </c>
      <c r="K169" s="130"/>
      <c r="L169" s="560" t="s">
        <v>2229</v>
      </c>
      <c r="M169" s="16"/>
      <c r="N169" s="2889">
        <v>600</v>
      </c>
      <c r="O169" s="241" t="s">
        <v>98</v>
      </c>
      <c r="P169" s="58"/>
    </row>
    <row r="170" spans="2:18">
      <c r="B170" s="187"/>
      <c r="J170" s="46"/>
      <c r="K170" s="130"/>
      <c r="L170" s="369" t="s">
        <v>2226</v>
      </c>
      <c r="M170" s="241"/>
      <c r="N170" s="2885">
        <f>D166</f>
        <v>10000</v>
      </c>
      <c r="O170" s="241" t="s">
        <v>98</v>
      </c>
      <c r="P170" s="58"/>
    </row>
    <row r="171" spans="2:18">
      <c r="B171" s="217" t="s">
        <v>372</v>
      </c>
      <c r="C171">
        <f>I154</f>
        <v>2</v>
      </c>
      <c r="D171" s="187" t="s">
        <v>2261</v>
      </c>
      <c r="G171" s="205">
        <f>D8*I154</f>
        <v>392.28000000000003</v>
      </c>
      <c r="H171" s="109" t="s">
        <v>2</v>
      </c>
      <c r="J171" s="46"/>
      <c r="K171" s="130"/>
      <c r="L171" s="369" t="s">
        <v>2227</v>
      </c>
      <c r="M171" s="241"/>
      <c r="N171" s="2885">
        <f>D167</f>
        <v>5250</v>
      </c>
      <c r="O171" s="241" t="s">
        <v>98</v>
      </c>
      <c r="P171" s="58"/>
      <c r="Q171" s="33"/>
      <c r="R171" s="187"/>
    </row>
    <row r="172" spans="2:18">
      <c r="J172" s="46"/>
      <c r="K172" s="130"/>
      <c r="L172" s="369" t="s">
        <v>2225</v>
      </c>
      <c r="M172" s="241"/>
      <c r="N172" s="2885">
        <f>N171*N170*N169*D3/10^9</f>
        <v>743.4</v>
      </c>
      <c r="O172" s="241" t="s">
        <v>21</v>
      </c>
      <c r="P172" s="58"/>
    </row>
    <row r="173" spans="2:18">
      <c r="B173" s="213" t="s">
        <v>351</v>
      </c>
      <c r="C173" s="213"/>
      <c r="D173" s="215">
        <f>H162+I169+G171</f>
        <v>8796.097200000002</v>
      </c>
      <c r="E173" s="213" t="s">
        <v>341</v>
      </c>
      <c r="J173" s="46"/>
      <c r="K173" s="130"/>
      <c r="L173" s="960"/>
      <c r="M173" s="16"/>
      <c r="N173" s="16"/>
      <c r="O173" s="16"/>
      <c r="P173" s="58"/>
    </row>
    <row r="174" spans="2:18">
      <c r="B174" s="187"/>
      <c r="J174" s="46"/>
      <c r="K174" s="130"/>
      <c r="L174" s="2886" t="s">
        <v>2228</v>
      </c>
      <c r="M174" s="1504"/>
      <c r="N174" s="2887">
        <f>F252</f>
        <v>3.0825489485717461</v>
      </c>
      <c r="O174" s="2887" t="str">
        <f>G252</f>
        <v>&gt;= 1.10,  Ok</v>
      </c>
      <c r="P174" s="2888"/>
      <c r="Q174" s="33"/>
    </row>
    <row r="175" spans="2:18">
      <c r="B175" s="207" t="s">
        <v>355</v>
      </c>
      <c r="C175" s="207"/>
      <c r="D175" s="203" t="s">
        <v>356</v>
      </c>
      <c r="E175" s="187">
        <f>D160</f>
        <v>5250</v>
      </c>
      <c r="F175" s="187" t="s">
        <v>98</v>
      </c>
      <c r="J175" s="46"/>
      <c r="K175" s="130"/>
      <c r="L175" s="46"/>
      <c r="Q175" s="33"/>
    </row>
    <row r="176" spans="2:18">
      <c r="B176" s="187"/>
      <c r="C176" s="187"/>
      <c r="D176" s="203" t="s">
        <v>358</v>
      </c>
      <c r="E176" s="187">
        <f>D51</f>
        <v>6000</v>
      </c>
      <c r="F176" s="187" t="s">
        <v>98</v>
      </c>
      <c r="G176" s="187" t="s">
        <v>413</v>
      </c>
      <c r="J176" s="46"/>
      <c r="K176" s="130"/>
      <c r="L176" s="46"/>
    </row>
    <row r="177" spans="2:17">
      <c r="B177" s="187"/>
      <c r="C177" s="187"/>
      <c r="D177" s="203" t="s">
        <v>357</v>
      </c>
      <c r="E177" s="202">
        <f>F44</f>
        <v>300</v>
      </c>
      <c r="F177" s="187" t="s">
        <v>98</v>
      </c>
      <c r="J177" s="46"/>
      <c r="K177" s="130"/>
      <c r="L177" s="46"/>
      <c r="Q177" s="33"/>
    </row>
    <row r="178" spans="2:17">
      <c r="B178" s="187"/>
      <c r="C178" s="213"/>
      <c r="D178" s="219" t="s">
        <v>359</v>
      </c>
      <c r="E178" s="215">
        <f>2*E175*E176*E177*D3/10^9</f>
        <v>446.04</v>
      </c>
      <c r="F178" s="213" t="s">
        <v>341</v>
      </c>
      <c r="J178" s="46"/>
      <c r="K178" s="130"/>
      <c r="L178" s="46"/>
      <c r="Q178" s="33"/>
    </row>
    <row r="179" spans="2:17">
      <c r="B179" s="187"/>
      <c r="C179" s="187"/>
      <c r="D179" s="187"/>
      <c r="E179" s="187"/>
      <c r="F179" s="187"/>
      <c r="J179" s="46"/>
      <c r="K179" s="130"/>
      <c r="L179" s="46"/>
      <c r="N179" s="33"/>
    </row>
    <row r="180" spans="2:17">
      <c r="B180" s="207" t="s">
        <v>1764</v>
      </c>
      <c r="C180" s="207"/>
      <c r="J180" s="46"/>
      <c r="K180" s="130"/>
    </row>
    <row r="181" spans="2:17">
      <c r="B181" s="187"/>
      <c r="C181" s="187"/>
      <c r="D181" s="187"/>
      <c r="E181" s="187"/>
      <c r="F181" s="187"/>
      <c r="J181" s="46"/>
      <c r="K181" s="477"/>
      <c r="L181" s="61"/>
    </row>
    <row r="182" spans="2:17">
      <c r="B182" s="187" t="s">
        <v>728</v>
      </c>
      <c r="C182" s="187"/>
      <c r="D182" s="109">
        <f>H37*1000</f>
        <v>750</v>
      </c>
      <c r="E182" s="187" t="s">
        <v>98</v>
      </c>
      <c r="F182" s="30" t="s">
        <v>343</v>
      </c>
      <c r="J182" s="46"/>
      <c r="K182" s="130"/>
      <c r="L182" s="46"/>
    </row>
    <row r="183" spans="2:17">
      <c r="B183" s="187" t="s">
        <v>729</v>
      </c>
      <c r="C183" s="187"/>
      <c r="D183" s="109">
        <f>D37*1000</f>
        <v>750</v>
      </c>
      <c r="E183" s="187" t="s">
        <v>98</v>
      </c>
      <c r="F183" s="187" t="s">
        <v>331</v>
      </c>
      <c r="G183" s="187"/>
      <c r="H183" s="206">
        <f>D189*D188*D191*D3/10^9</f>
        <v>223.02</v>
      </c>
      <c r="I183" s="187" t="s">
        <v>341</v>
      </c>
      <c r="J183" s="46"/>
      <c r="K183" s="130"/>
      <c r="L183" s="46"/>
      <c r="M183" s="54"/>
      <c r="O183" s="10"/>
    </row>
    <row r="184" spans="2:17">
      <c r="B184" s="187" t="s">
        <v>730</v>
      </c>
      <c r="D184">
        <f>D51</f>
        <v>6000</v>
      </c>
      <c r="E184" s="187" t="s">
        <v>98</v>
      </c>
      <c r="F184" s="187" t="s">
        <v>337</v>
      </c>
      <c r="G184" s="187"/>
      <c r="H184" s="206">
        <f>D189*(D188-2*(D183-D182))*D190*D3/10^9</f>
        <v>83.632499999999993</v>
      </c>
      <c r="I184" s="187" t="s">
        <v>341</v>
      </c>
      <c r="J184" s="46"/>
      <c r="K184" s="130"/>
      <c r="L184" s="46"/>
      <c r="M184" s="54"/>
      <c r="O184" s="10"/>
    </row>
    <row r="185" spans="2:17">
      <c r="B185" s="187" t="s">
        <v>731</v>
      </c>
      <c r="C185" s="187"/>
      <c r="D185" s="109">
        <f>(E53-E57)*1000</f>
        <v>2400.0000000000005</v>
      </c>
      <c r="E185" s="187" t="s">
        <v>98</v>
      </c>
      <c r="F185" s="187" t="s">
        <v>338</v>
      </c>
      <c r="G185" s="187"/>
      <c r="H185" s="206">
        <f>C16*D189*D186*(D187-D190)*D3/10^9</f>
        <v>211.07249999999999</v>
      </c>
      <c r="I185" s="187" t="s">
        <v>341</v>
      </c>
      <c r="J185" s="46"/>
      <c r="K185" s="130"/>
      <c r="L185" s="224"/>
      <c r="M185" s="54"/>
      <c r="O185" s="10"/>
    </row>
    <row r="186" spans="2:17">
      <c r="B186" s="187" t="s">
        <v>332</v>
      </c>
      <c r="D186" s="109">
        <f>D38*1000</f>
        <v>750</v>
      </c>
      <c r="E186" s="187" t="s">
        <v>98</v>
      </c>
      <c r="F186" s="241" t="s">
        <v>340</v>
      </c>
      <c r="G186" s="241"/>
      <c r="H186" s="434">
        <f>2*D189*0.5*(D182+D183)*(D184-D190)*D3/10^9+2*D189*D183*D185*D3/10^9</f>
        <v>422.14499999999998</v>
      </c>
      <c r="I186" s="187" t="s">
        <v>341</v>
      </c>
      <c r="J186" s="46"/>
      <c r="K186" s="130"/>
      <c r="L186" s="46"/>
      <c r="M186" s="54"/>
      <c r="O186" s="10"/>
    </row>
    <row r="187" spans="2:17">
      <c r="B187" s="187" t="s">
        <v>339</v>
      </c>
      <c r="C187" s="187"/>
      <c r="D187" s="109">
        <f>(C48-E57)*1000</f>
        <v>8400</v>
      </c>
      <c r="E187" s="187" t="s">
        <v>98</v>
      </c>
      <c r="F187" s="435" t="s">
        <v>732</v>
      </c>
      <c r="G187" s="59"/>
      <c r="H187" s="212">
        <f>2*0.5*(D183-D182)*D184*D189*D5/10^9</f>
        <v>0</v>
      </c>
      <c r="I187" s="187" t="s">
        <v>341</v>
      </c>
      <c r="J187" s="46"/>
      <c r="K187" s="130"/>
      <c r="L187" s="46"/>
      <c r="M187" s="54"/>
      <c r="O187" s="10"/>
    </row>
    <row r="188" spans="2:17">
      <c r="B188" s="187" t="s">
        <v>333</v>
      </c>
      <c r="C188" s="187"/>
      <c r="D188" s="202">
        <f>D39*1000</f>
        <v>5250</v>
      </c>
      <c r="E188" s="187" t="s">
        <v>98</v>
      </c>
      <c r="F188" s="187" t="s">
        <v>344</v>
      </c>
      <c r="G188" s="187"/>
      <c r="H188" s="206">
        <f>SUM(H183:H187)</f>
        <v>939.87</v>
      </c>
      <c r="I188" s="187" t="s">
        <v>341</v>
      </c>
      <c r="J188" s="46"/>
      <c r="K188" s="130"/>
      <c r="L188" s="46"/>
      <c r="M188" s="17"/>
      <c r="O188" s="10"/>
    </row>
    <row r="189" spans="2:17">
      <c r="B189" s="187" t="s">
        <v>334</v>
      </c>
      <c r="C189" s="187"/>
      <c r="D189" s="202">
        <f>C61</f>
        <v>1500</v>
      </c>
      <c r="E189" s="187" t="s">
        <v>98</v>
      </c>
      <c r="J189" s="46"/>
      <c r="K189" s="734"/>
      <c r="L189" s="388"/>
      <c r="O189" s="10"/>
    </row>
    <row r="190" spans="2:17">
      <c r="B190" s="187" t="s">
        <v>335</v>
      </c>
      <c r="C190" s="187"/>
      <c r="D190" s="439">
        <f>D35*1000</f>
        <v>450</v>
      </c>
      <c r="E190" s="187" t="s">
        <v>98</v>
      </c>
      <c r="J190" s="46"/>
      <c r="K190" s="734"/>
      <c r="L190" s="388"/>
      <c r="O190" s="10"/>
    </row>
    <row r="191" spans="2:17">
      <c r="B191" s="187" t="s">
        <v>336</v>
      </c>
      <c r="C191" s="187"/>
      <c r="D191" s="202">
        <f>B59</f>
        <v>1200</v>
      </c>
      <c r="E191" s="187" t="s">
        <v>98</v>
      </c>
      <c r="J191" s="46"/>
      <c r="K191" s="130"/>
      <c r="L191" s="46"/>
    </row>
    <row r="192" spans="2:17">
      <c r="D192" s="187"/>
      <c r="E192" s="187"/>
      <c r="J192" s="46"/>
      <c r="K192" s="130"/>
      <c r="L192" s="224"/>
      <c r="M192" s="17"/>
      <c r="O192" s="10"/>
    </row>
    <row r="193" spans="2:16">
      <c r="B193" s="187" t="s">
        <v>374</v>
      </c>
      <c r="C193" s="187"/>
      <c r="D193" s="187" t="s">
        <v>373</v>
      </c>
      <c r="E193" s="187"/>
      <c r="H193" s="205">
        <f>C14*'CS gate'!D12</f>
        <v>411.6</v>
      </c>
      <c r="I193" t="s">
        <v>4</v>
      </c>
      <c r="J193" s="46"/>
      <c r="K193" s="130"/>
      <c r="L193" s="46"/>
      <c r="M193" s="17"/>
      <c r="O193" s="10"/>
    </row>
    <row r="194" spans="2:16">
      <c r="B194" s="187"/>
      <c r="D194" s="187" t="s">
        <v>414</v>
      </c>
      <c r="H194" s="187">
        <f>(D188-2*(D183-D182))*D189*'CS gate'!D11/10^6</f>
        <v>56.7</v>
      </c>
      <c r="I194" s="187" t="s">
        <v>21</v>
      </c>
      <c r="J194" s="46"/>
      <c r="K194" s="130"/>
      <c r="L194" s="46"/>
      <c r="M194" s="17"/>
      <c r="O194" s="10"/>
    </row>
    <row r="195" spans="2:16">
      <c r="B195" s="187"/>
      <c r="G195" s="205"/>
      <c r="J195" s="46"/>
      <c r="K195" s="735"/>
      <c r="L195" s="390"/>
    </row>
    <row r="196" spans="2:16">
      <c r="B196" s="213" t="s">
        <v>354</v>
      </c>
      <c r="C196" s="213"/>
      <c r="D196" s="213"/>
      <c r="E196" s="215">
        <f>H188+H193+H194</f>
        <v>1408.17</v>
      </c>
      <c r="F196" s="213" t="s">
        <v>21</v>
      </c>
      <c r="G196" s="205"/>
      <c r="J196" s="46"/>
      <c r="K196" s="130"/>
      <c r="L196" s="46"/>
      <c r="M196" s="17"/>
      <c r="O196" s="10"/>
    </row>
    <row r="197" spans="2:16">
      <c r="J197" s="46"/>
      <c r="K197" s="736"/>
      <c r="L197" s="291"/>
      <c r="O197" s="10"/>
    </row>
    <row r="198" spans="2:16">
      <c r="B198" s="207" t="s">
        <v>360</v>
      </c>
      <c r="C198" s="126"/>
      <c r="J198" s="46"/>
      <c r="K198" s="736"/>
      <c r="L198" s="291"/>
      <c r="O198" s="10"/>
    </row>
    <row r="199" spans="2:16">
      <c r="B199" s="187"/>
      <c r="C199" s="187"/>
      <c r="D199" s="187"/>
      <c r="E199" s="187"/>
      <c r="J199" s="46"/>
      <c r="K199" s="736"/>
      <c r="L199" s="291"/>
      <c r="O199" s="10"/>
    </row>
    <row r="200" spans="2:16">
      <c r="B200" s="187" t="s">
        <v>332</v>
      </c>
      <c r="D200" s="109">
        <f>D31*1000</f>
        <v>750</v>
      </c>
      <c r="E200" s="187" t="s">
        <v>98</v>
      </c>
      <c r="F200" s="30" t="s">
        <v>343</v>
      </c>
      <c r="J200" s="46"/>
      <c r="K200" s="736"/>
      <c r="L200" s="189"/>
      <c r="O200" s="10"/>
    </row>
    <row r="201" spans="2:16">
      <c r="B201" s="187" t="s">
        <v>330</v>
      </c>
      <c r="C201" s="187"/>
      <c r="D201" s="109">
        <f>D30*1000</f>
        <v>750</v>
      </c>
      <c r="E201" s="187" t="s">
        <v>98</v>
      </c>
      <c r="F201" s="187" t="s">
        <v>331</v>
      </c>
      <c r="G201" s="187"/>
      <c r="H201" s="206">
        <f>D204*D203*D206*D3/10^9</f>
        <v>223.02</v>
      </c>
      <c r="I201" s="187" t="s">
        <v>341</v>
      </c>
      <c r="J201" s="46"/>
      <c r="K201" s="737"/>
      <c r="L201" s="738"/>
      <c r="M201" s="187"/>
      <c r="N201" s="10"/>
      <c r="O201" s="33"/>
    </row>
    <row r="202" spans="2:16">
      <c r="B202" s="187" t="s">
        <v>339</v>
      </c>
      <c r="C202" s="187"/>
      <c r="D202" s="109">
        <f>(C48-E57)*1000+G57</f>
        <v>8400</v>
      </c>
      <c r="E202" s="187" t="s">
        <v>98</v>
      </c>
      <c r="F202" s="187" t="s">
        <v>337</v>
      </c>
      <c r="G202" s="187"/>
      <c r="H202" s="206">
        <f>D204*D203*D205*D3/10^9</f>
        <v>83.632499999999993</v>
      </c>
      <c r="I202" s="187" t="s">
        <v>341</v>
      </c>
      <c r="J202" s="46"/>
      <c r="K202" s="130"/>
      <c r="L202" s="46"/>
      <c r="M202" s="20"/>
      <c r="O202" s="10"/>
    </row>
    <row r="203" spans="2:16">
      <c r="B203" s="187" t="s">
        <v>333</v>
      </c>
      <c r="C203" s="187"/>
      <c r="D203" s="202">
        <f>D32*1000</f>
        <v>5250</v>
      </c>
      <c r="E203" s="187" t="s">
        <v>98</v>
      </c>
      <c r="F203" s="187" t="s">
        <v>338</v>
      </c>
      <c r="G203" s="187"/>
      <c r="H203" s="206">
        <f>C16*D204*D200*(D202-D205)*D3/10^9</f>
        <v>211.07249999999999</v>
      </c>
      <c r="I203" s="187" t="s">
        <v>341</v>
      </c>
      <c r="J203" s="46"/>
      <c r="K203" s="130"/>
      <c r="L203" s="46"/>
      <c r="M203" s="19"/>
      <c r="O203" s="10"/>
    </row>
    <row r="204" spans="2:16">
      <c r="B204" s="187" t="s">
        <v>334</v>
      </c>
      <c r="C204" s="187"/>
      <c r="D204" s="202">
        <f>G61</f>
        <v>1500</v>
      </c>
      <c r="E204" s="187" t="s">
        <v>98</v>
      </c>
      <c r="F204" s="204" t="s">
        <v>340</v>
      </c>
      <c r="G204" s="204"/>
      <c r="H204" s="208">
        <f>2*D204*D201*(D202-D205)*D3/10^9</f>
        <v>422.14499999999998</v>
      </c>
      <c r="I204" s="187" t="s">
        <v>341</v>
      </c>
      <c r="J204" s="46"/>
      <c r="K204" s="130"/>
      <c r="L204" s="46"/>
      <c r="M204" s="19"/>
      <c r="O204" s="10"/>
    </row>
    <row r="205" spans="2:16">
      <c r="B205" s="187" t="s">
        <v>335</v>
      </c>
      <c r="C205" s="187"/>
      <c r="D205" s="439">
        <f>D28*1000</f>
        <v>450</v>
      </c>
      <c r="E205" s="187" t="s">
        <v>98</v>
      </c>
      <c r="F205" s="187" t="s">
        <v>344</v>
      </c>
      <c r="G205" s="187"/>
      <c r="H205" s="206">
        <f>SUM(H201:H204)</f>
        <v>939.87</v>
      </c>
      <c r="I205" s="187" t="s">
        <v>341</v>
      </c>
      <c r="J205" s="46"/>
      <c r="K205" s="737"/>
      <c r="L205" s="738"/>
      <c r="N205" s="10"/>
    </row>
    <row r="206" spans="2:16">
      <c r="B206" s="187" t="s">
        <v>336</v>
      </c>
      <c r="C206" s="187"/>
      <c r="D206" s="202">
        <f>I59</f>
        <v>1200</v>
      </c>
      <c r="E206" s="187" t="s">
        <v>98</v>
      </c>
      <c r="F206" s="187"/>
      <c r="G206" s="187"/>
      <c r="H206" s="187"/>
      <c r="J206" s="46"/>
      <c r="K206" s="525"/>
      <c r="L206" s="224"/>
      <c r="M206" s="22"/>
      <c r="N206" s="23"/>
      <c r="O206" s="24"/>
      <c r="P206" s="22"/>
    </row>
    <row r="207" spans="2:16">
      <c r="B207" s="187"/>
      <c r="J207" s="46"/>
      <c r="K207" s="130"/>
      <c r="L207" s="46"/>
    </row>
    <row r="208" spans="2:16">
      <c r="B208" s="187" t="s">
        <v>374</v>
      </c>
      <c r="C208" s="187"/>
      <c r="D208" s="187" t="s">
        <v>373</v>
      </c>
      <c r="E208" s="187"/>
      <c r="H208" s="205">
        <f>C14*'RS gate'!D12</f>
        <v>411.6</v>
      </c>
      <c r="I208" t="s">
        <v>4</v>
      </c>
      <c r="J208" s="46"/>
      <c r="K208" s="130"/>
      <c r="L208" s="46"/>
    </row>
    <row r="209" spans="1:13">
      <c r="B209" s="187"/>
      <c r="D209" s="187" t="s">
        <v>414</v>
      </c>
      <c r="H209" s="187">
        <f>(D203-2*(D201-D200))*D204*'RS gate'!D11/10^6</f>
        <v>56.7</v>
      </c>
      <c r="I209" s="187" t="s">
        <v>21</v>
      </c>
      <c r="J209" s="46"/>
      <c r="K209" s="130"/>
      <c r="L209" s="46"/>
    </row>
    <row r="210" spans="1:13">
      <c r="B210" s="187"/>
      <c r="D210" s="187"/>
      <c r="H210" s="187"/>
      <c r="I210" s="187"/>
      <c r="J210" s="46"/>
      <c r="K210" s="130"/>
      <c r="L210" s="46"/>
    </row>
    <row r="211" spans="1:13">
      <c r="B211" s="213" t="s">
        <v>361</v>
      </c>
      <c r="C211" s="187"/>
      <c r="D211" s="187"/>
      <c r="E211" s="215">
        <f>H205+H208+H209</f>
        <v>1408.17</v>
      </c>
      <c r="F211" s="213" t="s">
        <v>21</v>
      </c>
      <c r="J211" s="46"/>
      <c r="K211" s="130"/>
      <c r="L211" s="46"/>
    </row>
    <row r="212" spans="1:13">
      <c r="B212" s="187"/>
      <c r="C212" s="187"/>
      <c r="D212" s="187"/>
      <c r="E212" s="187"/>
      <c r="J212" s="46"/>
      <c r="K212" s="130"/>
      <c r="L212" s="46"/>
      <c r="M212" s="33"/>
    </row>
    <row r="213" spans="1:13">
      <c r="B213" s="213" t="s">
        <v>375</v>
      </c>
      <c r="C213" s="213"/>
      <c r="D213" s="213"/>
      <c r="E213" s="213"/>
      <c r="F213" s="215">
        <f>D173+E178+E196+E211</f>
        <v>12058.477200000003</v>
      </c>
      <c r="G213" s="213" t="s">
        <v>341</v>
      </c>
      <c r="J213" s="46"/>
      <c r="K213" s="130"/>
      <c r="L213" s="46"/>
    </row>
    <row r="214" spans="1:13">
      <c r="B214" s="187"/>
      <c r="J214" s="46"/>
      <c r="K214" s="130"/>
      <c r="L214" s="46"/>
    </row>
    <row r="215" spans="1:13">
      <c r="B215" s="1" t="s">
        <v>1760</v>
      </c>
      <c r="C215" s="1"/>
      <c r="J215" s="46"/>
      <c r="K215" s="130"/>
      <c r="L215" s="46"/>
    </row>
    <row r="216" spans="1:13">
      <c r="B216" s="144" t="s">
        <v>366</v>
      </c>
      <c r="C216" s="144" t="s">
        <v>1014</v>
      </c>
      <c r="F216" s="144" t="s">
        <v>367</v>
      </c>
      <c r="G216" s="144" t="str">
        <f>H88</f>
        <v>(Pre-Monsoon)</v>
      </c>
      <c r="H216" s="144"/>
      <c r="J216" s="46"/>
      <c r="K216" s="130"/>
      <c r="L216" s="46"/>
    </row>
    <row r="217" spans="1:13">
      <c r="B217" t="s">
        <v>28</v>
      </c>
      <c r="D217" s="54">
        <f>(B55*C45*H39*D7)/10^6</f>
        <v>165.54374999999999</v>
      </c>
      <c r="E217" t="s">
        <v>21</v>
      </c>
      <c r="F217" t="s">
        <v>28</v>
      </c>
      <c r="H217" s="33">
        <f>((A100-E57)*C45*H39*D7)/10^3</f>
        <v>182.09812500000007</v>
      </c>
      <c r="I217" t="s">
        <v>21</v>
      </c>
      <c r="J217" s="46"/>
      <c r="K217" s="130"/>
      <c r="L217" s="46"/>
    </row>
    <row r="218" spans="1:13">
      <c r="B218" t="s">
        <v>29</v>
      </c>
      <c r="D218" s="54">
        <f>(I54*G45*H32*D7)/10^6</f>
        <v>380.75062500000001</v>
      </c>
      <c r="E218" t="s">
        <v>21</v>
      </c>
      <c r="F218" t="s">
        <v>29</v>
      </c>
      <c r="H218" s="33">
        <f>IF(I105&lt;=E57,0,(((I105-E57)*1000+G57)*G45*H32*D7)/10^6)</f>
        <v>0</v>
      </c>
      <c r="I218" t="s">
        <v>21</v>
      </c>
      <c r="J218" s="46"/>
      <c r="K218" s="130"/>
      <c r="L218" s="46"/>
    </row>
    <row r="219" spans="1:13">
      <c r="B219" s="59" t="s">
        <v>30</v>
      </c>
      <c r="C219" s="59"/>
      <c r="D219" s="211">
        <f>(C14*C19*E61*D56*D7)/10^6</f>
        <v>673.82927999999993</v>
      </c>
      <c r="E219" t="s">
        <v>21</v>
      </c>
      <c r="F219" s="59" t="s">
        <v>30</v>
      </c>
      <c r="G219" s="59"/>
      <c r="H219" s="212">
        <f>(C14*C19*E61*IF(I105&lt;=E57,0,I105-E57)*D7)/10^3</f>
        <v>0</v>
      </c>
      <c r="I219" t="s">
        <v>21</v>
      </c>
      <c r="J219" s="46"/>
      <c r="K219" s="130"/>
      <c r="L219" s="46"/>
      <c r="M219" s="33"/>
    </row>
    <row r="220" spans="1:13">
      <c r="B220" s="187" t="s">
        <v>368</v>
      </c>
      <c r="C220" s="187"/>
      <c r="D220" s="206">
        <f>SUM(D217:D219)</f>
        <v>1220.1236549999999</v>
      </c>
      <c r="E220" s="187" t="s">
        <v>21</v>
      </c>
      <c r="F220" s="187" t="s">
        <v>368</v>
      </c>
      <c r="G220" s="187"/>
      <c r="H220" s="210">
        <f>SUM(H217:H219)</f>
        <v>182.09812500000007</v>
      </c>
      <c r="I220" s="187" t="s">
        <v>21</v>
      </c>
      <c r="J220" s="46"/>
      <c r="K220" s="130"/>
      <c r="L220" s="46"/>
    </row>
    <row r="221" spans="1:13">
      <c r="J221" s="46"/>
      <c r="K221" s="130"/>
      <c r="L221" s="46"/>
      <c r="M221" s="33"/>
    </row>
    <row r="222" spans="1:13">
      <c r="A222" s="187"/>
      <c r="B222" s="213" t="s">
        <v>370</v>
      </c>
      <c r="C222" s="213"/>
      <c r="D222" s="214">
        <f>MAX(D220,H220)</f>
        <v>1220.1236549999999</v>
      </c>
      <c r="E222" s="213" t="s">
        <v>341</v>
      </c>
      <c r="F222" s="187"/>
      <c r="J222" s="46"/>
      <c r="K222" s="130"/>
      <c r="L222" s="46"/>
      <c r="M222" s="33"/>
    </row>
    <row r="223" spans="1:13">
      <c r="D223" s="17"/>
      <c r="J223" s="46"/>
      <c r="K223" s="130"/>
      <c r="L223" s="46"/>
    </row>
    <row r="224" spans="1:13">
      <c r="B224" s="1" t="s">
        <v>1761</v>
      </c>
      <c r="D224" s="17"/>
      <c r="J224" s="46"/>
      <c r="K224" s="130"/>
      <c r="L224" s="46"/>
    </row>
    <row r="225" spans="2:16">
      <c r="B225" s="144" t="s">
        <v>366</v>
      </c>
      <c r="C225" s="144" t="s">
        <v>1014</v>
      </c>
      <c r="D225" s="1886"/>
      <c r="E225" s="144"/>
      <c r="F225" s="144" t="s">
        <v>367</v>
      </c>
      <c r="G225" s="144" t="str">
        <f>G216</f>
        <v>(Pre-Monsoon)</v>
      </c>
      <c r="H225" s="144"/>
      <c r="J225" s="46"/>
      <c r="K225" s="130"/>
      <c r="L225" s="46"/>
    </row>
    <row r="226" spans="2:16">
      <c r="B226" s="187" t="s">
        <v>595</v>
      </c>
      <c r="D226" s="54">
        <f>C134</f>
        <v>11.666536698602499</v>
      </c>
      <c r="E226" t="s">
        <v>379</v>
      </c>
      <c r="F226" s="187" t="s">
        <v>595</v>
      </c>
      <c r="H226" s="33">
        <f>C103</f>
        <v>8.5052681707357696</v>
      </c>
      <c r="I226" t="s">
        <v>379</v>
      </c>
      <c r="J226" s="46"/>
      <c r="K226" s="130"/>
      <c r="L226" s="46"/>
      <c r="M226" s="187"/>
      <c r="O226" s="129"/>
      <c r="P226" s="187"/>
    </row>
    <row r="227" spans="2:16">
      <c r="B227" s="187" t="s">
        <v>596</v>
      </c>
      <c r="D227" s="54">
        <f>F134</f>
        <v>12.233463301397501</v>
      </c>
      <c r="E227" t="s">
        <v>379</v>
      </c>
      <c r="F227" s="187" t="s">
        <v>596</v>
      </c>
      <c r="H227" s="33">
        <f>F103</f>
        <v>7.894731829264229</v>
      </c>
      <c r="I227" t="s">
        <v>379</v>
      </c>
      <c r="J227" s="46"/>
      <c r="K227" s="130"/>
      <c r="L227" s="46"/>
      <c r="M227" s="187"/>
      <c r="O227" s="129"/>
      <c r="P227" s="187"/>
    </row>
    <row r="228" spans="2:16">
      <c r="B228" s="187" t="s">
        <v>597</v>
      </c>
      <c r="D228" s="33">
        <f>(D226-E57)+B59/1000</f>
        <v>5.8665366986024994</v>
      </c>
      <c r="E228" s="187" t="s">
        <v>5</v>
      </c>
      <c r="F228" s="187" t="s">
        <v>597</v>
      </c>
      <c r="H228" s="33">
        <f>(H226-E57)+B59/1000</f>
        <v>2.7052681707357698</v>
      </c>
      <c r="I228" s="187" t="s">
        <v>5</v>
      </c>
      <c r="J228" s="46"/>
      <c r="K228" s="130"/>
      <c r="L228" s="46"/>
    </row>
    <row r="229" spans="2:16">
      <c r="B229" s="187" t="s">
        <v>598</v>
      </c>
      <c r="D229" s="33">
        <f>(D227-E57)+(G57+I59)/1000</f>
        <v>6.4334633013975013</v>
      </c>
      <c r="E229" s="187" t="s">
        <v>5</v>
      </c>
      <c r="F229" s="187" t="s">
        <v>598</v>
      </c>
      <c r="H229" s="33">
        <f>(H227-E57)+(G57+I59)/1000</f>
        <v>2.0947318292642292</v>
      </c>
      <c r="I229" s="187" t="s">
        <v>5</v>
      </c>
      <c r="J229" s="46"/>
      <c r="K229" s="130"/>
      <c r="L229" s="46"/>
    </row>
    <row r="230" spans="2:16">
      <c r="B230" s="187"/>
      <c r="D230" s="17"/>
      <c r="F230" s="187"/>
      <c r="J230" s="46"/>
      <c r="K230" s="130"/>
      <c r="L230" s="46"/>
    </row>
    <row r="231" spans="2:16">
      <c r="B231" s="187" t="s">
        <v>32</v>
      </c>
      <c r="D231" s="33">
        <f>(0.5*(D228+D229)*E62*D24*D7)/10^3</f>
        <v>4307.669100000001</v>
      </c>
      <c r="E231" t="s">
        <v>21</v>
      </c>
      <c r="F231" t="s">
        <v>32</v>
      </c>
      <c r="H231" s="54">
        <f>(0.5*(H228+H229)*E62*D24*D7)/10^3</f>
        <v>1681.0415999999998</v>
      </c>
      <c r="I231" t="s">
        <v>21</v>
      </c>
      <c r="J231" s="46"/>
      <c r="K231" s="130"/>
      <c r="L231" s="46"/>
    </row>
    <row r="232" spans="2:16">
      <c r="B232" s="187"/>
      <c r="D232" s="54"/>
      <c r="J232" s="46"/>
      <c r="K232" s="130"/>
      <c r="L232" s="46"/>
    </row>
    <row r="233" spans="2:16">
      <c r="B233" s="213" t="s">
        <v>369</v>
      </c>
      <c r="C233" s="213"/>
      <c r="D233" s="214">
        <f>MAX(D231,H231)</f>
        <v>4307.669100000001</v>
      </c>
      <c r="E233" s="213" t="s">
        <v>21</v>
      </c>
      <c r="F233" s="187"/>
      <c r="J233" s="46"/>
      <c r="K233" s="130"/>
      <c r="L233" s="46"/>
    </row>
    <row r="234" spans="2:16">
      <c r="B234" s="187"/>
      <c r="D234" s="54"/>
      <c r="F234" s="187"/>
      <c r="J234" s="46"/>
      <c r="K234" s="130"/>
      <c r="L234" s="46"/>
    </row>
    <row r="235" spans="2:16">
      <c r="B235" s="1" t="s">
        <v>1762</v>
      </c>
      <c r="D235" s="17"/>
      <c r="F235" s="187"/>
      <c r="J235" s="46"/>
      <c r="K235" s="130"/>
      <c r="L235" s="46"/>
      <c r="M235" s="33"/>
    </row>
    <row r="236" spans="2:16">
      <c r="B236" s="144" t="s">
        <v>366</v>
      </c>
      <c r="C236" s="144" t="s">
        <v>1014</v>
      </c>
      <c r="D236" s="1886"/>
      <c r="E236" s="144"/>
      <c r="F236" s="144" t="s">
        <v>367</v>
      </c>
      <c r="G236" s="144" t="str">
        <f>G225</f>
        <v>(Pre-Monsoon)</v>
      </c>
      <c r="H236" s="144"/>
      <c r="J236" s="46"/>
      <c r="K236" s="130"/>
      <c r="L236" s="46"/>
    </row>
    <row r="237" spans="2:16">
      <c r="B237" s="187" t="s">
        <v>33</v>
      </c>
      <c r="D237" s="54">
        <f>(0.5*B55*B55*D39*D7)/10^6</f>
        <v>231.76124999999999</v>
      </c>
      <c r="E237" t="s">
        <v>21</v>
      </c>
      <c r="F237" s="187" t="s">
        <v>33</v>
      </c>
      <c r="H237" s="54">
        <f>0.5*D7*(A100-E57)^2*D39</f>
        <v>280.4311125000001</v>
      </c>
      <c r="I237" t="s">
        <v>21</v>
      </c>
      <c r="J237" s="46"/>
      <c r="K237" s="130"/>
      <c r="L237" s="46"/>
    </row>
    <row r="238" spans="2:16">
      <c r="B238" s="187" t="s">
        <v>34</v>
      </c>
      <c r="D238" s="54">
        <f>(0.5*I54*I54*D32*D7)/10^6</f>
        <v>1226.0170125</v>
      </c>
      <c r="E238" t="s">
        <v>21</v>
      </c>
      <c r="F238" s="187" t="s">
        <v>34</v>
      </c>
      <c r="H238" s="54">
        <f>0.5*(IF(E104-G57/1000&gt;I105,0,((E104-I105)+G57/1000)^2))*D32*D7</f>
        <v>0</v>
      </c>
      <c r="I238" t="s">
        <v>21</v>
      </c>
      <c r="J238" s="46"/>
      <c r="K238" s="130"/>
      <c r="L238" s="46"/>
    </row>
    <row r="239" spans="2:16">
      <c r="B239" s="187" t="s">
        <v>1767</v>
      </c>
      <c r="D239" s="54"/>
      <c r="F239" s="187" t="s">
        <v>1767</v>
      </c>
      <c r="H239" s="54"/>
      <c r="J239" s="46"/>
      <c r="K239" s="130"/>
      <c r="L239" s="46"/>
    </row>
    <row r="240" spans="2:16">
      <c r="B240" s="187"/>
      <c r="D240" s="54">
        <f>ABS(D238-D237)</f>
        <v>994.25576249999995</v>
      </c>
      <c r="E240" t="s">
        <v>21</v>
      </c>
      <c r="F240" s="187"/>
      <c r="H240" s="54">
        <f>ABS(H237-H238)</f>
        <v>280.4311125000001</v>
      </c>
      <c r="I240" t="s">
        <v>21</v>
      </c>
      <c r="J240" s="46"/>
      <c r="K240" s="130"/>
      <c r="L240" s="46"/>
    </row>
    <row r="241" spans="1:13">
      <c r="B241" s="187"/>
      <c r="J241" s="46"/>
      <c r="K241" s="130"/>
      <c r="L241" s="46"/>
    </row>
    <row r="242" spans="1:13">
      <c r="B242" s="1" t="s">
        <v>1763</v>
      </c>
      <c r="J242" s="46"/>
      <c r="K242" s="130"/>
      <c r="L242" s="46"/>
    </row>
    <row r="243" spans="1:13">
      <c r="B243" s="187"/>
      <c r="J243" s="46"/>
      <c r="K243" s="130"/>
      <c r="L243" s="46"/>
    </row>
    <row r="244" spans="1:13">
      <c r="B244" s="187" t="s">
        <v>20</v>
      </c>
      <c r="C244" s="26"/>
      <c r="D244" s="26"/>
      <c r="F244" s="2" t="s">
        <v>35</v>
      </c>
      <c r="G244" s="54">
        <f>F213</f>
        <v>12058.477200000003</v>
      </c>
      <c r="H244" t="s">
        <v>21</v>
      </c>
      <c r="J244" s="46"/>
      <c r="K244" s="525"/>
      <c r="L244" s="224"/>
    </row>
    <row r="245" spans="1:13">
      <c r="B245" s="187" t="s">
        <v>25</v>
      </c>
      <c r="C245" s="26"/>
      <c r="D245" s="26"/>
      <c r="F245" s="2" t="s">
        <v>35</v>
      </c>
      <c r="G245" s="54">
        <f>D222</f>
        <v>1220.1236549999999</v>
      </c>
      <c r="H245" t="s">
        <v>21</v>
      </c>
      <c r="J245" s="46"/>
      <c r="K245" s="130"/>
      <c r="L245" s="46"/>
    </row>
    <row r="246" spans="1:13">
      <c r="B246" s="187"/>
      <c r="C246" s="26"/>
      <c r="E246" s="39" t="s">
        <v>36</v>
      </c>
      <c r="F246" s="28" t="s">
        <v>35</v>
      </c>
      <c r="G246" s="209">
        <f>SUM(G244,G245)</f>
        <v>13278.600855000002</v>
      </c>
      <c r="H246" s="23" t="s">
        <v>21</v>
      </c>
      <c r="I246" s="187"/>
      <c r="J246" s="46"/>
      <c r="K246" s="130"/>
      <c r="L246" s="46"/>
    </row>
    <row r="247" spans="1:13">
      <c r="B247" s="187"/>
      <c r="C247" s="26"/>
      <c r="D247" s="27"/>
      <c r="F247" s="2"/>
      <c r="G247" s="8"/>
      <c r="H247" s="1"/>
      <c r="J247" s="46"/>
      <c r="K247" s="130"/>
      <c r="L247" s="46"/>
    </row>
    <row r="248" spans="1:13">
      <c r="B248" s="187" t="s">
        <v>31</v>
      </c>
      <c r="C248" s="26"/>
      <c r="D248" s="26"/>
      <c r="F248" s="2" t="s">
        <v>35</v>
      </c>
      <c r="G248" s="54">
        <f>D233</f>
        <v>4307.669100000001</v>
      </c>
      <c r="H248" t="s">
        <v>4</v>
      </c>
      <c r="J248" s="46"/>
      <c r="K248" s="130"/>
      <c r="L248" s="46"/>
    </row>
    <row r="249" spans="1:13">
      <c r="B249" s="187" t="s">
        <v>362</v>
      </c>
      <c r="C249" s="26"/>
      <c r="D249" s="26"/>
      <c r="F249" s="2" t="s">
        <v>35</v>
      </c>
      <c r="G249" s="54">
        <f>MAX(D240,H240)</f>
        <v>994.25576249999995</v>
      </c>
      <c r="H249" t="s">
        <v>4</v>
      </c>
      <c r="J249" s="46"/>
      <c r="K249" s="130"/>
      <c r="L249" s="46"/>
    </row>
    <row r="250" spans="1:13">
      <c r="B250" s="187"/>
      <c r="J250" s="46"/>
      <c r="K250" s="130"/>
      <c r="L250" s="46"/>
    </row>
    <row r="251" spans="1:13">
      <c r="B251" s="1" t="s">
        <v>788</v>
      </c>
      <c r="C251" s="23"/>
      <c r="D251" s="23"/>
      <c r="J251" s="46"/>
      <c r="K251" s="130"/>
      <c r="L251" s="46"/>
    </row>
    <row r="252" spans="1:13">
      <c r="D252" s="2" t="s">
        <v>37</v>
      </c>
      <c r="E252" t="s">
        <v>39</v>
      </c>
      <c r="F252" s="21">
        <f>G246/G248</f>
        <v>3.0825489485717461</v>
      </c>
      <c r="G252" s="2881" t="str">
        <f>IF(F252&gt;=1.1,"&gt;= 1.10,  Ok","&lt;  1.10,  Not ok")</f>
        <v>&gt;= 1.10,  Ok</v>
      </c>
      <c r="H252" s="126"/>
      <c r="J252" s="46"/>
      <c r="K252" s="130"/>
      <c r="L252" s="46"/>
      <c r="M252" s="33"/>
    </row>
    <row r="253" spans="1:13">
      <c r="D253" s="2" t="s">
        <v>38</v>
      </c>
      <c r="E253" t="s">
        <v>40</v>
      </c>
      <c r="F253" s="21">
        <f>(TAN(RADIANS(D13))*(G246-G248))/G249</f>
        <v>4.79748692924972</v>
      </c>
      <c r="G253" s="2881" t="str">
        <f>IF(F253&gt;=1.5,"&gt;= 1.50,  Ok","&lt; 1.50,   Not ok")</f>
        <v>&gt;= 1.50,  Ok</v>
      </c>
      <c r="H253" s="126"/>
      <c r="J253" s="46"/>
      <c r="K253" s="130"/>
      <c r="L253" s="46"/>
    </row>
    <row r="254" spans="1:13">
      <c r="J254" s="46"/>
      <c r="K254" s="130"/>
      <c r="L254" s="46"/>
    </row>
    <row r="255" spans="1:13">
      <c r="A255" s="930" t="s">
        <v>1366</v>
      </c>
      <c r="B255" s="931"/>
      <c r="C255" s="931"/>
      <c r="J255" s="46"/>
      <c r="K255" s="130"/>
      <c r="L255" s="46"/>
    </row>
    <row r="256" spans="1:13">
      <c r="A256" s="187"/>
      <c r="B256" s="1"/>
      <c r="J256" s="46"/>
      <c r="K256" s="130"/>
      <c r="L256" s="46"/>
    </row>
    <row r="257" spans="1:12">
      <c r="A257" s="187"/>
      <c r="B257" s="932" t="s">
        <v>1768</v>
      </c>
      <c r="C257" s="932"/>
      <c r="D257" s="932"/>
      <c r="J257" s="46"/>
      <c r="K257" s="130"/>
      <c r="L257" s="46"/>
    </row>
    <row r="258" spans="1:12">
      <c r="A258" s="187"/>
      <c r="B258" s="1"/>
      <c r="J258" s="46"/>
      <c r="K258" s="130"/>
      <c r="L258" s="46"/>
    </row>
    <row r="259" spans="1:12">
      <c r="A259" s="187"/>
      <c r="B259" s="187" t="s">
        <v>814</v>
      </c>
      <c r="C259" s="26"/>
      <c r="D259" s="26"/>
      <c r="E259" s="2" t="s">
        <v>35</v>
      </c>
      <c r="F259" s="54">
        <f>G244</f>
        <v>12058.477200000003</v>
      </c>
      <c r="G259" t="s">
        <v>21</v>
      </c>
      <c r="J259" s="46"/>
      <c r="K259" s="130"/>
      <c r="L259" s="46"/>
    </row>
    <row r="260" spans="1:12">
      <c r="A260" s="187"/>
      <c r="B260" s="187" t="s">
        <v>356</v>
      </c>
      <c r="C260" s="33">
        <f>E62/1000</f>
        <v>13.6</v>
      </c>
      <c r="D260" s="187" t="s">
        <v>5</v>
      </c>
      <c r="E260" s="187" t="s">
        <v>774</v>
      </c>
      <c r="F260" s="33">
        <f>D24</f>
        <v>5.25</v>
      </c>
      <c r="G260" s="187" t="s">
        <v>5</v>
      </c>
      <c r="J260" s="46"/>
      <c r="K260" s="130"/>
      <c r="L260" s="46"/>
    </row>
    <row r="261" spans="1:12">
      <c r="A261" s="187"/>
      <c r="B261" s="187" t="s">
        <v>815</v>
      </c>
      <c r="D261" s="246">
        <f>F259/(C260*F260)</f>
        <v>168.88623529411771</v>
      </c>
      <c r="E261" s="187" t="s">
        <v>816</v>
      </c>
      <c r="F261" s="33">
        <f>D261*0.00948</f>
        <v>1.6010415105882361</v>
      </c>
      <c r="G261" s="187" t="s">
        <v>817</v>
      </c>
      <c r="J261" s="46"/>
      <c r="K261" s="130"/>
      <c r="L261" s="46"/>
    </row>
    <row r="262" spans="1:12">
      <c r="A262" s="187"/>
      <c r="B262" s="1"/>
      <c r="J262" s="46"/>
      <c r="K262" s="130"/>
      <c r="L262" s="46"/>
    </row>
    <row r="263" spans="1:12">
      <c r="B263" s="932" t="s">
        <v>1769</v>
      </c>
      <c r="C263" s="932"/>
      <c r="D263" s="932"/>
      <c r="J263" s="46"/>
      <c r="K263" s="130"/>
      <c r="L263" s="46"/>
    </row>
    <row r="264" spans="1:12">
      <c r="H264" s="489"/>
      <c r="J264" s="46"/>
      <c r="K264" s="130"/>
      <c r="L264" s="46"/>
    </row>
    <row r="265" spans="1:12">
      <c r="H265" s="489"/>
      <c r="J265" s="46"/>
      <c r="K265" s="130"/>
      <c r="L265" s="46"/>
    </row>
    <row r="266" spans="1:12">
      <c r="H266" s="489"/>
      <c r="J266" s="46"/>
      <c r="K266" s="130"/>
      <c r="L266" s="46"/>
    </row>
    <row r="267" spans="1:12">
      <c r="H267" s="489">
        <f>'RS Wing'!H1129</f>
        <v>0.45</v>
      </c>
      <c r="J267" s="46"/>
      <c r="K267" s="130"/>
      <c r="L267" s="46"/>
    </row>
    <row r="268" spans="1:12">
      <c r="H268" s="46"/>
      <c r="J268" s="46"/>
      <c r="K268" s="130"/>
      <c r="L268" s="46"/>
    </row>
    <row r="269" spans="1:12">
      <c r="H269" s="46"/>
      <c r="J269" s="46"/>
      <c r="K269" s="130"/>
      <c r="L269" s="46"/>
    </row>
    <row r="270" spans="1:12">
      <c r="C270" s="2132">
        <f>'RS Wing'!H384</f>
        <v>0.8</v>
      </c>
      <c r="H270" s="46"/>
      <c r="J270" s="46"/>
      <c r="K270" s="130"/>
      <c r="L270" s="46"/>
    </row>
    <row r="271" spans="1:12">
      <c r="B271" s="44">
        <f>'RS Wing'!H135</f>
        <v>0.8</v>
      </c>
      <c r="H271" s="46"/>
      <c r="J271" s="46"/>
      <c r="K271" s="130"/>
      <c r="L271" s="46"/>
    </row>
    <row r="272" spans="1:12">
      <c r="B272" s="46"/>
      <c r="H272" s="46"/>
      <c r="J272" s="46"/>
      <c r="K272" s="130"/>
      <c r="L272" s="46"/>
    </row>
    <row r="273" spans="1:13">
      <c r="B273" s="46"/>
      <c r="H273" s="46"/>
      <c r="J273" s="46"/>
      <c r="K273" s="130"/>
      <c r="L273" s="46"/>
    </row>
    <row r="274" spans="1:13">
      <c r="B274" s="46"/>
      <c r="C274" s="33">
        <f>'RS Wing'!C82</f>
        <v>5.0084745762711869</v>
      </c>
      <c r="H274" s="489">
        <f>'RS Wing'!I82</f>
        <v>12</v>
      </c>
      <c r="I274" s="36">
        <f>H274+H267+H281</f>
        <v>12.899999999999999</v>
      </c>
      <c r="J274" s="46"/>
      <c r="K274" s="130"/>
    </row>
    <row r="275" spans="1:13">
      <c r="A275" s="33">
        <f>B275+B271+B279</f>
        <v>5.35</v>
      </c>
      <c r="B275" s="162">
        <f>H32</f>
        <v>3.75</v>
      </c>
      <c r="H275" s="46"/>
      <c r="J275" s="46"/>
      <c r="K275" s="130"/>
      <c r="L275" s="46"/>
    </row>
    <row r="276" spans="1:13">
      <c r="B276" s="46"/>
      <c r="H276" s="46"/>
      <c r="J276" s="46"/>
      <c r="K276" s="130"/>
      <c r="L276" s="46"/>
    </row>
    <row r="277" spans="1:13">
      <c r="B277" s="46"/>
      <c r="H277" s="46"/>
      <c r="J277" s="46"/>
      <c r="K277" s="525"/>
      <c r="L277" s="224"/>
    </row>
    <row r="278" spans="1:13">
      <c r="B278" s="46"/>
      <c r="H278" s="46"/>
      <c r="J278" s="46"/>
      <c r="K278" s="130"/>
      <c r="L278" s="46"/>
    </row>
    <row r="279" spans="1:13">
      <c r="B279" s="44">
        <f>B271</f>
        <v>0.8</v>
      </c>
      <c r="C279" s="54">
        <f>C270</f>
        <v>0.8</v>
      </c>
      <c r="H279" s="46"/>
      <c r="J279" s="46"/>
      <c r="K279" s="130"/>
      <c r="L279" s="46"/>
    </row>
    <row r="280" spans="1:13">
      <c r="B280" s="46"/>
      <c r="H280" s="46"/>
      <c r="J280" s="46"/>
      <c r="K280" s="130"/>
      <c r="L280" s="46"/>
    </row>
    <row r="281" spans="1:13">
      <c r="B281" s="46"/>
      <c r="H281" s="489">
        <f>H267</f>
        <v>0.45</v>
      </c>
      <c r="J281" s="46"/>
      <c r="K281" s="130"/>
      <c r="L281" s="46"/>
    </row>
    <row r="282" spans="1:13">
      <c r="B282" s="46"/>
      <c r="H282" s="46"/>
      <c r="J282" s="46"/>
      <c r="K282" s="130"/>
      <c r="L282" s="46"/>
    </row>
    <row r="283" spans="1:13">
      <c r="B283" s="46"/>
      <c r="H283" s="46"/>
      <c r="J283" s="46"/>
      <c r="K283" s="130"/>
      <c r="L283" s="46"/>
    </row>
    <row r="284" spans="1:13">
      <c r="J284" s="46"/>
      <c r="K284" s="130"/>
      <c r="L284" s="46"/>
    </row>
    <row r="285" spans="1:13">
      <c r="C285" s="36">
        <f>Hydraulic!I46</f>
        <v>2.7</v>
      </c>
      <c r="E285" s="36">
        <f>E286-C285-G285</f>
        <v>15</v>
      </c>
      <c r="G285" s="36">
        <f>G109</f>
        <v>1.2</v>
      </c>
      <c r="J285" s="46"/>
      <c r="K285" s="130"/>
      <c r="L285" s="46"/>
    </row>
    <row r="286" spans="1:13">
      <c r="E286" s="36">
        <f>Hydraulic!I49</f>
        <v>18.899999999999999</v>
      </c>
      <c r="J286" s="46"/>
      <c r="K286" s="130"/>
      <c r="L286" s="46"/>
    </row>
    <row r="287" spans="1:13">
      <c r="J287" s="46"/>
      <c r="K287" s="130"/>
      <c r="L287" s="46"/>
      <c r="M287" s="390"/>
    </row>
    <row r="288" spans="1:13">
      <c r="C288" s="188">
        <f>C285</f>
        <v>2.7</v>
      </c>
      <c r="D288" s="109" t="s">
        <v>5</v>
      </c>
      <c r="E288" s="190">
        <f>'RS Wing'!D28</f>
        <v>11.700000000000001</v>
      </c>
      <c r="F288" s="33">
        <f>E285-E288</f>
        <v>3.2999999999999989</v>
      </c>
      <c r="J288" s="46"/>
      <c r="K288" s="130"/>
      <c r="L288" s="46"/>
    </row>
    <row r="289" spans="1:12">
      <c r="E289" s="14"/>
      <c r="J289" s="46"/>
      <c r="K289" s="130"/>
      <c r="L289" s="46"/>
    </row>
    <row r="290" spans="1:12">
      <c r="C290" s="18">
        <f>'RS Wing'!B32</f>
        <v>1</v>
      </c>
      <c r="E290" s="14"/>
      <c r="F290" s="83"/>
      <c r="J290" s="46"/>
      <c r="K290" s="130"/>
      <c r="L290" s="46"/>
    </row>
    <row r="291" spans="1:12">
      <c r="D291" s="2">
        <f>'RS Wing'!C33</f>
        <v>2</v>
      </c>
      <c r="E291" s="14"/>
      <c r="J291" s="46"/>
      <c r="K291" s="130"/>
      <c r="L291" s="46"/>
    </row>
    <row r="292" spans="1:12">
      <c r="B292" s="205">
        <f>'RS Wing'!A34</f>
        <v>14.8</v>
      </c>
      <c r="C292" s="84"/>
      <c r="E292" s="14"/>
      <c r="F292" s="18">
        <f>'RS Wing'!G35</f>
        <v>4</v>
      </c>
      <c r="G292">
        <f>'RS Wing'!I38</f>
        <v>5</v>
      </c>
      <c r="J292" s="46"/>
      <c r="K292" s="130"/>
      <c r="L292" s="46"/>
    </row>
    <row r="293" spans="1:12">
      <c r="D293" s="223">
        <f>'RS Wing'!C35</f>
        <v>13.9</v>
      </c>
      <c r="G293" s="36"/>
      <c r="J293" s="46"/>
      <c r="K293" s="130"/>
      <c r="L293" s="46"/>
    </row>
    <row r="294" spans="1:12">
      <c r="E294" s="84"/>
      <c r="J294" s="46"/>
      <c r="K294" s="130"/>
      <c r="L294" s="46"/>
    </row>
    <row r="295" spans="1:12">
      <c r="B295" s="33">
        <f>B292-B302</f>
        <v>7.8000000000000007</v>
      </c>
      <c r="E295" s="14"/>
      <c r="G295" s="141">
        <f>Hydraulic!I54</f>
        <v>10</v>
      </c>
      <c r="J295" s="46"/>
      <c r="K295" s="130"/>
      <c r="L295" s="46"/>
    </row>
    <row r="296" spans="1:12">
      <c r="E296" s="84"/>
      <c r="F296" s="36"/>
      <c r="J296" s="46"/>
      <c r="K296" s="130"/>
      <c r="L296" s="46"/>
    </row>
    <row r="297" spans="1:12">
      <c r="B297" s="33"/>
      <c r="C297" s="84"/>
      <c r="E297" s="221"/>
      <c r="F297" s="10">
        <f>G295-G303</f>
        <v>3.9000000000000004</v>
      </c>
      <c r="J297" s="46"/>
      <c r="K297" s="130"/>
      <c r="L297" s="46"/>
    </row>
    <row r="298" spans="1:12">
      <c r="E298" s="14"/>
      <c r="I298" s="79"/>
      <c r="J298" s="46"/>
      <c r="K298" s="130"/>
      <c r="L298" s="46"/>
    </row>
    <row r="299" spans="1:12">
      <c r="A299" s="79"/>
      <c r="D299" s="10">
        <f>D293-G303</f>
        <v>7.8000000000000007</v>
      </c>
      <c r="E299" s="14"/>
      <c r="J299" s="46"/>
      <c r="K299" s="130"/>
      <c r="L299" s="46"/>
    </row>
    <row r="300" spans="1:12">
      <c r="E300" s="84"/>
      <c r="F300" s="53"/>
      <c r="G300" s="10"/>
      <c r="I300" s="10">
        <f>G295-G303</f>
        <v>3.9000000000000004</v>
      </c>
      <c r="J300" s="46"/>
      <c r="K300" s="130"/>
      <c r="L300" s="46"/>
    </row>
    <row r="301" spans="1:12">
      <c r="B301" s="46"/>
      <c r="C301" s="46"/>
      <c r="D301" s="46"/>
      <c r="E301" s="84"/>
      <c r="F301" s="32"/>
      <c r="J301" s="46"/>
      <c r="K301" s="130"/>
      <c r="L301" s="46"/>
    </row>
    <row r="302" spans="1:12">
      <c r="B302" s="133">
        <f>'RS Wing'!A49</f>
        <v>7</v>
      </c>
      <c r="C302" s="490"/>
      <c r="D302" s="46"/>
      <c r="E302" s="84"/>
      <c r="J302" s="46"/>
      <c r="K302" s="130"/>
      <c r="L302" s="46"/>
    </row>
    <row r="303" spans="1:12">
      <c r="A303" s="187"/>
      <c r="B303" s="190">
        <f>'RS Wing'!A65</f>
        <v>1.2</v>
      </c>
      <c r="C303" s="343"/>
      <c r="D303" s="109"/>
      <c r="E303" s="220">
        <f>B302-G303</f>
        <v>0.90000000000000036</v>
      </c>
      <c r="F303" s="582" t="s">
        <v>51</v>
      </c>
      <c r="G303" s="189">
        <f>Hydraulic!I43</f>
        <v>6.1</v>
      </c>
      <c r="H303" s="187"/>
      <c r="I303" s="187"/>
      <c r="J303" s="46"/>
      <c r="K303" s="130"/>
      <c r="L303" s="46"/>
    </row>
    <row r="304" spans="1:12">
      <c r="A304" s="187"/>
      <c r="B304" s="109"/>
      <c r="C304" s="109"/>
      <c r="D304" s="109"/>
      <c r="E304" s="221"/>
      <c r="F304" s="187"/>
      <c r="G304" s="187"/>
      <c r="H304" s="187"/>
      <c r="I304" s="187"/>
      <c r="J304" s="46"/>
      <c r="K304" s="130"/>
      <c r="L304" s="46"/>
    </row>
    <row r="305" spans="1:18">
      <c r="A305" s="187"/>
      <c r="B305" s="109"/>
      <c r="C305" s="109"/>
      <c r="D305" s="109"/>
      <c r="E305" s="210">
        <f>'RS Wing'!I957</f>
        <v>0.8027777777777777</v>
      </c>
      <c r="F305" s="223"/>
      <c r="H305" s="187"/>
      <c r="I305" s="223">
        <f>'RS Wing'!J52</f>
        <v>0.65</v>
      </c>
      <c r="J305" s="46"/>
      <c r="K305" s="130"/>
      <c r="L305" s="46"/>
    </row>
    <row r="306" spans="1:18">
      <c r="A306" s="187"/>
      <c r="B306" s="109"/>
      <c r="C306" s="109"/>
      <c r="D306" s="109"/>
      <c r="E306" s="221"/>
      <c r="F306" s="187"/>
      <c r="G306" s="187"/>
      <c r="H306" s="187"/>
      <c r="I306" s="223">
        <f>'RS Wing'!J53</f>
        <v>0.3</v>
      </c>
      <c r="J306" s="46"/>
      <c r="K306" s="130"/>
      <c r="L306" s="46"/>
      <c r="M306" s="61"/>
    </row>
    <row r="307" spans="1:18" ht="15">
      <c r="A307" s="187"/>
      <c r="B307" s="109"/>
      <c r="C307" s="109"/>
      <c r="D307" s="109"/>
      <c r="E307" s="221"/>
      <c r="F307" s="187"/>
      <c r="G307" s="223">
        <f>'RS Wing'!I69</f>
        <v>0.69074074074074077</v>
      </c>
      <c r="H307" s="187"/>
      <c r="I307" s="187"/>
      <c r="J307" s="46"/>
      <c r="K307" s="130"/>
      <c r="L307" s="46"/>
      <c r="M307" s="337"/>
    </row>
    <row r="308" spans="1:18" ht="15">
      <c r="A308" s="187"/>
      <c r="B308" s="109"/>
      <c r="C308" s="109"/>
      <c r="D308" s="205">
        <f>'RS Wing'!C69</f>
        <v>1.2</v>
      </c>
      <c r="E308" s="245" t="s">
        <v>5</v>
      </c>
      <c r="F308" s="187"/>
      <c r="G308" s="188">
        <f>I306</f>
        <v>0.3</v>
      </c>
      <c r="H308" s="223"/>
      <c r="I308" s="190">
        <f>'RS Wing'!I55</f>
        <v>0.9</v>
      </c>
      <c r="J308" s="46"/>
      <c r="K308" s="130"/>
      <c r="L308" s="46"/>
      <c r="M308" s="337"/>
      <c r="Q308" s="2"/>
    </row>
    <row r="309" spans="1:18" ht="14.25">
      <c r="A309" s="187"/>
      <c r="B309" s="109"/>
      <c r="C309" s="109"/>
      <c r="D309" s="109"/>
      <c r="E309" s="187"/>
      <c r="F309" s="187"/>
      <c r="G309" s="187"/>
      <c r="H309" s="187"/>
      <c r="I309" s="187"/>
      <c r="J309" s="46"/>
      <c r="K309" s="130"/>
      <c r="L309" s="46"/>
      <c r="M309" s="344"/>
      <c r="Q309" s="2"/>
    </row>
    <row r="310" spans="1:18" ht="15">
      <c r="A310" s="187"/>
      <c r="B310" s="109"/>
      <c r="C310" s="190">
        <f>C285</f>
        <v>2.7</v>
      </c>
      <c r="D310" s="109"/>
      <c r="E310" s="221"/>
      <c r="F310" s="220">
        <f>E285</f>
        <v>15</v>
      </c>
      <c r="G310" s="187"/>
      <c r="H310" s="223">
        <f>G285</f>
        <v>1.2</v>
      </c>
      <c r="I310" s="187"/>
      <c r="J310" s="46"/>
      <c r="K310" s="130"/>
      <c r="L310" s="46"/>
      <c r="M310" s="337"/>
      <c r="Q310" s="2132"/>
    </row>
    <row r="311" spans="1:18" ht="15">
      <c r="A311" s="187"/>
      <c r="B311" s="109"/>
      <c r="C311" s="109"/>
      <c r="D311" s="109"/>
      <c r="E311" s="221"/>
      <c r="F311" s="187"/>
      <c r="G311" s="187"/>
      <c r="H311" s="187"/>
      <c r="I311" s="187"/>
      <c r="J311" s="46"/>
      <c r="K311" s="130"/>
      <c r="L311" s="46"/>
      <c r="M311" s="337"/>
    </row>
    <row r="312" spans="1:18" ht="15">
      <c r="J312" s="46"/>
      <c r="K312" s="130"/>
      <c r="L312" s="46"/>
      <c r="M312" s="337"/>
    </row>
    <row r="313" spans="1:18" ht="15">
      <c r="B313" s="1" t="s">
        <v>376</v>
      </c>
      <c r="C313" s="144" t="s">
        <v>865</v>
      </c>
      <c r="J313" s="46"/>
      <c r="K313" s="130"/>
      <c r="L313" s="46"/>
      <c r="M313" s="337"/>
    </row>
    <row r="314" spans="1:18" ht="15">
      <c r="C314" s="187" t="s">
        <v>857</v>
      </c>
      <c r="G314" s="33">
        <f>A275</f>
        <v>5.35</v>
      </c>
      <c r="H314" s="187" t="s">
        <v>5</v>
      </c>
      <c r="J314" s="46"/>
      <c r="K314" s="130"/>
      <c r="L314" s="46"/>
      <c r="M314" s="337"/>
    </row>
    <row r="315" spans="1:18" ht="15">
      <c r="C315" s="187" t="s">
        <v>858</v>
      </c>
      <c r="G315" s="33">
        <f>C274+C270*2</f>
        <v>6.6084745762711865</v>
      </c>
      <c r="H315" s="187" t="s">
        <v>5</v>
      </c>
      <c r="J315" s="46"/>
      <c r="K315" s="130"/>
      <c r="L315" s="46"/>
      <c r="M315" s="337"/>
    </row>
    <row r="316" spans="1:18" ht="15">
      <c r="C316" s="187" t="s">
        <v>855</v>
      </c>
      <c r="G316" s="33">
        <f>(C310^2+E303^2)^0.5</f>
        <v>2.8460498941515415</v>
      </c>
      <c r="H316" s="187" t="s">
        <v>5</v>
      </c>
      <c r="J316" s="46"/>
      <c r="K316" s="130"/>
      <c r="L316" s="46"/>
      <c r="M316" s="337"/>
    </row>
    <row r="317" spans="1:18" ht="15">
      <c r="C317" s="187" t="s">
        <v>856</v>
      </c>
      <c r="G317" s="33">
        <f>(B303+D308)/2</f>
        <v>1.2</v>
      </c>
      <c r="H317" s="187" t="s">
        <v>5</v>
      </c>
      <c r="J317" s="46"/>
      <c r="K317" s="130"/>
      <c r="L317" s="46"/>
      <c r="M317" s="337"/>
      <c r="O317" s="33"/>
      <c r="Q317" s="340"/>
    </row>
    <row r="318" spans="1:18" ht="15">
      <c r="J318" s="46"/>
      <c r="K318" s="130"/>
      <c r="L318" s="46"/>
      <c r="M318" s="337"/>
      <c r="N318" s="337"/>
      <c r="O318" s="337"/>
      <c r="P318" s="337"/>
      <c r="R318" s="337"/>
    </row>
    <row r="319" spans="1:18" ht="15">
      <c r="C319" s="187" t="s">
        <v>869</v>
      </c>
      <c r="F319" s="33">
        <f>0.5*(G314+G315)*G316*G317*D3</f>
        <v>481.92732067646881</v>
      </c>
      <c r="G319" s="187" t="s">
        <v>341</v>
      </c>
      <c r="J319" s="46"/>
      <c r="K319" s="130"/>
      <c r="L319" s="46"/>
      <c r="M319" s="337"/>
      <c r="N319" s="337"/>
      <c r="O319" s="337"/>
      <c r="P319" s="793"/>
      <c r="Q319" s="338"/>
    </row>
    <row r="320" spans="1:18" ht="15">
      <c r="J320" s="46"/>
      <c r="K320" s="130"/>
      <c r="L320" s="46"/>
      <c r="M320" s="337"/>
      <c r="N320" s="337"/>
      <c r="O320" s="337"/>
      <c r="P320" s="337"/>
      <c r="Q320" s="338"/>
      <c r="R320" s="84"/>
    </row>
    <row r="321" spans="3:12">
      <c r="C321" s="144" t="s">
        <v>864</v>
      </c>
      <c r="J321" s="46"/>
      <c r="K321" s="130"/>
      <c r="L321" s="46"/>
    </row>
    <row r="322" spans="3:12">
      <c r="C322" s="187" t="s">
        <v>858</v>
      </c>
      <c r="G322" s="33">
        <f>G315</f>
        <v>6.6084745762711865</v>
      </c>
      <c r="H322" s="187" t="s">
        <v>5</v>
      </c>
      <c r="J322" s="46"/>
      <c r="K322" s="130"/>
      <c r="L322" s="46"/>
    </row>
    <row r="323" spans="3:12">
      <c r="C323" s="187" t="s">
        <v>859</v>
      </c>
      <c r="G323" s="33">
        <f>I274</f>
        <v>12.899999999999999</v>
      </c>
      <c r="H323" s="187" t="s">
        <v>5</v>
      </c>
      <c r="J323" s="46"/>
      <c r="K323" s="130"/>
      <c r="L323" s="46"/>
    </row>
    <row r="324" spans="3:12">
      <c r="C324" s="187" t="s">
        <v>860</v>
      </c>
      <c r="G324" s="33">
        <f>E286-C285</f>
        <v>16.2</v>
      </c>
      <c r="H324" s="187" t="s">
        <v>5</v>
      </c>
      <c r="J324" s="46"/>
      <c r="K324" s="130"/>
      <c r="L324" s="46"/>
    </row>
    <row r="325" spans="3:12">
      <c r="C325" s="187" t="s">
        <v>861</v>
      </c>
      <c r="G325">
        <f>0.5*(D308+I305)</f>
        <v>0.92500000000000004</v>
      </c>
      <c r="H325" s="187" t="s">
        <v>5</v>
      </c>
      <c r="J325" s="46"/>
      <c r="K325" s="130"/>
      <c r="L325" s="46"/>
    </row>
    <row r="326" spans="3:12">
      <c r="J326" s="46"/>
      <c r="K326" s="130"/>
      <c r="L326" s="46"/>
    </row>
    <row r="327" spans="3:12">
      <c r="C327" s="187" t="s">
        <v>862</v>
      </c>
      <c r="F327" s="33">
        <f>0.5*(G322+G323)*G324*G325*D3</f>
        <v>3449.5469999999996</v>
      </c>
      <c r="G327" s="187" t="s">
        <v>341</v>
      </c>
      <c r="J327" s="46"/>
      <c r="K327" s="130"/>
      <c r="L327" s="46"/>
    </row>
    <row r="328" spans="3:12">
      <c r="J328" s="46"/>
      <c r="K328" s="130"/>
      <c r="L328" s="46"/>
    </row>
    <row r="329" spans="3:12">
      <c r="C329" t="s">
        <v>377</v>
      </c>
      <c r="D329" t="s">
        <v>378</v>
      </c>
      <c r="E329" t="s">
        <v>1313</v>
      </c>
      <c r="G329" s="33">
        <f>I308+G308</f>
        <v>1.2</v>
      </c>
      <c r="H329" t="s">
        <v>5</v>
      </c>
      <c r="J329" s="46"/>
      <c r="K329" s="130"/>
    </row>
    <row r="330" spans="3:12">
      <c r="E330" t="s">
        <v>1852</v>
      </c>
      <c r="F330" s="33"/>
      <c r="G330" s="33">
        <f>I308</f>
        <v>0.9</v>
      </c>
      <c r="H330" t="s">
        <v>5</v>
      </c>
      <c r="J330" s="46"/>
      <c r="K330" s="130"/>
      <c r="L330" s="46"/>
    </row>
    <row r="331" spans="3:12">
      <c r="E331" t="s">
        <v>358</v>
      </c>
      <c r="F331" s="33"/>
      <c r="G331" s="33">
        <f>I306</f>
        <v>0.3</v>
      </c>
      <c r="H331" t="s">
        <v>5</v>
      </c>
      <c r="J331" s="46"/>
      <c r="K331" s="130"/>
      <c r="L331" s="46"/>
    </row>
    <row r="332" spans="3:12">
      <c r="E332" t="s">
        <v>356</v>
      </c>
      <c r="F332" s="33"/>
      <c r="G332" s="33">
        <f>I274</f>
        <v>12.899999999999999</v>
      </c>
      <c r="H332" t="s">
        <v>5</v>
      </c>
      <c r="J332" s="46"/>
      <c r="K332" s="130"/>
      <c r="L332" s="46"/>
    </row>
    <row r="333" spans="3:12">
      <c r="E333" t="s">
        <v>1853</v>
      </c>
      <c r="F333" s="33"/>
      <c r="G333" s="33">
        <f>0.5*(G329+G330)*G331*G332*D3</f>
        <v>95.898599999999988</v>
      </c>
      <c r="H333" t="s">
        <v>21</v>
      </c>
      <c r="J333" s="46"/>
      <c r="K333" s="130"/>
      <c r="L333" s="46"/>
    </row>
    <row r="334" spans="3:12">
      <c r="J334" s="46"/>
      <c r="K334" s="130"/>
      <c r="L334" s="46"/>
    </row>
    <row r="335" spans="3:12">
      <c r="C335" s="187" t="s">
        <v>863</v>
      </c>
      <c r="E335" s="33">
        <f>F319+F327+G333</f>
        <v>4027.3729206764683</v>
      </c>
      <c r="F335" s="187" t="s">
        <v>341</v>
      </c>
      <c r="J335" s="46"/>
      <c r="K335" s="130"/>
      <c r="L335" s="46"/>
    </row>
    <row r="336" spans="3:12">
      <c r="C336" s="187"/>
      <c r="F336" s="33"/>
      <c r="J336" s="46"/>
      <c r="K336" s="130"/>
      <c r="L336" s="46"/>
    </row>
    <row r="337" spans="1:12">
      <c r="A337" s="2145" t="s">
        <v>866</v>
      </c>
      <c r="J337" s="46"/>
      <c r="K337" s="130"/>
      <c r="L337" s="46"/>
    </row>
    <row r="338" spans="1:12">
      <c r="A338" s="144" t="str">
        <f>'RS Wing'!B63</f>
        <v>Sec 1-1</v>
      </c>
      <c r="F338" s="144" t="str">
        <f>'RS Wing'!C64</f>
        <v>Sec 2-2</v>
      </c>
      <c r="K338" s="130"/>
      <c r="L338" s="46"/>
    </row>
    <row r="339" spans="1:12">
      <c r="A339" s="187" t="s">
        <v>867</v>
      </c>
      <c r="D339" s="33">
        <f>'RS Wing'!H117</f>
        <v>0.3</v>
      </c>
      <c r="E339" s="187" t="s">
        <v>5</v>
      </c>
      <c r="F339" s="187" t="s">
        <v>867</v>
      </c>
      <c r="I339" s="33">
        <f>'RS Wing'!H366</f>
        <v>0.3</v>
      </c>
      <c r="J339" s="187" t="s">
        <v>5</v>
      </c>
      <c r="K339" s="130"/>
      <c r="L339" s="46"/>
    </row>
    <row r="340" spans="1:12">
      <c r="A340" s="187" t="s">
        <v>868</v>
      </c>
      <c r="D340" s="33">
        <f>'RS Wing'!H135</f>
        <v>0.8</v>
      </c>
      <c r="E340" s="187" t="s">
        <v>5</v>
      </c>
      <c r="F340" s="187" t="s">
        <v>868</v>
      </c>
      <c r="I340" s="33">
        <f>'RS Wing'!H384</f>
        <v>0.8</v>
      </c>
      <c r="J340" s="187" t="s">
        <v>5</v>
      </c>
      <c r="K340" s="130"/>
      <c r="L340" s="46"/>
    </row>
    <row r="341" spans="1:12">
      <c r="A341" s="187" t="s">
        <v>870</v>
      </c>
      <c r="D341" s="33">
        <f>'RS Wing'!I124</f>
        <v>7.8000000000000007</v>
      </c>
      <c r="E341" s="187" t="s">
        <v>5</v>
      </c>
      <c r="F341" s="187" t="s">
        <v>870</v>
      </c>
      <c r="I341" s="33">
        <f>'RS Wing'!I373</f>
        <v>7.8000000000000007</v>
      </c>
      <c r="J341" s="187" t="s">
        <v>5</v>
      </c>
      <c r="K341" s="130"/>
      <c r="L341" s="46"/>
    </row>
    <row r="342" spans="1:12">
      <c r="A342" s="187" t="s">
        <v>872</v>
      </c>
      <c r="D342" s="33">
        <f>0.5*(D339+D340)*D341</f>
        <v>4.2900000000000009</v>
      </c>
      <c r="E342" s="187" t="s">
        <v>871</v>
      </c>
      <c r="F342" s="187" t="s">
        <v>873</v>
      </c>
      <c r="I342" s="33">
        <f>0.5*(I339+I340)*I341</f>
        <v>4.2900000000000009</v>
      </c>
      <c r="J342" s="187" t="s">
        <v>871</v>
      </c>
      <c r="K342" s="130"/>
      <c r="L342" s="46"/>
    </row>
    <row r="343" spans="1:12">
      <c r="K343" s="130"/>
      <c r="L343" s="46"/>
    </row>
    <row r="344" spans="1:12">
      <c r="A344" s="144" t="str">
        <f>'RS Wing'!G64</f>
        <v>Sec 4-4</v>
      </c>
      <c r="F344" s="2144" t="str">
        <f>'RS Wing'!I64</f>
        <v>Sec 5-5</v>
      </c>
      <c r="K344" s="130"/>
      <c r="L344" s="46"/>
    </row>
    <row r="345" spans="1:12">
      <c r="A345" s="187" t="s">
        <v>867</v>
      </c>
      <c r="D345" s="33">
        <f>'RS Wing'!H862</f>
        <v>0.3</v>
      </c>
      <c r="E345" s="187" t="s">
        <v>5</v>
      </c>
      <c r="F345" s="187" t="s">
        <v>867</v>
      </c>
      <c r="I345" s="33">
        <f>'RS Wing'!H1111</f>
        <v>0.3</v>
      </c>
      <c r="J345" s="187" t="s">
        <v>5</v>
      </c>
      <c r="K345" s="130"/>
      <c r="L345" s="46"/>
    </row>
    <row r="346" spans="1:12">
      <c r="A346" s="187" t="s">
        <v>868</v>
      </c>
      <c r="D346" s="33">
        <f>'RS Wing'!H880</f>
        <v>0.45</v>
      </c>
      <c r="E346" s="187" t="s">
        <v>5</v>
      </c>
      <c r="F346" s="187" t="s">
        <v>868</v>
      </c>
      <c r="I346" s="33">
        <f>'RS Wing'!H1129</f>
        <v>0.45</v>
      </c>
      <c r="J346" s="187" t="s">
        <v>5</v>
      </c>
      <c r="K346" s="130"/>
      <c r="L346" s="46"/>
    </row>
    <row r="347" spans="1:12">
      <c r="A347" s="187" t="s">
        <v>870</v>
      </c>
      <c r="D347" s="33">
        <f>'RS Wing'!I869</f>
        <v>3.9000000000000004</v>
      </c>
      <c r="E347" s="187" t="s">
        <v>5</v>
      </c>
      <c r="F347" s="187" t="s">
        <v>870</v>
      </c>
      <c r="I347" s="33">
        <f>'RS Wing'!I1118</f>
        <v>3.9000000000000004</v>
      </c>
      <c r="J347" s="187" t="s">
        <v>5</v>
      </c>
      <c r="K347" s="130"/>
      <c r="L347" s="46"/>
    </row>
    <row r="348" spans="1:12">
      <c r="A348" s="187" t="s">
        <v>874</v>
      </c>
      <c r="D348" s="33">
        <f>0.5*(D345+D346)*D347</f>
        <v>1.4625000000000001</v>
      </c>
      <c r="E348" s="187" t="s">
        <v>871</v>
      </c>
      <c r="F348" s="187" t="s">
        <v>875</v>
      </c>
      <c r="I348" s="33">
        <f>0.5*(I345+I346)*I347</f>
        <v>1.4625000000000001</v>
      </c>
      <c r="J348" s="187" t="s">
        <v>871</v>
      </c>
      <c r="K348" s="130"/>
      <c r="L348" s="46"/>
    </row>
    <row r="349" spans="1:12">
      <c r="J349" s="46"/>
      <c r="K349" s="130"/>
      <c r="L349" s="46"/>
    </row>
    <row r="350" spans="1:12">
      <c r="C350" s="374" t="s">
        <v>876</v>
      </c>
      <c r="D350" s="355" t="s">
        <v>877</v>
      </c>
      <c r="E350" s="347" t="s">
        <v>879</v>
      </c>
      <c r="F350" s="355" t="s">
        <v>878</v>
      </c>
      <c r="G350" s="516" t="s">
        <v>880</v>
      </c>
      <c r="J350" s="46"/>
      <c r="K350" s="130"/>
      <c r="L350" s="46"/>
    </row>
    <row r="351" spans="1:12">
      <c r="C351" s="351"/>
      <c r="D351" s="256" t="s">
        <v>871</v>
      </c>
      <c r="E351" s="2136" t="s">
        <v>871</v>
      </c>
      <c r="F351" s="256" t="s">
        <v>5</v>
      </c>
      <c r="G351" s="2137" t="s">
        <v>341</v>
      </c>
      <c r="J351" s="46"/>
      <c r="K351" s="130"/>
      <c r="L351" s="46"/>
    </row>
    <row r="352" spans="1:12">
      <c r="C352" s="374" t="str">
        <f>A338</f>
        <v>Sec 1-1</v>
      </c>
      <c r="D352" s="379">
        <f>D342</f>
        <v>4.2900000000000009</v>
      </c>
      <c r="E352" s="252"/>
      <c r="F352" s="381"/>
      <c r="G352" s="375"/>
      <c r="J352" s="46"/>
      <c r="K352" s="130"/>
      <c r="L352" s="46"/>
    </row>
    <row r="353" spans="2:12">
      <c r="C353" s="348" t="str">
        <f>F338</f>
        <v>Sec 2-2</v>
      </c>
      <c r="D353" s="103">
        <f>I342</f>
        <v>4.2900000000000009</v>
      </c>
      <c r="E353" s="505">
        <f>(D353+D352)/2</f>
        <v>4.2900000000000009</v>
      </c>
      <c r="F353" s="103">
        <f>C310</f>
        <v>2.7</v>
      </c>
      <c r="G353" s="155">
        <f>E353*F353*$D$3</f>
        <v>273.35880000000009</v>
      </c>
      <c r="J353" s="46"/>
      <c r="K353" s="130"/>
      <c r="L353" s="46"/>
    </row>
    <row r="354" spans="2:12">
      <c r="C354" s="348" t="str">
        <f>A344</f>
        <v>Sec 4-4</v>
      </c>
      <c r="D354" s="103">
        <f>D348</f>
        <v>1.4625000000000001</v>
      </c>
      <c r="E354" s="505">
        <f t="shared" ref="E354:E355" si="0">(D354+D353)/2</f>
        <v>2.8762500000000006</v>
      </c>
      <c r="F354" s="103">
        <f>E288</f>
        <v>11.700000000000001</v>
      </c>
      <c r="G354" s="155">
        <f t="shared" ref="G354:G355" si="1">E354*F354*$D$3</f>
        <v>794.19015000000036</v>
      </c>
      <c r="J354" s="46"/>
      <c r="K354" s="130"/>
      <c r="L354" s="46"/>
    </row>
    <row r="355" spans="2:12">
      <c r="C355" s="929" t="str">
        <f>F344</f>
        <v>Sec 5-5</v>
      </c>
      <c r="D355" s="138">
        <f>I348</f>
        <v>1.4625000000000001</v>
      </c>
      <c r="E355" s="506">
        <f t="shared" si="0"/>
        <v>1.4625000000000001</v>
      </c>
      <c r="F355" s="138">
        <f>F288</f>
        <v>3.2999999999999989</v>
      </c>
      <c r="G355" s="170">
        <f t="shared" si="1"/>
        <v>113.89949999999999</v>
      </c>
      <c r="J355" s="46"/>
      <c r="K355" s="130"/>
      <c r="L355" s="46"/>
    </row>
    <row r="356" spans="2:12">
      <c r="C356" s="156"/>
      <c r="D356" s="77"/>
      <c r="E356" s="77"/>
      <c r="F356" s="77"/>
      <c r="G356" s="457">
        <f>SUM(G353:G355)</f>
        <v>1181.4484500000003</v>
      </c>
      <c r="J356" s="46"/>
      <c r="K356" s="130"/>
      <c r="L356" s="46"/>
    </row>
    <row r="357" spans="2:12">
      <c r="C357" s="94"/>
      <c r="D357" s="511"/>
      <c r="E357" s="513" t="s">
        <v>881</v>
      </c>
      <c r="F357" s="512"/>
      <c r="G357" s="457">
        <f>G356*2</f>
        <v>2362.8969000000006</v>
      </c>
      <c r="J357" s="46"/>
      <c r="K357" s="130"/>
      <c r="L357" s="46"/>
    </row>
    <row r="358" spans="2:12">
      <c r="J358" s="46"/>
      <c r="K358" s="130"/>
      <c r="L358" s="46"/>
    </row>
    <row r="359" spans="2:12">
      <c r="C359" s="187" t="s">
        <v>863</v>
      </c>
      <c r="E359" s="33">
        <f>E335</f>
        <v>4027.3729206764683</v>
      </c>
      <c r="F359" t="s">
        <v>21</v>
      </c>
      <c r="J359" s="46"/>
      <c r="K359" s="130"/>
      <c r="L359" s="46"/>
    </row>
    <row r="360" spans="2:12">
      <c r="C360" s="204" t="s">
        <v>882</v>
      </c>
      <c r="D360" s="59"/>
      <c r="E360" s="212">
        <f>G357</f>
        <v>2362.8969000000006</v>
      </c>
      <c r="F360" s="59" t="s">
        <v>21</v>
      </c>
      <c r="J360" s="46"/>
      <c r="K360" s="130"/>
      <c r="L360" s="46"/>
    </row>
    <row r="361" spans="2:12">
      <c r="C361" s="187" t="s">
        <v>883</v>
      </c>
      <c r="E361" s="33">
        <f>E359+E360</f>
        <v>6390.269820676469</v>
      </c>
      <c r="F361" t="s">
        <v>21</v>
      </c>
      <c r="J361" s="46"/>
      <c r="K361" s="130"/>
      <c r="L361" s="46"/>
    </row>
    <row r="362" spans="2:12">
      <c r="J362" s="46"/>
      <c r="K362" s="130"/>
      <c r="L362" s="46"/>
    </row>
    <row r="363" spans="2:12">
      <c r="C363" s="187" t="s">
        <v>1855</v>
      </c>
      <c r="E363" s="33">
        <f>0.5*(A275+I274)*E286</f>
        <v>172.46249999999998</v>
      </c>
      <c r="F363" s="187" t="s">
        <v>871</v>
      </c>
      <c r="J363" s="46"/>
      <c r="K363" s="130"/>
      <c r="L363" s="46"/>
    </row>
    <row r="364" spans="2:12">
      <c r="J364" s="46"/>
      <c r="K364" s="130"/>
      <c r="L364" s="46"/>
    </row>
    <row r="365" spans="2:12">
      <c r="C365" s="207" t="s">
        <v>815</v>
      </c>
      <c r="D365" s="126"/>
      <c r="E365" s="246">
        <f>E361/E363</f>
        <v>37.053097459891106</v>
      </c>
      <c r="F365" s="207" t="s">
        <v>884</v>
      </c>
      <c r="G365" s="2879">
        <f>E365*0.00948</f>
        <v>0.3512633639197677</v>
      </c>
      <c r="H365" s="207" t="s">
        <v>817</v>
      </c>
      <c r="J365" s="46"/>
      <c r="K365" s="130"/>
      <c r="L365" s="46"/>
    </row>
    <row r="366" spans="2:12">
      <c r="J366" s="46"/>
      <c r="K366" s="130"/>
      <c r="L366" s="46"/>
    </row>
    <row r="367" spans="2:12">
      <c r="B367" s="930" t="s">
        <v>1854</v>
      </c>
      <c r="C367" s="932"/>
      <c r="D367" s="932"/>
      <c r="J367" s="46"/>
      <c r="K367" s="130"/>
      <c r="L367" s="46"/>
    </row>
    <row r="368" spans="2:12">
      <c r="H368" s="489"/>
      <c r="J368" s="46"/>
      <c r="K368" s="130"/>
      <c r="L368" s="46"/>
    </row>
    <row r="369" spans="1:14">
      <c r="H369" s="489"/>
      <c r="J369" s="46"/>
      <c r="K369" s="130"/>
      <c r="L369" s="46"/>
    </row>
    <row r="370" spans="1:14">
      <c r="A370" s="44">
        <f>'CS Wing'!H1135</f>
        <v>0.45</v>
      </c>
      <c r="H370" s="489"/>
      <c r="J370" s="46"/>
      <c r="K370" s="130"/>
      <c r="L370" s="46"/>
    </row>
    <row r="371" spans="1:14">
      <c r="J371" s="46"/>
      <c r="K371" s="130"/>
      <c r="L371" s="46"/>
    </row>
    <row r="372" spans="1:14">
      <c r="F372" s="2">
        <f>'CS Wing'!H36</f>
        <v>2</v>
      </c>
      <c r="J372" s="46"/>
      <c r="K372" s="130"/>
      <c r="L372" s="46"/>
    </row>
    <row r="373" spans="1:14">
      <c r="F373" s="54">
        <f>'CS Wing'!H391</f>
        <v>0.8</v>
      </c>
      <c r="H373" s="489">
        <f>'CS Wing'!I81</f>
        <v>0.8</v>
      </c>
      <c r="J373" s="46"/>
      <c r="K373" s="130"/>
      <c r="L373" s="46"/>
    </row>
    <row r="374" spans="1:14">
      <c r="H374" s="46"/>
      <c r="J374" s="46"/>
      <c r="K374" s="130"/>
      <c r="L374" s="46"/>
    </row>
    <row r="375" spans="1:14">
      <c r="H375" s="46"/>
      <c r="J375" s="46"/>
      <c r="K375" s="130"/>
      <c r="L375" s="46"/>
    </row>
    <row r="376" spans="1:14">
      <c r="A376" s="44">
        <f>'CS Wing'!B84</f>
        <v>12</v>
      </c>
      <c r="H376" s="46"/>
      <c r="J376" s="46"/>
      <c r="K376" s="130"/>
      <c r="L376" s="46"/>
    </row>
    <row r="377" spans="1:14">
      <c r="F377" s="33">
        <f>'CS Wing'!H84</f>
        <v>5.0084745762711869</v>
      </c>
      <c r="H377" s="489">
        <f>'CS Wing'!I84</f>
        <v>3.75</v>
      </c>
      <c r="I377" s="36">
        <f>H377+H373+H381</f>
        <v>5.35</v>
      </c>
      <c r="J377" s="46"/>
      <c r="K377" s="130"/>
      <c r="L377" s="46"/>
    </row>
    <row r="378" spans="1:14">
      <c r="J378" s="46"/>
      <c r="K378" s="130"/>
      <c r="L378" s="46"/>
      <c r="N378" s="46"/>
    </row>
    <row r="379" spans="1:14">
      <c r="A379" s="2132">
        <f>A376+A370+A384</f>
        <v>12.899999999999999</v>
      </c>
      <c r="H379" s="46"/>
      <c r="J379" s="46"/>
      <c r="K379" s="130"/>
      <c r="L379" s="46"/>
      <c r="N379" s="46"/>
    </row>
    <row r="380" spans="1:14">
      <c r="H380" s="46"/>
      <c r="J380" s="46"/>
      <c r="K380" s="130"/>
      <c r="L380" s="46"/>
    </row>
    <row r="381" spans="1:14">
      <c r="H381" s="44">
        <f>H373</f>
        <v>0.8</v>
      </c>
      <c r="J381" s="46"/>
      <c r="K381" s="130"/>
      <c r="L381" s="46"/>
      <c r="N381" s="46"/>
    </row>
    <row r="382" spans="1:14">
      <c r="F382" s="54">
        <f>'CS Wing'!H391</f>
        <v>0.8</v>
      </c>
      <c r="H382" s="46"/>
      <c r="J382" s="46"/>
      <c r="K382" s="130"/>
      <c r="L382" s="46"/>
      <c r="N382" s="46"/>
    </row>
    <row r="383" spans="1:14">
      <c r="H383" s="46"/>
      <c r="J383" s="46"/>
      <c r="K383" s="130"/>
      <c r="L383" s="46"/>
      <c r="N383" s="46"/>
    </row>
    <row r="384" spans="1:14">
      <c r="A384" s="44">
        <f>A370</f>
        <v>0.45</v>
      </c>
      <c r="H384" s="46"/>
      <c r="J384" s="46"/>
      <c r="K384" s="130"/>
      <c r="L384" s="46"/>
    </row>
    <row r="385" spans="1:14">
      <c r="B385" s="46"/>
      <c r="J385" s="46"/>
      <c r="K385" s="130"/>
      <c r="L385" s="46"/>
      <c r="N385" s="46"/>
    </row>
    <row r="386" spans="1:14">
      <c r="B386" s="46"/>
      <c r="H386" s="46"/>
      <c r="J386" s="46"/>
      <c r="K386" s="130"/>
      <c r="L386" s="46"/>
    </row>
    <row r="387" spans="1:14">
      <c r="B387" s="46"/>
      <c r="H387" s="46"/>
      <c r="J387" s="46"/>
      <c r="K387" s="130"/>
      <c r="L387" s="46"/>
    </row>
    <row r="388" spans="1:14">
      <c r="B388" s="36">
        <f>'CS Wing'!B57</f>
        <v>1.2</v>
      </c>
      <c r="D388" s="36">
        <f>E390-G388-B388</f>
        <v>15</v>
      </c>
      <c r="G388" s="36">
        <f>'CS Wing'!H57</f>
        <v>2.7</v>
      </c>
      <c r="J388" s="46"/>
      <c r="K388" s="130"/>
      <c r="L388" s="46"/>
    </row>
    <row r="389" spans="1:14">
      <c r="J389" s="46"/>
      <c r="K389" s="130"/>
      <c r="L389" s="46"/>
    </row>
    <row r="390" spans="1:14">
      <c r="E390" s="36">
        <f>'CS Wing'!E59</f>
        <v>18.899999999999999</v>
      </c>
      <c r="J390" s="46"/>
      <c r="K390" s="130"/>
    </row>
    <row r="391" spans="1:14">
      <c r="J391" s="46"/>
      <c r="K391" s="130"/>
    </row>
    <row r="392" spans="1:14" ht="15">
      <c r="C392" s="33">
        <f>'CS Wing'!$C$29</f>
        <v>3.2999999999999972</v>
      </c>
      <c r="F392" s="2143">
        <f>'CS Wing'!$F$27</f>
        <v>11.700000000000001</v>
      </c>
      <c r="I392" s="1364">
        <f>'CS Wing'!I34</f>
        <v>1</v>
      </c>
      <c r="K392" s="130"/>
    </row>
    <row r="393" spans="1:14">
      <c r="K393" s="130"/>
    </row>
    <row r="394" spans="1:14" ht="15">
      <c r="A394" s="33">
        <f>DATA!I446</f>
        <v>0.3</v>
      </c>
      <c r="H394" s="1364">
        <f>'CS Wing'!H36</f>
        <v>2</v>
      </c>
      <c r="I394" s="205">
        <f>'CS Wing'!$I$36</f>
        <v>14.8</v>
      </c>
      <c r="J394" s="187" t="s">
        <v>379</v>
      </c>
      <c r="K394" s="130"/>
    </row>
    <row r="395" spans="1:14" ht="15">
      <c r="B395" s="1969">
        <f>'CS Wing'!B37</f>
        <v>5</v>
      </c>
      <c r="F395" s="1968">
        <f>'CS Wing'!F37</f>
        <v>3</v>
      </c>
      <c r="G395" s="223">
        <f>'CS Wing'!$G$37</f>
        <v>13.9</v>
      </c>
      <c r="K395" s="130"/>
    </row>
    <row r="396" spans="1:14" ht="15">
      <c r="D396" s="1969">
        <f>'CS Wing'!D38</f>
        <v>4</v>
      </c>
      <c r="K396" s="130"/>
    </row>
    <row r="397" spans="1:14" ht="15">
      <c r="E397" s="1937"/>
      <c r="K397" s="130"/>
    </row>
    <row r="398" spans="1:14">
      <c r="K398" s="130"/>
    </row>
    <row r="399" spans="1:14">
      <c r="A399" s="203" t="s">
        <v>149</v>
      </c>
      <c r="B399" s="141">
        <f>'CS Wing'!$B$41</f>
        <v>10</v>
      </c>
      <c r="K399" s="130"/>
    </row>
    <row r="400" spans="1:14">
      <c r="I400" s="54">
        <f>I394-I406</f>
        <v>7.8000000000000007</v>
      </c>
      <c r="K400" s="130"/>
    </row>
    <row r="401" spans="1:12">
      <c r="A401" s="46"/>
      <c r="B401" s="46"/>
      <c r="C401" s="46"/>
      <c r="D401" s="46"/>
      <c r="E401" s="46"/>
      <c r="F401" s="46"/>
      <c r="G401" s="46"/>
      <c r="H401" s="46"/>
      <c r="I401" s="46"/>
      <c r="K401" s="130"/>
    </row>
    <row r="402" spans="1:12" ht="15">
      <c r="A402" s="2138"/>
      <c r="B402" s="46"/>
      <c r="C402" s="46"/>
      <c r="D402" s="46"/>
      <c r="E402" s="2138"/>
      <c r="F402" s="2139"/>
      <c r="G402" s="46"/>
      <c r="H402" s="46"/>
      <c r="I402" s="46"/>
      <c r="K402" s="130"/>
    </row>
    <row r="403" spans="1:12">
      <c r="A403" s="46"/>
      <c r="B403" s="46"/>
      <c r="C403" s="46"/>
      <c r="D403" s="46"/>
      <c r="E403" s="46"/>
      <c r="F403" s="46"/>
      <c r="G403" s="46"/>
      <c r="H403" s="2138"/>
      <c r="I403" s="2140"/>
      <c r="J403" s="187"/>
      <c r="K403" s="130"/>
    </row>
    <row r="404" spans="1:12">
      <c r="A404" s="46"/>
      <c r="B404" s="489">
        <f>B399-D408</f>
        <v>3.9000000000000004</v>
      </c>
      <c r="C404" s="46"/>
      <c r="D404" s="46"/>
      <c r="E404" s="46"/>
      <c r="F404" s="46"/>
      <c r="G404" s="46"/>
      <c r="H404" s="46"/>
      <c r="I404" s="46"/>
      <c r="K404" s="130"/>
    </row>
    <row r="405" spans="1:12">
      <c r="K405" s="130"/>
    </row>
    <row r="406" spans="1:12">
      <c r="I406" s="133">
        <f>'CS Wing'!$I$48</f>
        <v>7</v>
      </c>
      <c r="J406" s="187" t="s">
        <v>379</v>
      </c>
      <c r="K406" s="130"/>
    </row>
    <row r="407" spans="1:12">
      <c r="G407" s="162">
        <f>'CS Wing'!$G$49</f>
        <v>0.90000000000000036</v>
      </c>
      <c r="H407" s="187" t="s">
        <v>5</v>
      </c>
      <c r="K407" s="130"/>
    </row>
    <row r="408" spans="1:12">
      <c r="D408" s="141">
        <f>'CS Wing'!$D$50</f>
        <v>6.1</v>
      </c>
      <c r="I408" s="33">
        <f>'CS Wing'!$I$64</f>
        <v>1.2</v>
      </c>
      <c r="K408" s="130"/>
    </row>
    <row r="409" spans="1:12">
      <c r="A409" s="190">
        <f>'CS Wing'!$A$51</f>
        <v>0.65</v>
      </c>
      <c r="G409" s="33">
        <f>'CS Wing'!$H$69</f>
        <v>1.2</v>
      </c>
      <c r="K409" s="130"/>
    </row>
    <row r="410" spans="1:12">
      <c r="K410" s="130"/>
    </row>
    <row r="411" spans="1:12">
      <c r="A411" s="2141">
        <f>'CS Wing'!$A$52</f>
        <v>0.3</v>
      </c>
      <c r="K411" s="130"/>
    </row>
    <row r="412" spans="1:12" ht="15">
      <c r="B412" s="337">
        <f>B395</f>
        <v>5</v>
      </c>
      <c r="E412" s="849">
        <f>D396</f>
        <v>4</v>
      </c>
      <c r="F412" s="852">
        <f>F395</f>
        <v>3</v>
      </c>
      <c r="H412" s="18">
        <f>H394</f>
        <v>2</v>
      </c>
      <c r="I412" s="849">
        <f>I392</f>
        <v>1</v>
      </c>
      <c r="K412" s="130"/>
    </row>
    <row r="413" spans="1:12" ht="15">
      <c r="A413" s="337"/>
      <c r="B413" s="189">
        <f>'CS Wing'!$B$55</f>
        <v>0.9</v>
      </c>
      <c r="C413" s="337"/>
      <c r="D413" s="337"/>
      <c r="E413" s="338"/>
      <c r="F413" s="84"/>
      <c r="G413" s="337"/>
      <c r="H413" s="337"/>
      <c r="I413" s="337"/>
      <c r="J413" s="337"/>
      <c r="K413" s="130"/>
    </row>
    <row r="414" spans="1:12" ht="15">
      <c r="A414" s="337"/>
      <c r="C414" s="337"/>
      <c r="D414" s="337"/>
      <c r="F414" s="84"/>
      <c r="G414" s="337"/>
      <c r="J414" s="337"/>
      <c r="K414" s="130"/>
    </row>
    <row r="415" spans="1:12" ht="15">
      <c r="A415" s="337"/>
      <c r="B415" s="189">
        <f>'CS Wing'!$B$57</f>
        <v>1.2</v>
      </c>
      <c r="C415" s="337"/>
      <c r="D415" s="337"/>
      <c r="E415" s="220">
        <f>'CS Wing'!$E$57</f>
        <v>15</v>
      </c>
      <c r="F415" s="84"/>
      <c r="G415" s="337"/>
      <c r="H415" s="188">
        <f>'CS Wing'!$H$57</f>
        <v>2.7</v>
      </c>
      <c r="I415" s="337"/>
      <c r="J415" s="337"/>
      <c r="K415" s="130"/>
    </row>
    <row r="416" spans="1:12" ht="15">
      <c r="A416" s="337"/>
      <c r="B416" s="337"/>
      <c r="C416" s="337"/>
      <c r="D416" s="337"/>
      <c r="E416" s="338"/>
      <c r="F416" s="84"/>
      <c r="G416" s="337"/>
      <c r="H416" s="337"/>
      <c r="I416" s="337"/>
      <c r="J416" s="337"/>
      <c r="K416" s="130"/>
      <c r="L416" s="46"/>
    </row>
    <row r="417" spans="1:12" ht="15">
      <c r="A417" s="337"/>
      <c r="B417" s="337"/>
      <c r="C417" s="337"/>
      <c r="D417" s="337"/>
      <c r="E417" s="84">
        <f>'CS Wing'!$E$59</f>
        <v>18.899999999999999</v>
      </c>
      <c r="F417" s="245" t="s">
        <v>5</v>
      </c>
      <c r="G417" s="337"/>
      <c r="H417" s="337"/>
      <c r="I417" s="337"/>
      <c r="J417" s="337"/>
      <c r="K417" s="130"/>
      <c r="L417" s="46"/>
    </row>
    <row r="418" spans="1:12">
      <c r="J418" s="46"/>
      <c r="K418" s="130"/>
      <c r="L418" s="46"/>
    </row>
    <row r="419" spans="1:12">
      <c r="J419" s="46"/>
      <c r="K419" s="130"/>
      <c r="L419" s="46"/>
    </row>
    <row r="420" spans="1:12">
      <c r="B420" s="1" t="s">
        <v>376</v>
      </c>
      <c r="C420" s="144" t="s">
        <v>865</v>
      </c>
      <c r="J420" s="46"/>
      <c r="K420" s="130"/>
      <c r="L420" s="46"/>
    </row>
    <row r="421" spans="1:12">
      <c r="C421" s="187" t="s">
        <v>857</v>
      </c>
      <c r="G421" s="33">
        <f>I377</f>
        <v>5.35</v>
      </c>
      <c r="H421" s="187" t="s">
        <v>5</v>
      </c>
      <c r="J421" s="46"/>
      <c r="K421" s="130"/>
      <c r="L421" s="46"/>
    </row>
    <row r="422" spans="1:12">
      <c r="C422" s="187" t="s">
        <v>858</v>
      </c>
      <c r="G422" s="33">
        <f>F377+F373*2</f>
        <v>6.6084745762711865</v>
      </c>
      <c r="H422" s="187" t="s">
        <v>5</v>
      </c>
      <c r="J422" s="46"/>
      <c r="K422" s="130"/>
      <c r="L422" s="46"/>
    </row>
    <row r="423" spans="1:12">
      <c r="C423" s="187" t="s">
        <v>855</v>
      </c>
      <c r="G423" s="33">
        <f>(H415^2+G407^2)^0.5</f>
        <v>2.8460498941515415</v>
      </c>
      <c r="H423" s="187" t="s">
        <v>5</v>
      </c>
      <c r="J423" s="46"/>
      <c r="K423" s="130"/>
      <c r="L423" s="46"/>
    </row>
    <row r="424" spans="1:12">
      <c r="C424" s="187" t="s">
        <v>856</v>
      </c>
      <c r="G424" s="33">
        <f>(I408+G409)/2</f>
        <v>1.2</v>
      </c>
      <c r="H424" s="187" t="s">
        <v>5</v>
      </c>
      <c r="J424" s="46"/>
      <c r="K424" s="130"/>
      <c r="L424" s="46"/>
    </row>
    <row r="425" spans="1:12">
      <c r="J425" s="46"/>
      <c r="K425" s="130"/>
      <c r="L425" s="46"/>
    </row>
    <row r="426" spans="1:12">
      <c r="C426" s="187" t="s">
        <v>869</v>
      </c>
      <c r="F426" s="33">
        <f>0.5*(G421+G422)*G423*G424*D3</f>
        <v>481.92732067646881</v>
      </c>
      <c r="G426" s="187" t="s">
        <v>341</v>
      </c>
      <c r="J426" s="46"/>
      <c r="K426" s="130"/>
      <c r="L426" s="46"/>
    </row>
    <row r="427" spans="1:12">
      <c r="J427" s="46"/>
      <c r="K427" s="130"/>
      <c r="L427" s="46"/>
    </row>
    <row r="428" spans="1:12">
      <c r="C428" s="144" t="s">
        <v>864</v>
      </c>
      <c r="J428" s="46"/>
      <c r="K428" s="130"/>
    </row>
    <row r="429" spans="1:12">
      <c r="C429" s="187" t="s">
        <v>858</v>
      </c>
      <c r="G429" s="33">
        <f>G422</f>
        <v>6.6084745762711865</v>
      </c>
      <c r="H429" s="187" t="s">
        <v>5</v>
      </c>
      <c r="J429" s="46"/>
      <c r="K429" s="130"/>
    </row>
    <row r="430" spans="1:12">
      <c r="C430" s="187" t="s">
        <v>859</v>
      </c>
      <c r="G430" s="33">
        <f>A379</f>
        <v>12.899999999999999</v>
      </c>
      <c r="H430" s="187" t="s">
        <v>5</v>
      </c>
      <c r="J430" s="46"/>
      <c r="K430" s="130"/>
    </row>
    <row r="431" spans="1:12">
      <c r="C431" s="187" t="s">
        <v>860</v>
      </c>
      <c r="G431" s="33">
        <f>E390-G388</f>
        <v>16.2</v>
      </c>
      <c r="H431" s="187" t="s">
        <v>5</v>
      </c>
      <c r="J431" s="46"/>
      <c r="K431" s="130"/>
    </row>
    <row r="432" spans="1:12">
      <c r="C432" s="187" t="s">
        <v>861</v>
      </c>
      <c r="G432">
        <f>0.5*(G409+A409)</f>
        <v>0.92500000000000004</v>
      </c>
      <c r="H432" s="187" t="s">
        <v>5</v>
      </c>
      <c r="J432" s="46"/>
      <c r="K432" s="130"/>
    </row>
    <row r="433" spans="1:11">
      <c r="J433" s="46"/>
      <c r="K433" s="130"/>
    </row>
    <row r="434" spans="1:11">
      <c r="C434" s="187" t="s">
        <v>862</v>
      </c>
      <c r="F434" s="33">
        <f>0.5*(G429+G430)*G431*G432*D3</f>
        <v>3449.5469999999996</v>
      </c>
      <c r="G434" s="187" t="s">
        <v>341</v>
      </c>
      <c r="J434" s="46"/>
      <c r="K434" s="130"/>
    </row>
    <row r="435" spans="1:11">
      <c r="J435" s="46"/>
      <c r="K435" s="130"/>
    </row>
    <row r="436" spans="1:11">
      <c r="C436" t="s">
        <v>377</v>
      </c>
      <c r="D436" t="s">
        <v>378</v>
      </c>
      <c r="E436" t="s">
        <v>1313</v>
      </c>
      <c r="G436" s="33">
        <f>B413+A411</f>
        <v>1.2</v>
      </c>
      <c r="H436" t="s">
        <v>5</v>
      </c>
      <c r="J436" s="46"/>
      <c r="K436" s="130"/>
    </row>
    <row r="437" spans="1:11">
      <c r="E437" t="s">
        <v>1852</v>
      </c>
      <c r="F437" s="33"/>
      <c r="G437" s="33">
        <f>B413</f>
        <v>0.9</v>
      </c>
      <c r="H437" t="s">
        <v>5</v>
      </c>
      <c r="J437" s="46"/>
      <c r="K437" s="130"/>
    </row>
    <row r="438" spans="1:11">
      <c r="E438" t="s">
        <v>358</v>
      </c>
      <c r="F438" s="33"/>
      <c r="G438" s="33">
        <f>A411</f>
        <v>0.3</v>
      </c>
      <c r="H438" t="s">
        <v>5</v>
      </c>
      <c r="J438" s="46"/>
      <c r="K438" s="130"/>
    </row>
    <row r="439" spans="1:11">
      <c r="E439" t="s">
        <v>356</v>
      </c>
      <c r="F439" s="33"/>
      <c r="G439" s="33">
        <f>A379</f>
        <v>12.899999999999999</v>
      </c>
      <c r="H439" t="s">
        <v>5</v>
      </c>
      <c r="J439" s="46"/>
      <c r="K439" s="130"/>
    </row>
    <row r="440" spans="1:11">
      <c r="E440" t="s">
        <v>1853</v>
      </c>
      <c r="F440" s="33"/>
      <c r="G440" s="33">
        <f>0.5*(G436+G437)*G438*G439*D3</f>
        <v>95.898599999999988</v>
      </c>
      <c r="H440" t="s">
        <v>21</v>
      </c>
      <c r="J440" s="46"/>
      <c r="K440" s="130"/>
    </row>
    <row r="441" spans="1:11">
      <c r="J441" s="46"/>
      <c r="K441" s="130"/>
    </row>
    <row r="442" spans="1:11">
      <c r="C442" s="187" t="s">
        <v>863</v>
      </c>
      <c r="E442" s="33">
        <f>F426+F434+G440</f>
        <v>4027.3729206764683</v>
      </c>
      <c r="F442" s="187" t="s">
        <v>341</v>
      </c>
      <c r="J442" s="46"/>
      <c r="K442" s="130"/>
    </row>
    <row r="443" spans="1:11">
      <c r="J443" s="46"/>
      <c r="K443" s="130"/>
    </row>
    <row r="444" spans="1:11">
      <c r="A444" s="2145" t="s">
        <v>866</v>
      </c>
      <c r="C444" s="109"/>
      <c r="D444" s="46"/>
      <c r="E444" s="46"/>
      <c r="F444" s="224"/>
      <c r="G444" s="109"/>
      <c r="J444" s="46"/>
      <c r="K444" s="130"/>
    </row>
    <row r="445" spans="1:11">
      <c r="A445" s="2142" t="str">
        <f>'CS Wing'!I62</f>
        <v>Sec 1-1</v>
      </c>
      <c r="F445" s="2142" t="str">
        <f>'CS Wing'!H63</f>
        <v>Sec 2-2</v>
      </c>
      <c r="K445" s="130"/>
    </row>
    <row r="446" spans="1:11">
      <c r="A446" s="187" t="s">
        <v>867</v>
      </c>
      <c r="D446" s="33">
        <f>'CS Wing'!$H$124</f>
        <v>0.3</v>
      </c>
      <c r="E446" s="187" t="s">
        <v>5</v>
      </c>
      <c r="F446" s="187" t="s">
        <v>867</v>
      </c>
      <c r="I446" s="33">
        <f>'CS Wing'!$H$373</f>
        <v>0.3</v>
      </c>
      <c r="J446" s="187" t="s">
        <v>5</v>
      </c>
      <c r="K446" s="130"/>
    </row>
    <row r="447" spans="1:11">
      <c r="A447" s="187" t="s">
        <v>868</v>
      </c>
      <c r="D447" s="33">
        <f>'CS Wing'!$H$142</f>
        <v>0.8</v>
      </c>
      <c r="E447" s="187" t="s">
        <v>5</v>
      </c>
      <c r="F447" s="187" t="s">
        <v>868</v>
      </c>
      <c r="I447" s="33">
        <f>'CS Wing'!$H$391</f>
        <v>0.8</v>
      </c>
      <c r="J447" s="187" t="s">
        <v>5</v>
      </c>
      <c r="K447" s="130"/>
    </row>
    <row r="448" spans="1:11">
      <c r="A448" s="187" t="s">
        <v>870</v>
      </c>
      <c r="D448" s="33">
        <f>'CS Wing'!$I$131</f>
        <v>7.8000000000000007</v>
      </c>
      <c r="E448" s="187" t="s">
        <v>5</v>
      </c>
      <c r="F448" s="187" t="s">
        <v>870</v>
      </c>
      <c r="I448" s="33">
        <f>'CS Wing'!$I$380</f>
        <v>7.8000000000000007</v>
      </c>
      <c r="J448" s="187" t="s">
        <v>5</v>
      </c>
      <c r="K448" s="130"/>
    </row>
    <row r="449" spans="1:11">
      <c r="A449" s="187" t="s">
        <v>872</v>
      </c>
      <c r="D449" s="33">
        <f>0.5*(D446+D447)*D448</f>
        <v>4.2900000000000009</v>
      </c>
      <c r="E449" s="187" t="s">
        <v>871</v>
      </c>
      <c r="F449" s="187" t="s">
        <v>873</v>
      </c>
      <c r="I449" s="33">
        <f>0.5*(I446+I447)*I448</f>
        <v>4.2900000000000009</v>
      </c>
      <c r="J449" s="187" t="s">
        <v>871</v>
      </c>
      <c r="K449" s="130"/>
    </row>
    <row r="450" spans="1:11">
      <c r="J450" s="46"/>
      <c r="K450" s="130"/>
    </row>
    <row r="451" spans="1:11">
      <c r="A451" s="187" t="str">
        <f>'CS Wing'!D64</f>
        <v>Sec 4-4</v>
      </c>
      <c r="F451" s="206" t="str">
        <f>'CS Wing'!B64</f>
        <v>Sec 5-5</v>
      </c>
      <c r="K451" s="130"/>
    </row>
    <row r="452" spans="1:11">
      <c r="A452" s="187" t="s">
        <v>867</v>
      </c>
      <c r="D452" s="33">
        <f>'CS Wing'!$H$869</f>
        <v>0.3</v>
      </c>
      <c r="E452" s="187" t="s">
        <v>5</v>
      </c>
      <c r="F452" s="187" t="s">
        <v>867</v>
      </c>
      <c r="I452" s="33">
        <f>'CS Wing'!$H$1117</f>
        <v>0.3</v>
      </c>
      <c r="J452" s="187" t="s">
        <v>5</v>
      </c>
      <c r="K452" s="130"/>
    </row>
    <row r="453" spans="1:11">
      <c r="A453" s="187" t="s">
        <v>868</v>
      </c>
      <c r="D453" s="33">
        <f>'CS Wing'!$H$887</f>
        <v>0.45</v>
      </c>
      <c r="E453" s="187" t="s">
        <v>5</v>
      </c>
      <c r="F453" s="187" t="s">
        <v>868</v>
      </c>
      <c r="I453" s="33">
        <f>'CS Wing'!$H$1135</f>
        <v>0.45</v>
      </c>
      <c r="J453" s="187" t="s">
        <v>5</v>
      </c>
      <c r="K453" s="130"/>
    </row>
    <row r="454" spans="1:11">
      <c r="A454" s="187" t="s">
        <v>870</v>
      </c>
      <c r="D454" s="33">
        <f>'CS Wing'!$I$876</f>
        <v>3.9000000000000004</v>
      </c>
      <c r="E454" s="187" t="s">
        <v>5</v>
      </c>
      <c r="F454" s="187" t="s">
        <v>870</v>
      </c>
      <c r="I454" s="33">
        <f>'CS Wing'!$I$1124</f>
        <v>3.9000000000000004</v>
      </c>
      <c r="J454" s="187" t="s">
        <v>5</v>
      </c>
      <c r="K454" s="130"/>
    </row>
    <row r="455" spans="1:11">
      <c r="A455" s="187" t="s">
        <v>874</v>
      </c>
      <c r="D455" s="33">
        <f>0.5*(D452+D453)*D454</f>
        <v>1.4625000000000001</v>
      </c>
      <c r="E455" s="187" t="s">
        <v>871</v>
      </c>
      <c r="F455" s="187" t="s">
        <v>875</v>
      </c>
      <c r="I455" s="33">
        <f>0.5*(I452+I453)*I454</f>
        <v>1.4625000000000001</v>
      </c>
      <c r="J455" s="187" t="s">
        <v>871</v>
      </c>
      <c r="K455" s="130"/>
    </row>
    <row r="456" spans="1:11">
      <c r="J456" s="46"/>
      <c r="K456" s="130"/>
    </row>
    <row r="457" spans="1:11">
      <c r="C457" s="2135" t="s">
        <v>876</v>
      </c>
      <c r="D457" s="355" t="s">
        <v>877</v>
      </c>
      <c r="E457" s="347" t="s">
        <v>879</v>
      </c>
      <c r="F457" s="355" t="s">
        <v>878</v>
      </c>
      <c r="G457" s="516" t="s">
        <v>880</v>
      </c>
      <c r="J457" s="46"/>
      <c r="K457" s="130"/>
    </row>
    <row r="458" spans="1:11">
      <c r="C458" s="351"/>
      <c r="D458" s="256" t="s">
        <v>871</v>
      </c>
      <c r="E458" s="2136" t="s">
        <v>871</v>
      </c>
      <c r="F458" s="256" t="s">
        <v>5</v>
      </c>
      <c r="G458" s="2137" t="s">
        <v>341</v>
      </c>
      <c r="J458" s="46"/>
      <c r="K458" s="130"/>
    </row>
    <row r="459" spans="1:11">
      <c r="C459" s="2135" t="str">
        <f>A445</f>
        <v>Sec 1-1</v>
      </c>
      <c r="D459" s="379">
        <f>D449</f>
        <v>4.2900000000000009</v>
      </c>
      <c r="E459" s="2130"/>
      <c r="F459" s="381"/>
      <c r="G459" s="2134"/>
      <c r="J459" s="46"/>
      <c r="K459" s="130"/>
    </row>
    <row r="460" spans="1:11">
      <c r="C460" s="348" t="str">
        <f>F445</f>
        <v>Sec 2-2</v>
      </c>
      <c r="D460" s="103">
        <f>I449</f>
        <v>4.2900000000000009</v>
      </c>
      <c r="E460" s="505">
        <f>(D460+D459)/2</f>
        <v>4.2900000000000009</v>
      </c>
      <c r="F460" s="103">
        <f>H415</f>
        <v>2.7</v>
      </c>
      <c r="G460" s="2133">
        <f>E460*F460*$D$3</f>
        <v>273.35880000000009</v>
      </c>
      <c r="J460" s="46"/>
      <c r="K460" s="130"/>
    </row>
    <row r="461" spans="1:11">
      <c r="C461" s="348" t="str">
        <f>A451</f>
        <v>Sec 4-4</v>
      </c>
      <c r="D461" s="103">
        <f>D455</f>
        <v>1.4625000000000001</v>
      </c>
      <c r="E461" s="505">
        <f t="shared" ref="E461:E462" si="2">(D461+D460)/2</f>
        <v>2.8762500000000006</v>
      </c>
      <c r="F461" s="103">
        <f>F392</f>
        <v>11.700000000000001</v>
      </c>
      <c r="G461" s="2133">
        <f t="shared" ref="G461:G462" si="3">E461*F461*$D$3</f>
        <v>794.19015000000036</v>
      </c>
      <c r="J461" s="46"/>
      <c r="K461" s="130"/>
    </row>
    <row r="462" spans="1:11">
      <c r="C462" s="929" t="str">
        <f>F451</f>
        <v>Sec 5-5</v>
      </c>
      <c r="D462" s="138">
        <f>I455</f>
        <v>1.4625000000000001</v>
      </c>
      <c r="E462" s="506">
        <f t="shared" si="2"/>
        <v>1.4625000000000001</v>
      </c>
      <c r="F462" s="138">
        <f>C392</f>
        <v>3.2999999999999972</v>
      </c>
      <c r="G462" s="170">
        <f t="shared" si="3"/>
        <v>113.89949999999992</v>
      </c>
      <c r="J462" s="46"/>
      <c r="K462" s="130"/>
    </row>
    <row r="463" spans="1:11">
      <c r="C463" s="156"/>
      <c r="D463" s="77"/>
      <c r="E463" s="77"/>
      <c r="F463" s="77"/>
      <c r="G463" s="457">
        <f>SUM(G460:G462)</f>
        <v>1181.4484500000003</v>
      </c>
      <c r="J463" s="46"/>
      <c r="K463" s="130"/>
    </row>
    <row r="464" spans="1:11">
      <c r="C464" s="94"/>
      <c r="D464" s="2127"/>
      <c r="E464" s="2129" t="s">
        <v>881</v>
      </c>
      <c r="F464" s="2128"/>
      <c r="G464" s="457">
        <f>G463*2</f>
        <v>2362.8969000000006</v>
      </c>
      <c r="J464" s="46"/>
      <c r="K464" s="130"/>
    </row>
    <row r="465" spans="2:17">
      <c r="J465" s="46"/>
      <c r="K465" s="130"/>
    </row>
    <row r="466" spans="2:17">
      <c r="C466" s="187" t="s">
        <v>863</v>
      </c>
      <c r="E466" s="33">
        <f>E442</f>
        <v>4027.3729206764683</v>
      </c>
      <c r="F466" t="s">
        <v>21</v>
      </c>
      <c r="J466" s="46"/>
      <c r="K466" s="130"/>
    </row>
    <row r="467" spans="2:17">
      <c r="C467" s="204" t="s">
        <v>882</v>
      </c>
      <c r="D467" s="59"/>
      <c r="E467" s="212">
        <f>G464</f>
        <v>2362.8969000000006</v>
      </c>
      <c r="F467" s="59" t="s">
        <v>21</v>
      </c>
      <c r="J467" s="46"/>
      <c r="K467" s="130"/>
    </row>
    <row r="468" spans="2:17">
      <c r="C468" s="187" t="s">
        <v>883</v>
      </c>
      <c r="E468" s="33">
        <f>E466+E467</f>
        <v>6390.269820676469</v>
      </c>
      <c r="F468" t="s">
        <v>21</v>
      </c>
      <c r="J468" s="46"/>
      <c r="K468" s="130"/>
    </row>
    <row r="469" spans="2:17">
      <c r="J469" s="46"/>
      <c r="K469" s="130"/>
    </row>
    <row r="470" spans="2:17">
      <c r="C470" s="187" t="s">
        <v>1855</v>
      </c>
      <c r="E470" s="33">
        <f>0.5*(I377+A379)*E390</f>
        <v>172.46249999999998</v>
      </c>
      <c r="F470" s="187" t="s">
        <v>871</v>
      </c>
      <c r="J470" s="46"/>
      <c r="K470" s="130"/>
    </row>
    <row r="471" spans="2:17">
      <c r="J471" s="46"/>
      <c r="K471" s="130"/>
    </row>
    <row r="472" spans="2:17">
      <c r="C472" s="187" t="s">
        <v>815</v>
      </c>
      <c r="E472" s="33">
        <f>E468/E470</f>
        <v>37.053097459891106</v>
      </c>
      <c r="F472" s="187" t="s">
        <v>884</v>
      </c>
      <c r="G472" s="115">
        <f>E472*0.00948</f>
        <v>0.3512633639197677</v>
      </c>
      <c r="H472" s="187" t="s">
        <v>817</v>
      </c>
      <c r="J472" s="46"/>
      <c r="K472" s="130"/>
    </row>
    <row r="473" spans="2:17">
      <c r="J473" s="46"/>
      <c r="K473" s="130"/>
    </row>
    <row r="474" spans="2:17">
      <c r="B474" s="930" t="s">
        <v>2155</v>
      </c>
      <c r="C474" s="932"/>
      <c r="D474" s="932"/>
      <c r="J474" s="46"/>
      <c r="K474" s="130"/>
    </row>
    <row r="475" spans="2:17">
      <c r="J475" s="46"/>
      <c r="K475" s="130"/>
      <c r="L475" s="46"/>
      <c r="M475" s="46"/>
      <c r="N475" s="46"/>
      <c r="O475" s="46"/>
      <c r="P475" s="46"/>
      <c r="Q475" s="46"/>
    </row>
    <row r="476" spans="2:17">
      <c r="B476" s="187" t="s">
        <v>904</v>
      </c>
      <c r="E476" s="115">
        <f>Hydraulic!I55</f>
        <v>8.4</v>
      </c>
      <c r="F476" s="26" t="s">
        <v>5</v>
      </c>
      <c r="J476" s="46"/>
      <c r="K476" s="130"/>
      <c r="L476" s="46"/>
      <c r="M476" s="46"/>
      <c r="N476" s="46"/>
      <c r="O476" s="46"/>
      <c r="P476" s="46"/>
      <c r="Q476" s="46"/>
    </row>
    <row r="477" spans="2:17">
      <c r="B477" t="s">
        <v>2156</v>
      </c>
      <c r="E477" s="33">
        <f>MAX('RS R wall'!G63,'RS R wall'!F142,'RS R wall'!F228)</f>
        <v>208.10750000000002</v>
      </c>
      <c r="F477" t="s">
        <v>1229</v>
      </c>
      <c r="J477" s="46"/>
      <c r="K477" s="130"/>
      <c r="L477" s="46"/>
      <c r="M477" s="46"/>
      <c r="N477" s="46"/>
      <c r="O477" s="46"/>
      <c r="P477" s="46"/>
      <c r="Q477" s="46"/>
    </row>
    <row r="478" spans="2:17">
      <c r="B478" t="s">
        <v>883</v>
      </c>
      <c r="E478" s="33">
        <f>E476*E477</f>
        <v>1748.1030000000003</v>
      </c>
      <c r="F478" t="s">
        <v>21</v>
      </c>
      <c r="J478" s="46"/>
      <c r="K478" s="130"/>
      <c r="L478" s="46"/>
      <c r="M478" s="46"/>
      <c r="N478" s="46"/>
      <c r="O478" s="46"/>
      <c r="P478" s="46"/>
      <c r="Q478" s="46"/>
    </row>
    <row r="479" spans="2:17">
      <c r="J479" s="46"/>
      <c r="K479" s="130"/>
      <c r="L479" s="46"/>
      <c r="M479" s="46"/>
      <c r="N479" s="46"/>
      <c r="O479" s="46"/>
      <c r="P479" s="46"/>
      <c r="Q479" s="46"/>
    </row>
    <row r="480" spans="2:17">
      <c r="B480" s="126" t="s">
        <v>2157</v>
      </c>
      <c r="C480" s="126"/>
      <c r="D480" s="126"/>
      <c r="E480" s="246">
        <f>MAX('RS R wall'!P31:Q33)</f>
        <v>62.925793498801845</v>
      </c>
      <c r="F480" s="207" t="s">
        <v>884</v>
      </c>
      <c r="G480" s="2879">
        <f>E480*0.00948</f>
        <v>0.59653652236864152</v>
      </c>
      <c r="H480" s="207" t="s">
        <v>817</v>
      </c>
      <c r="K480" s="130"/>
      <c r="L480" s="46"/>
      <c r="M480" s="46"/>
      <c r="N480" s="46"/>
      <c r="O480" s="46"/>
      <c r="P480" s="46"/>
      <c r="Q480" s="46"/>
    </row>
    <row r="481" spans="2:17">
      <c r="K481" s="130"/>
      <c r="L481" s="46"/>
      <c r="M481" s="46"/>
      <c r="N481" s="46"/>
      <c r="O481" s="46"/>
      <c r="P481" s="46"/>
      <c r="Q481" s="46"/>
    </row>
    <row r="482" spans="2:17">
      <c r="K482" s="130"/>
    </row>
    <row r="483" spans="2:17">
      <c r="B483" s="930" t="s">
        <v>2158</v>
      </c>
      <c r="C483" s="932"/>
      <c r="D483" s="932"/>
      <c r="K483" s="130"/>
    </row>
    <row r="484" spans="2:17">
      <c r="K484" s="130"/>
    </row>
    <row r="485" spans="2:17">
      <c r="B485" s="187" t="s">
        <v>904</v>
      </c>
      <c r="E485" s="115">
        <f>Hydraulic!D55</f>
        <v>8.4</v>
      </c>
      <c r="F485" s="26" t="s">
        <v>5</v>
      </c>
      <c r="K485" s="130"/>
    </row>
    <row r="486" spans="2:17">
      <c r="B486" t="s">
        <v>2156</v>
      </c>
      <c r="E486" s="33">
        <f>MAX('CS R Wall'!G63,'CS R Wall'!F142,'CS R Wall'!F228)</f>
        <v>208.10750000000002</v>
      </c>
      <c r="F486" t="s">
        <v>1229</v>
      </c>
      <c r="K486" s="130"/>
    </row>
    <row r="487" spans="2:17">
      <c r="B487" t="s">
        <v>883</v>
      </c>
      <c r="E487" s="33">
        <f>E485*E486</f>
        <v>1748.1030000000003</v>
      </c>
      <c r="F487" t="s">
        <v>21</v>
      </c>
      <c r="K487" s="130"/>
    </row>
    <row r="488" spans="2:17">
      <c r="K488" s="130"/>
    </row>
    <row r="489" spans="2:17">
      <c r="B489" t="s">
        <v>2157</v>
      </c>
      <c r="E489" s="33">
        <f>MAX('CS R Wall'!P31:Q33)</f>
        <v>62.925793498801845</v>
      </c>
      <c r="F489" s="187" t="s">
        <v>884</v>
      </c>
      <c r="G489" s="115">
        <f>E489*0.00948</f>
        <v>0.59653652236864152</v>
      </c>
      <c r="H489" s="187" t="s">
        <v>817</v>
      </c>
      <c r="K489" s="130"/>
    </row>
    <row r="490" spans="2:17">
      <c r="K490" s="130"/>
    </row>
    <row r="491" spans="2:17">
      <c r="K491" s="130"/>
    </row>
    <row r="492" spans="2:17">
      <c r="B492" s="2809" t="s">
        <v>1933</v>
      </c>
      <c r="C492" s="2810"/>
      <c r="D492" s="55"/>
      <c r="E492" s="55"/>
      <c r="F492" s="55"/>
      <c r="G492" s="2808"/>
      <c r="K492" s="130"/>
    </row>
    <row r="493" spans="2:17">
      <c r="B493" s="2806" t="s">
        <v>898</v>
      </c>
      <c r="C493" s="16"/>
      <c r="D493" s="242">
        <f>D261</f>
        <v>168.88623529411771</v>
      </c>
      <c r="E493" s="241" t="s">
        <v>884</v>
      </c>
      <c r="F493" s="1440">
        <f>D493*0.00948</f>
        <v>1.6010415105882361</v>
      </c>
      <c r="G493" s="366" t="s">
        <v>817</v>
      </c>
      <c r="K493" s="130"/>
    </row>
    <row r="494" spans="2:17">
      <c r="B494" s="369" t="s">
        <v>2160</v>
      </c>
      <c r="C494" s="16"/>
      <c r="D494" s="242">
        <f>E365</f>
        <v>37.053097459891106</v>
      </c>
      <c r="E494" s="241" t="s">
        <v>884</v>
      </c>
      <c r="F494" s="1440">
        <f t="shared" ref="F494:F497" si="4">D494*0.00948</f>
        <v>0.3512633639197677</v>
      </c>
      <c r="G494" s="366" t="s">
        <v>817</v>
      </c>
      <c r="K494" s="130"/>
    </row>
    <row r="495" spans="2:17">
      <c r="B495" s="369" t="s">
        <v>2161</v>
      </c>
      <c r="C495" s="16"/>
      <c r="D495" s="242">
        <f>E472</f>
        <v>37.053097459891106</v>
      </c>
      <c r="E495" s="241" t="s">
        <v>884</v>
      </c>
      <c r="F495" s="1440">
        <f t="shared" si="4"/>
        <v>0.3512633639197677</v>
      </c>
      <c r="G495" s="366" t="s">
        <v>817</v>
      </c>
      <c r="K495" s="130"/>
    </row>
    <row r="496" spans="2:17">
      <c r="B496" s="2806" t="s">
        <v>2142</v>
      </c>
      <c r="C496" s="16"/>
      <c r="D496" s="242">
        <f>E480</f>
        <v>62.925793498801845</v>
      </c>
      <c r="E496" s="241" t="s">
        <v>884</v>
      </c>
      <c r="F496" s="1440">
        <f t="shared" si="4"/>
        <v>0.59653652236864152</v>
      </c>
      <c r="G496" s="366" t="s">
        <v>817</v>
      </c>
      <c r="K496" s="130"/>
    </row>
    <row r="497" spans="1:11">
      <c r="B497" s="2806" t="s">
        <v>2159</v>
      </c>
      <c r="C497" s="16"/>
      <c r="D497" s="242">
        <f>E489</f>
        <v>62.925793498801845</v>
      </c>
      <c r="E497" s="241" t="s">
        <v>884</v>
      </c>
      <c r="F497" s="1440">
        <f t="shared" si="4"/>
        <v>0.59653652236864152</v>
      </c>
      <c r="G497" s="366" t="s">
        <v>817</v>
      </c>
      <c r="K497" s="130"/>
    </row>
    <row r="498" spans="1:11">
      <c r="B498" s="2807"/>
      <c r="C498" s="59"/>
      <c r="D498" s="59"/>
      <c r="E498" s="59"/>
      <c r="F498" s="59"/>
      <c r="G498" s="60"/>
      <c r="K498" s="130"/>
    </row>
    <row r="499" spans="1:11">
      <c r="K499" s="130"/>
    </row>
    <row r="500" spans="1:11">
      <c r="A500" s="130"/>
      <c r="B500" s="130"/>
      <c r="C500" s="130"/>
      <c r="D500" s="130"/>
      <c r="E500" s="130"/>
      <c r="F500" s="130"/>
      <c r="G500" s="130"/>
      <c r="H500" s="130"/>
      <c r="I500" s="130"/>
      <c r="J500" s="130"/>
      <c r="K500" s="130"/>
    </row>
  </sheetData>
  <sheetProtection selectLockedCells="1"/>
  <mergeCells count="17">
    <mergeCell ref="U61:U65"/>
    <mergeCell ref="U69:U72"/>
    <mergeCell ref="O48:O50"/>
    <mergeCell ref="O54:O57"/>
    <mergeCell ref="O61:O65"/>
    <mergeCell ref="O69:O72"/>
    <mergeCell ref="U54:U57"/>
    <mergeCell ref="U48:U50"/>
    <mergeCell ref="L3:L4"/>
    <mergeCell ref="U23:U27"/>
    <mergeCell ref="U31:U34"/>
    <mergeCell ref="U10:U12"/>
    <mergeCell ref="U16:U19"/>
    <mergeCell ref="O10:O12"/>
    <mergeCell ref="O16:O19"/>
    <mergeCell ref="O23:O27"/>
    <mergeCell ref="O31:O34"/>
  </mergeCells>
  <phoneticPr fontId="13" type="noConversion"/>
  <printOptions horizontalCentered="1"/>
  <pageMargins left="0.75" right="0.62" top="1" bottom="1" header="0.5" footer="0.5"/>
  <pageSetup paperSize="9" orientation="portrait" horizontalDpi="360" verticalDpi="360" r:id="rId1"/>
  <headerFooter alignWithMargins="0"/>
  <rowBreaks count="3" manualBreakCount="3">
    <brk id="41" max="9" man="1"/>
    <brk id="87" max="9" man="1"/>
    <brk id="254" max="9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125"/>
  <sheetViews>
    <sheetView zoomScaleSheetLayoutView="100" workbookViewId="0">
      <selection activeCell="C35" sqref="C35"/>
    </sheetView>
  </sheetViews>
  <sheetFormatPr defaultRowHeight="12.75"/>
  <cols>
    <col min="10" max="10" width="5.5703125" customWidth="1"/>
    <col min="11" max="11" width="3" customWidth="1"/>
  </cols>
  <sheetData>
    <row r="1" spans="1:14" ht="15.75">
      <c r="A1" s="3072" t="s">
        <v>608</v>
      </c>
      <c r="B1" s="3072"/>
      <c r="C1" s="3072"/>
      <c r="D1" s="3072"/>
      <c r="E1" s="3072"/>
      <c r="F1" s="3072"/>
      <c r="G1" s="3072"/>
      <c r="H1" s="3072"/>
      <c r="I1" s="3072"/>
      <c r="J1" s="3072"/>
      <c r="K1" s="227"/>
    </row>
    <row r="2" spans="1:14" ht="15.75">
      <c r="A2" s="31" t="s">
        <v>609</v>
      </c>
      <c r="J2" s="46"/>
      <c r="K2" s="227"/>
    </row>
    <row r="3" spans="1:14">
      <c r="J3" s="46"/>
      <c r="K3" s="227"/>
    </row>
    <row r="4" spans="1:14">
      <c r="A4" s="187" t="s">
        <v>449</v>
      </c>
      <c r="D4" s="52">
        <f>DATA!D3</f>
        <v>23.6</v>
      </c>
      <c r="E4" t="s">
        <v>1</v>
      </c>
      <c r="J4" s="46"/>
      <c r="K4" s="227"/>
    </row>
    <row r="5" spans="1:14">
      <c r="A5" s="46" t="s">
        <v>415</v>
      </c>
      <c r="B5" s="46"/>
      <c r="C5" s="46"/>
      <c r="D5" s="567">
        <f>DATA!D4</f>
        <v>15.7</v>
      </c>
      <c r="E5" s="46" t="s">
        <v>1</v>
      </c>
      <c r="J5" s="46"/>
      <c r="K5" s="227"/>
    </row>
    <row r="6" spans="1:14">
      <c r="A6" t="s">
        <v>416</v>
      </c>
      <c r="D6" s="52">
        <f>DATA!D5</f>
        <v>17.3</v>
      </c>
      <c r="E6" t="s">
        <v>1</v>
      </c>
      <c r="G6" t="s">
        <v>43</v>
      </c>
      <c r="H6" s="14">
        <f>(1-SIN(F9))/(1+SIN(F9))</f>
        <v>0.49029059656570229</v>
      </c>
      <c r="J6" s="46"/>
      <c r="K6" s="227"/>
    </row>
    <row r="7" spans="1:14">
      <c r="A7" t="s">
        <v>417</v>
      </c>
      <c r="D7" s="52">
        <f>DATA!D6</f>
        <v>18.899999999999999</v>
      </c>
      <c r="E7" t="s">
        <v>1</v>
      </c>
      <c r="J7" s="46"/>
      <c r="K7" s="227"/>
    </row>
    <row r="8" spans="1:14">
      <c r="A8" t="s">
        <v>418</v>
      </c>
      <c r="D8" s="52">
        <f>DATA!D7</f>
        <v>9.81</v>
      </c>
      <c r="E8" t="s">
        <v>1</v>
      </c>
      <c r="J8" s="46"/>
      <c r="K8" s="227"/>
    </row>
    <row r="9" spans="1:14" ht="15.75">
      <c r="A9" s="187" t="s">
        <v>419</v>
      </c>
      <c r="D9" s="583">
        <f>DATA!I14</f>
        <v>20</v>
      </c>
      <c r="E9" s="12" t="s">
        <v>321</v>
      </c>
      <c r="F9" s="115">
        <f>RADIANS(D9)</f>
        <v>0.3490658503988659</v>
      </c>
      <c r="G9" t="s">
        <v>322</v>
      </c>
      <c r="J9" s="46"/>
      <c r="K9" s="227"/>
    </row>
    <row r="10" spans="1:14">
      <c r="A10" s="40" t="s">
        <v>465</v>
      </c>
      <c r="D10" s="198">
        <v>0.9</v>
      </c>
      <c r="E10" s="187" t="s">
        <v>323</v>
      </c>
      <c r="F10">
        <f>D10*D7</f>
        <v>17.009999999999998</v>
      </c>
      <c r="G10" t="s">
        <v>126</v>
      </c>
      <c r="J10" s="46"/>
      <c r="K10" s="227"/>
      <c r="L10" s="115"/>
    </row>
    <row r="11" spans="1:14" ht="15.75">
      <c r="A11" s="231"/>
      <c r="D11" s="187"/>
      <c r="E11" s="187" t="s">
        <v>466</v>
      </c>
      <c r="F11" s="12"/>
      <c r="G11" s="115"/>
      <c r="J11" s="46"/>
      <c r="K11" s="227"/>
    </row>
    <row r="12" spans="1:14">
      <c r="A12" s="1"/>
      <c r="J12" s="46"/>
      <c r="K12" s="227"/>
    </row>
    <row r="13" spans="1:14" ht="14.25">
      <c r="A13" s="187" t="s">
        <v>420</v>
      </c>
      <c r="C13" s="584">
        <v>22</v>
      </c>
      <c r="D13" s="187" t="s">
        <v>421</v>
      </c>
      <c r="E13" s="144" t="s">
        <v>422</v>
      </c>
      <c r="J13" s="46"/>
      <c r="K13" s="227"/>
    </row>
    <row r="14" spans="1:14" ht="14.25">
      <c r="A14" t="s">
        <v>8</v>
      </c>
      <c r="C14" s="584">
        <v>414</v>
      </c>
      <c r="D14" s="187" t="s">
        <v>421</v>
      </c>
      <c r="E14" t="s">
        <v>423</v>
      </c>
      <c r="H14" s="233">
        <v>60</v>
      </c>
      <c r="I14" t="s">
        <v>98</v>
      </c>
      <c r="J14" s="46"/>
      <c r="K14" s="227"/>
    </row>
    <row r="15" spans="1:14" ht="14.25">
      <c r="A15" t="s">
        <v>11</v>
      </c>
      <c r="C15" s="568">
        <f>2*10^5</f>
        <v>200000</v>
      </c>
      <c r="D15" s="187" t="s">
        <v>421</v>
      </c>
      <c r="E15" t="s">
        <v>424</v>
      </c>
      <c r="H15" s="233">
        <v>50</v>
      </c>
      <c r="I15" t="s">
        <v>98</v>
      </c>
      <c r="J15" s="46"/>
      <c r="K15" s="227"/>
    </row>
    <row r="16" spans="1:14" ht="14.25">
      <c r="A16" s="187" t="s">
        <v>446</v>
      </c>
      <c r="C16" s="585">
        <f>4.73*10^3*(C13)^0.5</f>
        <v>22185.666543964824</v>
      </c>
      <c r="D16" s="187" t="s">
        <v>421</v>
      </c>
      <c r="J16" s="46"/>
      <c r="K16" s="227"/>
      <c r="L16" s="46"/>
      <c r="M16" s="331"/>
      <c r="N16" s="46"/>
    </row>
    <row r="17" spans="1:14">
      <c r="E17" s="61"/>
      <c r="F17" s="46"/>
      <c r="G17" s="46"/>
      <c r="H17" s="234"/>
      <c r="I17" s="46"/>
      <c r="J17" s="46"/>
      <c r="K17" s="227"/>
      <c r="L17" s="46"/>
      <c r="M17" s="65"/>
      <c r="N17" s="46"/>
    </row>
    <row r="18" spans="1:14" ht="14.25">
      <c r="A18" s="187" t="s">
        <v>425</v>
      </c>
      <c r="C18" s="145">
        <f>0.45*C13</f>
        <v>9.9</v>
      </c>
      <c r="D18" s="187" t="s">
        <v>421</v>
      </c>
      <c r="E18" s="46"/>
      <c r="F18" s="46"/>
      <c r="G18" s="46"/>
      <c r="H18" s="46"/>
      <c r="I18" s="46"/>
      <c r="J18" s="46"/>
      <c r="K18" s="227"/>
      <c r="L18" s="46"/>
      <c r="M18" s="65"/>
      <c r="N18" s="46"/>
    </row>
    <row r="19" spans="1:14" ht="14.25">
      <c r="A19" s="187" t="s">
        <v>426</v>
      </c>
      <c r="C19" s="145">
        <f>0.45*C14</f>
        <v>186.3</v>
      </c>
      <c r="D19" s="187" t="s">
        <v>421</v>
      </c>
      <c r="E19" s="46"/>
      <c r="F19" s="46"/>
      <c r="G19" s="46"/>
      <c r="H19" s="235"/>
      <c r="I19" s="46"/>
      <c r="J19" s="46"/>
      <c r="K19" s="227"/>
      <c r="L19" s="46"/>
      <c r="M19" s="65"/>
      <c r="N19" s="46"/>
    </row>
    <row r="20" spans="1:14">
      <c r="A20" t="s">
        <v>10</v>
      </c>
      <c r="C20" s="190">
        <f>C15/C16</f>
        <v>9.0148294442118573</v>
      </c>
      <c r="E20" s="46"/>
      <c r="F20" s="46"/>
      <c r="G20" s="46"/>
      <c r="H20" s="46"/>
      <c r="I20" s="46"/>
      <c r="J20" s="46"/>
      <c r="K20" s="227"/>
      <c r="L20" s="46"/>
      <c r="M20" s="65"/>
      <c r="N20" s="46"/>
    </row>
    <row r="21" spans="1:14">
      <c r="A21" t="s">
        <v>427</v>
      </c>
      <c r="C21" s="10">
        <f>C19/C18</f>
        <v>18.81818181818182</v>
      </c>
      <c r="E21" s="109"/>
      <c r="J21" s="46"/>
      <c r="K21" s="227"/>
      <c r="L21" s="46"/>
      <c r="M21" s="292"/>
      <c r="N21" s="46"/>
    </row>
    <row r="22" spans="1:14">
      <c r="A22" t="s">
        <v>428</v>
      </c>
      <c r="C22" s="14">
        <f>C20/(C20+C21)</f>
        <v>0.32388983567840407</v>
      </c>
      <c r="E22" s="46"/>
      <c r="F22" s="46"/>
      <c r="G22" s="46"/>
      <c r="H22" s="46"/>
      <c r="I22" s="46"/>
      <c r="J22" s="46"/>
      <c r="K22" s="227"/>
      <c r="L22" s="46"/>
      <c r="M22" s="292"/>
      <c r="N22" s="46"/>
    </row>
    <row r="23" spans="1:14">
      <c r="A23" t="s">
        <v>12</v>
      </c>
      <c r="C23" s="14">
        <f>1-C22/3</f>
        <v>0.89203672144053203</v>
      </c>
      <c r="J23" s="46"/>
      <c r="K23" s="227"/>
      <c r="L23" s="46"/>
      <c r="M23" s="332"/>
      <c r="N23" s="46"/>
    </row>
    <row r="24" spans="1:14" ht="14.25">
      <c r="A24" t="s">
        <v>429</v>
      </c>
      <c r="C24" s="10">
        <f>0.5*C18*C22*C23</f>
        <v>1.4301620542760574</v>
      </c>
      <c r="D24" s="187" t="s">
        <v>421</v>
      </c>
      <c r="E24" s="18"/>
      <c r="J24" s="46"/>
      <c r="K24" s="227"/>
    </row>
    <row r="25" spans="1:14" ht="14.25">
      <c r="A25" s="187" t="s">
        <v>452</v>
      </c>
      <c r="C25" s="14">
        <f>9.1*10^(-2)*C13^0.5</f>
        <v>0.42682783414393211</v>
      </c>
      <c r="D25" s="187" t="s">
        <v>421</v>
      </c>
      <c r="J25" s="46"/>
      <c r="K25" s="227"/>
    </row>
    <row r="26" spans="1:14" ht="14.25">
      <c r="A26" s="30" t="s">
        <v>430</v>
      </c>
      <c r="D26" s="115">
        <f>0.17*C13^0.5</f>
        <v>0.79737067916998317</v>
      </c>
      <c r="E26" s="187" t="s">
        <v>421</v>
      </c>
      <c r="H26" s="115"/>
      <c r="I26" s="187"/>
      <c r="J26" s="46"/>
      <c r="K26" s="227"/>
    </row>
    <row r="27" spans="1:14" ht="15.75">
      <c r="A27" s="231"/>
      <c r="C27" s="14"/>
      <c r="D27" s="187"/>
      <c r="E27" s="10"/>
      <c r="F27" s="12"/>
      <c r="G27" s="115"/>
      <c r="J27" s="46"/>
      <c r="K27" s="227"/>
    </row>
    <row r="28" spans="1:14" ht="15.75">
      <c r="A28" s="231"/>
      <c r="B28" s="238" t="s">
        <v>431</v>
      </c>
      <c r="C28" s="239"/>
      <c r="D28" s="240"/>
      <c r="J28" s="46"/>
      <c r="K28" s="227"/>
    </row>
    <row r="29" spans="1:14" ht="15.75">
      <c r="A29" s="231"/>
      <c r="J29" s="46"/>
      <c r="K29" s="227"/>
    </row>
    <row r="30" spans="1:14" ht="15.75">
      <c r="A30" s="231"/>
      <c r="B30" s="241" t="s">
        <v>432</v>
      </c>
      <c r="C30" s="16"/>
      <c r="D30" s="241" t="s">
        <v>433</v>
      </c>
      <c r="E30" s="16"/>
      <c r="F30" s="16"/>
      <c r="G30" s="16">
        <f>0.1/100</f>
        <v>1E-3</v>
      </c>
      <c r="H30" s="241" t="s">
        <v>434</v>
      </c>
      <c r="J30" s="46"/>
      <c r="K30" s="227"/>
    </row>
    <row r="31" spans="1:14" ht="15.75">
      <c r="A31" s="231"/>
      <c r="B31" s="16"/>
      <c r="C31" s="16"/>
      <c r="D31" s="241" t="s">
        <v>435</v>
      </c>
      <c r="E31" s="16"/>
      <c r="F31" s="16"/>
      <c r="G31" s="16">
        <f>0.2/100</f>
        <v>2E-3</v>
      </c>
      <c r="H31" s="241" t="s">
        <v>434</v>
      </c>
      <c r="J31" s="46"/>
      <c r="K31" s="227"/>
    </row>
    <row r="32" spans="1:14" ht="15.75">
      <c r="A32" s="231"/>
      <c r="B32" s="16"/>
      <c r="C32" s="16"/>
      <c r="D32" s="241" t="s">
        <v>436</v>
      </c>
      <c r="E32" s="16"/>
      <c r="F32" s="16"/>
      <c r="G32" s="16">
        <f>0.15/100</f>
        <v>1.5E-3</v>
      </c>
      <c r="H32" s="241" t="s">
        <v>434</v>
      </c>
      <c r="J32" s="46"/>
      <c r="K32" s="227"/>
    </row>
    <row r="33" spans="1:11" ht="15.75">
      <c r="A33" s="231"/>
      <c r="B33" s="241"/>
      <c r="C33" s="242"/>
      <c r="D33" s="16"/>
      <c r="E33" s="16"/>
      <c r="F33" s="16"/>
      <c r="G33" s="16"/>
      <c r="H33" s="16"/>
      <c r="J33" s="46"/>
      <c r="K33" s="227"/>
    </row>
    <row r="34" spans="1:11" ht="15.75">
      <c r="A34" s="231"/>
      <c r="B34" s="241" t="s">
        <v>437</v>
      </c>
      <c r="C34" s="242"/>
      <c r="D34" s="16"/>
      <c r="E34" s="16"/>
      <c r="F34" s="16"/>
      <c r="G34" s="16"/>
      <c r="H34" s="16"/>
      <c r="J34" s="46"/>
      <c r="K34" s="227"/>
    </row>
    <row r="35" spans="1:11" ht="15.75">
      <c r="A35" s="231"/>
      <c r="B35" s="241"/>
      <c r="C35" s="242"/>
      <c r="D35" s="241" t="s">
        <v>433</v>
      </c>
      <c r="E35" s="16"/>
      <c r="F35" s="16"/>
      <c r="G35" s="16">
        <f>0.15/100</f>
        <v>1.5E-3</v>
      </c>
      <c r="H35" s="241" t="s">
        <v>434</v>
      </c>
      <c r="J35" s="46"/>
      <c r="K35" s="227"/>
    </row>
    <row r="36" spans="1:11" ht="15.75">
      <c r="A36" s="231"/>
      <c r="B36" s="16"/>
      <c r="C36" s="16"/>
      <c r="D36" s="241" t="s">
        <v>435</v>
      </c>
      <c r="E36" s="16"/>
      <c r="F36" s="16"/>
      <c r="G36" s="16">
        <f>0.25/100</f>
        <v>2.5000000000000001E-3</v>
      </c>
      <c r="H36" s="241" t="s">
        <v>434</v>
      </c>
      <c r="J36" s="46"/>
      <c r="K36" s="227"/>
    </row>
    <row r="37" spans="1:11" ht="15.75">
      <c r="A37" s="231"/>
      <c r="B37" s="16"/>
      <c r="C37" s="16"/>
      <c r="D37" s="241" t="s">
        <v>436</v>
      </c>
      <c r="E37" s="16"/>
      <c r="F37" s="16"/>
      <c r="G37" s="16">
        <f>0.2/100</f>
        <v>2E-3</v>
      </c>
      <c r="H37" s="241" t="s">
        <v>434</v>
      </c>
      <c r="J37" s="46"/>
      <c r="K37" s="227"/>
    </row>
    <row r="38" spans="1:11" ht="15.75">
      <c r="A38" s="231"/>
      <c r="B38" s="16"/>
      <c r="C38" s="16"/>
      <c r="D38" s="16"/>
      <c r="E38" s="16"/>
      <c r="F38" s="16"/>
      <c r="G38" s="16"/>
      <c r="H38" s="16"/>
      <c r="J38" s="46"/>
      <c r="K38" s="227"/>
    </row>
    <row r="39" spans="1:11" ht="15.75">
      <c r="A39" s="231"/>
      <c r="B39" s="243" t="s">
        <v>445</v>
      </c>
      <c r="C39" s="241" t="s">
        <v>433</v>
      </c>
      <c r="D39" s="16"/>
      <c r="E39" s="241" t="s">
        <v>111</v>
      </c>
      <c r="F39" s="16">
        <f>IF(D63&lt;=9,G30,G35)</f>
        <v>1E-3</v>
      </c>
      <c r="G39" s="241" t="s">
        <v>438</v>
      </c>
      <c r="H39" s="16"/>
      <c r="J39" s="46"/>
      <c r="K39" s="227"/>
    </row>
    <row r="40" spans="1:11" ht="15.75">
      <c r="A40" s="231"/>
      <c r="B40" s="16"/>
      <c r="C40" s="16"/>
      <c r="D40" s="16"/>
      <c r="E40" s="241" t="s">
        <v>110</v>
      </c>
      <c r="F40" s="16">
        <f>IF(D64&lt;=9,G30,G35)</f>
        <v>1E-3</v>
      </c>
      <c r="G40" s="241" t="s">
        <v>438</v>
      </c>
      <c r="H40" s="16"/>
      <c r="J40" s="46"/>
      <c r="K40" s="227"/>
    </row>
    <row r="41" spans="1:11">
      <c r="A41" s="46"/>
      <c r="B41" s="16"/>
      <c r="C41" s="16"/>
      <c r="D41" s="16"/>
      <c r="E41" s="16"/>
      <c r="F41" s="16"/>
      <c r="G41" s="241"/>
      <c r="H41" s="16"/>
      <c r="J41" s="46"/>
      <c r="K41" s="227"/>
    </row>
    <row r="42" spans="1:11" ht="14.25">
      <c r="A42" s="46"/>
      <c r="B42" s="16"/>
      <c r="C42" s="241" t="s">
        <v>439</v>
      </c>
      <c r="D42" s="16"/>
      <c r="E42" s="241" t="s">
        <v>111</v>
      </c>
      <c r="F42" s="16">
        <f>IF(D63&lt;=9,G31,G36)</f>
        <v>2E-3</v>
      </c>
      <c r="G42" s="241" t="s">
        <v>438</v>
      </c>
      <c r="H42" s="16"/>
      <c r="J42" s="46"/>
      <c r="K42" s="227"/>
    </row>
    <row r="43" spans="1:11" ht="14.25">
      <c r="A43" s="46"/>
      <c r="B43" s="16"/>
      <c r="C43" s="16"/>
      <c r="D43" s="16"/>
      <c r="E43" s="241" t="s">
        <v>110</v>
      </c>
      <c r="F43" s="16">
        <f>IF(D64&lt;=9,G31,G36)</f>
        <v>2E-3</v>
      </c>
      <c r="G43" s="241" t="s">
        <v>438</v>
      </c>
      <c r="H43" s="16"/>
      <c r="J43" s="46"/>
      <c r="K43" s="227"/>
    </row>
    <row r="44" spans="1:11">
      <c r="A44" s="46"/>
      <c r="B44" s="16"/>
      <c r="C44" s="16"/>
      <c r="D44" s="16"/>
      <c r="E44" s="16"/>
      <c r="F44" s="16"/>
      <c r="G44" s="241"/>
      <c r="H44" s="16"/>
      <c r="J44" s="46"/>
      <c r="K44" s="227"/>
    </row>
    <row r="45" spans="1:11">
      <c r="A45" s="46"/>
      <c r="B45" s="241" t="s">
        <v>444</v>
      </c>
      <c r="D45" s="16"/>
      <c r="E45" s="16"/>
      <c r="H45" s="16">
        <v>380</v>
      </c>
      <c r="I45" s="241" t="s">
        <v>98</v>
      </c>
      <c r="J45" s="46"/>
      <c r="K45" s="227"/>
    </row>
    <row r="46" spans="1:11">
      <c r="A46" s="46"/>
      <c r="B46" s="16"/>
      <c r="C46" s="16"/>
      <c r="D46" s="16"/>
      <c r="E46" s="241"/>
      <c r="F46" s="16"/>
      <c r="G46" s="241"/>
      <c r="H46" s="16"/>
      <c r="J46" s="46"/>
      <c r="K46" s="227"/>
    </row>
    <row r="47" spans="1:11">
      <c r="J47" s="46"/>
      <c r="K47" s="227"/>
    </row>
    <row r="48" spans="1:11">
      <c r="D48" s="42">
        <f>DATA!D44</f>
        <v>300</v>
      </c>
      <c r="F48" s="89">
        <f>DATA!F44</f>
        <v>300</v>
      </c>
      <c r="I48" s="22" t="s">
        <v>23</v>
      </c>
      <c r="J48" s="46"/>
      <c r="K48" s="227"/>
    </row>
    <row r="49" spans="1:12">
      <c r="B49" s="22" t="s">
        <v>22</v>
      </c>
      <c r="C49" s="3"/>
      <c r="E49" s="42">
        <f>D51+E51+F51</f>
        <v>10000</v>
      </c>
      <c r="G49" s="3"/>
      <c r="J49" s="46"/>
      <c r="K49" s="227"/>
    </row>
    <row r="50" spans="1:12">
      <c r="I50" s="22" t="s">
        <v>27</v>
      </c>
      <c r="J50" s="46"/>
      <c r="K50" s="227"/>
    </row>
    <row r="51" spans="1:12">
      <c r="B51" s="25" t="s">
        <v>26</v>
      </c>
      <c r="D51" s="15">
        <f>DATA!D42</f>
        <v>0</v>
      </c>
      <c r="E51" s="42">
        <f>DATA!E42</f>
        <v>10000</v>
      </c>
      <c r="F51" s="15">
        <f>DATA!F42</f>
        <v>0</v>
      </c>
      <c r="J51" s="46"/>
      <c r="K51" s="227"/>
    </row>
    <row r="52" spans="1:12">
      <c r="G52" s="188">
        <f>DATA!B46</f>
        <v>15.4</v>
      </c>
      <c r="H52" t="s">
        <v>5</v>
      </c>
      <c r="J52" s="46"/>
      <c r="K52" s="227"/>
    </row>
    <row r="53" spans="1:12">
      <c r="A53" s="33">
        <f>DATA!C48</f>
        <v>15.4</v>
      </c>
      <c r="G53" s="15">
        <f>DATA!G47</f>
        <v>0</v>
      </c>
      <c r="H53" t="s">
        <v>98</v>
      </c>
      <c r="J53" s="46"/>
      <c r="K53" s="227"/>
    </row>
    <row r="54" spans="1:12">
      <c r="B54" s="27" t="s">
        <v>51</v>
      </c>
      <c r="C54" s="189">
        <f>G52-G53</f>
        <v>15.4</v>
      </c>
      <c r="J54" s="46"/>
      <c r="K54" s="227"/>
    </row>
    <row r="55" spans="1:12">
      <c r="J55" s="46"/>
      <c r="K55" s="227"/>
    </row>
    <row r="56" spans="1:12">
      <c r="H56" s="191" t="s">
        <v>472</v>
      </c>
      <c r="J56" s="46"/>
      <c r="K56" s="227"/>
    </row>
    <row r="57" spans="1:12">
      <c r="A57" s="187" t="s">
        <v>474</v>
      </c>
      <c r="D57" s="26">
        <f>(C54-F59)*1000</f>
        <v>6000</v>
      </c>
      <c r="E57" t="s">
        <v>98</v>
      </c>
      <c r="J57" s="46"/>
      <c r="K57" s="227"/>
    </row>
    <row r="58" spans="1:12">
      <c r="J58" s="46"/>
      <c r="K58" s="227"/>
    </row>
    <row r="59" spans="1:12">
      <c r="E59" s="27" t="s">
        <v>51</v>
      </c>
      <c r="F59" s="189">
        <f>DATA!E53</f>
        <v>9.4</v>
      </c>
      <c r="J59" s="46"/>
      <c r="K59" s="227"/>
    </row>
    <row r="60" spans="1:12">
      <c r="D60" s="26">
        <f>DATA!D54</f>
        <v>600</v>
      </c>
      <c r="E60" s="187" t="s">
        <v>464</v>
      </c>
      <c r="I60" s="5"/>
      <c r="J60" s="46"/>
      <c r="K60" s="227"/>
    </row>
    <row r="61" spans="1:12">
      <c r="B61" s="187" t="s">
        <v>473</v>
      </c>
      <c r="G61" s="191" t="s">
        <v>471</v>
      </c>
      <c r="H61" s="187" t="s">
        <v>470</v>
      </c>
      <c r="J61" s="46"/>
      <c r="K61" s="227"/>
    </row>
    <row r="62" spans="1:12">
      <c r="J62" s="46"/>
      <c r="K62" s="227"/>
    </row>
    <row r="63" spans="1:12">
      <c r="A63" t="s">
        <v>450</v>
      </c>
      <c r="D63" s="17">
        <f>D57/1000</f>
        <v>6</v>
      </c>
      <c r="E63" s="187" t="s">
        <v>5</v>
      </c>
      <c r="J63" s="46"/>
      <c r="K63" s="227"/>
    </row>
    <row r="64" spans="1:12">
      <c r="A64" s="187" t="s">
        <v>447</v>
      </c>
      <c r="D64" s="54">
        <f>DATA!D32</f>
        <v>5.25</v>
      </c>
      <c r="E64" s="187" t="s">
        <v>5</v>
      </c>
      <c r="J64" s="46"/>
      <c r="K64" s="227"/>
      <c r="L64">
        <f>DATA!E175/1000</f>
        <v>5.25</v>
      </c>
    </row>
    <row r="65" spans="1:12">
      <c r="A65" s="40" t="s">
        <v>451</v>
      </c>
      <c r="D65" s="54">
        <f>((E51+E49)*G53/(2*E49))/1000</f>
        <v>0</v>
      </c>
      <c r="E65" s="187" t="s">
        <v>5</v>
      </c>
      <c r="F65" s="187" t="s">
        <v>468</v>
      </c>
      <c r="J65" s="46"/>
      <c r="K65" s="232"/>
    </row>
    <row r="66" spans="1:12">
      <c r="A66" s="40" t="s">
        <v>451</v>
      </c>
      <c r="D66" s="133">
        <f>D10</f>
        <v>0.9</v>
      </c>
      <c r="E66" s="187" t="s">
        <v>5</v>
      </c>
      <c r="F66" s="187" t="s">
        <v>469</v>
      </c>
      <c r="J66" s="154"/>
      <c r="K66" s="227"/>
    </row>
    <row r="67" spans="1:12">
      <c r="A67" s="40" t="s">
        <v>467</v>
      </c>
      <c r="D67" s="162">
        <f>D65+D66</f>
        <v>0.9</v>
      </c>
      <c r="E67" s="187" t="s">
        <v>5</v>
      </c>
      <c r="J67" s="46"/>
      <c r="K67" s="227"/>
    </row>
    <row r="68" spans="1:12">
      <c r="A68" s="187" t="str">
        <f>"Earth Pressure for earth, Pa = "&amp;FIXED(H6,3)&amp;" * "&amp;D7&amp;" * "&amp;D63&amp;" = "</f>
        <v xml:space="preserve">Earth Pressure for earth, Pa = 0.490 * 18.9 * 6 = </v>
      </c>
      <c r="F68" s="54">
        <f>H6*D7*D63</f>
        <v>55.598953650550641</v>
      </c>
      <c r="G68" t="s">
        <v>3</v>
      </c>
      <c r="J68" s="46"/>
      <c r="K68" s="227"/>
    </row>
    <row r="69" spans="1:12">
      <c r="A69" s="40" t="str">
        <f>"Earth Pressure for surcharge, Ps = "&amp;FIXED(H6,3)&amp;" * "&amp;D7&amp;" * "&amp;D67&amp;" = "</f>
        <v xml:space="preserve">Earth Pressure for surcharge, Ps = 0.490 * 18.9 * 0.9 = </v>
      </c>
      <c r="F69" s="54">
        <f>H6*D7*D67</f>
        <v>8.3398430475825958</v>
      </c>
      <c r="G69" t="s">
        <v>3</v>
      </c>
      <c r="J69" s="46"/>
      <c r="K69" s="227"/>
    </row>
    <row r="70" spans="1:12">
      <c r="J70" s="46"/>
      <c r="K70" s="227"/>
    </row>
    <row r="71" spans="1:12" ht="15">
      <c r="A71" s="29" t="s">
        <v>717</v>
      </c>
      <c r="J71" s="46"/>
      <c r="K71" s="227"/>
    </row>
    <row r="72" spans="1:12">
      <c r="H72" s="33">
        <f>D73</f>
        <v>36.139319872857918</v>
      </c>
      <c r="J72" s="46"/>
      <c r="K72" s="227"/>
    </row>
    <row r="73" spans="1:12">
      <c r="A73" s="187" t="s">
        <v>478</v>
      </c>
      <c r="D73" s="54">
        <f>0.5*F68+F69</f>
        <v>36.139319872857918</v>
      </c>
      <c r="E73" t="s">
        <v>3</v>
      </c>
      <c r="J73" s="46"/>
      <c r="K73" s="227"/>
      <c r="L73" s="33">
        <f>MAX(DATA!H28,DATA!H29,DATA!H35,DATA!H36)</f>
        <v>1.5</v>
      </c>
    </row>
    <row r="74" spans="1:12">
      <c r="A74" s="187" t="s">
        <v>475</v>
      </c>
      <c r="C74" s="2"/>
      <c r="D74" s="205">
        <f>MAX(DATA!H28,DATA!H29,DATA!H35,DATA!H36)</f>
        <v>1.5</v>
      </c>
      <c r="E74" s="187" t="s">
        <v>5</v>
      </c>
      <c r="J74" s="46"/>
      <c r="K74" s="227"/>
    </row>
    <row r="75" spans="1:12" ht="14.25">
      <c r="A75" s="187" t="s">
        <v>476</v>
      </c>
      <c r="D75" s="54">
        <f>D73*D74^2/10</f>
        <v>8.1313469713930324</v>
      </c>
      <c r="E75" t="s">
        <v>107</v>
      </c>
      <c r="G75" s="33">
        <f>D74</f>
        <v>1.5</v>
      </c>
      <c r="J75" s="46"/>
      <c r="K75" s="227"/>
    </row>
    <row r="76" spans="1:12">
      <c r="A76" s="187" t="s">
        <v>479</v>
      </c>
      <c r="D76" s="54">
        <f>1.15*D73*D74/2</f>
        <v>31.170163390339951</v>
      </c>
      <c r="E76" t="s">
        <v>2215</v>
      </c>
      <c r="F76" s="206"/>
      <c r="J76" s="46"/>
      <c r="K76" s="227"/>
    </row>
    <row r="77" spans="1:12">
      <c r="J77" s="46"/>
      <c r="K77" s="227"/>
    </row>
    <row r="78" spans="1:12">
      <c r="B78" s="213" t="s">
        <v>480</v>
      </c>
      <c r="C78" s="213"/>
      <c r="D78" s="213"/>
      <c r="E78" s="733">
        <f>D48</f>
        <v>300</v>
      </c>
      <c r="F78" s="213" t="s">
        <v>98</v>
      </c>
      <c r="J78" s="46"/>
      <c r="K78" s="227"/>
    </row>
    <row r="79" spans="1:12" ht="15">
      <c r="B79" s="74" t="s">
        <v>108</v>
      </c>
      <c r="C79" s="187" t="s">
        <v>35</v>
      </c>
      <c r="E79" s="129">
        <f>E78-H14-D116/2</f>
        <v>232</v>
      </c>
      <c r="F79" s="187" t="s">
        <v>98</v>
      </c>
      <c r="J79" s="46"/>
      <c r="K79" s="227"/>
    </row>
    <row r="80" spans="1:12">
      <c r="B80" s="109"/>
      <c r="C80" s="90"/>
      <c r="D80" s="109"/>
      <c r="E80" s="46"/>
      <c r="F80" s="109"/>
      <c r="G80" s="46"/>
      <c r="J80" s="46"/>
      <c r="K80" s="227"/>
    </row>
    <row r="81" spans="1:11">
      <c r="A81" t="s">
        <v>483</v>
      </c>
      <c r="D81" s="2"/>
      <c r="G81" s="10">
        <f>(D76*10^3)/(C25*1000)</f>
        <v>73.02748531584507</v>
      </c>
      <c r="H81" s="187" t="s">
        <v>98</v>
      </c>
      <c r="I81" s="126" t="str">
        <f>IF(G81&lt;=E79,"ok","Not ok")</f>
        <v>ok</v>
      </c>
      <c r="J81" s="46"/>
      <c r="K81" s="227"/>
    </row>
    <row r="82" spans="1:11">
      <c r="A82" t="s">
        <v>484</v>
      </c>
      <c r="C82" s="201"/>
      <c r="D82" s="2"/>
      <c r="G82" s="10">
        <f>((D75*10^6)/(C24*1000))^0.5</f>
        <v>75.402999298581491</v>
      </c>
      <c r="H82" s="187" t="s">
        <v>98</v>
      </c>
      <c r="I82" s="126" t="str">
        <f>IF(G82&lt;=E79,"ok","Not ok")</f>
        <v>ok</v>
      </c>
      <c r="J82" s="46"/>
      <c r="K82" s="227"/>
    </row>
    <row r="83" spans="1:11">
      <c r="D83" s="17"/>
      <c r="E83" s="2"/>
      <c r="J83" s="46"/>
      <c r="K83" s="227"/>
    </row>
    <row r="84" spans="1:11">
      <c r="A84" s="187" t="s">
        <v>485</v>
      </c>
      <c r="E84" s="2"/>
      <c r="F84" s="33">
        <f>(D75*10^6)/(C19*C23*E79)</f>
        <v>210.90113673203112</v>
      </c>
      <c r="G84" s="187" t="s">
        <v>128</v>
      </c>
      <c r="J84" s="46"/>
      <c r="K84" s="227"/>
    </row>
    <row r="85" spans="1:11">
      <c r="A85" s="187"/>
      <c r="D85" s="17"/>
      <c r="E85" s="2"/>
      <c r="F85" t="s">
        <v>494</v>
      </c>
      <c r="J85" s="46"/>
      <c r="K85" s="227"/>
    </row>
    <row r="86" spans="1:11">
      <c r="F86" t="s">
        <v>86</v>
      </c>
      <c r="I86" t="s">
        <v>471</v>
      </c>
      <c r="J86" s="46"/>
      <c r="K86" s="227"/>
    </row>
    <row r="87" spans="1:11" ht="15">
      <c r="A87" s="29" t="s">
        <v>718</v>
      </c>
      <c r="J87" s="46"/>
      <c r="K87" s="227"/>
    </row>
    <row r="88" spans="1:11">
      <c r="J88" s="46"/>
      <c r="K88" s="227"/>
    </row>
    <row r="89" spans="1:11">
      <c r="A89" s="187" t="s">
        <v>477</v>
      </c>
      <c r="D89" s="54">
        <f>F68+F69</f>
        <v>63.938796698133238</v>
      </c>
      <c r="E89" t="s">
        <v>3</v>
      </c>
      <c r="J89" s="46"/>
      <c r="K89" s="227"/>
    </row>
    <row r="90" spans="1:11">
      <c r="A90" s="187" t="s">
        <v>495</v>
      </c>
      <c r="C90" s="2"/>
      <c r="D90" s="205"/>
      <c r="E90" s="187"/>
      <c r="F90" s="54">
        <f>0.03*D89*D63</f>
        <v>11.508983405663983</v>
      </c>
      <c r="G90" t="s">
        <v>107</v>
      </c>
      <c r="H90" s="2875">
        <f>D74</f>
        <v>1.5</v>
      </c>
      <c r="I90" s="10"/>
      <c r="J90" s="46"/>
      <c r="K90" s="227"/>
    </row>
    <row r="91" spans="1:11">
      <c r="A91" s="187" t="s">
        <v>496</v>
      </c>
      <c r="F91" s="33">
        <f>F90/4</f>
        <v>2.8772458514159958</v>
      </c>
      <c r="G91" t="s">
        <v>107</v>
      </c>
      <c r="J91" s="46"/>
      <c r="K91" s="227"/>
    </row>
    <row r="92" spans="1:11">
      <c r="A92" s="187" t="s">
        <v>2216</v>
      </c>
      <c r="F92" s="33">
        <f>0.04*0.5*(F69+F68+F69)*D74</f>
        <v>2.1683591923714749</v>
      </c>
      <c r="G92" s="187" t="s">
        <v>21</v>
      </c>
      <c r="J92" s="46"/>
      <c r="K92" s="227"/>
    </row>
    <row r="93" spans="1:11">
      <c r="H93" s="187"/>
      <c r="I93" t="s">
        <v>2217</v>
      </c>
      <c r="J93" s="46"/>
      <c r="K93" s="227"/>
    </row>
    <row r="94" spans="1:11">
      <c r="H94" s="187"/>
      <c r="J94" s="46"/>
      <c r="K94" s="227"/>
    </row>
    <row r="95" spans="1:11">
      <c r="A95" t="s">
        <v>483</v>
      </c>
      <c r="D95" s="2"/>
      <c r="G95" s="10">
        <f>(F92*10^3)/(C25*1000)</f>
        <v>5.0801728915370479</v>
      </c>
      <c r="H95" t="s">
        <v>98</v>
      </c>
      <c r="I95" s="126" t="str">
        <f>IF(G95&lt;=E79,"ok","Not ok")</f>
        <v>ok</v>
      </c>
      <c r="J95" s="46"/>
      <c r="K95" s="227"/>
    </row>
    <row r="96" spans="1:11">
      <c r="A96" t="s">
        <v>499</v>
      </c>
      <c r="C96" s="201"/>
      <c r="D96" s="2"/>
      <c r="G96" s="10">
        <f>((F90*10^6)/(C24*1000))^0.5</f>
        <v>89.706901535064404</v>
      </c>
      <c r="H96" t="s">
        <v>98</v>
      </c>
      <c r="I96" s="126" t="str">
        <f>IF(G96&lt;=E79,"ok","Not ok")</f>
        <v>ok</v>
      </c>
      <c r="J96" s="46"/>
      <c r="K96" s="227"/>
    </row>
    <row r="97" spans="1:11">
      <c r="A97" s="187" t="s">
        <v>497</v>
      </c>
      <c r="E97" s="2"/>
      <c r="F97" s="33">
        <f>(F90*10^6)/(C19*C23*E79)</f>
        <v>298.50622429764405</v>
      </c>
      <c r="G97" s="187" t="s">
        <v>128</v>
      </c>
      <c r="J97" s="46"/>
      <c r="K97" s="227"/>
    </row>
    <row r="98" spans="1:11">
      <c r="A98" s="187" t="s">
        <v>498</v>
      </c>
      <c r="E98" s="2"/>
      <c r="F98" s="33">
        <f>(F91*10^6)/(C19*C23*E79)</f>
        <v>74.626556074411013</v>
      </c>
      <c r="G98" s="187" t="s">
        <v>128</v>
      </c>
      <c r="J98" s="46"/>
      <c r="K98" s="227"/>
    </row>
    <row r="99" spans="1:11">
      <c r="A99" s="187"/>
      <c r="E99" s="2"/>
      <c r="F99" s="33"/>
      <c r="G99" s="187"/>
      <c r="J99" s="46"/>
      <c r="K99" s="227"/>
    </row>
    <row r="100" spans="1:11">
      <c r="G100" s="107"/>
      <c r="H100" s="107"/>
      <c r="J100" s="46"/>
      <c r="K100" s="227"/>
    </row>
    <row r="101" spans="1:11" ht="15">
      <c r="A101" s="433" t="s">
        <v>719</v>
      </c>
      <c r="G101" s="107"/>
      <c r="H101" s="107"/>
      <c r="J101" s="46"/>
      <c r="K101" s="227"/>
    </row>
    <row r="102" spans="1:11">
      <c r="J102" s="46"/>
      <c r="K102" s="227"/>
    </row>
    <row r="103" spans="1:11">
      <c r="A103" s="3147" t="s">
        <v>486</v>
      </c>
      <c r="B103" s="3148" t="s">
        <v>487</v>
      </c>
      <c r="C103" s="3148" t="s">
        <v>488</v>
      </c>
      <c r="D103" s="3148" t="s">
        <v>489</v>
      </c>
      <c r="E103" s="3149" t="s">
        <v>490</v>
      </c>
      <c r="F103" s="3150"/>
      <c r="G103" s="3150"/>
      <c r="H103" s="3150"/>
      <c r="I103" s="3150"/>
      <c r="J103" s="46"/>
      <c r="K103" s="227"/>
    </row>
    <row r="104" spans="1:11">
      <c r="A104" s="3147"/>
      <c r="B104" s="3148"/>
      <c r="C104" s="3148"/>
      <c r="D104" s="3148"/>
      <c r="E104" s="94">
        <v>12</v>
      </c>
      <c r="F104" s="94">
        <v>16</v>
      </c>
      <c r="G104" s="94">
        <v>20</v>
      </c>
      <c r="H104" s="94">
        <v>22</v>
      </c>
      <c r="I104" s="94">
        <v>25</v>
      </c>
      <c r="J104" s="46"/>
      <c r="K104" s="227"/>
    </row>
    <row r="105" spans="1:11" ht="14.25">
      <c r="A105" s="172"/>
      <c r="B105" s="256" t="s">
        <v>491</v>
      </c>
      <c r="C105" s="256" t="s">
        <v>491</v>
      </c>
      <c r="D105" s="256" t="s">
        <v>491</v>
      </c>
      <c r="E105" s="257" t="s">
        <v>98</v>
      </c>
      <c r="F105" s="257" t="s">
        <v>98</v>
      </c>
      <c r="G105" s="257" t="s">
        <v>98</v>
      </c>
      <c r="H105" s="257" t="s">
        <v>98</v>
      </c>
      <c r="I105" s="257" t="s">
        <v>98</v>
      </c>
      <c r="J105" s="46"/>
      <c r="K105" s="227"/>
    </row>
    <row r="106" spans="1:11">
      <c r="A106" s="258" t="s">
        <v>492</v>
      </c>
      <c r="B106" s="55"/>
      <c r="C106" s="55"/>
      <c r="D106" s="55"/>
      <c r="E106" s="55"/>
      <c r="F106" s="55"/>
      <c r="G106" s="55"/>
      <c r="H106" s="55"/>
      <c r="I106" s="56"/>
      <c r="J106" s="46"/>
      <c r="K106" s="227"/>
    </row>
    <row r="107" spans="1:11">
      <c r="A107" s="259" t="s">
        <v>111</v>
      </c>
      <c r="B107" s="260">
        <f>F98</f>
        <v>74.626556074411013</v>
      </c>
      <c r="C107" s="260">
        <f>IF(E78&gt;380,F39*1000*380,F39*1000*E78)</f>
        <v>300</v>
      </c>
      <c r="D107" s="260">
        <f>MAX(B107:C107)</f>
        <v>300</v>
      </c>
      <c r="E107" s="261">
        <f>PI()*(E104/2)^2*1000/$D107</f>
        <v>376.9911184307752</v>
      </c>
      <c r="F107" s="261">
        <f t="shared" ref="F107:I107" si="0">PI()*(F104/2)^2*1000/$D107</f>
        <v>670.20643276582246</v>
      </c>
      <c r="G107" s="261">
        <f t="shared" si="0"/>
        <v>1047.1975511965977</v>
      </c>
      <c r="H107" s="261">
        <f t="shared" si="0"/>
        <v>1267.1090369478832</v>
      </c>
      <c r="I107" s="283">
        <f t="shared" si="0"/>
        <v>1636.246173744684</v>
      </c>
      <c r="J107" s="46"/>
      <c r="K107" s="227"/>
    </row>
    <row r="108" spans="1:11">
      <c r="A108" s="262" t="s">
        <v>110</v>
      </c>
      <c r="B108" s="263">
        <f>F84</f>
        <v>210.90113673203112</v>
      </c>
      <c r="C108" s="260">
        <f>IF(E78&gt;380,F40*1000*380,F40*1000*E78)</f>
        <v>300</v>
      </c>
      <c r="D108" s="263">
        <f>MAX(B108:C108)</f>
        <v>300</v>
      </c>
      <c r="E108" s="261">
        <f>PI()*(E104/2)^2*1000/$D108</f>
        <v>376.9911184307752</v>
      </c>
      <c r="F108" s="261">
        <f t="shared" ref="F108:I108" si="1">PI()*(F104/2)^2*1000/$D108</f>
        <v>670.20643276582246</v>
      </c>
      <c r="G108" s="261">
        <f t="shared" si="1"/>
        <v>1047.1975511965977</v>
      </c>
      <c r="H108" s="261">
        <f t="shared" si="1"/>
        <v>1267.1090369478832</v>
      </c>
      <c r="I108" s="283">
        <f t="shared" si="1"/>
        <v>1636.246173744684</v>
      </c>
      <c r="J108" s="46"/>
      <c r="K108" s="227"/>
    </row>
    <row r="109" spans="1:11">
      <c r="A109" s="264" t="s">
        <v>493</v>
      </c>
      <c r="B109" s="265"/>
      <c r="C109" s="265"/>
      <c r="D109" s="266"/>
      <c r="E109" s="266"/>
      <c r="F109" s="266"/>
      <c r="G109" s="266"/>
      <c r="H109" s="266"/>
      <c r="I109" s="267"/>
      <c r="J109" s="46"/>
      <c r="K109" s="227"/>
    </row>
    <row r="110" spans="1:11">
      <c r="A110" s="259" t="s">
        <v>111</v>
      </c>
      <c r="B110" s="260">
        <f>F97</f>
        <v>298.50622429764405</v>
      </c>
      <c r="C110" s="260">
        <f>IF(E78&gt;380,F42*1000*380,F42*1000*E78)</f>
        <v>600</v>
      </c>
      <c r="D110" s="260">
        <f>MAX(B110:C110)</f>
        <v>600</v>
      </c>
      <c r="E110" s="261">
        <f>PI()*(E104/2)^2*1000/$D110</f>
        <v>188.4955592153876</v>
      </c>
      <c r="F110" s="261">
        <f t="shared" ref="F110:I110" si="2">PI()*(F104/2)^2*1000/$D110</f>
        <v>335.10321638291123</v>
      </c>
      <c r="G110" s="261">
        <f t="shared" si="2"/>
        <v>523.59877559829886</v>
      </c>
      <c r="H110" s="261">
        <f t="shared" si="2"/>
        <v>633.55451847394158</v>
      </c>
      <c r="I110" s="283">
        <f t="shared" si="2"/>
        <v>818.12308687234201</v>
      </c>
      <c r="J110" s="46"/>
      <c r="K110" s="227"/>
    </row>
    <row r="111" spans="1:11">
      <c r="A111" s="262" t="s">
        <v>110</v>
      </c>
      <c r="B111" s="263">
        <f>F84</f>
        <v>210.90113673203112</v>
      </c>
      <c r="C111" s="263">
        <f>IF(E78&gt;380,F43*1000*380,F43*1000*E78)</f>
        <v>600</v>
      </c>
      <c r="D111" s="263">
        <f>MAX(B111:C111)</f>
        <v>600</v>
      </c>
      <c r="E111" s="284">
        <f>PI()*(E104/2)^2*1000/$D111</f>
        <v>188.4955592153876</v>
      </c>
      <c r="F111" s="284">
        <f t="shared" ref="F111:I111" si="3">PI()*(F104/2)^2*1000/$D111</f>
        <v>335.10321638291123</v>
      </c>
      <c r="G111" s="284">
        <f t="shared" si="3"/>
        <v>523.59877559829886</v>
      </c>
      <c r="H111" s="284">
        <f t="shared" si="3"/>
        <v>633.55451847394158</v>
      </c>
      <c r="I111" s="285">
        <f t="shared" si="3"/>
        <v>818.12308687234201</v>
      </c>
      <c r="J111" s="46"/>
      <c r="K111" s="227"/>
    </row>
    <row r="112" spans="1:11">
      <c r="J112" s="46"/>
      <c r="K112" s="227"/>
    </row>
    <row r="113" spans="1:16">
      <c r="J113" s="46"/>
      <c r="K113" s="227"/>
    </row>
    <row r="114" spans="1:16">
      <c r="B114" s="258" t="s">
        <v>492</v>
      </c>
      <c r="C114" s="55"/>
      <c r="D114" s="252"/>
      <c r="E114" s="55"/>
      <c r="F114" s="55"/>
      <c r="G114" s="56"/>
      <c r="J114" s="46"/>
      <c r="K114" s="227"/>
    </row>
    <row r="115" spans="1:16" ht="15.75">
      <c r="B115" s="259" t="s">
        <v>111</v>
      </c>
      <c r="C115" s="268" t="s">
        <v>136</v>
      </c>
      <c r="D115" s="269">
        <v>16</v>
      </c>
      <c r="E115" s="270" t="s">
        <v>481</v>
      </c>
      <c r="F115" s="271">
        <v>200</v>
      </c>
      <c r="G115" s="272" t="s">
        <v>482</v>
      </c>
      <c r="J115" s="46"/>
      <c r="K115" s="227"/>
    </row>
    <row r="116" spans="1:16" ht="15.75">
      <c r="B116" s="262" t="s">
        <v>110</v>
      </c>
      <c r="C116" s="268" t="s">
        <v>136</v>
      </c>
      <c r="D116" s="269">
        <v>16</v>
      </c>
      <c r="E116" s="270" t="s">
        <v>481</v>
      </c>
      <c r="F116" s="271">
        <v>200</v>
      </c>
      <c r="G116" s="272" t="s">
        <v>482</v>
      </c>
      <c r="J116" s="46"/>
      <c r="K116" s="227"/>
      <c r="L116" s="2572" t="s">
        <v>2036</v>
      </c>
      <c r="M116" s="55"/>
      <c r="N116" s="55"/>
      <c r="O116" s="55"/>
      <c r="P116" s="2563"/>
    </row>
    <row r="117" spans="1:16" ht="15">
      <c r="B117" s="264" t="s">
        <v>493</v>
      </c>
      <c r="C117" s="273"/>
      <c r="D117" s="274"/>
      <c r="E117" s="275"/>
      <c r="F117" s="276"/>
      <c r="G117" s="277"/>
      <c r="J117" s="46"/>
      <c r="K117" s="227"/>
      <c r="L117" s="2574" t="s">
        <v>2039</v>
      </c>
      <c r="M117" s="16"/>
      <c r="N117" s="16"/>
      <c r="O117" s="16"/>
      <c r="P117" s="58"/>
    </row>
    <row r="118" spans="1:16" ht="15.75">
      <c r="B118" s="259" t="s">
        <v>111</v>
      </c>
      <c r="C118" s="268" t="s">
        <v>136</v>
      </c>
      <c r="D118" s="269">
        <v>16</v>
      </c>
      <c r="E118" s="270" t="s">
        <v>481</v>
      </c>
      <c r="F118" s="271">
        <v>200</v>
      </c>
      <c r="G118" s="272" t="s">
        <v>482</v>
      </c>
      <c r="J118" s="46"/>
      <c r="K118" s="227"/>
      <c r="L118" s="2567" t="s">
        <v>136</v>
      </c>
      <c r="M118" s="2568">
        <f>Barrel!D198</f>
        <v>16</v>
      </c>
      <c r="N118" s="2569" t="s">
        <v>481</v>
      </c>
      <c r="O118" s="2570">
        <f>Barrel!F198</f>
        <v>200</v>
      </c>
      <c r="P118" s="2571" t="s">
        <v>482</v>
      </c>
    </row>
    <row r="119" spans="1:16" ht="15.75">
      <c r="B119" s="262" t="s">
        <v>110</v>
      </c>
      <c r="C119" s="278" t="s">
        <v>136</v>
      </c>
      <c r="D119" s="279">
        <v>16</v>
      </c>
      <c r="E119" s="280" t="s">
        <v>481</v>
      </c>
      <c r="F119" s="281">
        <v>200</v>
      </c>
      <c r="G119" s="282" t="s">
        <v>482</v>
      </c>
      <c r="J119" s="46"/>
      <c r="K119" s="227"/>
    </row>
    <row r="120" spans="1:16">
      <c r="J120" s="46"/>
      <c r="K120" s="227"/>
    </row>
    <row r="121" spans="1:16">
      <c r="J121" s="46"/>
      <c r="K121" s="227"/>
    </row>
    <row r="122" spans="1:16">
      <c r="J122" s="46"/>
      <c r="K122" s="227"/>
    </row>
    <row r="123" spans="1:16">
      <c r="J123" s="46"/>
      <c r="K123" s="227"/>
    </row>
    <row r="124" spans="1:16">
      <c r="A124" s="227"/>
      <c r="B124" s="227"/>
      <c r="C124" s="227"/>
      <c r="D124" s="227"/>
      <c r="E124" s="227"/>
      <c r="F124" s="227"/>
      <c r="G124" s="227"/>
      <c r="H124" s="227"/>
      <c r="I124" s="227"/>
      <c r="J124" s="227"/>
      <c r="K124" s="227"/>
    </row>
    <row r="125" spans="1:16">
      <c r="J125" s="46"/>
    </row>
  </sheetData>
  <sheetProtection selectLockedCells="1"/>
  <mergeCells count="6">
    <mergeCell ref="A1:J1"/>
    <mergeCell ref="A103:A104"/>
    <mergeCell ref="B103:B104"/>
    <mergeCell ref="C103:C104"/>
    <mergeCell ref="D103:D104"/>
    <mergeCell ref="E103:I103"/>
  </mergeCells>
  <phoneticPr fontId="13" type="noConversion"/>
  <pageMargins left="0.75" right="0.75" top="1" bottom="1" header="0.5" footer="0.5"/>
  <pageSetup paperSize="9" orientation="portrait" horizontalDpi="300" verticalDpi="300" r:id="rId1"/>
  <headerFooter alignWithMargins="0">
    <oddFooter>&amp;C&amp;F         &amp;A            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CI391"/>
  <sheetViews>
    <sheetView zoomScaleSheetLayoutView="100" workbookViewId="0">
      <selection activeCell="K11" sqref="K11"/>
    </sheetView>
  </sheetViews>
  <sheetFormatPr defaultRowHeight="12.75"/>
  <cols>
    <col min="9" max="10" width="9.140625" customWidth="1"/>
    <col min="11" max="11" width="3" customWidth="1"/>
  </cols>
  <sheetData>
    <row r="1" spans="1:19" ht="15.75">
      <c r="A1" s="31" t="s">
        <v>610</v>
      </c>
      <c r="K1" s="159"/>
    </row>
    <row r="2" spans="1:19">
      <c r="K2" s="159"/>
    </row>
    <row r="3" spans="1:19">
      <c r="A3" s="187" t="s">
        <v>449</v>
      </c>
      <c r="D3" s="205">
        <f>DATA!D3</f>
        <v>23.6</v>
      </c>
      <c r="E3" t="s">
        <v>1</v>
      </c>
      <c r="H3" s="17" t="s">
        <v>2221</v>
      </c>
      <c r="I3" s="2927">
        <f>IF(Hydraulic!P15="",1,Hydraulic!P15)</f>
        <v>2</v>
      </c>
      <c r="J3" s="46" t="s">
        <v>2218</v>
      </c>
      <c r="K3" s="159"/>
      <c r="L3" s="776" t="s">
        <v>919</v>
      </c>
      <c r="M3" s="777"/>
      <c r="N3" s="777"/>
      <c r="O3" s="778"/>
    </row>
    <row r="4" spans="1:19">
      <c r="A4" t="s">
        <v>415</v>
      </c>
      <c r="D4" s="205">
        <f>DATA!D4</f>
        <v>15.7</v>
      </c>
      <c r="E4" t="s">
        <v>1</v>
      </c>
      <c r="H4" s="17" t="s">
        <v>2219</v>
      </c>
      <c r="I4" s="2942" t="str">
        <f>Hydraulic!P16</f>
        <v>y</v>
      </c>
      <c r="K4" s="159"/>
      <c r="L4" s="57" t="s">
        <v>112</v>
      </c>
      <c r="M4" s="16"/>
      <c r="N4" s="75">
        <f>C12</f>
        <v>2</v>
      </c>
      <c r="O4" s="58"/>
    </row>
    <row r="5" spans="1:19">
      <c r="A5" t="s">
        <v>416</v>
      </c>
      <c r="D5" s="205">
        <f>DATA!D5</f>
        <v>17.3</v>
      </c>
      <c r="E5" t="s">
        <v>1</v>
      </c>
      <c r="K5" s="159"/>
      <c r="L5" s="369" t="s">
        <v>837</v>
      </c>
      <c r="M5" s="16"/>
      <c r="N5" s="107">
        <f>C14</f>
        <v>1.7999999999999998</v>
      </c>
      <c r="O5" s="58" t="s">
        <v>5</v>
      </c>
    </row>
    <row r="6" spans="1:19">
      <c r="A6" t="s">
        <v>417</v>
      </c>
      <c r="D6" s="205">
        <f>DATA!D6</f>
        <v>18.899999999999999</v>
      </c>
      <c r="E6" t="s">
        <v>1</v>
      </c>
      <c r="K6" s="159"/>
      <c r="L6" s="369" t="s">
        <v>838</v>
      </c>
      <c r="M6" s="16"/>
      <c r="N6" s="107">
        <f>E14</f>
        <v>1.8</v>
      </c>
      <c r="O6" s="58" t="s">
        <v>5</v>
      </c>
    </row>
    <row r="7" spans="1:19">
      <c r="A7" t="s">
        <v>418</v>
      </c>
      <c r="D7" s="205">
        <f>DATA!D7</f>
        <v>9.81</v>
      </c>
      <c r="E7" t="s">
        <v>1</v>
      </c>
      <c r="K7" s="159"/>
      <c r="L7" s="369" t="s">
        <v>775</v>
      </c>
      <c r="M7" s="16"/>
      <c r="N7" s="448">
        <f>D15</f>
        <v>0.6</v>
      </c>
      <c r="O7" s="366" t="s">
        <v>5</v>
      </c>
    </row>
    <row r="8" spans="1:19" ht="15.75">
      <c r="A8" s="187" t="s">
        <v>501</v>
      </c>
      <c r="D8" s="287">
        <f>DATA!I15</f>
        <v>20</v>
      </c>
      <c r="E8" s="12" t="s">
        <v>321</v>
      </c>
      <c r="F8" s="115">
        <f>RADIANS(D8)</f>
        <v>0.3490658503988659</v>
      </c>
      <c r="G8" t="s">
        <v>322</v>
      </c>
      <c r="K8" s="159"/>
      <c r="L8" s="369" t="s">
        <v>839</v>
      </c>
      <c r="M8" s="16"/>
      <c r="N8" s="107">
        <f>D16</f>
        <v>0.7</v>
      </c>
      <c r="O8" s="366" t="s">
        <v>5</v>
      </c>
    </row>
    <row r="9" spans="1:19">
      <c r="A9" t="s">
        <v>503</v>
      </c>
      <c r="C9" t="str">
        <f>DATA!C8</f>
        <v>H20  =</v>
      </c>
      <c r="D9" s="287">
        <f>DATA!D8</f>
        <v>196.14000000000001</v>
      </c>
      <c r="E9" t="s">
        <v>4</v>
      </c>
      <c r="K9" s="159"/>
      <c r="L9" s="369" t="s">
        <v>781</v>
      </c>
      <c r="M9" s="16"/>
      <c r="N9" s="503">
        <f>D17</f>
        <v>0.6</v>
      </c>
      <c r="O9" s="277" t="s">
        <v>5</v>
      </c>
    </row>
    <row r="10" spans="1:19">
      <c r="A10" s="289" t="s">
        <v>465</v>
      </c>
      <c r="B10" s="46"/>
      <c r="C10" s="46"/>
      <c r="D10" s="205">
        <f>HeadWall!D10</f>
        <v>0.9</v>
      </c>
      <c r="E10" s="109" t="s">
        <v>323</v>
      </c>
      <c r="F10" s="46">
        <f>D10*D5</f>
        <v>15.57</v>
      </c>
      <c r="G10" s="46" t="s">
        <v>126</v>
      </c>
      <c r="K10" s="159"/>
      <c r="L10" s="369" t="s">
        <v>819</v>
      </c>
      <c r="M10" s="16"/>
      <c r="N10" s="503">
        <f>D18</f>
        <v>0.45</v>
      </c>
      <c r="O10" s="277" t="s">
        <v>5</v>
      </c>
    </row>
    <row r="11" spans="1:19">
      <c r="A11" s="46"/>
      <c r="B11" s="290"/>
      <c r="C11" s="46"/>
      <c r="D11" s="109"/>
      <c r="E11" s="109" t="s">
        <v>466</v>
      </c>
      <c r="F11" s="46"/>
      <c r="G11" s="46"/>
      <c r="K11" s="159"/>
      <c r="L11" s="369" t="s">
        <v>840</v>
      </c>
      <c r="M11" s="16"/>
      <c r="N11" s="107">
        <f>F128</f>
        <v>129.428</v>
      </c>
      <c r="O11" s="366" t="s">
        <v>3</v>
      </c>
      <c r="Q11" s="46"/>
      <c r="R11" s="46"/>
      <c r="S11" s="46"/>
    </row>
    <row r="12" spans="1:19">
      <c r="A12" t="s">
        <v>112</v>
      </c>
      <c r="C12" s="288">
        <f>DATA!C14</f>
        <v>2</v>
      </c>
      <c r="H12" s="46"/>
      <c r="I12" s="46"/>
      <c r="J12" s="46"/>
      <c r="K12" s="159"/>
      <c r="L12" s="369" t="s">
        <v>841</v>
      </c>
      <c r="M12" s="16"/>
      <c r="N12" s="107">
        <f>F143</f>
        <v>142.77885714285713</v>
      </c>
      <c r="O12" s="366" t="s">
        <v>3</v>
      </c>
      <c r="Q12" s="46"/>
      <c r="R12" s="46"/>
      <c r="S12" s="46"/>
    </row>
    <row r="13" spans="1:19">
      <c r="A13" s="26" t="s">
        <v>204</v>
      </c>
      <c r="C13" s="113">
        <f>DATA!C16</f>
        <v>1</v>
      </c>
      <c r="H13" s="46"/>
      <c r="I13" s="46"/>
      <c r="J13" s="46"/>
      <c r="K13" s="159"/>
      <c r="L13" s="369" t="s">
        <v>842</v>
      </c>
      <c r="M13" s="16"/>
      <c r="N13" s="107">
        <f>I130</f>
        <v>89.537898896243007</v>
      </c>
      <c r="O13" s="366" t="s">
        <v>3</v>
      </c>
      <c r="P13" s="46"/>
      <c r="Q13" s="109"/>
      <c r="R13" s="46"/>
      <c r="S13" s="46"/>
    </row>
    <row r="14" spans="1:19">
      <c r="A14" s="127" t="s">
        <v>199</v>
      </c>
      <c r="B14" s="126"/>
      <c r="C14" s="761">
        <f>DATA!C19</f>
        <v>1.7999999999999998</v>
      </c>
      <c r="D14" s="207" t="s">
        <v>156</v>
      </c>
      <c r="E14" s="762">
        <f>DATA!E19</f>
        <v>1.8</v>
      </c>
      <c r="F14" s="207" t="s">
        <v>5</v>
      </c>
      <c r="K14" s="159"/>
      <c r="L14" s="369" t="s">
        <v>843</v>
      </c>
      <c r="M14" s="16"/>
      <c r="N14" s="107">
        <f>I140</f>
        <v>120.00565615954791</v>
      </c>
      <c r="O14" s="366" t="s">
        <v>3</v>
      </c>
      <c r="S14" s="46"/>
    </row>
    <row r="15" spans="1:19">
      <c r="A15" s="187" t="s">
        <v>775</v>
      </c>
      <c r="D15" s="224">
        <f>DATA!D20</f>
        <v>0.6</v>
      </c>
      <c r="E15" s="187" t="s">
        <v>5</v>
      </c>
      <c r="F15" s="109"/>
      <c r="K15" s="159"/>
      <c r="L15" s="369" t="s">
        <v>844</v>
      </c>
      <c r="M15" s="16"/>
      <c r="N15" s="75">
        <v>1E-4</v>
      </c>
      <c r="O15" s="58"/>
      <c r="S15" s="46"/>
    </row>
    <row r="16" spans="1:19">
      <c r="A16" s="187" t="s">
        <v>777</v>
      </c>
      <c r="D16" s="224">
        <f>DATA!D21</f>
        <v>0.7</v>
      </c>
      <c r="E16" s="187" t="s">
        <v>5</v>
      </c>
      <c r="F16" s="187" t="s">
        <v>1021</v>
      </c>
      <c r="H16" s="33">
        <f>DATA!H22</f>
        <v>1.8</v>
      </c>
      <c r="I16" s="187" t="s">
        <v>5</v>
      </c>
      <c r="J16" s="187"/>
      <c r="K16" s="159"/>
      <c r="L16" s="369" t="s">
        <v>420</v>
      </c>
      <c r="M16" s="16"/>
      <c r="N16" s="504">
        <f>C21</f>
        <v>22</v>
      </c>
      <c r="O16" s="366" t="s">
        <v>845</v>
      </c>
      <c r="S16" s="46"/>
    </row>
    <row r="17" spans="1:19">
      <c r="A17" s="187" t="s">
        <v>781</v>
      </c>
      <c r="D17" s="205">
        <f>DATA!D22</f>
        <v>0.6</v>
      </c>
      <c r="E17" s="109" t="s">
        <v>5</v>
      </c>
      <c r="F17" s="187" t="s">
        <v>1022</v>
      </c>
      <c r="H17" s="33">
        <f>DATA!H23</f>
        <v>1.8</v>
      </c>
      <c r="I17" s="187" t="s">
        <v>5</v>
      </c>
      <c r="J17" s="187"/>
      <c r="K17" s="159"/>
      <c r="L17" s="57" t="s">
        <v>8</v>
      </c>
      <c r="M17" s="16"/>
      <c r="N17" s="504">
        <f>C22</f>
        <v>414</v>
      </c>
      <c r="O17" s="366" t="s">
        <v>846</v>
      </c>
      <c r="Q17" s="46"/>
      <c r="R17" s="46"/>
      <c r="S17" s="46"/>
    </row>
    <row r="18" spans="1:19">
      <c r="A18" s="187" t="s">
        <v>819</v>
      </c>
      <c r="D18" s="205">
        <f>DATA!D23</f>
        <v>0.45</v>
      </c>
      <c r="E18" s="109" t="s">
        <v>5</v>
      </c>
      <c r="F18" s="109"/>
      <c r="K18" s="159"/>
      <c r="L18" s="369" t="s">
        <v>847</v>
      </c>
      <c r="M18" s="16"/>
      <c r="N18" s="505">
        <f>C30</f>
        <v>0.32388983567840407</v>
      </c>
      <c r="O18" s="58"/>
      <c r="Q18" s="46"/>
      <c r="R18" s="46"/>
      <c r="S18" s="46"/>
    </row>
    <row r="19" spans="1:19">
      <c r="A19" s="187" t="s">
        <v>1037</v>
      </c>
      <c r="D19" s="205">
        <f>DATA!D24</f>
        <v>5.25</v>
      </c>
      <c r="E19" s="109" t="s">
        <v>5</v>
      </c>
      <c r="K19" s="159"/>
      <c r="L19" s="371" t="s">
        <v>848</v>
      </c>
      <c r="M19" s="59"/>
      <c r="N19" s="506">
        <f>C31</f>
        <v>0.89203672144053203</v>
      </c>
      <c r="O19" s="60"/>
    </row>
    <row r="20" spans="1:19">
      <c r="K20" s="159"/>
    </row>
    <row r="21" spans="1:19" ht="14.25">
      <c r="A21" s="187" t="s">
        <v>420</v>
      </c>
      <c r="C21" s="237">
        <f>HeadWall!C13</f>
        <v>22</v>
      </c>
      <c r="D21" s="187" t="s">
        <v>421</v>
      </c>
      <c r="E21" s="144" t="s">
        <v>422</v>
      </c>
      <c r="K21" s="159"/>
    </row>
    <row r="22" spans="1:19" ht="14.25">
      <c r="A22" t="s">
        <v>8</v>
      </c>
      <c r="C22" s="237">
        <f>HeadWall!C14</f>
        <v>414</v>
      </c>
      <c r="D22" s="187" t="s">
        <v>421</v>
      </c>
      <c r="E22" t="s">
        <v>423</v>
      </c>
      <c r="H22" s="233">
        <f>HeadWall!H14</f>
        <v>60</v>
      </c>
      <c r="I22" t="s">
        <v>98</v>
      </c>
      <c r="K22" s="159"/>
    </row>
    <row r="23" spans="1:19" ht="14.25">
      <c r="A23" t="s">
        <v>11</v>
      </c>
      <c r="C23" s="65">
        <f>HeadWall!C15</f>
        <v>200000</v>
      </c>
      <c r="D23" s="187" t="s">
        <v>421</v>
      </c>
      <c r="E23" t="s">
        <v>424</v>
      </c>
      <c r="H23" s="233">
        <f>HeadWall!H15</f>
        <v>50</v>
      </c>
      <c r="I23" t="s">
        <v>98</v>
      </c>
      <c r="K23" s="159"/>
    </row>
    <row r="24" spans="1:19" ht="14.25">
      <c r="A24" s="187" t="s">
        <v>446</v>
      </c>
      <c r="C24" s="585">
        <f>4.73*10^3*(C21)^0.5</f>
        <v>22185.666543964824</v>
      </c>
      <c r="D24" s="187" t="s">
        <v>421</v>
      </c>
      <c r="E24" s="241" t="s">
        <v>2134</v>
      </c>
      <c r="F24" s="16"/>
      <c r="G24" s="16"/>
      <c r="H24" s="16">
        <f>IF(Hydraulic!O2="y",Hydraulic!O3,0)</f>
        <v>0</v>
      </c>
      <c r="I24" t="s">
        <v>98</v>
      </c>
      <c r="K24" s="159"/>
    </row>
    <row r="25" spans="1:19">
      <c r="E25" s="61"/>
      <c r="F25" s="46"/>
      <c r="G25" s="46"/>
      <c r="H25" s="234"/>
      <c r="I25" s="46"/>
      <c r="J25" s="46"/>
      <c r="K25" s="159"/>
    </row>
    <row r="26" spans="1:19" ht="14.25">
      <c r="A26" s="187" t="s">
        <v>425</v>
      </c>
      <c r="C26" s="145">
        <f>0.45*C21</f>
        <v>9.9</v>
      </c>
      <c r="D26" s="187" t="s">
        <v>421</v>
      </c>
      <c r="E26" s="46"/>
      <c r="F26" s="46"/>
      <c r="G26" s="46"/>
      <c r="H26" s="46"/>
      <c r="I26" s="46"/>
      <c r="J26" s="46"/>
      <c r="K26" s="159"/>
    </row>
    <row r="27" spans="1:19" ht="14.25">
      <c r="A27" s="187" t="s">
        <v>426</v>
      </c>
      <c r="C27" s="145">
        <f>0.45*C22</f>
        <v>186.3</v>
      </c>
      <c r="D27" s="187" t="s">
        <v>421</v>
      </c>
      <c r="J27" s="46"/>
      <c r="K27" s="159"/>
    </row>
    <row r="28" spans="1:19">
      <c r="A28" t="s">
        <v>10</v>
      </c>
      <c r="C28" s="190">
        <f>C23/C24</f>
        <v>9.0148294442118573</v>
      </c>
      <c r="J28" s="46"/>
      <c r="K28" s="159"/>
    </row>
    <row r="29" spans="1:19">
      <c r="A29" t="s">
        <v>427</v>
      </c>
      <c r="C29" s="10">
        <f>C27/C26</f>
        <v>18.81818181818182</v>
      </c>
      <c r="E29" s="109"/>
      <c r="F29" s="46"/>
      <c r="G29" s="46"/>
      <c r="H29" s="236"/>
      <c r="I29" s="46"/>
      <c r="J29" s="46"/>
      <c r="K29" s="159"/>
    </row>
    <row r="30" spans="1:19">
      <c r="A30" t="s">
        <v>428</v>
      </c>
      <c r="C30" s="14">
        <f>C28/(C28+C29)</f>
        <v>0.32388983567840407</v>
      </c>
      <c r="E30" s="46"/>
      <c r="F30" s="46"/>
      <c r="G30" s="46"/>
      <c r="H30" s="46"/>
      <c r="I30" s="46"/>
      <c r="J30" s="46"/>
      <c r="K30" s="159"/>
    </row>
    <row r="31" spans="1:19">
      <c r="A31" t="s">
        <v>12</v>
      </c>
      <c r="C31" s="14">
        <f>1-C30/3</f>
        <v>0.89203672144053203</v>
      </c>
      <c r="K31" s="159"/>
    </row>
    <row r="32" spans="1:19" ht="14.25">
      <c r="A32" t="s">
        <v>429</v>
      </c>
      <c r="C32" s="10">
        <f>0.5*C26*C30*C31</f>
        <v>1.4301620542760574</v>
      </c>
      <c r="D32" s="187" t="s">
        <v>421</v>
      </c>
      <c r="E32" s="18"/>
      <c r="K32" s="159"/>
    </row>
    <row r="33" spans="1:15" ht="14.25">
      <c r="A33" s="187" t="s">
        <v>452</v>
      </c>
      <c r="C33" s="14">
        <f>9.1*10^(-2)*C21^0.5</f>
        <v>0.42682783414393211</v>
      </c>
      <c r="D33" s="187" t="s">
        <v>421</v>
      </c>
      <c r="K33" s="159"/>
    </row>
    <row r="34" spans="1:15" ht="14.25">
      <c r="A34" s="30" t="s">
        <v>430</v>
      </c>
      <c r="D34" s="115">
        <f>0.17*C21^0.5</f>
        <v>0.79737067916998317</v>
      </c>
      <c r="E34" s="187" t="s">
        <v>421</v>
      </c>
      <c r="H34" s="115"/>
      <c r="I34" s="187"/>
      <c r="J34" s="187"/>
      <c r="K34" s="159"/>
    </row>
    <row r="35" spans="1:15">
      <c r="K35" s="159"/>
    </row>
    <row r="36" spans="1:15" ht="15.75">
      <c r="B36" s="238" t="s">
        <v>431</v>
      </c>
      <c r="C36" s="239"/>
      <c r="D36" s="240"/>
      <c r="K36" s="159"/>
    </row>
    <row r="37" spans="1:15" ht="14.25">
      <c r="A37" s="241" t="s">
        <v>432</v>
      </c>
      <c r="C37" s="241" t="s">
        <v>433</v>
      </c>
      <c r="D37" s="16"/>
      <c r="E37" s="16"/>
      <c r="F37" s="16">
        <f>0.1/100</f>
        <v>1E-3</v>
      </c>
      <c r="G37" s="241" t="s">
        <v>434</v>
      </c>
      <c r="K37" s="159"/>
    </row>
    <row r="38" spans="1:15" ht="14.25">
      <c r="C38" s="241" t="s">
        <v>435</v>
      </c>
      <c r="D38" s="16"/>
      <c r="E38" s="16"/>
      <c r="F38" s="16">
        <f>0.2/100</f>
        <v>2E-3</v>
      </c>
      <c r="G38" s="241" t="s">
        <v>434</v>
      </c>
      <c r="K38" s="159"/>
    </row>
    <row r="39" spans="1:15" ht="14.25">
      <c r="C39" s="241" t="s">
        <v>436</v>
      </c>
      <c r="D39" s="16"/>
      <c r="E39" s="16"/>
      <c r="F39" s="16">
        <f>0.15/100</f>
        <v>1.5E-3</v>
      </c>
      <c r="G39" s="241" t="s">
        <v>434</v>
      </c>
      <c r="K39" s="159"/>
    </row>
    <row r="40" spans="1:15">
      <c r="C40" s="16"/>
      <c r="D40" s="16"/>
      <c r="E40" s="16"/>
      <c r="F40" s="16"/>
      <c r="G40" s="16"/>
      <c r="K40" s="159"/>
    </row>
    <row r="41" spans="1:15">
      <c r="A41" s="241" t="s">
        <v>437</v>
      </c>
      <c r="D41" s="16"/>
      <c r="E41" s="16"/>
      <c r="F41" s="16"/>
      <c r="G41" s="16"/>
      <c r="K41" s="159"/>
    </row>
    <row r="42" spans="1:15" ht="14.25">
      <c r="C42" s="241" t="s">
        <v>433</v>
      </c>
      <c r="D42" s="16"/>
      <c r="E42" s="16"/>
      <c r="F42" s="16">
        <f>0.15/100</f>
        <v>1.5E-3</v>
      </c>
      <c r="G42" s="241" t="s">
        <v>434</v>
      </c>
      <c r="K42" s="159"/>
    </row>
    <row r="43" spans="1:15" ht="14.25">
      <c r="C43" s="241" t="s">
        <v>435</v>
      </c>
      <c r="D43" s="16"/>
      <c r="E43" s="16"/>
      <c r="F43" s="16">
        <f>0.25/100</f>
        <v>2.5000000000000001E-3</v>
      </c>
      <c r="G43" s="241" t="s">
        <v>434</v>
      </c>
      <c r="K43" s="159"/>
    </row>
    <row r="44" spans="1:15" ht="14.25">
      <c r="C44" s="241" t="s">
        <v>436</v>
      </c>
      <c r="D44" s="16"/>
      <c r="E44" s="16"/>
      <c r="F44" s="16">
        <f>0.2/100</f>
        <v>2E-3</v>
      </c>
      <c r="G44" s="241" t="s">
        <v>434</v>
      </c>
      <c r="K44" s="159"/>
    </row>
    <row r="45" spans="1:15">
      <c r="K45" s="159"/>
    </row>
    <row r="46" spans="1:15">
      <c r="D46" s="42">
        <f>DATA!D44</f>
        <v>300</v>
      </c>
      <c r="F46" s="42">
        <f>DATA!F44</f>
        <v>300</v>
      </c>
      <c r="K46" s="159"/>
      <c r="L46" s="187"/>
      <c r="N46" s="205"/>
      <c r="O46" s="187"/>
    </row>
    <row r="47" spans="1:15">
      <c r="C47" s="3"/>
      <c r="E47" s="42">
        <f>D49+E49+F49</f>
        <v>10000</v>
      </c>
      <c r="G47" s="3"/>
      <c r="K47" s="159"/>
    </row>
    <row r="48" spans="1:15">
      <c r="K48" s="159"/>
    </row>
    <row r="49" spans="1:19">
      <c r="D49" s="15">
        <f>DATA!D42</f>
        <v>0</v>
      </c>
      <c r="E49" s="42">
        <f>DATA!E42</f>
        <v>10000</v>
      </c>
      <c r="F49" s="15">
        <f>DATA!F42</f>
        <v>0</v>
      </c>
      <c r="K49" s="159"/>
    </row>
    <row r="50" spans="1:19">
      <c r="K50" s="159"/>
    </row>
    <row r="51" spans="1:19">
      <c r="G51" s="15">
        <f>DATA!G47</f>
        <v>0</v>
      </c>
      <c r="J51" s="22"/>
      <c r="K51" s="159"/>
    </row>
    <row r="52" spans="1:19">
      <c r="K52" s="159"/>
    </row>
    <row r="53" spans="1:19">
      <c r="J53" s="22"/>
      <c r="K53" s="159"/>
      <c r="L53" s="187"/>
      <c r="N53" s="54"/>
      <c r="P53" s="187"/>
    </row>
    <row r="54" spans="1:19">
      <c r="B54" s="22" t="s">
        <v>22</v>
      </c>
      <c r="H54" s="22" t="s">
        <v>23</v>
      </c>
      <c r="K54" s="159"/>
    </row>
    <row r="55" spans="1:19">
      <c r="C55" s="492" t="s">
        <v>26</v>
      </c>
      <c r="D55" s="26">
        <f>DATA!D51</f>
        <v>6000</v>
      </c>
      <c r="K55" s="159"/>
    </row>
    <row r="56" spans="1:19">
      <c r="H56" s="22" t="s">
        <v>27</v>
      </c>
      <c r="K56" s="159"/>
    </row>
    <row r="57" spans="1:19">
      <c r="K57" s="159"/>
    </row>
    <row r="58" spans="1:19">
      <c r="D58" s="26">
        <f>DATA!D20*1000</f>
        <v>600</v>
      </c>
      <c r="I58" s="5"/>
      <c r="J58" s="5"/>
      <c r="K58" s="159"/>
    </row>
    <row r="59" spans="1:19">
      <c r="B59" s="4"/>
      <c r="K59" s="159"/>
    </row>
    <row r="60" spans="1:19">
      <c r="A60" t="s">
        <v>450</v>
      </c>
      <c r="D60" s="17">
        <f>D55/1000</f>
        <v>6</v>
      </c>
      <c r="E60" s="187" t="s">
        <v>5</v>
      </c>
      <c r="K60" s="159"/>
    </row>
    <row r="61" spans="1:19">
      <c r="A61" s="40" t="s">
        <v>1028</v>
      </c>
      <c r="D61" s="54">
        <f>G51/1000</f>
        <v>0</v>
      </c>
      <c r="E61" s="187" t="s">
        <v>5</v>
      </c>
      <c r="K61" s="159"/>
      <c r="L61" s="2951" t="s">
        <v>2230</v>
      </c>
      <c r="M61" s="2952"/>
      <c r="N61" s="2952"/>
      <c r="O61" s="2973" t="str">
        <f>DATA!O166</f>
        <v>n</v>
      </c>
      <c r="P61" s="2952"/>
      <c r="Q61" s="2952"/>
      <c r="R61" s="2952"/>
      <c r="S61" s="2953"/>
    </row>
    <row r="62" spans="1:19">
      <c r="A62" s="40" t="s">
        <v>1029</v>
      </c>
      <c r="D62" s="54">
        <f>D60+D61</f>
        <v>6</v>
      </c>
      <c r="E62" s="187" t="s">
        <v>5</v>
      </c>
      <c r="K62" s="159"/>
      <c r="L62" s="2954" t="s">
        <v>2231</v>
      </c>
      <c r="M62" s="2955"/>
      <c r="N62" s="2955"/>
      <c r="O62" s="2956">
        <f>DATA!N169</f>
        <v>600</v>
      </c>
      <c r="P62" s="2955" t="s">
        <v>5</v>
      </c>
      <c r="Q62" s="2955"/>
      <c r="R62" s="2955"/>
      <c r="S62" s="2957"/>
    </row>
    <row r="63" spans="1:19">
      <c r="K63" s="159"/>
      <c r="L63" s="2954"/>
      <c r="M63" s="2955"/>
      <c r="N63" s="2955"/>
      <c r="O63" s="2955"/>
      <c r="P63" s="2955"/>
      <c r="Q63" s="2955"/>
      <c r="R63" s="2955"/>
      <c r="S63" s="2957"/>
    </row>
    <row r="64" spans="1:19">
      <c r="A64" s="289" t="s">
        <v>451</v>
      </c>
      <c r="B64" s="46"/>
      <c r="C64" s="46"/>
      <c r="E64" s="162">
        <f>((0.5*(E47+E49)*G51)/E47)/1000</f>
        <v>0</v>
      </c>
      <c r="F64" s="109" t="s">
        <v>5</v>
      </c>
      <c r="G64" s="109" t="s">
        <v>468</v>
      </c>
      <c r="H64" s="46"/>
      <c r="K64" s="159"/>
      <c r="L64" s="2958" t="s">
        <v>2232</v>
      </c>
      <c r="M64" s="2955"/>
      <c r="N64" s="2955"/>
      <c r="O64" s="2959">
        <f>DATA!O167</f>
        <v>3</v>
      </c>
      <c r="P64" s="2955" t="s">
        <v>5</v>
      </c>
      <c r="Q64" s="2955"/>
      <c r="R64" s="2955"/>
      <c r="S64" s="2957"/>
    </row>
    <row r="65" spans="1:20">
      <c r="A65" s="289" t="s">
        <v>451</v>
      </c>
      <c r="B65" s="46"/>
      <c r="C65" s="46"/>
      <c r="E65" s="162">
        <f>D10</f>
        <v>0.9</v>
      </c>
      <c r="F65" s="109" t="s">
        <v>5</v>
      </c>
      <c r="G65" s="109" t="s">
        <v>469</v>
      </c>
      <c r="H65" s="46"/>
      <c r="K65" s="159"/>
      <c r="L65" s="2958" t="s">
        <v>1029</v>
      </c>
      <c r="M65" s="2955"/>
      <c r="N65" s="2955"/>
      <c r="O65" s="2960">
        <f>O64+D61</f>
        <v>3</v>
      </c>
      <c r="P65" s="2955" t="s">
        <v>5</v>
      </c>
      <c r="Q65" s="2955"/>
      <c r="R65" s="2955"/>
      <c r="S65" s="2957"/>
    </row>
    <row r="66" spans="1:20">
      <c r="A66" s="40" t="str">
        <f>"Total height of surcharge, h' =  "&amp;FIXED(E64,2)&amp;" + "&amp;FIXED(E65,2)&amp;" ="</f>
        <v>Total height of surcharge, h' =  0.00 + 0.90 =</v>
      </c>
      <c r="E66" s="162">
        <f>E64+E65</f>
        <v>0.9</v>
      </c>
      <c r="F66" s="187" t="s">
        <v>5</v>
      </c>
      <c r="K66" s="159"/>
      <c r="L66" s="2958" t="s">
        <v>451</v>
      </c>
      <c r="M66" s="2955"/>
      <c r="N66" s="2955"/>
      <c r="O66" s="2955">
        <f>((0.5*(E47+E49)*G51)/E47)/1000</f>
        <v>0</v>
      </c>
      <c r="P66" s="2960"/>
      <c r="Q66" s="2955" t="s">
        <v>1092</v>
      </c>
      <c r="R66" s="2955"/>
      <c r="S66" s="2957"/>
    </row>
    <row r="67" spans="1:20">
      <c r="A67" s="187" t="str">
        <f>"Load on Front Wheel = 0.2 * "&amp;D9&amp;" ="</f>
        <v>Load on Front Wheel = 0.2 * 196.14 =</v>
      </c>
      <c r="B67" s="4"/>
      <c r="E67" s="54">
        <f>0.2*D9</f>
        <v>39.228000000000009</v>
      </c>
      <c r="F67" s="187" t="s">
        <v>341</v>
      </c>
      <c r="K67" s="159"/>
      <c r="L67" s="2958" t="s">
        <v>451</v>
      </c>
      <c r="M67" s="2955"/>
      <c r="N67" s="2955"/>
      <c r="O67" s="2961">
        <f>D10</f>
        <v>0.9</v>
      </c>
      <c r="P67" s="2960"/>
      <c r="Q67" s="2955" t="s">
        <v>1091</v>
      </c>
      <c r="R67" s="2955"/>
      <c r="S67" s="2957"/>
    </row>
    <row r="68" spans="1:20">
      <c r="A68" s="187" t="str">
        <f>"Load on Rear Wheel = 0.8 * "&amp;D9&amp;" ="</f>
        <v>Load on Rear Wheel = 0.8 * 196.14 =</v>
      </c>
      <c r="E68" s="54">
        <f>0.8*D9</f>
        <v>156.91200000000003</v>
      </c>
      <c r="F68" s="187" t="s">
        <v>341</v>
      </c>
      <c r="K68" s="159"/>
      <c r="L68" s="2958" t="str">
        <f>"Total height of surcharge, h' =  "&amp;FIXED(E64,2)&amp;" + "&amp;FIXED(E65,2)&amp;" ="</f>
        <v>Total height of surcharge, h' =  0.00 + 0.90 =</v>
      </c>
      <c r="M68" s="2955"/>
      <c r="N68" s="2955"/>
      <c r="O68" s="2955"/>
      <c r="P68" s="2960">
        <f>O66+O67</f>
        <v>0.9</v>
      </c>
      <c r="Q68" s="2955" t="s">
        <v>5</v>
      </c>
      <c r="R68" s="2955"/>
      <c r="S68" s="2957"/>
    </row>
    <row r="69" spans="1:20">
      <c r="A69" s="40"/>
      <c r="D69" s="2"/>
      <c r="E69" s="10"/>
      <c r="K69" s="159"/>
      <c r="L69" s="2954"/>
      <c r="M69" s="2955"/>
      <c r="N69" s="2955"/>
      <c r="O69" s="2955"/>
      <c r="P69" s="2955"/>
      <c r="Q69" s="2955"/>
      <c r="R69" s="2955"/>
      <c r="S69" s="2957"/>
    </row>
    <row r="70" spans="1:20" ht="15">
      <c r="A70" s="1" t="s">
        <v>849</v>
      </c>
      <c r="D70" s="29" t="s">
        <v>113</v>
      </c>
      <c r="K70" s="159"/>
      <c r="L70" s="2958" t="s">
        <v>505</v>
      </c>
      <c r="M70" s="2955"/>
      <c r="N70" s="2955"/>
      <c r="O70" s="2962"/>
      <c r="P70" s="2963"/>
      <c r="Q70" s="2955"/>
      <c r="R70" s="2955"/>
      <c r="S70" s="2957"/>
    </row>
    <row r="71" spans="1:20">
      <c r="A71" s="1"/>
      <c r="K71" s="159"/>
      <c r="L71" s="2958" t="str">
        <f>"Along the embankment = 1.75h = 1.75* "&amp;D62&amp;" ="</f>
        <v>Along the embankment = 1.75h = 1.75* 6 =</v>
      </c>
      <c r="M71" s="2955"/>
      <c r="N71" s="2955"/>
      <c r="O71" s="2964"/>
      <c r="P71" s="2955"/>
      <c r="Q71" s="2974">
        <f>1.75*O65</f>
        <v>5.25</v>
      </c>
      <c r="R71" s="2955" t="s">
        <v>5</v>
      </c>
      <c r="S71" s="2957"/>
    </row>
    <row r="72" spans="1:20">
      <c r="C72" s="43">
        <v>1.83</v>
      </c>
      <c r="H72" s="33">
        <f>E68</f>
        <v>156.91200000000003</v>
      </c>
      <c r="I72" s="187" t="s">
        <v>341</v>
      </c>
      <c r="K72" s="159"/>
      <c r="L72" s="2954" t="str">
        <f>"Transverse = 1.75h +1.83 = 1.75 * "&amp;D62&amp;" + "&amp;C72&amp;" ="</f>
        <v>Transverse = 1.75h +1.83 = 1.75 * 6 + 1.83 =</v>
      </c>
      <c r="M72" s="2955"/>
      <c r="N72" s="2955"/>
      <c r="O72" s="2964"/>
      <c r="P72" s="2955"/>
      <c r="Q72" s="2960">
        <f>1.75*O65+C72</f>
        <v>7.08</v>
      </c>
      <c r="R72" s="2955" t="str">
        <f>IF(F85&gt;H85,"m       &gt;","m    &lt;=")</f>
        <v>m       &gt;</v>
      </c>
      <c r="S72" s="2965">
        <f>E47/1000</f>
        <v>10</v>
      </c>
      <c r="T72" s="187" t="s">
        <v>5</v>
      </c>
    </row>
    <row r="73" spans="1:20">
      <c r="D73" s="2"/>
      <c r="F73" s="10"/>
      <c r="K73" s="159"/>
      <c r="L73" s="2954" t="s">
        <v>1032</v>
      </c>
      <c r="M73" s="2955"/>
      <c r="N73" s="2955"/>
      <c r="O73" s="2964"/>
      <c r="P73" s="2955"/>
      <c r="Q73" s="2960">
        <f>IF(Q72&gt;=E47/1000,E47/1000,Q72)</f>
        <v>7.08</v>
      </c>
      <c r="R73" s="2955" t="s">
        <v>5</v>
      </c>
      <c r="S73" s="2957"/>
    </row>
    <row r="74" spans="1:20">
      <c r="D74" s="2"/>
      <c r="F74" s="10"/>
      <c r="K74" s="159"/>
      <c r="L74" s="2954" t="str">
        <f>"Distributed area = "&amp;Q71&amp;" * "&amp;Q73&amp;" ="</f>
        <v>Distributed area = 5.25 * 7.08 =</v>
      </c>
      <c r="M74" s="2955"/>
      <c r="N74" s="2955"/>
      <c r="O74" s="2964"/>
      <c r="P74" s="2955"/>
      <c r="Q74" s="2960">
        <f>Q71*Q73</f>
        <v>37.17</v>
      </c>
      <c r="R74" s="2955" t="s">
        <v>115</v>
      </c>
      <c r="S74" s="2957"/>
    </row>
    <row r="75" spans="1:20">
      <c r="D75" s="2"/>
      <c r="F75" s="10"/>
      <c r="K75" s="159"/>
      <c r="L75" s="2954" t="str">
        <f>IF(I4="y","Load from Whole Truck =","Load of rear wheels =")</f>
        <v>Load from Whole Truck =</v>
      </c>
      <c r="M75" s="2955"/>
      <c r="N75" s="2966"/>
      <c r="O75" s="2964"/>
      <c r="P75" s="2955"/>
      <c r="Q75" s="2960">
        <f>IF(I4="y",E68+E67,E68)</f>
        <v>196.14000000000004</v>
      </c>
      <c r="R75" s="2955" t="s">
        <v>21</v>
      </c>
      <c r="S75" s="2957"/>
    </row>
    <row r="76" spans="1:20">
      <c r="B76" s="33">
        <f>D62</f>
        <v>6</v>
      </c>
      <c r="H76" s="27" t="s">
        <v>114</v>
      </c>
      <c r="I76" s="54">
        <f>D62</f>
        <v>6</v>
      </c>
      <c r="J76" t="s">
        <v>5</v>
      </c>
      <c r="K76" s="159"/>
      <c r="L76" s="2954" t="str">
        <f>"Unit Load = "&amp;FIXED(F88,2)&amp;" / "&amp;FIXED(F87,2)&amp;" ="</f>
        <v>Unit Load = 196.14 / 105.00 =</v>
      </c>
      <c r="M76" s="2955"/>
      <c r="N76" s="2955"/>
      <c r="O76" s="2964"/>
      <c r="P76" s="2955"/>
      <c r="Q76" s="2960">
        <f>Q75/Q74</f>
        <v>5.2768361581920917</v>
      </c>
      <c r="R76" s="2955" t="s">
        <v>3</v>
      </c>
      <c r="S76" s="2957"/>
    </row>
    <row r="77" spans="1:20">
      <c r="D77" s="2"/>
      <c r="K77" s="159"/>
      <c r="L77" s="2954"/>
      <c r="M77" s="2955"/>
      <c r="N77" s="2955"/>
      <c r="O77" s="2955"/>
      <c r="P77" s="2955"/>
      <c r="Q77" s="2955"/>
      <c r="R77" s="2955"/>
      <c r="S77" s="2957"/>
    </row>
    <row r="78" spans="1:20">
      <c r="K78" s="159"/>
      <c r="L78" s="2954" t="str">
        <f>"Load from  "&amp;I3&amp;" nos. of  truck with Loading  "&amp;C9&amp;""</f>
        <v>Load from  2 nos. of  truck with Loading  H20  =</v>
      </c>
      <c r="M78" s="2955"/>
      <c r="N78" s="2955"/>
      <c r="O78" s="2955"/>
      <c r="P78" s="2955"/>
      <c r="Q78" s="2961">
        <f>Q76*I3</f>
        <v>10.553672316384183</v>
      </c>
      <c r="R78" s="2955" t="s">
        <v>3</v>
      </c>
      <c r="S78" s="2957"/>
    </row>
    <row r="79" spans="1:20">
      <c r="C79" s="187" t="s">
        <v>506</v>
      </c>
      <c r="D79" s="2"/>
      <c r="K79" s="159"/>
      <c r="L79" s="2954" t="str">
        <f>"Load for Embankment = ( "&amp;FIXED(O66,2)&amp;" + "&amp;O64&amp;" )*"&amp;D6&amp;" = "</f>
        <v xml:space="preserve">Load for Embankment = ( 0.00 + 3 )*18.9 = </v>
      </c>
      <c r="M79" s="2955"/>
      <c r="N79" s="2955"/>
      <c r="O79" s="2955"/>
      <c r="P79" s="2955"/>
      <c r="Q79" s="2967">
        <f>(O66+O64)*D6</f>
        <v>56.699999999999996</v>
      </c>
      <c r="R79" s="2968" t="s">
        <v>3</v>
      </c>
      <c r="S79" s="2957"/>
    </row>
    <row r="80" spans="1:20">
      <c r="C80" s="33">
        <f>H85</f>
        <v>10</v>
      </c>
      <c r="D80" s="187" t="s">
        <v>5</v>
      </c>
      <c r="K80" s="159"/>
      <c r="L80" s="2954"/>
      <c r="M80" s="2955"/>
      <c r="N80" s="2955"/>
      <c r="O80" s="2955"/>
      <c r="P80" s="2966" t="s">
        <v>2233</v>
      </c>
      <c r="Q80" s="2961">
        <f>Q78+Q79</f>
        <v>67.253672316384183</v>
      </c>
      <c r="R80" s="2955" t="s">
        <v>3</v>
      </c>
      <c r="S80" s="2957"/>
    </row>
    <row r="81" spans="1:19">
      <c r="B81" t="s">
        <v>1030</v>
      </c>
      <c r="C81" s="17"/>
      <c r="D81" s="2"/>
      <c r="E81" s="10"/>
      <c r="G81" t="s">
        <v>1031</v>
      </c>
      <c r="K81" s="159"/>
      <c r="L81" s="2954"/>
      <c r="M81" s="2955"/>
      <c r="N81" s="2955"/>
      <c r="O81" s="2955"/>
      <c r="P81" s="2955"/>
      <c r="Q81" s="2955"/>
      <c r="R81" s="2955"/>
      <c r="S81" s="2957"/>
    </row>
    <row r="82" spans="1:19" ht="14.25">
      <c r="A82" s="76"/>
      <c r="D82" s="2"/>
      <c r="E82" s="2"/>
      <c r="K82" s="159"/>
      <c r="L82" s="2954" t="str">
        <f>"Self wt. of Extra slab = "&amp;O62&amp;" * "&amp;D3&amp;" / 1000  ="</f>
        <v>Self wt. of Extra slab = 600 * 23.6 / 1000  =</v>
      </c>
      <c r="M82" s="2955"/>
      <c r="N82" s="2955"/>
      <c r="O82" s="2955"/>
      <c r="P82" s="2955"/>
      <c r="Q82" s="2968">
        <f>O62*D3/1000</f>
        <v>14.16</v>
      </c>
      <c r="R82" s="2968" t="s">
        <v>3</v>
      </c>
      <c r="S82" s="2957"/>
    </row>
    <row r="83" spans="1:19">
      <c r="A83" s="40" t="s">
        <v>505</v>
      </c>
      <c r="D83" s="2"/>
      <c r="E83" s="10"/>
      <c r="K83" s="159"/>
      <c r="L83" s="2969"/>
      <c r="M83" s="2968"/>
      <c r="N83" s="2968"/>
      <c r="O83" s="2968"/>
      <c r="P83" s="2970" t="s">
        <v>1397</v>
      </c>
      <c r="Q83" s="2971">
        <f>Q80+Q82</f>
        <v>81.413672316384179</v>
      </c>
      <c r="R83" s="2968" t="s">
        <v>3</v>
      </c>
      <c r="S83" s="2972"/>
    </row>
    <row r="84" spans="1:19">
      <c r="A84" s="40" t="str">
        <f>"Along the embankment = 1.75h = 1.75* "&amp;D62&amp;" ="</f>
        <v>Along the embankment = 1.75h = 1.75* 6 =</v>
      </c>
      <c r="D84" s="9"/>
      <c r="F84" s="54">
        <f>1.75*D62</f>
        <v>10.5</v>
      </c>
      <c r="G84" s="187" t="s">
        <v>5</v>
      </c>
      <c r="K84" s="159"/>
    </row>
    <row r="85" spans="1:19">
      <c r="A85" s="187" t="str">
        <f>"Transverse = 1.75h +1.83 = 1.75 * "&amp;D62&amp;" + "&amp;C72&amp;" ="</f>
        <v>Transverse = 1.75h +1.83 = 1.75 * 6 + 1.83 =</v>
      </c>
      <c r="D85" s="9"/>
      <c r="F85" s="54">
        <f>1.75*D62+C72</f>
        <v>12.33</v>
      </c>
      <c r="G85" s="187" t="str">
        <f>IF(F85&gt;H85,"m       &gt;","m    &lt;=")</f>
        <v>m       &gt;</v>
      </c>
      <c r="H85" s="33">
        <f>E47/1000</f>
        <v>10</v>
      </c>
      <c r="I85" s="187" t="s">
        <v>5</v>
      </c>
      <c r="K85" s="159"/>
    </row>
    <row r="86" spans="1:19">
      <c r="A86" s="187" t="s">
        <v>1032</v>
      </c>
      <c r="D86" s="9"/>
      <c r="F86" s="54">
        <f>IF(F85&gt;=E47/1000,E47/1000,F85)</f>
        <v>10</v>
      </c>
      <c r="G86" s="187" t="s">
        <v>5</v>
      </c>
      <c r="K86" s="159"/>
    </row>
    <row r="87" spans="1:19">
      <c r="A87" s="187" t="str">
        <f>"Distributed area = "&amp;F84&amp;" * "&amp;F86&amp;" ="</f>
        <v>Distributed area = 10.5 * 10 =</v>
      </c>
      <c r="D87" s="9"/>
      <c r="F87" s="54">
        <f>F84*F86</f>
        <v>105</v>
      </c>
      <c r="G87" t="s">
        <v>115</v>
      </c>
      <c r="K87" s="159"/>
    </row>
    <row r="88" spans="1:19">
      <c r="A88" s="187" t="str">
        <f>IF(I4="y","Load from Whole Truck =","Load of rear wheels =")</f>
        <v>Load from Whole Truck =</v>
      </c>
      <c r="C88" s="17"/>
      <c r="D88" s="9"/>
      <c r="F88" s="54">
        <f>IF(I4="y",E68+E67,E68)</f>
        <v>196.14000000000004</v>
      </c>
      <c r="G88" t="s">
        <v>21</v>
      </c>
      <c r="K88" s="159"/>
      <c r="L88" s="26"/>
    </row>
    <row r="89" spans="1:19">
      <c r="A89" s="187" t="str">
        <f>"Unit Load = "&amp;FIXED(F88,2)&amp;" / "&amp;FIXED(F87,2)&amp;" ="</f>
        <v>Unit Load = 196.14 / 105.00 =</v>
      </c>
      <c r="D89" s="9"/>
      <c r="F89" s="54">
        <f>F88/F87</f>
        <v>1.8680000000000003</v>
      </c>
      <c r="G89" t="s">
        <v>3</v>
      </c>
      <c r="K89" s="159"/>
    </row>
    <row r="90" spans="1:19">
      <c r="D90" s="9"/>
      <c r="K90" s="159"/>
    </row>
    <row r="91" spans="1:19">
      <c r="A91" s="187" t="str">
        <f>"Load from  "&amp;1&amp;" nos. of  truck with Loading  "&amp;C9&amp;""</f>
        <v>Load from  1 nos. of  truck with Loading  H20  =</v>
      </c>
      <c r="D91" s="2"/>
      <c r="F91" s="54">
        <f>F89*1</f>
        <v>1.8680000000000003</v>
      </c>
      <c r="G91" t="s">
        <v>3</v>
      </c>
      <c r="K91" s="159"/>
    </row>
    <row r="92" spans="1:19">
      <c r="A92" t="str">
        <f>"Load for Embankment = ( "&amp;FIXED(E64,2)&amp;" + "&amp;D60&amp;" )*"&amp;D6&amp;" = "</f>
        <v xml:space="preserve">Load for Embankment = ( 0.00 + 6 )*18.9 = </v>
      </c>
      <c r="D92" s="9"/>
      <c r="F92" s="54">
        <f>(E64+D60)*D6</f>
        <v>113.39999999999999</v>
      </c>
      <c r="G92" t="s">
        <v>3</v>
      </c>
      <c r="K92" s="159"/>
    </row>
    <row r="93" spans="1:19">
      <c r="A93" t="str">
        <f>"Self wt. of top slab = "&amp;D58&amp;" * "&amp;D3&amp;" / 1000  ="</f>
        <v>Self wt. of top slab = 600 * 23.6 / 1000  =</v>
      </c>
      <c r="D93" s="9"/>
      <c r="F93" s="1497">
        <f>D58*D3/1000</f>
        <v>14.16</v>
      </c>
      <c r="G93" s="59" t="s">
        <v>3</v>
      </c>
      <c r="K93" s="159"/>
    </row>
    <row r="94" spans="1:19">
      <c r="D94" s="223"/>
      <c r="E94" s="203" t="s">
        <v>1397</v>
      </c>
      <c r="F94" s="210">
        <f>SUM(F91:F93)</f>
        <v>129.428</v>
      </c>
      <c r="G94" s="187" t="s">
        <v>3</v>
      </c>
      <c r="H94" s="187"/>
      <c r="K94" s="159"/>
    </row>
    <row r="95" spans="1:19">
      <c r="K95" s="159"/>
    </row>
    <row r="96" spans="1:19">
      <c r="A96" s="1" t="s">
        <v>850</v>
      </c>
      <c r="E96" s="7"/>
      <c r="G96" s="7"/>
      <c r="K96" s="159"/>
    </row>
    <row r="97" spans="1:12">
      <c r="E97" s="7"/>
      <c r="G97" s="7"/>
      <c r="K97" s="159"/>
    </row>
    <row r="98" spans="1:12">
      <c r="A98" s="30" t="str">
        <f>"Pier below top slab = ( "&amp;C13&amp;" * "&amp;D18&amp;" * "&amp;E14&amp;" * "&amp;D3&amp;" ) / "&amp;D19&amp;" ="</f>
        <v>Pier below top slab = ( 1 * 0.45 * 1.8 * 23.6 ) / 5.25 =</v>
      </c>
      <c r="B98" s="3"/>
      <c r="C98" s="4"/>
      <c r="D98" s="9"/>
      <c r="G98" s="54">
        <f>(C13*D18*E14*D3)/D19</f>
        <v>3.6411428571428579</v>
      </c>
      <c r="H98" t="s">
        <v>3</v>
      </c>
      <c r="K98" s="159"/>
    </row>
    <row r="99" spans="1:12">
      <c r="A99" s="30" t="str">
        <f>"Abutment below top slab = ( 2 * "&amp;D17&amp;" * "&amp;E14&amp;" * "&amp;D3&amp;" ) / "&amp;D19&amp;" ="</f>
        <v>Abutment below top slab = ( 2 * 0.6 * 1.8 * 23.6 ) / 5.25 =</v>
      </c>
      <c r="B99" s="4"/>
      <c r="C99" s="4"/>
      <c r="D99" s="9"/>
      <c r="G99" s="54">
        <f>(2*D17*E14*D3)/D19</f>
        <v>9.7097142857142877</v>
      </c>
      <c r="H99" t="s">
        <v>3</v>
      </c>
      <c r="K99" s="159"/>
    </row>
    <row r="100" spans="1:12">
      <c r="A100" s="20" t="s">
        <v>116</v>
      </c>
      <c r="D100" s="2"/>
      <c r="G100" s="211">
        <f>F94</f>
        <v>129.428</v>
      </c>
      <c r="H100" s="59" t="s">
        <v>3</v>
      </c>
      <c r="K100" s="159"/>
    </row>
    <row r="101" spans="1:12">
      <c r="F101" s="203" t="s">
        <v>1036</v>
      </c>
      <c r="G101" s="210">
        <f>SUM(G98:G100)</f>
        <v>142.77885714285713</v>
      </c>
      <c r="H101" s="187" t="s">
        <v>3</v>
      </c>
      <c r="K101" s="159"/>
    </row>
    <row r="102" spans="1:12">
      <c r="D102" s="223"/>
      <c r="H102" s="17" t="s">
        <v>507</v>
      </c>
      <c r="K102" s="159"/>
    </row>
    <row r="103" spans="1:12" ht="14.25">
      <c r="D103" s="2"/>
      <c r="E103" s="17"/>
      <c r="K103" s="159"/>
      <c r="L103" s="335"/>
    </row>
    <row r="104" spans="1:12">
      <c r="A104" s="1" t="s">
        <v>851</v>
      </c>
      <c r="B104" s="3"/>
      <c r="C104" s="4"/>
      <c r="D104" s="2"/>
      <c r="E104" s="9"/>
      <c r="K104" s="159"/>
    </row>
    <row r="105" spans="1:12">
      <c r="K105" s="159"/>
    </row>
    <row r="106" spans="1:12">
      <c r="K106" s="159"/>
    </row>
    <row r="107" spans="1:12">
      <c r="F107" s="54">
        <f>E65</f>
        <v>0.9</v>
      </c>
      <c r="G107" s="109" t="s">
        <v>1038</v>
      </c>
      <c r="K107" s="159"/>
      <c r="L107" s="187" t="s">
        <v>466</v>
      </c>
    </row>
    <row r="108" spans="1:12">
      <c r="C108" s="17" t="s">
        <v>1039</v>
      </c>
      <c r="D108" s="36">
        <f>DATA!C48</f>
        <v>15.4</v>
      </c>
      <c r="K108" s="159"/>
    </row>
    <row r="109" spans="1:12">
      <c r="K109" s="159"/>
    </row>
    <row r="110" spans="1:12">
      <c r="K110" s="159"/>
    </row>
    <row r="111" spans="1:12">
      <c r="C111" s="54">
        <f>0.5*F113+F111</f>
        <v>6.3</v>
      </c>
      <c r="D111" s="187" t="s">
        <v>5</v>
      </c>
      <c r="E111" s="187"/>
      <c r="F111" s="185">
        <f>D60</f>
        <v>6</v>
      </c>
      <c r="G111" s="187" t="s">
        <v>5</v>
      </c>
      <c r="K111" s="159"/>
    </row>
    <row r="112" spans="1:12">
      <c r="E112" t="str">
        <f>"EL="&amp;DATA!E53</f>
        <v>EL=9.4</v>
      </c>
      <c r="K112" s="159"/>
    </row>
    <row r="113" spans="1:13">
      <c r="C113" s="2" t="s">
        <v>117</v>
      </c>
      <c r="F113" s="36">
        <f>D15</f>
        <v>0.6</v>
      </c>
      <c r="K113" s="159"/>
    </row>
    <row r="114" spans="1:13">
      <c r="K114" s="159"/>
    </row>
    <row r="115" spans="1:13" ht="15">
      <c r="C115" s="36">
        <f>F111+F113+F116+0.5*F120</f>
        <v>8.75</v>
      </c>
      <c r="K115" s="159"/>
      <c r="L115" s="29"/>
      <c r="M115" s="29"/>
    </row>
    <row r="116" spans="1:13">
      <c r="F116" s="18">
        <f>E14</f>
        <v>1.8</v>
      </c>
      <c r="K116" s="159"/>
    </row>
    <row r="117" spans="1:13">
      <c r="K117" s="159"/>
    </row>
    <row r="118" spans="1:13">
      <c r="K118" s="159"/>
    </row>
    <row r="119" spans="1:13">
      <c r="K119" s="159"/>
    </row>
    <row r="120" spans="1:13">
      <c r="C120" s="17" t="s">
        <v>118</v>
      </c>
      <c r="F120" s="189">
        <f>D16</f>
        <v>0.7</v>
      </c>
      <c r="K120" s="159"/>
    </row>
    <row r="121" spans="1:13">
      <c r="K121" s="159"/>
    </row>
    <row r="122" spans="1:13">
      <c r="K122" s="159"/>
    </row>
    <row r="123" spans="1:13">
      <c r="A123" s="187" t="s">
        <v>920</v>
      </c>
      <c r="D123" s="2"/>
      <c r="E123" s="78"/>
      <c r="F123" s="85">
        <f>(1-SIN(F8))</f>
        <v>0.65797985667433134</v>
      </c>
      <c r="K123" s="159"/>
    </row>
    <row r="124" spans="1:13" ht="15.75">
      <c r="A124" s="38" t="s">
        <v>921</v>
      </c>
      <c r="K124" s="159"/>
    </row>
    <row r="125" spans="1:13">
      <c r="A125" t="s">
        <v>1040</v>
      </c>
      <c r="C125" s="187" t="str">
        <f>"Centre of top slab, at a = "&amp;FIXED(F123,3)&amp;"*"&amp;D6&amp;"*("&amp;C111&amp;"+"&amp;F107&amp;") ="</f>
        <v>Centre of top slab, at a = 0.658*18.9*(6.3+0.9) =</v>
      </c>
      <c r="H125" s="10">
        <f>F123*D6*(C111+F107)</f>
        <v>89.537898896243007</v>
      </c>
      <c r="I125" t="s">
        <v>119</v>
      </c>
      <c r="K125" s="159"/>
    </row>
    <row r="126" spans="1:13">
      <c r="C126" s="187" t="str">
        <f>"Centre of bottom slab, at b = "&amp;FIXED(F123,3)&amp;"*"&amp;D6&amp;"*("&amp;C115&amp;"+"&amp;F107&amp;") ="</f>
        <v>Centre of bottom slab, at b = 0.658*18.9*(8.75+0.9) =</v>
      </c>
      <c r="E126" s="2"/>
      <c r="H126" s="10">
        <f>F123*D6*(C115+F107)</f>
        <v>120.00565615954791</v>
      </c>
      <c r="I126" t="s">
        <v>119</v>
      </c>
      <c r="K126" s="159"/>
    </row>
    <row r="127" spans="1:13">
      <c r="K127" s="159"/>
    </row>
    <row r="128" spans="1:13">
      <c r="A128" s="187"/>
      <c r="B128" s="187"/>
      <c r="C128" s="187"/>
      <c r="D128" s="187"/>
      <c r="E128" s="187"/>
      <c r="F128" s="502">
        <f>F94</f>
        <v>129.428</v>
      </c>
      <c r="G128" s="187" t="s">
        <v>3</v>
      </c>
      <c r="H128" s="187"/>
      <c r="I128" s="187"/>
      <c r="J128" s="187"/>
      <c r="K128" s="159"/>
    </row>
    <row r="129" spans="1:20">
      <c r="A129" s="187"/>
      <c r="B129" s="187"/>
      <c r="C129" s="187"/>
      <c r="D129" s="187"/>
      <c r="E129" s="187"/>
      <c r="F129" s="187"/>
      <c r="G129" s="187"/>
      <c r="H129" s="187"/>
      <c r="I129" s="187"/>
      <c r="J129" s="187"/>
      <c r="K129" s="159"/>
    </row>
    <row r="130" spans="1:20">
      <c r="A130" s="502">
        <f>H125</f>
        <v>89.537898896243007</v>
      </c>
      <c r="B130" s="187"/>
      <c r="C130" s="187"/>
      <c r="D130" s="187"/>
      <c r="E130" s="187"/>
      <c r="F130" s="187"/>
      <c r="G130" s="187"/>
      <c r="H130" s="187"/>
      <c r="I130" s="502">
        <f>H125</f>
        <v>89.537898896243007</v>
      </c>
      <c r="J130" s="502"/>
      <c r="K130" s="159"/>
    </row>
    <row r="131" spans="1:20">
      <c r="A131" s="187" t="s">
        <v>3</v>
      </c>
      <c r="B131" s="187"/>
      <c r="C131" s="187"/>
      <c r="D131" s="187"/>
      <c r="E131" s="187"/>
      <c r="F131" s="187"/>
      <c r="G131" s="187"/>
      <c r="H131" s="187"/>
      <c r="I131" s="187" t="s">
        <v>3</v>
      </c>
      <c r="J131" s="187"/>
      <c r="K131" s="159"/>
      <c r="L131" s="1496" t="s">
        <v>1430</v>
      </c>
      <c r="M131" s="1488"/>
      <c r="N131" s="1488"/>
      <c r="P131" s="187" t="s">
        <v>742</v>
      </c>
      <c r="T131" s="191" t="s">
        <v>743</v>
      </c>
    </row>
    <row r="132" spans="1:20">
      <c r="A132" s="187"/>
      <c r="B132" s="187"/>
      <c r="C132" s="187"/>
      <c r="D132" s="187"/>
      <c r="E132" s="187"/>
      <c r="F132" s="187"/>
      <c r="G132" s="187"/>
      <c r="H132" s="187"/>
      <c r="I132" s="187"/>
      <c r="J132" s="187"/>
      <c r="K132" s="159"/>
      <c r="L132" s="1488" t="s">
        <v>1431</v>
      </c>
      <c r="M132" s="1488"/>
      <c r="N132" s="1488"/>
      <c r="T132" s="17" t="s">
        <v>1432</v>
      </c>
    </row>
    <row r="133" spans="1:20">
      <c r="A133" s="187"/>
      <c r="B133" s="187"/>
      <c r="C133" s="187"/>
      <c r="D133" s="187"/>
      <c r="E133" s="187"/>
      <c r="F133" s="187"/>
      <c r="G133" s="187"/>
      <c r="H133" s="187"/>
      <c r="I133" s="187"/>
      <c r="J133" s="187"/>
      <c r="K133" s="159"/>
      <c r="L133" s="1488" t="s">
        <v>1433</v>
      </c>
      <c r="M133" s="1488"/>
      <c r="N133" s="1488"/>
      <c r="P133" t="s">
        <v>1434</v>
      </c>
      <c r="Q133" s="33"/>
      <c r="R133" s="187"/>
    </row>
    <row r="134" spans="1:20">
      <c r="A134" s="187"/>
      <c r="B134" s="187"/>
      <c r="C134" s="187">
        <f>G145</f>
        <v>2.3249999999999997</v>
      </c>
      <c r="D134" s="187"/>
      <c r="E134" s="245">
        <f>G146</f>
        <v>2.25</v>
      </c>
      <c r="F134" s="187"/>
      <c r="G134" s="187"/>
      <c r="H134" s="187"/>
      <c r="I134" s="187"/>
      <c r="J134" s="187"/>
      <c r="K134" s="159"/>
      <c r="N134" s="1426"/>
    </row>
    <row r="135" spans="1:20" ht="13.5" thickBot="1">
      <c r="A135" s="187"/>
      <c r="B135" s="187"/>
      <c r="C135" s="187"/>
      <c r="D135" s="187"/>
      <c r="E135" s="187"/>
      <c r="F135" s="187"/>
      <c r="G135" s="30">
        <f>G147</f>
        <v>2.4500000000000002</v>
      </c>
      <c r="H135" s="187"/>
      <c r="I135" s="187"/>
      <c r="J135" s="187"/>
      <c r="K135" s="159"/>
      <c r="L135" s="1503" t="s">
        <v>1484</v>
      </c>
    </row>
    <row r="136" spans="1:20" ht="13.5" thickBot="1">
      <c r="A136" s="187"/>
      <c r="B136" s="187"/>
      <c r="C136" s="187"/>
      <c r="D136" s="187"/>
      <c r="E136" s="187"/>
      <c r="F136" s="187"/>
      <c r="G136" s="187"/>
      <c r="H136" s="187"/>
      <c r="I136" s="187"/>
      <c r="J136" s="187"/>
      <c r="K136" s="159"/>
      <c r="L136" s="1505" t="s">
        <v>1485</v>
      </c>
    </row>
    <row r="137" spans="1:20">
      <c r="A137" s="187"/>
      <c r="B137" s="187"/>
      <c r="C137" s="187"/>
      <c r="D137" s="187"/>
      <c r="E137" s="187"/>
      <c r="F137" s="187"/>
      <c r="G137" s="187"/>
      <c r="H137" s="187"/>
      <c r="I137" s="187"/>
      <c r="J137" s="187"/>
      <c r="K137" s="159"/>
    </row>
    <row r="138" spans="1:20">
      <c r="A138" s="187"/>
      <c r="B138" s="187"/>
      <c r="C138" s="187"/>
      <c r="D138" s="187"/>
      <c r="E138" s="187"/>
      <c r="F138" s="187"/>
      <c r="G138" s="187"/>
      <c r="H138" s="187"/>
      <c r="I138" s="187"/>
      <c r="J138" s="187"/>
      <c r="K138" s="159"/>
    </row>
    <row r="139" spans="1:20">
      <c r="A139" s="187"/>
      <c r="B139" s="187"/>
      <c r="C139" s="187"/>
      <c r="D139" s="187"/>
      <c r="E139" s="187"/>
      <c r="F139" s="187"/>
      <c r="G139" s="187"/>
      <c r="H139" s="187"/>
      <c r="I139" s="187"/>
      <c r="J139" s="187"/>
      <c r="K139" s="159"/>
    </row>
    <row r="140" spans="1:20">
      <c r="A140" s="502">
        <f>H126</f>
        <v>120.00565615954791</v>
      </c>
      <c r="B140" s="187"/>
      <c r="C140" s="187"/>
      <c r="D140" s="187"/>
      <c r="E140" s="187"/>
      <c r="F140" s="187"/>
      <c r="G140" s="187"/>
      <c r="H140" s="187"/>
      <c r="I140" s="502">
        <f>H126</f>
        <v>120.00565615954791</v>
      </c>
      <c r="J140" s="502"/>
      <c r="K140" s="159"/>
    </row>
    <row r="141" spans="1:20">
      <c r="A141" s="187" t="s">
        <v>3</v>
      </c>
      <c r="B141" s="187"/>
      <c r="C141" s="187"/>
      <c r="D141" s="187"/>
      <c r="E141" s="187"/>
      <c r="F141" s="187"/>
      <c r="G141" s="187"/>
      <c r="H141" s="187"/>
      <c r="I141" s="187" t="s">
        <v>3</v>
      </c>
      <c r="J141" s="187"/>
      <c r="K141" s="159"/>
    </row>
    <row r="142" spans="1:20">
      <c r="A142" s="187"/>
      <c r="B142" s="187"/>
      <c r="C142" s="187"/>
      <c r="D142" s="187"/>
      <c r="E142" s="187"/>
      <c r="F142" s="187"/>
      <c r="G142" s="187"/>
      <c r="H142" s="187"/>
      <c r="I142" s="187"/>
      <c r="J142" s="187"/>
      <c r="K142" s="159"/>
    </row>
    <row r="143" spans="1:20">
      <c r="A143" s="187"/>
      <c r="B143" s="187"/>
      <c r="C143" s="187"/>
      <c r="D143" s="187"/>
      <c r="E143" s="187"/>
      <c r="F143" s="502">
        <f>G101</f>
        <v>142.77885714285713</v>
      </c>
      <c r="G143" s="187" t="s">
        <v>3</v>
      </c>
      <c r="H143" s="187"/>
      <c r="I143" s="187"/>
      <c r="J143" s="187"/>
      <c r="K143" s="159"/>
    </row>
    <row r="144" spans="1:20">
      <c r="K144" s="159"/>
    </row>
    <row r="145" spans="1:24">
      <c r="A145" s="187" t="str">
        <f>"Span between Abutment &amp; Pier = "&amp;C14&amp;" + "&amp;IF(C12&gt;1,D17&amp;"/2",D17)&amp;" + "&amp;D18&amp;"/2 ="</f>
        <v>Span between Abutment &amp; Pier = 1.8 + 0.6/2 + 0.45/2 =</v>
      </c>
      <c r="G145">
        <f>IF(C12&gt;1,C14+D17/2+D18/2,C14+D17)</f>
        <v>2.3249999999999997</v>
      </c>
      <c r="H145" s="187" t="s">
        <v>1041</v>
      </c>
      <c r="I145" s="187"/>
      <c r="K145" s="159"/>
    </row>
    <row r="146" spans="1:24">
      <c r="A146" s="187" t="str">
        <f>"Span between Pier = "&amp;C14&amp;" + "&amp;D18&amp;" ="</f>
        <v>Span between Pier = 1.8 + 0.45 =</v>
      </c>
      <c r="G146" s="115">
        <f>C14+D18</f>
        <v>2.25</v>
      </c>
      <c r="H146" s="187" t="s">
        <v>1041</v>
      </c>
      <c r="I146" s="187"/>
      <c r="K146" s="159"/>
    </row>
    <row r="147" spans="1:24" ht="13.5" thickBot="1">
      <c r="A147" t="str">
        <f>"Height of Abutment / Pier ="&amp;E14&amp;" + "&amp;D15&amp;"/2 + "&amp;D16&amp;"/2 ="</f>
        <v>Height of Abutment / Pier =1.8 + 0.6/2 + 0.7/2 =</v>
      </c>
      <c r="G147">
        <f>E14+D15/2+D16/2</f>
        <v>2.4500000000000002</v>
      </c>
      <c r="H147" s="187" t="s">
        <v>1041</v>
      </c>
      <c r="I147" s="187"/>
      <c r="K147" s="159"/>
      <c r="P147" s="773" t="s">
        <v>922</v>
      </c>
      <c r="Q147" s="774"/>
      <c r="R147" s="774"/>
      <c r="S147" s="586"/>
      <c r="T147" s="586"/>
      <c r="U147" s="586"/>
      <c r="V147" s="586"/>
      <c r="W147" s="586"/>
    </row>
    <row r="148" spans="1:24">
      <c r="K148" s="159"/>
      <c r="P148" s="765"/>
      <c r="Q148" s="766"/>
      <c r="R148" s="766"/>
      <c r="S148" s="766"/>
      <c r="T148" s="766"/>
      <c r="U148" s="766"/>
      <c r="V148" s="766"/>
      <c r="W148" s="766"/>
      <c r="X148" s="767"/>
    </row>
    <row r="149" spans="1:24">
      <c r="A149" s="392" t="s">
        <v>820</v>
      </c>
      <c r="B149" s="174"/>
      <c r="C149" s="174"/>
      <c r="F149" t="s">
        <v>888</v>
      </c>
      <c r="K149" s="159"/>
      <c r="P149" s="768" t="s">
        <v>1071</v>
      </c>
      <c r="Q149" s="586"/>
      <c r="R149" s="586"/>
      <c r="S149" s="586"/>
      <c r="T149" s="586"/>
      <c r="U149" s="586"/>
      <c r="V149" s="586"/>
      <c r="W149" s="586"/>
      <c r="X149" s="769"/>
    </row>
    <row r="150" spans="1:24">
      <c r="F150" t="s">
        <v>889</v>
      </c>
      <c r="K150" s="159"/>
      <c r="P150" s="768" t="s">
        <v>1072</v>
      </c>
      <c r="Q150" s="586"/>
      <c r="R150" s="586"/>
      <c r="S150" s="586"/>
      <c r="T150" s="586"/>
      <c r="U150" s="586"/>
      <c r="V150" s="586"/>
      <c r="W150" s="586"/>
      <c r="X150" s="769"/>
    </row>
    <row r="151" spans="1:24">
      <c r="A151" t="s">
        <v>357</v>
      </c>
      <c r="C151">
        <f>D15*1000</f>
        <v>600</v>
      </c>
      <c r="D151" s="187" t="s">
        <v>98</v>
      </c>
      <c r="K151" s="159"/>
      <c r="P151" s="768" t="s">
        <v>853</v>
      </c>
      <c r="Q151" s="586"/>
      <c r="R151" s="586"/>
      <c r="S151" s="586"/>
      <c r="T151" s="586"/>
      <c r="U151" s="586"/>
      <c r="V151" s="586"/>
      <c r="W151" s="586"/>
      <c r="X151" s="769"/>
    </row>
    <row r="152" spans="1:24">
      <c r="A152" s="187" t="s">
        <v>538</v>
      </c>
      <c r="C152">
        <f>C151-$H$23-D197/2</f>
        <v>542</v>
      </c>
      <c r="D152" t="s">
        <v>98</v>
      </c>
      <c r="H152" s="36">
        <f>F128</f>
        <v>129.428</v>
      </c>
      <c r="K152" s="159"/>
      <c r="L152" s="1887" t="s">
        <v>1770</v>
      </c>
      <c r="M152" s="1888"/>
      <c r="P152" s="768" t="s">
        <v>1042</v>
      </c>
      <c r="Q152" s="586"/>
      <c r="R152" s="586"/>
      <c r="S152" s="586"/>
      <c r="T152" s="586"/>
      <c r="U152" s="586"/>
      <c r="V152" s="586"/>
      <c r="W152" s="586"/>
      <c r="X152" s="769"/>
    </row>
    <row r="153" spans="1:24">
      <c r="K153" s="159"/>
      <c r="L153" s="1503" t="s">
        <v>1479</v>
      </c>
      <c r="M153" s="1504"/>
      <c r="N153" s="1504"/>
      <c r="P153" s="768" t="s">
        <v>1043</v>
      </c>
      <c r="Q153" s="586"/>
      <c r="R153" s="586"/>
      <c r="S153" s="586"/>
      <c r="T153" s="586"/>
      <c r="U153" s="586"/>
      <c r="V153" s="586"/>
      <c r="W153" s="586"/>
      <c r="X153" s="769"/>
    </row>
    <row r="154" spans="1:24">
      <c r="A154" t="s">
        <v>1061</v>
      </c>
      <c r="E154" s="187" t="s">
        <v>742</v>
      </c>
      <c r="I154" s="191" t="s">
        <v>743</v>
      </c>
      <c r="J154" s="191"/>
      <c r="K154" s="159"/>
      <c r="L154" s="1892" t="s">
        <v>1774</v>
      </c>
      <c r="M154" s="1890">
        <f>'Mom Dist-Barl'!C56</f>
        <v>-53.270554957193049</v>
      </c>
      <c r="N154" s="1889" t="s">
        <v>620</v>
      </c>
      <c r="P154" s="768" t="s">
        <v>1044</v>
      </c>
      <c r="Q154" s="586"/>
      <c r="R154" s="586"/>
      <c r="S154" s="586"/>
      <c r="T154" s="586"/>
      <c r="U154" s="586"/>
      <c r="V154" s="586"/>
      <c r="W154" s="586"/>
      <c r="X154" s="769"/>
    </row>
    <row r="155" spans="1:24">
      <c r="A155" s="187" t="s">
        <v>823</v>
      </c>
      <c r="B155" s="577">
        <f>M154</f>
        <v>-53.270554957193049</v>
      </c>
      <c r="C155" s="187" t="s">
        <v>620</v>
      </c>
      <c r="K155" s="159"/>
      <c r="L155" s="1892" t="s">
        <v>824</v>
      </c>
      <c r="M155" s="1890">
        <f>'Mom Dist-Barl'!D56</f>
        <v>60.81962658390345</v>
      </c>
      <c r="N155" s="1889" t="s">
        <v>620</v>
      </c>
      <c r="P155" s="768" t="s">
        <v>1045</v>
      </c>
      <c r="Q155" s="586"/>
      <c r="R155" s="586"/>
      <c r="S155" s="586"/>
      <c r="T155" s="586"/>
      <c r="U155" s="586"/>
      <c r="V155" s="586"/>
      <c r="W155" s="586"/>
      <c r="X155" s="769"/>
    </row>
    <row r="156" spans="1:24">
      <c r="A156" s="187" t="s">
        <v>824</v>
      </c>
      <c r="B156" s="577">
        <f>M155</f>
        <v>60.81962658390345</v>
      </c>
      <c r="C156" s="187" t="s">
        <v>620</v>
      </c>
      <c r="F156">
        <f>G145</f>
        <v>2.3249999999999997</v>
      </c>
      <c r="G156" s="187" t="s">
        <v>5</v>
      </c>
      <c r="K156" s="159"/>
      <c r="L156" s="1892"/>
      <c r="M156" s="1889"/>
      <c r="N156" s="1889"/>
      <c r="P156" s="768" t="s">
        <v>1046</v>
      </c>
      <c r="Q156" s="586"/>
      <c r="R156" s="586"/>
      <c r="S156" s="586"/>
      <c r="T156" s="586"/>
      <c r="U156" s="586"/>
      <c r="V156" s="586"/>
      <c r="W156" s="586"/>
      <c r="X156" s="769"/>
    </row>
    <row r="157" spans="1:24">
      <c r="K157" s="159"/>
      <c r="L157" s="1892" t="s">
        <v>1775</v>
      </c>
      <c r="M157" s="1891">
        <f>'Mom Dist-Barl'!C58</f>
        <v>147.21313747238258</v>
      </c>
      <c r="N157" s="1889" t="s">
        <v>21</v>
      </c>
      <c r="P157" s="768" t="s">
        <v>1047</v>
      </c>
      <c r="Q157" s="586"/>
      <c r="R157" s="586"/>
      <c r="S157" s="586"/>
      <c r="T157" s="586"/>
      <c r="U157" s="586"/>
      <c r="V157" s="586"/>
      <c r="W157" s="586"/>
      <c r="X157" s="769"/>
    </row>
    <row r="158" spans="1:24">
      <c r="E158" s="191" t="str">
        <f>"R1="&amp;FIXED(G160,2)</f>
        <v>R1=147.21</v>
      </c>
      <c r="H158" s="203" t="str">
        <f>"R2="&amp;FIXED(G161,2)</f>
        <v>R2=153.71</v>
      </c>
      <c r="K158" s="159"/>
      <c r="L158" s="1893" t="s">
        <v>1771</v>
      </c>
      <c r="M158" s="1891">
        <f>'Mom Dist-Barl'!D58</f>
        <v>153.70696252761735</v>
      </c>
      <c r="N158" s="1889" t="s">
        <v>21</v>
      </c>
      <c r="P158" s="768"/>
      <c r="Q158" s="586"/>
      <c r="R158" s="586"/>
      <c r="S158" s="586"/>
      <c r="T158" s="586"/>
      <c r="U158" s="586"/>
      <c r="V158" s="586"/>
      <c r="W158" s="586"/>
      <c r="X158" s="769"/>
    </row>
    <row r="159" spans="1:24">
      <c r="K159" s="159"/>
      <c r="L159" s="1893" t="s">
        <v>1772</v>
      </c>
      <c r="M159" s="1891">
        <f>'Mom Dist-Barl'!C59</f>
        <v>30.409813291951714</v>
      </c>
      <c r="N159" s="1889" t="s">
        <v>620</v>
      </c>
      <c r="P159" s="768"/>
      <c r="Q159" s="586"/>
      <c r="R159" s="586"/>
      <c r="S159" s="586"/>
      <c r="T159" s="586"/>
      <c r="U159" s="586"/>
      <c r="V159" s="586"/>
      <c r="W159" s="586"/>
      <c r="X159" s="769"/>
    </row>
    <row r="160" spans="1:24">
      <c r="A160" t="str">
        <f>"R1 = ( "&amp;FIXED(H152,2)&amp;" * "&amp;F156&amp;"^ 2 / 2 - ( "&amp;FIXED(B155,2)&amp;" ) - "&amp;FIXED(B156,2)&amp;" ) / "&amp;F156&amp;" ="</f>
        <v>R1 = ( 129.43 * 2.325^ 2 / 2 - ( -53.27 ) - 60.82 ) / 2.325 =</v>
      </c>
      <c r="G160" s="33">
        <f>(H152*F156^2/2-B155-B156)/F156</f>
        <v>147.21313747238258</v>
      </c>
      <c r="H160" t="s">
        <v>341</v>
      </c>
      <c r="K160" s="159"/>
      <c r="P160" s="768" t="s">
        <v>1075</v>
      </c>
      <c r="Q160" s="768"/>
      <c r="R160" s="586"/>
      <c r="S160" s="586"/>
      <c r="T160" s="586"/>
      <c r="U160" s="586"/>
      <c r="V160" s="586"/>
      <c r="W160" s="586"/>
      <c r="X160" s="769"/>
    </row>
    <row r="161" spans="1:24">
      <c r="A161" t="str">
        <f>"R2  =  "&amp;FIXED(H152,2)&amp;" * "&amp;F156&amp;" - "&amp;FIXED(G160,2)&amp;" ="</f>
        <v>R2  =  129.43 * 2.325 - 147.21 =</v>
      </c>
      <c r="G161" s="33">
        <f>H152*F156-G160</f>
        <v>153.70696252761735</v>
      </c>
      <c r="H161" t="s">
        <v>341</v>
      </c>
      <c r="K161" s="159"/>
      <c r="L161" s="1496" t="s">
        <v>1430</v>
      </c>
      <c r="M161" s="1488"/>
      <c r="N161" s="1488"/>
      <c r="P161" s="846" t="s">
        <v>1082</v>
      </c>
      <c r="Q161" s="846"/>
      <c r="R161" s="586"/>
      <c r="S161" s="586"/>
      <c r="T161" s="586"/>
      <c r="U161" s="586"/>
      <c r="V161" s="586"/>
      <c r="W161" s="586"/>
      <c r="X161" s="769"/>
    </row>
    <row r="162" spans="1:24">
      <c r="A162" t="str">
        <f>"Xvo = "&amp;F156&amp;" * "&amp;FIXED(G160,2)&amp;" / ( "&amp;FIXED(G160,2)&amp;" + "&amp;FIXED(G161,2)&amp;" ) ="</f>
        <v>Xvo = 2.325 * 147.21 / ( 147.21 + 153.71 ) =</v>
      </c>
      <c r="G162" s="33">
        <f>F156*G160/(G160+G161)</f>
        <v>1.1374133686094401</v>
      </c>
      <c r="H162" t="s">
        <v>5</v>
      </c>
      <c r="K162" s="159"/>
      <c r="L162" s="1488" t="s">
        <v>1431</v>
      </c>
      <c r="M162" s="1488"/>
      <c r="N162" s="1488"/>
      <c r="P162" s="768"/>
      <c r="Q162" s="586"/>
      <c r="R162" s="586"/>
      <c r="S162" s="586"/>
      <c r="T162" s="586"/>
      <c r="U162" s="586"/>
      <c r="V162" s="586"/>
      <c r="W162" s="586"/>
      <c r="X162" s="769"/>
    </row>
    <row r="163" spans="1:24">
      <c r="A163" t="str">
        <f>"Mc = "&amp;FIXED(B155,2)&amp;" + 0.5 * "&amp;FIXED(G160,2)&amp;" * "&amp;FIXED(G162,2)&amp;" ="</f>
        <v>Mc = -53.27 + 0.5 * 147.21 * 1.14 =</v>
      </c>
      <c r="G163" s="33">
        <f>B155+0.5*G160*G162</f>
        <v>30.450540340820588</v>
      </c>
      <c r="H163" s="187" t="s">
        <v>620</v>
      </c>
      <c r="K163" s="159"/>
      <c r="L163" s="1488" t="s">
        <v>1433</v>
      </c>
      <c r="M163" s="1488"/>
      <c r="N163" s="1488"/>
      <c r="P163" s="768"/>
      <c r="Q163" s="586"/>
      <c r="R163" s="586"/>
      <c r="S163" s="586"/>
      <c r="T163" s="586"/>
      <c r="U163" s="586"/>
      <c r="V163" s="586"/>
      <c r="W163" s="586"/>
      <c r="X163" s="769"/>
    </row>
    <row r="164" spans="1:24">
      <c r="K164" s="159"/>
      <c r="P164" s="768"/>
      <c r="Q164" s="586"/>
      <c r="R164" s="586"/>
      <c r="S164" s="586"/>
      <c r="T164" s="586"/>
      <c r="U164" s="586"/>
      <c r="V164" s="586"/>
      <c r="W164" s="586"/>
      <c r="X164" s="769"/>
    </row>
    <row r="165" spans="1:24">
      <c r="A165" t="s">
        <v>828</v>
      </c>
      <c r="F165" s="742">
        <f>MAX(ABS(B155),ABS(B156))</f>
        <v>60.81962658390345</v>
      </c>
      <c r="G165" s="187" t="s">
        <v>620</v>
      </c>
      <c r="H165" s="187" t="s">
        <v>1487</v>
      </c>
      <c r="K165" s="159"/>
      <c r="P165" s="768"/>
      <c r="Q165" s="586"/>
      <c r="R165" s="586"/>
      <c r="S165" s="586"/>
      <c r="T165" s="586"/>
      <c r="U165" s="586"/>
      <c r="V165" s="586"/>
      <c r="W165" s="586"/>
      <c r="X165" s="769"/>
    </row>
    <row r="166" spans="1:24">
      <c r="A166" t="s">
        <v>829</v>
      </c>
      <c r="F166" s="742">
        <f>ABS(G163)</f>
        <v>30.450540340820588</v>
      </c>
      <c r="G166" s="187" t="s">
        <v>620</v>
      </c>
      <c r="H166" s="187" t="s">
        <v>1486</v>
      </c>
      <c r="K166" s="159"/>
      <c r="L166" s="423" t="s">
        <v>890</v>
      </c>
      <c r="M166" s="495" t="s">
        <v>1773</v>
      </c>
      <c r="N166" s="56"/>
      <c r="P166" s="768"/>
      <c r="Q166" s="586"/>
      <c r="R166" s="586"/>
      <c r="S166" s="586"/>
      <c r="T166" s="586"/>
      <c r="U166" s="586"/>
      <c r="V166" s="586"/>
      <c r="W166" s="586"/>
      <c r="X166" s="769"/>
    </row>
    <row r="167" spans="1:24">
      <c r="A167" t="s">
        <v>827</v>
      </c>
      <c r="F167" s="742">
        <f>MAX(G160:G161)</f>
        <v>153.70696252761735</v>
      </c>
      <c r="G167" s="187" t="s">
        <v>620</v>
      </c>
      <c r="K167" s="159"/>
      <c r="L167" s="57" t="s">
        <v>891</v>
      </c>
      <c r="M167" s="57" t="s">
        <v>889</v>
      </c>
      <c r="N167" s="58"/>
      <c r="P167" s="768"/>
      <c r="Q167" s="586"/>
      <c r="R167" s="586"/>
      <c r="S167" s="586"/>
      <c r="T167" s="586"/>
      <c r="U167" s="586"/>
      <c r="V167" s="586"/>
      <c r="W167" s="586"/>
      <c r="X167" s="769"/>
    </row>
    <row r="168" spans="1:24">
      <c r="K168" s="159"/>
      <c r="L168" s="91"/>
      <c r="M168" s="91"/>
      <c r="N168" s="60"/>
      <c r="P168" s="768" t="s">
        <v>852</v>
      </c>
      <c r="Q168" s="586"/>
      <c r="R168" s="586"/>
      <c r="S168" s="586"/>
      <c r="T168" s="586"/>
      <c r="U168" s="586"/>
      <c r="V168" s="586"/>
      <c r="W168" s="586"/>
      <c r="X168" s="769"/>
    </row>
    <row r="169" spans="1:24">
      <c r="A169" s="187" t="s">
        <v>541</v>
      </c>
      <c r="D169" s="187"/>
      <c r="G169" s="9">
        <f>(F167*10^3)/($C$33*1000)</f>
        <v>360.11466505201088</v>
      </c>
      <c r="H169" t="s">
        <v>98</v>
      </c>
      <c r="I169" s="126" t="str">
        <f>IF(C152&gt;=G169,"ok","Not ok")</f>
        <v>ok</v>
      </c>
      <c r="J169" s="46"/>
      <c r="K169" s="159"/>
      <c r="P169" s="768" t="s">
        <v>853</v>
      </c>
      <c r="Q169" s="586"/>
      <c r="R169" s="586"/>
      <c r="S169" s="586"/>
      <c r="T169" s="586"/>
      <c r="U169" s="586"/>
      <c r="V169" s="586"/>
      <c r="W169" s="586"/>
      <c r="X169" s="769"/>
    </row>
    <row r="170" spans="1:24">
      <c r="A170" s="187" t="s">
        <v>579</v>
      </c>
      <c r="D170" s="187"/>
      <c r="G170" s="9">
        <f>((MAX(F165:F166)*10^6)/($C$32*1000))^0.5</f>
        <v>206.21927192309812</v>
      </c>
      <c r="H170" t="s">
        <v>98</v>
      </c>
      <c r="I170" s="207" t="str">
        <f>IF(C152&gt;=G170,"ok","Not ok")</f>
        <v>ok</v>
      </c>
      <c r="J170" s="109"/>
      <c r="K170" s="159"/>
      <c r="P170" s="768" t="s">
        <v>854</v>
      </c>
      <c r="Q170" s="586"/>
      <c r="R170" s="586"/>
      <c r="S170" s="586"/>
      <c r="T170" s="586"/>
      <c r="U170" s="586"/>
      <c r="V170" s="586"/>
      <c r="W170" s="586"/>
      <c r="X170" s="769"/>
    </row>
    <row r="171" spans="1:24">
      <c r="A171" s="187" t="s">
        <v>763</v>
      </c>
      <c r="D171" s="2"/>
      <c r="G171" s="9">
        <f>(F165*10^6)/($C$27*$C$31*C152)</f>
        <v>675.22556213016833</v>
      </c>
      <c r="H171" t="s">
        <v>104</v>
      </c>
      <c r="J171" s="46"/>
      <c r="K171" s="159"/>
      <c r="P171" s="768"/>
      <c r="Q171" s="586"/>
      <c r="R171" s="586"/>
      <c r="S171" s="586"/>
      <c r="T171" s="586"/>
      <c r="U171" s="586"/>
      <c r="V171" s="586"/>
      <c r="W171" s="586"/>
      <c r="X171" s="769"/>
    </row>
    <row r="172" spans="1:24">
      <c r="A172" s="187" t="s">
        <v>764</v>
      </c>
      <c r="D172" s="2"/>
      <c r="G172" s="9">
        <f>(F166*10^6)/($C$27*$C$31*C152)</f>
        <v>338.06493682484449</v>
      </c>
      <c r="H172" t="s">
        <v>104</v>
      </c>
      <c r="J172" s="46"/>
      <c r="K172" s="159"/>
      <c r="P172" s="768" t="s">
        <v>1057</v>
      </c>
      <c r="Q172" s="586"/>
      <c r="R172" s="586"/>
      <c r="S172" s="586"/>
      <c r="T172" s="586"/>
      <c r="U172" s="586"/>
      <c r="V172" s="586"/>
      <c r="W172" s="586"/>
      <c r="X172" s="769"/>
    </row>
    <row r="173" spans="1:24">
      <c r="J173" s="46"/>
      <c r="K173" s="159"/>
      <c r="P173" s="768" t="s">
        <v>1058</v>
      </c>
      <c r="Q173" s="586"/>
      <c r="R173" s="586"/>
      <c r="S173" s="586"/>
      <c r="T173" s="586"/>
      <c r="U173" s="586"/>
      <c r="V173" s="586"/>
      <c r="W173" s="586"/>
      <c r="X173" s="769"/>
    </row>
    <row r="174" spans="1:24" ht="14.25">
      <c r="B174" s="243" t="s">
        <v>1083</v>
      </c>
      <c r="C174" s="241" t="s">
        <v>440</v>
      </c>
      <c r="D174" s="16"/>
      <c r="E174" s="241" t="s">
        <v>441</v>
      </c>
      <c r="F174" s="16">
        <f>IF(D19&lt;=9,F37,F42)</f>
        <v>1E-3</v>
      </c>
      <c r="G174" s="241" t="s">
        <v>438</v>
      </c>
      <c r="J174" s="46"/>
      <c r="K174" s="159"/>
      <c r="P174" s="768" t="s">
        <v>1059</v>
      </c>
      <c r="Q174" s="586"/>
      <c r="R174" s="586"/>
      <c r="S174" s="586"/>
      <c r="T174" s="586"/>
      <c r="U174" s="586"/>
      <c r="V174" s="586"/>
      <c r="W174" s="586"/>
      <c r="X174" s="769"/>
    </row>
    <row r="175" spans="1:24" ht="14.25">
      <c r="B175" s="16"/>
      <c r="C175" s="16"/>
      <c r="D175" s="16"/>
      <c r="E175" s="241" t="s">
        <v>442</v>
      </c>
      <c r="F175" s="16">
        <f>IF(E47/1000&lt;=9,F37,F42)</f>
        <v>1.5E-3</v>
      </c>
      <c r="G175" s="241" t="s">
        <v>438</v>
      </c>
      <c r="K175" s="159"/>
      <c r="P175" s="768" t="s">
        <v>1060</v>
      </c>
      <c r="Q175" s="586"/>
      <c r="R175" s="586"/>
      <c r="S175" s="586"/>
      <c r="T175" s="586"/>
      <c r="U175" s="586"/>
      <c r="V175" s="586"/>
      <c r="W175" s="586"/>
      <c r="X175" s="769"/>
    </row>
    <row r="176" spans="1:24">
      <c r="B176" s="16"/>
      <c r="C176" s="16"/>
      <c r="D176" s="16"/>
      <c r="E176" s="16"/>
      <c r="F176" s="16"/>
      <c r="G176" s="241"/>
      <c r="K176" s="159"/>
      <c r="P176" s="768"/>
      <c r="Q176" s="586"/>
      <c r="R176" s="586"/>
      <c r="S176" s="586"/>
      <c r="T176" s="586"/>
      <c r="U176" s="586"/>
      <c r="V176" s="586"/>
      <c r="W176" s="586"/>
      <c r="X176" s="769"/>
    </row>
    <row r="177" spans="1:24" ht="14.25">
      <c r="B177" s="16"/>
      <c r="C177" s="241" t="s">
        <v>443</v>
      </c>
      <c r="D177" s="16"/>
      <c r="E177" s="241" t="s">
        <v>441</v>
      </c>
      <c r="F177" s="16">
        <f>IF(D19&lt;=9,F39,F44)</f>
        <v>1.5E-3</v>
      </c>
      <c r="G177" s="241" t="s">
        <v>438</v>
      </c>
      <c r="K177" s="159"/>
      <c r="P177" s="768"/>
      <c r="Q177" s="586"/>
      <c r="R177" s="586"/>
      <c r="S177" s="586"/>
      <c r="T177" s="586"/>
      <c r="U177" s="586"/>
      <c r="V177" s="586"/>
      <c r="W177" s="586"/>
      <c r="X177" s="769"/>
    </row>
    <row r="178" spans="1:24" ht="14.25">
      <c r="B178" s="16"/>
      <c r="C178" s="16"/>
      <c r="D178" s="16"/>
      <c r="E178" s="241" t="s">
        <v>442</v>
      </c>
      <c r="F178" s="16">
        <f>IF(E47/1000&lt;=9,F39,F44)</f>
        <v>2E-3</v>
      </c>
      <c r="G178" s="241" t="s">
        <v>438</v>
      </c>
      <c r="K178" s="159"/>
      <c r="P178" s="768"/>
      <c r="Q178" s="586"/>
      <c r="R178" s="586"/>
      <c r="S178" s="586"/>
      <c r="T178" s="586"/>
      <c r="U178" s="586"/>
      <c r="V178" s="586"/>
      <c r="W178" s="586"/>
      <c r="X178" s="769"/>
    </row>
    <row r="179" spans="1:24">
      <c r="K179" s="159"/>
      <c r="P179" s="768"/>
      <c r="Q179" s="586"/>
      <c r="R179" s="586"/>
      <c r="S179" s="586"/>
      <c r="T179" s="586"/>
      <c r="U179" s="586"/>
      <c r="V179" s="586"/>
      <c r="W179" s="586"/>
      <c r="X179" s="769"/>
    </row>
    <row r="180" spans="1:24" ht="13.5" thickBot="1">
      <c r="A180" s="255" t="s">
        <v>1068</v>
      </c>
      <c r="G180" s="107"/>
      <c r="H180" s="107"/>
      <c r="K180" s="159"/>
      <c r="P180" s="770"/>
      <c r="Q180" s="771"/>
      <c r="R180" s="771"/>
      <c r="S180" s="771"/>
      <c r="T180" s="771"/>
      <c r="U180" s="771"/>
      <c r="V180" s="771"/>
      <c r="W180" s="771"/>
      <c r="X180" s="772"/>
    </row>
    <row r="181" spans="1:24">
      <c r="K181" s="159"/>
    </row>
    <row r="182" spans="1:24">
      <c r="A182" s="3147" t="s">
        <v>486</v>
      </c>
      <c r="B182" s="3148" t="s">
        <v>487</v>
      </c>
      <c r="C182" s="3148" t="s">
        <v>488</v>
      </c>
      <c r="D182" s="3148" t="s">
        <v>489</v>
      </c>
      <c r="E182" s="3149" t="s">
        <v>490</v>
      </c>
      <c r="F182" s="3150"/>
      <c r="G182" s="3150"/>
      <c r="H182" s="3150"/>
      <c r="I182" s="3150"/>
      <c r="J182" s="496"/>
      <c r="K182" s="159"/>
    </row>
    <row r="183" spans="1:24">
      <c r="A183" s="3147"/>
      <c r="B183" s="3148"/>
      <c r="C183" s="3148"/>
      <c r="D183" s="3148"/>
      <c r="E183" s="94">
        <v>12</v>
      </c>
      <c r="F183" s="94">
        <v>16</v>
      </c>
      <c r="G183" s="94">
        <v>20</v>
      </c>
      <c r="H183" s="94">
        <v>22</v>
      </c>
      <c r="I183" s="94">
        <v>25</v>
      </c>
      <c r="J183" s="75"/>
      <c r="K183" s="159"/>
    </row>
    <row r="184" spans="1:24" ht="14.25">
      <c r="A184" s="172"/>
      <c r="B184" s="256" t="s">
        <v>491</v>
      </c>
      <c r="C184" s="256" t="s">
        <v>491</v>
      </c>
      <c r="D184" s="256" t="s">
        <v>491</v>
      </c>
      <c r="E184" s="493" t="s">
        <v>98</v>
      </c>
      <c r="F184" s="493" t="s">
        <v>98</v>
      </c>
      <c r="G184" s="493" t="s">
        <v>98</v>
      </c>
      <c r="H184" s="493" t="s">
        <v>98</v>
      </c>
      <c r="I184" s="493" t="s">
        <v>98</v>
      </c>
      <c r="J184" s="759"/>
      <c r="K184" s="159"/>
    </row>
    <row r="185" spans="1:24">
      <c r="A185" s="258" t="s">
        <v>440</v>
      </c>
      <c r="B185" s="55"/>
      <c r="C185" s="55"/>
      <c r="D185" s="55"/>
      <c r="E185" s="55"/>
      <c r="F185" s="55"/>
      <c r="G185" s="55"/>
      <c r="H185" s="55"/>
      <c r="I185" s="56"/>
      <c r="J185" s="386"/>
      <c r="K185" s="159"/>
    </row>
    <row r="186" spans="1:24">
      <c r="A186" s="259" t="s">
        <v>441</v>
      </c>
      <c r="B186" s="318">
        <f>G171</f>
        <v>675.22556213016833</v>
      </c>
      <c r="C186" s="318">
        <f>IF(C151&gt;380,F174*1000*380,F174*1000*C151)</f>
        <v>380</v>
      </c>
      <c r="D186" s="318">
        <f>MAX(B186:C186)</f>
        <v>675.22556213016833</v>
      </c>
      <c r="E186" s="261">
        <f>PI()*(E183/2)^2*1000/$D186</f>
        <v>167.49563682458742</v>
      </c>
      <c r="F186" s="261">
        <f>PI()*(F183/2)^2*1000/$D186</f>
        <v>297.77002102148867</v>
      </c>
      <c r="G186" s="261">
        <f>PI()*(G183/2)^2*1000/$D186</f>
        <v>465.26565784607618</v>
      </c>
      <c r="H186" s="261">
        <f>PI()*(H183/2)^2*1000/$D186</f>
        <v>562.97144599375213</v>
      </c>
      <c r="I186" s="283">
        <f>PI()*(I183/2)^2*1000/$D186</f>
        <v>726.97759038449396</v>
      </c>
      <c r="J186" s="328"/>
      <c r="K186" s="159"/>
    </row>
    <row r="187" spans="1:24">
      <c r="A187" s="262" t="s">
        <v>442</v>
      </c>
      <c r="B187" s="319"/>
      <c r="C187" s="318">
        <f>IF(C151&gt;380,F175*1000*380,F175*1000*C151)</f>
        <v>570</v>
      </c>
      <c r="D187" s="319">
        <f>MAX(B187:C187)</f>
        <v>570</v>
      </c>
      <c r="E187" s="261">
        <f>PI()*(E183/2)^2*1000/$D187</f>
        <v>198.41637812146064</v>
      </c>
      <c r="F187" s="261">
        <f>PI()*(F183/2)^2*1000/$D187</f>
        <v>352.74022777148554</v>
      </c>
      <c r="G187" s="261">
        <f>PI()*(G183/2)^2*1000/$D187</f>
        <v>551.15660589294623</v>
      </c>
      <c r="H187" s="261">
        <f>PI()*(H183/2)^2*1000/$D187</f>
        <v>666.89949313046486</v>
      </c>
      <c r="I187" s="283">
        <f>PI()*(I183/2)^2*1000/$D187</f>
        <v>861.18219670772839</v>
      </c>
      <c r="J187" s="328"/>
      <c r="K187" s="159"/>
    </row>
    <row r="188" spans="1:24">
      <c r="A188" s="264" t="s">
        <v>443</v>
      </c>
      <c r="B188" s="265"/>
      <c r="C188" s="322"/>
      <c r="D188" s="322"/>
      <c r="E188" s="266"/>
      <c r="F188" s="266"/>
      <c r="G188" s="266"/>
      <c r="H188" s="266"/>
      <c r="I188" s="267"/>
      <c r="J188" s="330"/>
      <c r="K188" s="159"/>
    </row>
    <row r="189" spans="1:24">
      <c r="A189" s="259" t="s">
        <v>441</v>
      </c>
      <c r="B189" s="318">
        <f>G172</f>
        <v>338.06493682484449</v>
      </c>
      <c r="C189" s="318">
        <f>IF(C151&gt;380,F177*1000*380,F177*1000*C151)</f>
        <v>570</v>
      </c>
      <c r="D189" s="318">
        <f>MAX(B189:C189)</f>
        <v>570</v>
      </c>
      <c r="E189" s="261">
        <f>PI()*(E183/2)^2*1000/$D189</f>
        <v>198.41637812146064</v>
      </c>
      <c r="F189" s="261">
        <f>PI()*(F183/2)^2*1000/$D189</f>
        <v>352.74022777148554</v>
      </c>
      <c r="G189" s="261">
        <f>PI()*(G183/2)^2*1000/$D189</f>
        <v>551.15660589294623</v>
      </c>
      <c r="H189" s="261">
        <f>PI()*(H183/2)^2*1000/$D189</f>
        <v>666.89949313046486</v>
      </c>
      <c r="I189" s="283">
        <f>PI()*(I183/2)^2*1000/$D189</f>
        <v>861.18219670772839</v>
      </c>
      <c r="J189" s="328"/>
      <c r="K189" s="159"/>
    </row>
    <row r="190" spans="1:24">
      <c r="A190" s="262" t="s">
        <v>442</v>
      </c>
      <c r="B190" s="263"/>
      <c r="C190" s="319">
        <f>IF(C151&gt;380,F178*1000*380,F178*1000*C151)</f>
        <v>760</v>
      </c>
      <c r="D190" s="319">
        <f>MAX(B190:C190)</f>
        <v>760</v>
      </c>
      <c r="E190" s="284">
        <f>PI()*(E183/2)^2*1000/$D190</f>
        <v>148.81228359109548</v>
      </c>
      <c r="F190" s="284">
        <f>PI()*(F183/2)^2*1000/$D190</f>
        <v>264.55517082861417</v>
      </c>
      <c r="G190" s="284">
        <f>PI()*(G183/2)^2*1000/$D190</f>
        <v>413.36745441970965</v>
      </c>
      <c r="H190" s="284">
        <f>PI()*(H183/2)^2*1000/$D190</f>
        <v>500.17461984784865</v>
      </c>
      <c r="I190" s="285">
        <f>PI()*(I183/2)^2*1000/$D190</f>
        <v>645.88664753079627</v>
      </c>
      <c r="J190" s="328"/>
      <c r="K190" s="159"/>
    </row>
    <row r="191" spans="1:24">
      <c r="J191" s="46"/>
      <c r="K191" s="159"/>
      <c r="L191" s="1895" t="s">
        <v>1778</v>
      </c>
      <c r="M191" s="1895"/>
      <c r="N191" s="1895"/>
      <c r="O191" s="1895"/>
      <c r="P191" s="1895"/>
      <c r="Q191" s="1895"/>
      <c r="R191" s="1895"/>
      <c r="S191" s="1895"/>
      <c r="T191" s="1895"/>
    </row>
    <row r="192" spans="1:24">
      <c r="K192" s="159"/>
      <c r="L192" s="1895" t="s">
        <v>1779</v>
      </c>
      <c r="M192" s="1895"/>
      <c r="N192" s="1895"/>
      <c r="O192" s="1895"/>
      <c r="P192" s="1895"/>
      <c r="Q192" s="1895"/>
      <c r="R192" s="1895"/>
      <c r="S192" s="1895"/>
      <c r="T192" s="1895"/>
    </row>
    <row r="193" spans="1:23">
      <c r="B193" s="258" t="s">
        <v>440</v>
      </c>
      <c r="C193" s="55"/>
      <c r="D193" s="252"/>
      <c r="E193" s="55"/>
      <c r="F193" s="55"/>
      <c r="G193" s="56"/>
      <c r="K193" s="159"/>
    </row>
    <row r="194" spans="1:23" ht="15.75">
      <c r="B194" s="259" t="s">
        <v>441</v>
      </c>
      <c r="C194" s="268" t="s">
        <v>136</v>
      </c>
      <c r="D194" s="942">
        <v>16</v>
      </c>
      <c r="E194" s="494" t="s">
        <v>481</v>
      </c>
      <c r="F194" s="941">
        <v>200</v>
      </c>
      <c r="G194" s="272" t="s">
        <v>482</v>
      </c>
      <c r="K194" s="159"/>
    </row>
    <row r="195" spans="1:23" ht="15.75">
      <c r="B195" s="262" t="s">
        <v>442</v>
      </c>
      <c r="C195" s="278" t="s">
        <v>136</v>
      </c>
      <c r="D195" s="279">
        <v>16</v>
      </c>
      <c r="E195" s="280" t="s">
        <v>481</v>
      </c>
      <c r="F195" s="281">
        <v>200</v>
      </c>
      <c r="G195" s="282" t="s">
        <v>482</v>
      </c>
      <c r="K195" s="159"/>
      <c r="L195" s="2572" t="s">
        <v>2037</v>
      </c>
      <c r="M195" s="55"/>
      <c r="N195" s="55"/>
      <c r="O195" s="55"/>
      <c r="P195" s="2563"/>
    </row>
    <row r="196" spans="1:23" ht="15">
      <c r="B196" s="264" t="s">
        <v>443</v>
      </c>
      <c r="C196" s="273"/>
      <c r="D196" s="274"/>
      <c r="E196" s="275"/>
      <c r="F196" s="276"/>
      <c r="G196" s="277"/>
      <c r="K196" s="159"/>
      <c r="L196" s="2573" t="s">
        <v>2038</v>
      </c>
      <c r="M196" s="59"/>
      <c r="N196" s="59"/>
      <c r="O196" s="59"/>
      <c r="P196" s="60"/>
    </row>
    <row r="197" spans="1:23" ht="15.75">
      <c r="B197" s="259" t="s">
        <v>441</v>
      </c>
      <c r="C197" s="268" t="s">
        <v>136</v>
      </c>
      <c r="D197" s="269">
        <v>16</v>
      </c>
      <c r="E197" s="494" t="s">
        <v>481</v>
      </c>
      <c r="F197" s="271">
        <v>200</v>
      </c>
      <c r="G197" s="272" t="s">
        <v>482</v>
      </c>
      <c r="K197" s="159"/>
      <c r="L197" s="2567" t="s">
        <v>136</v>
      </c>
      <c r="M197" s="2568">
        <f>HeadWall!D118</f>
        <v>16</v>
      </c>
      <c r="N197" s="2569" t="s">
        <v>481</v>
      </c>
      <c r="O197" s="2570">
        <f>HeadWall!F118</f>
        <v>200</v>
      </c>
      <c r="P197" s="2571" t="s">
        <v>482</v>
      </c>
    </row>
    <row r="198" spans="1:23" ht="15.75">
      <c r="B198" s="262" t="s">
        <v>442</v>
      </c>
      <c r="C198" s="278" t="s">
        <v>136</v>
      </c>
      <c r="D198" s="279">
        <v>16</v>
      </c>
      <c r="E198" s="280" t="s">
        <v>481</v>
      </c>
      <c r="F198" s="281">
        <v>200</v>
      </c>
      <c r="G198" s="282" t="s">
        <v>482</v>
      </c>
      <c r="K198" s="159"/>
    </row>
    <row r="199" spans="1:23">
      <c r="K199" s="159"/>
    </row>
    <row r="200" spans="1:23" ht="13.5" thickBot="1">
      <c r="A200" s="392" t="s">
        <v>830</v>
      </c>
      <c r="B200" s="174"/>
      <c r="C200" s="174"/>
      <c r="K200" s="159"/>
      <c r="P200" s="763" t="s">
        <v>922</v>
      </c>
      <c r="Q200" s="764"/>
      <c r="R200" s="764"/>
    </row>
    <row r="201" spans="1:23">
      <c r="K201" s="159"/>
      <c r="P201" s="765"/>
      <c r="Q201" s="766"/>
      <c r="R201" s="766"/>
      <c r="S201" s="766"/>
      <c r="T201" s="766"/>
      <c r="U201" s="766"/>
      <c r="V201" s="766"/>
      <c r="W201" s="767"/>
    </row>
    <row r="202" spans="1:23">
      <c r="A202" t="s">
        <v>357</v>
      </c>
      <c r="C202">
        <f>D16*1000</f>
        <v>700</v>
      </c>
      <c r="D202" s="187" t="s">
        <v>98</v>
      </c>
      <c r="E202" s="2" t="s">
        <v>821</v>
      </c>
      <c r="H202" s="17" t="s">
        <v>822</v>
      </c>
      <c r="K202" s="159"/>
      <c r="L202" s="1887" t="s">
        <v>1776</v>
      </c>
      <c r="M202" s="1888"/>
      <c r="P202" s="768" t="s">
        <v>1073</v>
      </c>
      <c r="Q202" s="586"/>
      <c r="R202" s="586"/>
      <c r="S202" s="586"/>
      <c r="T202" s="586"/>
      <c r="U202" s="586"/>
      <c r="V202" s="586"/>
      <c r="W202" s="769"/>
    </row>
    <row r="203" spans="1:23">
      <c r="A203" s="187" t="s">
        <v>538</v>
      </c>
      <c r="C203">
        <f>C202-$H$23-D247/2</f>
        <v>642</v>
      </c>
      <c r="D203" t="s">
        <v>98</v>
      </c>
      <c r="F203" s="3168" t="s">
        <v>1478</v>
      </c>
      <c r="G203" s="3168"/>
      <c r="K203" s="159"/>
      <c r="L203" s="1503" t="s">
        <v>1479</v>
      </c>
      <c r="M203" s="1504"/>
      <c r="N203" s="1504"/>
      <c r="P203" s="768" t="s">
        <v>1048</v>
      </c>
      <c r="Q203" s="586"/>
      <c r="R203" s="586"/>
      <c r="S203" s="586"/>
      <c r="T203" s="586"/>
      <c r="U203" s="586"/>
      <c r="V203" s="586"/>
      <c r="W203" s="769"/>
    </row>
    <row r="204" spans="1:23">
      <c r="A204" s="187" t="s">
        <v>2135</v>
      </c>
      <c r="C204">
        <f>C202-$H$23-D247/2-H24</f>
        <v>642</v>
      </c>
      <c r="D204" s="187" t="s">
        <v>98</v>
      </c>
      <c r="F204">
        <f>G145</f>
        <v>2.3249999999999997</v>
      </c>
      <c r="G204" t="s">
        <v>5</v>
      </c>
      <c r="K204" s="159"/>
      <c r="L204" s="1892" t="s">
        <v>1774</v>
      </c>
      <c r="M204" s="836">
        <f>'Mom Dist-Barl'!C126</f>
        <v>56.321932155369147</v>
      </c>
      <c r="N204" s="1889" t="s">
        <v>620</v>
      </c>
      <c r="P204" s="768" t="s">
        <v>1049</v>
      </c>
      <c r="Q204" s="586"/>
      <c r="R204" s="586"/>
      <c r="S204" s="586"/>
      <c r="T204" s="586"/>
      <c r="U204" s="586"/>
      <c r="V204" s="586"/>
      <c r="W204" s="769"/>
    </row>
    <row r="205" spans="1:23">
      <c r="E205" s="187" t="s">
        <v>742</v>
      </c>
      <c r="I205" s="191" t="s">
        <v>743</v>
      </c>
      <c r="J205" s="191"/>
      <c r="K205" s="159"/>
      <c r="L205" s="1892" t="s">
        <v>824</v>
      </c>
      <c r="M205" s="836">
        <f>'Mom Dist-Barl'!D126</f>
        <v>-68.315153877672515</v>
      </c>
      <c r="N205" s="1889" t="s">
        <v>620</v>
      </c>
      <c r="P205" s="768" t="s">
        <v>1050</v>
      </c>
      <c r="Q205" s="586"/>
      <c r="R205" s="586"/>
      <c r="S205" s="586"/>
      <c r="T205" s="586"/>
      <c r="U205" s="586"/>
      <c r="V205" s="586"/>
      <c r="W205" s="769"/>
    </row>
    <row r="206" spans="1:23">
      <c r="A206" t="s">
        <v>1061</v>
      </c>
      <c r="K206" s="159"/>
      <c r="L206" s="1892"/>
      <c r="M206" s="1889"/>
      <c r="N206" s="1889"/>
      <c r="P206" s="768" t="s">
        <v>1051</v>
      </c>
      <c r="Q206" s="586"/>
      <c r="R206" s="586"/>
      <c r="S206" s="586"/>
      <c r="T206" s="586"/>
      <c r="U206" s="586"/>
      <c r="V206" s="586"/>
      <c r="W206" s="769"/>
    </row>
    <row r="207" spans="1:23">
      <c r="A207" s="187" t="s">
        <v>823</v>
      </c>
      <c r="B207" s="577">
        <f>M204</f>
        <v>56.321932155369147</v>
      </c>
      <c r="C207" s="187" t="s">
        <v>620</v>
      </c>
      <c r="G207" s="187"/>
      <c r="K207" s="159"/>
      <c r="L207" s="1892" t="s">
        <v>1775</v>
      </c>
      <c r="M207" s="1891">
        <f>'Mom Dist-Barl'!C128</f>
        <v>160.82204649424739</v>
      </c>
      <c r="N207" s="1889" t="s">
        <v>21</v>
      </c>
      <c r="P207" s="768" t="s">
        <v>1052</v>
      </c>
      <c r="Q207" s="586"/>
      <c r="R207" s="586"/>
      <c r="S207" s="586"/>
      <c r="T207" s="586"/>
      <c r="U207" s="586"/>
      <c r="V207" s="586"/>
      <c r="W207" s="769"/>
    </row>
    <row r="208" spans="1:23">
      <c r="A208" s="187" t="s">
        <v>824</v>
      </c>
      <c r="B208" s="577">
        <f>M205</f>
        <v>-68.315153877672515</v>
      </c>
      <c r="C208" s="187" t="s">
        <v>620</v>
      </c>
      <c r="H208" s="36">
        <f>F143</f>
        <v>142.77885714285713</v>
      </c>
      <c r="K208" s="159"/>
      <c r="L208" s="1893" t="s">
        <v>1771</v>
      </c>
      <c r="M208" s="1891">
        <f>'Mom Dist-Barl'!D128</f>
        <v>171.13879636289539</v>
      </c>
      <c r="N208" s="1889" t="s">
        <v>21</v>
      </c>
      <c r="P208" s="768"/>
      <c r="Q208" s="586"/>
      <c r="R208" s="586"/>
      <c r="S208" s="586"/>
      <c r="T208" s="586"/>
      <c r="U208" s="586"/>
      <c r="V208" s="586"/>
      <c r="W208" s="769"/>
    </row>
    <row r="209" spans="1:23">
      <c r="E209" s="191"/>
      <c r="H209" s="203"/>
      <c r="K209" s="159"/>
      <c r="L209" s="1893" t="s">
        <v>1772</v>
      </c>
      <c r="M209" s="1891">
        <f>'Mom Dist-Barl'!C129</f>
        <v>-34.157576938836286</v>
      </c>
      <c r="N209" s="1889" t="s">
        <v>620</v>
      </c>
      <c r="P209" s="768"/>
      <c r="Q209" s="586"/>
      <c r="R209" s="586"/>
      <c r="S209" s="586"/>
      <c r="T209" s="586"/>
      <c r="U209" s="586"/>
      <c r="V209" s="586"/>
      <c r="W209" s="769"/>
    </row>
    <row r="210" spans="1:23">
      <c r="B210" t="str">
        <f>"R1 = ( "&amp;FIXED(H208,2)&amp;" * "&amp;F204&amp;"^ 2  / 2 +"&amp;FIXED(B207,2)&amp;" + ( "&amp;FIXED(B208,2)&amp;") ) / "&amp;F204&amp;" ="</f>
        <v>R1 = ( 142.78 * 2.325^ 2  / 2 +56.32 + ( -68.32) ) / 2.325 =</v>
      </c>
      <c r="H210" s="33">
        <f>(H208*F204^2/2+B207+B208)/F204</f>
        <v>160.82204649424739</v>
      </c>
      <c r="I210" t="s">
        <v>341</v>
      </c>
      <c r="K210" s="159"/>
      <c r="P210" s="847" t="s">
        <v>1084</v>
      </c>
      <c r="Q210" s="848"/>
      <c r="R210" s="848"/>
      <c r="S210" s="848"/>
      <c r="T210" s="848"/>
      <c r="U210" s="848"/>
      <c r="V210" s="848"/>
      <c r="W210" s="769"/>
    </row>
    <row r="211" spans="1:23">
      <c r="B211" t="str">
        <f>"R2 = "&amp;FIXED(H208)&amp;" * "&amp;F204&amp;" - "&amp;FIXED(H210,2)&amp;" = "</f>
        <v xml:space="preserve">R2 = 142.78 * 2.325 - 160.82 = </v>
      </c>
      <c r="H211" s="33">
        <f>H208*F204-H210</f>
        <v>171.13879636289539</v>
      </c>
      <c r="I211" t="s">
        <v>341</v>
      </c>
      <c r="K211" s="159"/>
      <c r="L211" s="1496" t="s">
        <v>1430</v>
      </c>
      <c r="M211" s="1488"/>
      <c r="N211" s="1488"/>
      <c r="P211" s="847" t="s">
        <v>1085</v>
      </c>
      <c r="Q211" s="848"/>
      <c r="R211" s="848"/>
      <c r="S211" s="848"/>
      <c r="T211" s="848"/>
      <c r="U211" s="848"/>
      <c r="V211" s="848"/>
      <c r="W211" s="769"/>
    </row>
    <row r="212" spans="1:23">
      <c r="B212" t="str">
        <f>"Xvo = "&amp;F204&amp;" * "&amp;FIXED(H210,2)&amp;" / ( "&amp;FIXED(H210,2)&amp;" + "&amp;FIXED(H211,2)&amp;" ) ="</f>
        <v>Xvo = 2.325 * 160.82 / ( 160.82 + 171.14 ) =</v>
      </c>
      <c r="H212" s="33">
        <f>F204*H210/(H210+H211)</f>
        <v>1.1263715770839737</v>
      </c>
      <c r="I212" t="s">
        <v>5</v>
      </c>
      <c r="K212" s="159"/>
      <c r="L212" s="1488" t="s">
        <v>1431</v>
      </c>
      <c r="M212" s="1488"/>
      <c r="N212" s="1488"/>
      <c r="P212" s="768"/>
      <c r="Q212" s="586"/>
      <c r="R212" s="586"/>
      <c r="S212" s="586"/>
      <c r="T212" s="586"/>
      <c r="U212" s="586"/>
      <c r="V212" s="586"/>
      <c r="W212" s="769"/>
    </row>
    <row r="213" spans="1:23">
      <c r="B213" t="str">
        <f>"Mc = "&amp;B207&amp;" - 0.5 * "&amp;FIXED(H210,2)&amp;" * "&amp;FIXED(H212,2)&amp;" ="</f>
        <v>Mc = 56.3219321553691 - 0.5 * 160.82 * 1.13 =</v>
      </c>
      <c r="H213" s="33">
        <f>B207-0.5*H210*H212</f>
        <v>-34.250758914429646</v>
      </c>
      <c r="I213" s="187" t="s">
        <v>620</v>
      </c>
      <c r="K213" s="159"/>
      <c r="L213" s="1488" t="s">
        <v>1433</v>
      </c>
      <c r="M213" s="1488"/>
      <c r="N213" s="1488"/>
      <c r="P213" s="768"/>
      <c r="Q213" s="586"/>
      <c r="R213" s="586"/>
      <c r="S213" s="586"/>
      <c r="T213" s="586"/>
      <c r="U213" s="586"/>
      <c r="V213" s="586"/>
      <c r="W213" s="769"/>
    </row>
    <row r="214" spans="1:23">
      <c r="K214" s="159"/>
      <c r="P214" s="768"/>
      <c r="Q214" s="586"/>
      <c r="R214" s="586"/>
      <c r="S214" s="586"/>
      <c r="T214" s="586"/>
      <c r="U214" s="586"/>
      <c r="V214" s="586"/>
      <c r="W214" s="769"/>
    </row>
    <row r="215" spans="1:23">
      <c r="B215" t="s">
        <v>831</v>
      </c>
      <c r="G215" s="742">
        <f>MAX(ABS(B207),ABS(B208))</f>
        <v>68.315153877672515</v>
      </c>
      <c r="H215" s="187" t="s">
        <v>620</v>
      </c>
      <c r="I215" s="187" t="s">
        <v>1486</v>
      </c>
      <c r="K215" s="159"/>
      <c r="P215" s="768"/>
      <c r="Q215" s="586"/>
      <c r="R215" s="586"/>
      <c r="S215" s="586"/>
      <c r="T215" s="586"/>
      <c r="U215" s="586"/>
      <c r="V215" s="586"/>
      <c r="W215" s="769"/>
    </row>
    <row r="216" spans="1:23">
      <c r="B216" t="s">
        <v>832</v>
      </c>
      <c r="G216" s="742">
        <f>ABS(H213)</f>
        <v>34.250758914429646</v>
      </c>
      <c r="H216" s="187" t="s">
        <v>620</v>
      </c>
      <c r="I216" s="187" t="s">
        <v>1487</v>
      </c>
      <c r="K216" s="159"/>
      <c r="P216" s="768"/>
      <c r="Q216" s="586"/>
      <c r="R216" s="586"/>
      <c r="S216" s="586"/>
      <c r="T216" s="586"/>
      <c r="U216" s="586"/>
      <c r="V216" s="586"/>
      <c r="W216" s="769"/>
    </row>
    <row r="217" spans="1:23" ht="13.5" thickBot="1">
      <c r="B217" t="s">
        <v>827</v>
      </c>
      <c r="G217" s="742">
        <f>MAX(H210:H211)</f>
        <v>171.13879636289539</v>
      </c>
      <c r="H217" s="187" t="s">
        <v>620</v>
      </c>
      <c r="K217" s="159"/>
      <c r="P217" s="770"/>
      <c r="Q217" s="771"/>
      <c r="R217" s="771"/>
      <c r="S217" s="771"/>
      <c r="T217" s="771"/>
      <c r="U217" s="771"/>
      <c r="V217" s="771"/>
      <c r="W217" s="772"/>
    </row>
    <row r="218" spans="1:23">
      <c r="J218" s="46"/>
      <c r="K218" s="159"/>
    </row>
    <row r="219" spans="1:23">
      <c r="A219" s="187" t="s">
        <v>541</v>
      </c>
      <c r="D219" s="187"/>
      <c r="G219" s="9">
        <f>(G217*10^3)/($C$33*1000)</f>
        <v>400.95509869017843</v>
      </c>
      <c r="H219" t="s">
        <v>98</v>
      </c>
      <c r="I219" s="126" t="str">
        <f>IF(C203&gt;=G219,"ok","Not ok")</f>
        <v>ok</v>
      </c>
      <c r="J219" s="46"/>
      <c r="K219" s="159"/>
    </row>
    <row r="220" spans="1:23">
      <c r="A220" s="187" t="s">
        <v>579</v>
      </c>
      <c r="D220" s="187"/>
      <c r="G220" s="9">
        <f>((MAX(G215:G216)*10^6)/($C$32*1000))^0.5</f>
        <v>218.55759344452895</v>
      </c>
      <c r="H220" t="s">
        <v>98</v>
      </c>
      <c r="I220" s="207" t="str">
        <f>IF(C203&gt;=G220,"ok","Not ok")</f>
        <v>ok</v>
      </c>
      <c r="J220" s="109"/>
      <c r="K220" s="159"/>
    </row>
    <row r="221" spans="1:23">
      <c r="A221" s="187" t="s">
        <v>763</v>
      </c>
      <c r="D221" s="2"/>
      <c r="G221" s="9">
        <f>(G216*10^6)/($C$27*$C$31*C203)</f>
        <v>321.02553842774705</v>
      </c>
      <c r="H221" t="s">
        <v>104</v>
      </c>
      <c r="J221" s="46"/>
      <c r="K221" s="159"/>
    </row>
    <row r="222" spans="1:23">
      <c r="A222" s="187" t="s">
        <v>764</v>
      </c>
      <c r="D222" s="2"/>
      <c r="G222" s="9">
        <f>(G215*10^6)/($C$27*$C$31*C204)</f>
        <v>640.30432467628748</v>
      </c>
      <c r="H222" t="s">
        <v>104</v>
      </c>
      <c r="J222" s="46"/>
      <c r="K222" s="159"/>
    </row>
    <row r="223" spans="1:23">
      <c r="J223" s="46"/>
      <c r="K223" s="159"/>
    </row>
    <row r="224" spans="1:23" ht="14.25">
      <c r="B224" s="243"/>
      <c r="C224" s="241" t="s">
        <v>440</v>
      </c>
      <c r="D224" s="16"/>
      <c r="E224" s="241" t="s">
        <v>441</v>
      </c>
      <c r="F224" s="16">
        <f>IF(D19&lt;=9,F39,F44)</f>
        <v>1.5E-3</v>
      </c>
      <c r="G224" s="241" t="s">
        <v>438</v>
      </c>
      <c r="J224" s="46"/>
      <c r="K224" s="159"/>
    </row>
    <row r="225" spans="1:16" ht="14.25">
      <c r="B225" s="16"/>
      <c r="C225" s="16"/>
      <c r="D225" s="16"/>
      <c r="E225" s="241" t="s">
        <v>442</v>
      </c>
      <c r="F225" s="16">
        <f>IF(E47/1000&lt;=9,F39,F44)</f>
        <v>2E-3</v>
      </c>
      <c r="G225" s="241" t="s">
        <v>438</v>
      </c>
      <c r="J225" s="46"/>
      <c r="K225" s="159"/>
    </row>
    <row r="226" spans="1:16">
      <c r="B226" s="16"/>
      <c r="C226" s="16"/>
      <c r="D226" s="16"/>
      <c r="E226" s="16"/>
      <c r="F226" s="16"/>
      <c r="G226" s="241"/>
      <c r="J226" s="46"/>
      <c r="K226" s="159"/>
    </row>
    <row r="227" spans="1:16" ht="14.25">
      <c r="B227" s="16"/>
      <c r="C227" s="241" t="s">
        <v>443</v>
      </c>
      <c r="D227" s="16"/>
      <c r="E227" s="241" t="s">
        <v>441</v>
      </c>
      <c r="F227" s="16">
        <f>IF(D19&lt;=9,F37,F42)</f>
        <v>1E-3</v>
      </c>
      <c r="G227" s="241" t="s">
        <v>438</v>
      </c>
      <c r="J227" s="46"/>
      <c r="K227" s="159"/>
    </row>
    <row r="228" spans="1:16" ht="14.25">
      <c r="B228" s="16"/>
      <c r="C228" s="16"/>
      <c r="D228" s="16"/>
      <c r="E228" s="241" t="s">
        <v>442</v>
      </c>
      <c r="F228" s="16">
        <f>IF(E47/1000&lt;=9,F37,F42)</f>
        <v>1.5E-3</v>
      </c>
      <c r="G228" s="241" t="s">
        <v>438</v>
      </c>
      <c r="J228" s="46"/>
      <c r="K228" s="159"/>
    </row>
    <row r="229" spans="1:16">
      <c r="J229" s="46"/>
      <c r="K229" s="159"/>
    </row>
    <row r="230" spans="1:16">
      <c r="A230" s="255" t="s">
        <v>1069</v>
      </c>
      <c r="G230" s="107"/>
      <c r="H230" s="107"/>
      <c r="J230" s="46"/>
      <c r="K230" s="159"/>
    </row>
    <row r="231" spans="1:16">
      <c r="J231" s="46"/>
      <c r="K231" s="159"/>
    </row>
    <row r="232" spans="1:16">
      <c r="A232" s="3147" t="s">
        <v>486</v>
      </c>
      <c r="B232" s="3148" t="s">
        <v>487</v>
      </c>
      <c r="C232" s="3148" t="s">
        <v>488</v>
      </c>
      <c r="D232" s="3148" t="s">
        <v>489</v>
      </c>
      <c r="E232" s="3149" t="s">
        <v>490</v>
      </c>
      <c r="F232" s="3150"/>
      <c r="G232" s="3150"/>
      <c r="H232" s="3150"/>
      <c r="I232" s="3150"/>
      <c r="J232" s="330"/>
      <c r="K232" s="159"/>
    </row>
    <row r="233" spans="1:16">
      <c r="A233" s="3147"/>
      <c r="B233" s="3148"/>
      <c r="C233" s="3148"/>
      <c r="D233" s="3148"/>
      <c r="E233" s="94">
        <v>12</v>
      </c>
      <c r="F233" s="94">
        <v>16</v>
      </c>
      <c r="G233" s="94">
        <v>20</v>
      </c>
      <c r="H233" s="94">
        <v>22</v>
      </c>
      <c r="I233" s="94">
        <v>25</v>
      </c>
      <c r="J233" s="275"/>
      <c r="K233" s="159"/>
    </row>
    <row r="234" spans="1:16" ht="14.25">
      <c r="A234" s="172"/>
      <c r="B234" s="256" t="s">
        <v>491</v>
      </c>
      <c r="C234" s="256" t="s">
        <v>491</v>
      </c>
      <c r="D234" s="256" t="s">
        <v>491</v>
      </c>
      <c r="E234" s="493" t="s">
        <v>98</v>
      </c>
      <c r="F234" s="493" t="s">
        <v>98</v>
      </c>
      <c r="G234" s="493" t="s">
        <v>98</v>
      </c>
      <c r="H234" s="493" t="s">
        <v>98</v>
      </c>
      <c r="I234" s="493" t="s">
        <v>98</v>
      </c>
      <c r="J234" s="759"/>
      <c r="K234" s="159"/>
    </row>
    <row r="235" spans="1:16">
      <c r="A235" s="258" t="s">
        <v>440</v>
      </c>
      <c r="B235" s="55"/>
      <c r="C235" s="55"/>
      <c r="D235" s="55"/>
      <c r="E235" s="55"/>
      <c r="F235" s="55"/>
      <c r="G235" s="55"/>
      <c r="H235" s="55"/>
      <c r="I235" s="56"/>
      <c r="J235" s="386"/>
      <c r="K235" s="159"/>
    </row>
    <row r="236" spans="1:16">
      <c r="A236" s="259" t="s">
        <v>441</v>
      </c>
      <c r="B236" s="318">
        <f>G221</f>
        <v>321.02553842774705</v>
      </c>
      <c r="C236" s="318">
        <f>IF(C202&gt;380,F224*1000*380,F224*1000*C202)</f>
        <v>570</v>
      </c>
      <c r="D236" s="318">
        <f>MAX(B236:C236)</f>
        <v>570</v>
      </c>
      <c r="E236" s="261">
        <f>PI()*(E233/2)^2*1000/$D236</f>
        <v>198.41637812146064</v>
      </c>
      <c r="F236" s="261">
        <f>PI()*(F233/2)^2*1000/$D236</f>
        <v>352.74022777148554</v>
      </c>
      <c r="G236" s="261">
        <f>PI()*(G233/2)^2*1000/$D236</f>
        <v>551.15660589294623</v>
      </c>
      <c r="H236" s="261">
        <f>PI()*(H233/2)^2*1000/$D236</f>
        <v>666.89949313046486</v>
      </c>
      <c r="I236" s="283">
        <f>PI()*(I233/2)^2*1000/$D236</f>
        <v>861.18219670772839</v>
      </c>
      <c r="J236" s="328"/>
      <c r="K236" s="159"/>
      <c r="L236" s="3173" t="s">
        <v>1140</v>
      </c>
      <c r="M236" s="3174"/>
      <c r="N236" s="3174"/>
      <c r="O236" s="3174"/>
      <c r="P236" s="3175"/>
    </row>
    <row r="237" spans="1:16">
      <c r="A237" s="262" t="s">
        <v>442</v>
      </c>
      <c r="B237" s="319"/>
      <c r="C237" s="318">
        <f>IF(C202&gt;380,F225*1000*380,F225*1000*C202)</f>
        <v>760</v>
      </c>
      <c r="D237" s="319">
        <f>MAX(B237:C237)</f>
        <v>760</v>
      </c>
      <c r="E237" s="261">
        <f>PI()*(E233/2)^2*1000/$D237</f>
        <v>148.81228359109548</v>
      </c>
      <c r="F237" s="261">
        <f>PI()*(F233/2)^2*1000/$D237</f>
        <v>264.55517082861417</v>
      </c>
      <c r="G237" s="261">
        <f>PI()*(G233/2)^2*1000/$D237</f>
        <v>413.36745441970965</v>
      </c>
      <c r="H237" s="261">
        <f>PI()*(H233/2)^2*1000/$D237</f>
        <v>500.17461984784865</v>
      </c>
      <c r="I237" s="283">
        <f>PI()*(I233/2)^2*1000/$D237</f>
        <v>645.88664753079627</v>
      </c>
      <c r="J237" s="328"/>
      <c r="K237" s="159"/>
      <c r="L237" s="3169" t="s">
        <v>486</v>
      </c>
      <c r="M237" s="3171" t="s">
        <v>442</v>
      </c>
      <c r="N237" s="3176"/>
      <c r="O237" s="3176"/>
      <c r="P237" s="3172"/>
    </row>
    <row r="238" spans="1:16">
      <c r="A238" s="264" t="s">
        <v>443</v>
      </c>
      <c r="B238" s="265"/>
      <c r="C238" s="322"/>
      <c r="D238" s="322"/>
      <c r="E238" s="266"/>
      <c r="F238" s="266"/>
      <c r="G238" s="266"/>
      <c r="H238" s="266"/>
      <c r="I238" s="267"/>
      <c r="J238" s="330"/>
      <c r="K238" s="159"/>
      <c r="L238" s="3170"/>
      <c r="M238" s="3171" t="s">
        <v>440</v>
      </c>
      <c r="N238" s="3172"/>
      <c r="O238" s="3171" t="s">
        <v>443</v>
      </c>
      <c r="P238" s="3172"/>
    </row>
    <row r="239" spans="1:16">
      <c r="A239" s="259" t="s">
        <v>441</v>
      </c>
      <c r="B239" s="318">
        <f>G222</f>
        <v>640.30432467628748</v>
      </c>
      <c r="C239" s="318">
        <f>IF(C202&gt;380,F227*1000*380,F227*1000*C202)</f>
        <v>380</v>
      </c>
      <c r="D239" s="318">
        <f>MAX(B239:C239)</f>
        <v>640.30432467628748</v>
      </c>
      <c r="E239" s="261">
        <f>PI()*(E233/2)^2*1000/$D239</f>
        <v>176.6305976246687</v>
      </c>
      <c r="F239" s="261">
        <f>PI()*(F233/2)^2*1000/$D239</f>
        <v>314.00995133274432</v>
      </c>
      <c r="G239" s="261">
        <f>PI()*(G233/2)^2*1000/$D239</f>
        <v>490.6405489574131</v>
      </c>
      <c r="H239" s="261">
        <f>PI()*(H233/2)^2*1000/$D239</f>
        <v>593.67506423846976</v>
      </c>
      <c r="I239" s="283">
        <f>PI()*(I233/2)^2*1000/$D239</f>
        <v>766.62585774595789</v>
      </c>
      <c r="J239" s="328"/>
      <c r="K239" s="159"/>
      <c r="L239" s="3170"/>
      <c r="M239" s="926" t="s">
        <v>709</v>
      </c>
      <c r="N239" s="902" t="s">
        <v>710</v>
      </c>
      <c r="O239" s="902" t="s">
        <v>709</v>
      </c>
      <c r="P239" s="928" t="s">
        <v>710</v>
      </c>
    </row>
    <row r="240" spans="1:16">
      <c r="A240" s="262" t="s">
        <v>442</v>
      </c>
      <c r="B240" s="263"/>
      <c r="C240" s="319">
        <f>IF(C202&gt;380,F228*1000*380,F228*1000*C202)</f>
        <v>570</v>
      </c>
      <c r="D240" s="319">
        <f>MAX(B240:C240)</f>
        <v>570</v>
      </c>
      <c r="E240" s="284">
        <f>PI()*(E233/2)^2*1000/$D240</f>
        <v>198.41637812146064</v>
      </c>
      <c r="F240" s="284">
        <f>PI()*(F233/2)^2*1000/$D240</f>
        <v>352.74022777148554</v>
      </c>
      <c r="G240" s="284">
        <f>PI()*(G233/2)^2*1000/$D240</f>
        <v>551.15660589294623</v>
      </c>
      <c r="H240" s="284">
        <f>PI()*(H233/2)^2*1000/$D240</f>
        <v>666.89949313046486</v>
      </c>
      <c r="I240" s="285">
        <f>PI()*(I233/2)^2*1000/$D240</f>
        <v>861.18219670772839</v>
      </c>
      <c r="J240" s="328"/>
      <c r="K240" s="159"/>
      <c r="L240" s="2577" t="s">
        <v>2026</v>
      </c>
      <c r="M240" s="2578">
        <f>D245</f>
        <v>16</v>
      </c>
      <c r="N240" s="2579">
        <f>F245</f>
        <v>200</v>
      </c>
      <c r="O240" s="2578">
        <f>D248</f>
        <v>16</v>
      </c>
      <c r="P240" s="2580">
        <f>F248</f>
        <v>250</v>
      </c>
    </row>
    <row r="241" spans="1:23">
      <c r="J241" s="46"/>
      <c r="K241" s="159"/>
      <c r="L241" s="895" t="s">
        <v>2040</v>
      </c>
      <c r="M241" s="899">
        <f>'CS gate'!D482</f>
        <v>16</v>
      </c>
      <c r="N241" s="887">
        <f>'CS gate'!F482</f>
        <v>200</v>
      </c>
      <c r="O241" s="899">
        <f>'CS gate'!D485</f>
        <v>16</v>
      </c>
      <c r="P241" s="886">
        <f>'CS gate'!F485</f>
        <v>250</v>
      </c>
    </row>
    <row r="242" spans="1:23">
      <c r="J242" s="46"/>
      <c r="K242" s="159"/>
      <c r="L242" s="900" t="s">
        <v>2041</v>
      </c>
      <c r="M242" s="901">
        <f>'RS gate'!D483</f>
        <v>16</v>
      </c>
      <c r="N242" s="888">
        <f>'RS gate'!F483</f>
        <v>200</v>
      </c>
      <c r="O242" s="901">
        <f>'RS gate'!D486</f>
        <v>16</v>
      </c>
      <c r="P242" s="889">
        <f>'RS gate'!F486</f>
        <v>250</v>
      </c>
    </row>
    <row r="243" spans="1:23">
      <c r="B243" s="258" t="s">
        <v>440</v>
      </c>
      <c r="C243" s="55"/>
      <c r="D243" s="252"/>
      <c r="E243" s="55"/>
      <c r="F243" s="55"/>
      <c r="G243" s="56"/>
      <c r="J243" s="46"/>
      <c r="K243" s="159"/>
    </row>
    <row r="244" spans="1:23" ht="15.75">
      <c r="B244" s="259" t="s">
        <v>441</v>
      </c>
      <c r="C244" s="268" t="s">
        <v>136</v>
      </c>
      <c r="D244" s="269">
        <v>16</v>
      </c>
      <c r="E244" s="494" t="s">
        <v>481</v>
      </c>
      <c r="F244" s="271">
        <v>200</v>
      </c>
      <c r="G244" s="272" t="s">
        <v>482</v>
      </c>
      <c r="K244" s="159"/>
    </row>
    <row r="245" spans="1:23" ht="15.75">
      <c r="B245" s="262" t="s">
        <v>442</v>
      </c>
      <c r="C245" s="278" t="s">
        <v>136</v>
      </c>
      <c r="D245" s="279">
        <v>16</v>
      </c>
      <c r="E245" s="280" t="s">
        <v>481</v>
      </c>
      <c r="F245" s="281">
        <v>200</v>
      </c>
      <c r="G245" s="282" t="s">
        <v>482</v>
      </c>
      <c r="K245" s="159"/>
      <c r="M245" s="2"/>
    </row>
    <row r="246" spans="1:23" ht="15">
      <c r="B246" s="264" t="s">
        <v>443</v>
      </c>
      <c r="C246" s="273"/>
      <c r="D246" s="274"/>
      <c r="E246" s="275"/>
      <c r="F246" s="276"/>
      <c r="G246" s="277"/>
      <c r="K246" s="159"/>
    </row>
    <row r="247" spans="1:23" ht="15.75">
      <c r="B247" s="259" t="s">
        <v>441</v>
      </c>
      <c r="C247" s="268" t="s">
        <v>136</v>
      </c>
      <c r="D247" s="942">
        <f>D194</f>
        <v>16</v>
      </c>
      <c r="E247" s="494" t="s">
        <v>481</v>
      </c>
      <c r="F247" s="941">
        <f>F194</f>
        <v>200</v>
      </c>
      <c r="G247" s="272" t="s">
        <v>482</v>
      </c>
      <c r="K247" s="159"/>
    </row>
    <row r="248" spans="1:23" ht="15.75">
      <c r="B248" s="262" t="s">
        <v>442</v>
      </c>
      <c r="C248" s="278" t="s">
        <v>136</v>
      </c>
      <c r="D248" s="279">
        <v>16</v>
      </c>
      <c r="E248" s="280" t="s">
        <v>481</v>
      </c>
      <c r="F248" s="281">
        <v>250</v>
      </c>
      <c r="G248" s="282" t="s">
        <v>482</v>
      </c>
      <c r="K248" s="159"/>
      <c r="M248" s="187"/>
      <c r="Q248" s="191"/>
    </row>
    <row r="249" spans="1:23">
      <c r="K249" s="159"/>
    </row>
    <row r="250" spans="1:23">
      <c r="A250" s="392" t="s">
        <v>833</v>
      </c>
      <c r="B250" s="174"/>
      <c r="C250" s="174"/>
      <c r="K250" s="159"/>
      <c r="O250" s="187"/>
    </row>
    <row r="251" spans="1:23" ht="13.5" thickBot="1">
      <c r="G251" t="s">
        <v>742</v>
      </c>
      <c r="H251" s="17" t="s">
        <v>821</v>
      </c>
      <c r="K251" s="159"/>
      <c r="P251" s="763" t="s">
        <v>922</v>
      </c>
      <c r="Q251" s="764"/>
      <c r="R251" s="764"/>
    </row>
    <row r="252" spans="1:23">
      <c r="A252" t="s">
        <v>357</v>
      </c>
      <c r="C252">
        <f>D17*1000</f>
        <v>600</v>
      </c>
      <c r="D252" s="187" t="s">
        <v>98</v>
      </c>
      <c r="K252" s="159"/>
      <c r="L252" s="1887" t="s">
        <v>1777</v>
      </c>
      <c r="M252" s="1888"/>
      <c r="P252" s="765"/>
      <c r="Q252" s="766"/>
      <c r="R252" s="766"/>
      <c r="S252" s="766"/>
      <c r="T252" s="766"/>
      <c r="U252" s="766"/>
      <c r="V252" s="766"/>
      <c r="W252" s="767"/>
    </row>
    <row r="253" spans="1:23">
      <c r="A253" s="187" t="s">
        <v>538</v>
      </c>
      <c r="C253">
        <f>C252-$H$23-D299/2</f>
        <v>542</v>
      </c>
      <c r="D253" t="s">
        <v>98</v>
      </c>
      <c r="F253" s="33">
        <f>A130</f>
        <v>89.537898896243007</v>
      </c>
      <c r="K253" s="159"/>
      <c r="L253" s="1503" t="s">
        <v>1479</v>
      </c>
      <c r="M253" s="1504"/>
      <c r="N253" s="1504"/>
      <c r="P253" s="768" t="s">
        <v>1074</v>
      </c>
      <c r="Q253" s="586"/>
      <c r="R253" s="586"/>
      <c r="S253" s="586"/>
      <c r="T253" s="586"/>
      <c r="U253" s="586"/>
      <c r="V253" s="586"/>
      <c r="W253" s="769"/>
    </row>
    <row r="254" spans="1:23">
      <c r="K254" s="159"/>
      <c r="L254" s="1892" t="s">
        <v>1774</v>
      </c>
      <c r="M254" s="577">
        <f>'Mom Dist-Barl'!B90</f>
        <v>53.270554576977311</v>
      </c>
      <c r="N254" s="1889" t="s">
        <v>620</v>
      </c>
      <c r="P254" s="768" t="s">
        <v>1053</v>
      </c>
      <c r="Q254" s="586"/>
      <c r="R254" s="586"/>
      <c r="S254" s="586"/>
      <c r="T254" s="586"/>
      <c r="U254" s="586"/>
      <c r="V254" s="586"/>
      <c r="W254" s="769"/>
    </row>
    <row r="255" spans="1:23">
      <c r="A255" t="s">
        <v>1061</v>
      </c>
      <c r="H255" s="18">
        <f>G147</f>
        <v>2.4500000000000002</v>
      </c>
      <c r="K255" s="159"/>
      <c r="L255" s="1892" t="s">
        <v>824</v>
      </c>
      <c r="M255" s="577">
        <f>'Mom Dist-Barl'!C90</f>
        <v>-56.321931801797199</v>
      </c>
      <c r="N255" s="1889" t="s">
        <v>620</v>
      </c>
      <c r="P255" s="768"/>
      <c r="Q255" s="586"/>
      <c r="R255" s="586"/>
      <c r="S255" s="586"/>
      <c r="T255" s="586"/>
      <c r="U255" s="586"/>
      <c r="V255" s="586"/>
      <c r="W255" s="769"/>
    </row>
    <row r="256" spans="1:23">
      <c r="A256" t="s">
        <v>1066</v>
      </c>
      <c r="C256" s="187" t="s">
        <v>823</v>
      </c>
      <c r="D256" s="577">
        <f>M254</f>
        <v>53.270554576977311</v>
      </c>
      <c r="E256" s="187" t="s">
        <v>620</v>
      </c>
      <c r="K256" s="159"/>
      <c r="L256" s="1892"/>
      <c r="M256" s="1889"/>
      <c r="N256" s="1889"/>
      <c r="P256" s="768"/>
      <c r="Q256" s="586"/>
      <c r="R256" s="586"/>
      <c r="S256" s="586"/>
      <c r="T256" s="586"/>
      <c r="U256" s="586"/>
      <c r="V256" s="586"/>
      <c r="W256" s="769"/>
    </row>
    <row r="257" spans="1:23">
      <c r="A257" s="187" t="s">
        <v>1067</v>
      </c>
      <c r="C257" s="187" t="s">
        <v>824</v>
      </c>
      <c r="D257" s="577">
        <f>M255</f>
        <v>-56.321931801797199</v>
      </c>
      <c r="E257" s="187" t="s">
        <v>620</v>
      </c>
      <c r="F257" s="54">
        <f>A140</f>
        <v>120.00565615954791</v>
      </c>
      <c r="K257" s="159"/>
      <c r="L257" s="1892" t="s">
        <v>1775</v>
      </c>
      <c r="M257" s="1891"/>
      <c r="N257" s="1889" t="s">
        <v>21</v>
      </c>
      <c r="P257" s="768" t="s">
        <v>1054</v>
      </c>
      <c r="Q257" s="586"/>
      <c r="R257" s="586"/>
      <c r="S257" s="586"/>
      <c r="T257" s="586"/>
      <c r="U257" s="586"/>
      <c r="V257" s="586"/>
      <c r="W257" s="769"/>
    </row>
    <row r="258" spans="1:23">
      <c r="K258" s="159"/>
      <c r="L258" s="1893" t="s">
        <v>1771</v>
      </c>
      <c r="M258" s="1891"/>
      <c r="N258" s="1889" t="s">
        <v>21</v>
      </c>
      <c r="P258" s="768" t="s">
        <v>1055</v>
      </c>
      <c r="Q258" s="586"/>
      <c r="R258" s="586"/>
      <c r="S258" s="586"/>
      <c r="T258" s="586"/>
      <c r="U258" s="586"/>
      <c r="V258" s="586"/>
      <c r="W258" s="769"/>
    </row>
    <row r="259" spans="1:23">
      <c r="E259" s="191"/>
      <c r="H259" s="17" t="s">
        <v>822</v>
      </c>
      <c r="K259" s="159"/>
      <c r="L259" s="1893" t="s">
        <v>1772</v>
      </c>
      <c r="M259" s="1891"/>
      <c r="N259" s="1889" t="s">
        <v>620</v>
      </c>
      <c r="P259" s="768" t="s">
        <v>1056</v>
      </c>
      <c r="Q259" s="586"/>
      <c r="R259" s="586"/>
      <c r="S259" s="586"/>
      <c r="T259" s="586"/>
      <c r="U259" s="586"/>
      <c r="V259" s="586"/>
      <c r="W259" s="769"/>
    </row>
    <row r="260" spans="1:23">
      <c r="H260" s="2" t="s">
        <v>743</v>
      </c>
      <c r="K260" s="159"/>
      <c r="P260" s="768"/>
      <c r="Q260" s="586"/>
      <c r="R260" s="586"/>
      <c r="S260" s="586"/>
      <c r="T260" s="586"/>
      <c r="U260" s="586"/>
      <c r="V260" s="586"/>
      <c r="W260" s="769"/>
    </row>
    <row r="261" spans="1:23">
      <c r="H261" s="2"/>
      <c r="K261" s="159"/>
      <c r="L261" s="1496" t="s">
        <v>1430</v>
      </c>
      <c r="M261" s="1488"/>
      <c r="N261" s="1488"/>
      <c r="P261" s="768"/>
      <c r="Q261" s="848" t="s">
        <v>1076</v>
      </c>
      <c r="R261" s="848"/>
      <c r="S261" s="848"/>
      <c r="T261" s="848"/>
      <c r="U261" s="848"/>
      <c r="V261" s="848"/>
      <c r="W261" s="769"/>
    </row>
    <row r="262" spans="1:23">
      <c r="A262" t="str">
        <f>"R1= ("&amp;FIXED(F253,2)&amp;" * "&amp;H255&amp;"^2/2+("&amp;FIXED(F257,2)&amp;" - "&amp;FIXED(F253,2)&amp;")*"&amp;H255&amp;"^2/6+"&amp;FIXED(D256,2)&amp;" + ("&amp;FIXED(D257,2)&amp;"))/"&amp;H255&amp;" = "</f>
        <v xml:space="preserve">R1= (89.54 * 2.45^2/2+(120.01 - 89.54)*2.45^2/6+53.27 + (-56.32))/2.45 = </v>
      </c>
      <c r="I262" s="33">
        <f>(F253*H255^2/2+(F257-F253)*H255^2/6+D256+D257)/H255</f>
        <v>120.87946693865065</v>
      </c>
      <c r="J262" t="s">
        <v>341</v>
      </c>
      <c r="K262" s="159"/>
      <c r="L262" s="1488" t="s">
        <v>1431</v>
      </c>
      <c r="M262" s="1488"/>
      <c r="N262" s="1488"/>
      <c r="P262" s="768"/>
      <c r="Q262" s="768" t="s">
        <v>1077</v>
      </c>
      <c r="R262" s="586"/>
      <c r="S262" s="586"/>
      <c r="T262" s="586"/>
      <c r="U262" s="586"/>
      <c r="V262" s="586"/>
      <c r="W262" s="769"/>
    </row>
    <row r="263" spans="1:23">
      <c r="A263" t="str">
        <f>"R2= "&amp;FIXED(F253,2)&amp;" * "&amp;H255&amp;"+("&amp;FIXED(F257,2)&amp;" - "&amp;FIXED(F253,2)&amp;")*"&amp;H255&amp;"/2-"&amp;FIXED(I262,2)&amp;" = "</f>
        <v xml:space="preserve">R2= 89.54 * 2.45+(120.01 - 89.54)*2.45/2-120.88 = </v>
      </c>
      <c r="I263" s="33">
        <f>F253*H255+(F257-F253)*H255/2-I262</f>
        <v>135.81138800469324</v>
      </c>
      <c r="J263" t="s">
        <v>341</v>
      </c>
      <c r="K263" s="159"/>
      <c r="L263" s="1488" t="s">
        <v>1433</v>
      </c>
      <c r="M263" s="1488"/>
      <c r="N263" s="1488"/>
      <c r="P263" s="768"/>
      <c r="Q263" s="848" t="s">
        <v>1078</v>
      </c>
      <c r="R263" s="848"/>
      <c r="S263" s="848"/>
      <c r="T263" s="848"/>
      <c r="U263" s="848"/>
      <c r="V263" s="848"/>
      <c r="W263" s="769"/>
    </row>
    <row r="264" spans="1:23">
      <c r="A264" t="s">
        <v>825</v>
      </c>
      <c r="H264" s="224"/>
      <c r="I264" t="s">
        <v>5</v>
      </c>
      <c r="K264" s="159"/>
      <c r="P264" s="768"/>
      <c r="Q264" s="586" t="s">
        <v>1079</v>
      </c>
      <c r="R264" s="586"/>
      <c r="S264" s="586"/>
      <c r="T264" s="586"/>
      <c r="U264" s="586"/>
      <c r="V264" s="586"/>
      <c r="W264" s="769"/>
    </row>
    <row r="265" spans="1:23">
      <c r="A265" t="s">
        <v>826</v>
      </c>
      <c r="H265" s="224"/>
      <c r="I265" s="187" t="s">
        <v>620</v>
      </c>
      <c r="K265" s="159"/>
      <c r="P265" s="768"/>
      <c r="Q265" s="586" t="s">
        <v>1080</v>
      </c>
      <c r="R265" s="586"/>
      <c r="S265" s="586"/>
      <c r="T265" s="586"/>
      <c r="U265" s="586"/>
      <c r="V265" s="586"/>
      <c r="W265" s="769"/>
    </row>
    <row r="266" spans="1:23">
      <c r="H266" s="2"/>
      <c r="K266" s="159"/>
      <c r="P266" s="768"/>
      <c r="Q266" s="586" t="s">
        <v>1081</v>
      </c>
      <c r="R266" s="586"/>
      <c r="S266" s="586"/>
      <c r="T266" s="586"/>
      <c r="U266" s="586"/>
      <c r="V266" s="586"/>
      <c r="W266" s="769"/>
    </row>
    <row r="267" spans="1:23">
      <c r="A267" s="187" t="s">
        <v>1062</v>
      </c>
      <c r="F267" s="742">
        <f>MAX(ABS(D256),ABS(D257))</f>
        <v>56.321931801797199</v>
      </c>
      <c r="G267" s="187" t="s">
        <v>620</v>
      </c>
      <c r="H267" t="s">
        <v>1482</v>
      </c>
      <c r="K267" s="159"/>
      <c r="P267" s="768"/>
      <c r="Q267" s="586"/>
      <c r="R267" s="586"/>
      <c r="S267" s="586"/>
      <c r="T267" s="586"/>
      <c r="U267" s="586"/>
      <c r="V267" s="586"/>
      <c r="W267" s="769"/>
    </row>
    <row r="268" spans="1:23">
      <c r="A268" s="187" t="s">
        <v>1063</v>
      </c>
      <c r="F268" s="577">
        <v>5.71</v>
      </c>
      <c r="G268" s="187" t="s">
        <v>620</v>
      </c>
      <c r="H268" t="s">
        <v>1483</v>
      </c>
      <c r="K268" s="159"/>
      <c r="P268" s="768"/>
      <c r="Q268" s="586"/>
      <c r="R268" s="586"/>
      <c r="S268" s="586"/>
      <c r="T268" s="586"/>
      <c r="U268" s="586"/>
      <c r="V268" s="586"/>
      <c r="W268" s="769"/>
    </row>
    <row r="269" spans="1:23">
      <c r="A269" t="s">
        <v>827</v>
      </c>
      <c r="F269" s="742">
        <f>MAX(I262:I263)</f>
        <v>135.81138800469324</v>
      </c>
      <c r="G269" s="187" t="s">
        <v>620</v>
      </c>
      <c r="K269" s="159"/>
      <c r="P269" s="768"/>
      <c r="Q269" s="586"/>
      <c r="R269" s="586"/>
      <c r="S269" s="586"/>
      <c r="T269" s="586"/>
      <c r="U269" s="586"/>
      <c r="V269" s="586"/>
      <c r="W269" s="769"/>
    </row>
    <row r="270" spans="1:23" ht="13.5" thickBot="1">
      <c r="J270" s="46"/>
      <c r="K270" s="159"/>
      <c r="P270" s="770"/>
      <c r="Q270" s="771"/>
      <c r="R270" s="771"/>
      <c r="S270" s="771"/>
      <c r="T270" s="771"/>
      <c r="U270" s="771"/>
      <c r="V270" s="771"/>
      <c r="W270" s="772"/>
    </row>
    <row r="271" spans="1:23">
      <c r="A271" s="187" t="s">
        <v>541</v>
      </c>
      <c r="D271" s="187"/>
      <c r="G271" s="9">
        <f>(F269*10^3)/($C$33*1000)</f>
        <v>318.18774958077313</v>
      </c>
      <c r="H271" t="s">
        <v>98</v>
      </c>
      <c r="I271" s="126" t="str">
        <f>IF(C253&gt;=G271,"ok","Not ok")</f>
        <v>ok</v>
      </c>
      <c r="J271" s="46"/>
      <c r="K271" s="159"/>
    </row>
    <row r="272" spans="1:23">
      <c r="A272" s="187" t="s">
        <v>579</v>
      </c>
      <c r="D272" s="187"/>
      <c r="G272" s="9">
        <f>((MAX(F267:F268)*10^6)/($C$32*1000))^0.5</f>
        <v>198.4477346787877</v>
      </c>
      <c r="H272" t="s">
        <v>98</v>
      </c>
      <c r="I272" s="207" t="str">
        <f>IF(C253&gt;=G272,"ok","Not ok")</f>
        <v>ok</v>
      </c>
      <c r="J272" s="46"/>
      <c r="K272" s="159"/>
    </row>
    <row r="273" spans="1:11">
      <c r="A273" s="187" t="s">
        <v>1064</v>
      </c>
      <c r="D273" s="2"/>
      <c r="G273" s="9">
        <f>(F267*10^6)/($C$27*$C$31*C253)</f>
        <v>625.29170593741458</v>
      </c>
      <c r="H273" t="s">
        <v>104</v>
      </c>
      <c r="J273" s="46"/>
      <c r="K273" s="159"/>
    </row>
    <row r="274" spans="1:11">
      <c r="A274" s="187" t="s">
        <v>1065</v>
      </c>
      <c r="D274" s="2"/>
      <c r="G274" s="9">
        <f>(F268*10^6)/($C$27*$C$31*C253)</f>
        <v>63.392989669944306</v>
      </c>
      <c r="H274" t="s">
        <v>104</v>
      </c>
      <c r="J274" s="109"/>
      <c r="K274" s="159"/>
    </row>
    <row r="275" spans="1:11">
      <c r="J275" s="46"/>
      <c r="K275" s="159"/>
    </row>
    <row r="276" spans="1:11" ht="14.25">
      <c r="B276" s="243"/>
      <c r="C276" s="241" t="s">
        <v>492</v>
      </c>
      <c r="D276" s="16"/>
      <c r="E276" s="241" t="s">
        <v>111</v>
      </c>
      <c r="F276" s="16">
        <f>IF(F116&lt;=9,F37,F42)</f>
        <v>1E-3</v>
      </c>
      <c r="G276" s="241" t="s">
        <v>438</v>
      </c>
      <c r="J276" s="46"/>
      <c r="K276" s="159"/>
    </row>
    <row r="277" spans="1:11" ht="14.25">
      <c r="B277" s="16"/>
      <c r="C277" s="16"/>
      <c r="D277" s="16"/>
      <c r="E277" s="241" t="s">
        <v>110</v>
      </c>
      <c r="F277" s="16">
        <f>IF(E47/1000&lt;=9,F37,F42)</f>
        <v>1.5E-3</v>
      </c>
      <c r="G277" s="241" t="s">
        <v>438</v>
      </c>
      <c r="J277" s="46"/>
      <c r="K277" s="159"/>
    </row>
    <row r="278" spans="1:11">
      <c r="B278" s="16"/>
      <c r="C278" s="16"/>
      <c r="D278" s="16"/>
      <c r="E278" s="16"/>
      <c r="F278" s="16"/>
      <c r="G278" s="241"/>
      <c r="J278" s="46"/>
      <c r="K278" s="159"/>
    </row>
    <row r="279" spans="1:11" ht="14.25">
      <c r="B279" s="16"/>
      <c r="C279" s="241" t="s">
        <v>1086</v>
      </c>
      <c r="D279" s="16"/>
      <c r="E279" s="241" t="s">
        <v>111</v>
      </c>
      <c r="F279" s="16">
        <f>IF(F116&lt;=9,F39,F44)</f>
        <v>1.5E-3</v>
      </c>
      <c r="G279" s="241" t="s">
        <v>438</v>
      </c>
      <c r="J279" s="46"/>
      <c r="K279" s="159"/>
    </row>
    <row r="280" spans="1:11" ht="14.25">
      <c r="B280" s="16"/>
      <c r="C280" s="16"/>
      <c r="D280" s="16"/>
      <c r="E280" s="241" t="s">
        <v>110</v>
      </c>
      <c r="F280" s="16">
        <f>IF(E47/1000&lt;=9,F39,F44)</f>
        <v>2E-3</v>
      </c>
      <c r="G280" s="241" t="s">
        <v>438</v>
      </c>
      <c r="J280" s="46"/>
      <c r="K280" s="159"/>
    </row>
    <row r="281" spans="1:11">
      <c r="J281" s="46"/>
      <c r="K281" s="159"/>
    </row>
    <row r="282" spans="1:11">
      <c r="A282" s="255" t="s">
        <v>1070</v>
      </c>
      <c r="G282" s="107"/>
      <c r="H282" s="107"/>
      <c r="J282" s="46"/>
      <c r="K282" s="159"/>
    </row>
    <row r="283" spans="1:11">
      <c r="J283" s="46"/>
      <c r="K283" s="159"/>
    </row>
    <row r="284" spans="1:11">
      <c r="A284" s="3147" t="s">
        <v>486</v>
      </c>
      <c r="B284" s="3148" t="s">
        <v>487</v>
      </c>
      <c r="C284" s="3148" t="s">
        <v>488</v>
      </c>
      <c r="D284" s="3148" t="s">
        <v>489</v>
      </c>
      <c r="E284" s="3149" t="s">
        <v>490</v>
      </c>
      <c r="F284" s="3150"/>
      <c r="G284" s="3150"/>
      <c r="H284" s="3150"/>
      <c r="I284" s="3150"/>
      <c r="J284" s="330"/>
      <c r="K284" s="159"/>
    </row>
    <row r="285" spans="1:11">
      <c r="A285" s="3147"/>
      <c r="B285" s="3148"/>
      <c r="C285" s="3148"/>
      <c r="D285" s="3148"/>
      <c r="E285" s="94">
        <v>12</v>
      </c>
      <c r="F285" s="94">
        <v>16</v>
      </c>
      <c r="G285" s="94">
        <v>20</v>
      </c>
      <c r="H285" s="94">
        <v>22</v>
      </c>
      <c r="I285" s="94">
        <v>25</v>
      </c>
      <c r="J285" s="275"/>
      <c r="K285" s="159"/>
    </row>
    <row r="286" spans="1:11" ht="14.25">
      <c r="A286" s="172"/>
      <c r="B286" s="256" t="s">
        <v>491</v>
      </c>
      <c r="C286" s="256" t="s">
        <v>491</v>
      </c>
      <c r="D286" s="256" t="s">
        <v>491</v>
      </c>
      <c r="E286" s="493" t="s">
        <v>98</v>
      </c>
      <c r="F286" s="493" t="s">
        <v>98</v>
      </c>
      <c r="G286" s="493" t="s">
        <v>98</v>
      </c>
      <c r="H286" s="493" t="s">
        <v>98</v>
      </c>
      <c r="I286" s="493" t="s">
        <v>98</v>
      </c>
      <c r="J286" s="759"/>
      <c r="K286" s="159"/>
    </row>
    <row r="287" spans="1:11">
      <c r="A287" s="495" t="s">
        <v>492</v>
      </c>
      <c r="B287" s="55"/>
      <c r="C287" s="55"/>
      <c r="D287" s="55"/>
      <c r="E287" s="55"/>
      <c r="F287" s="55"/>
      <c r="G287" s="55"/>
      <c r="H287" s="55"/>
      <c r="I287" s="56"/>
      <c r="J287" s="386"/>
      <c r="K287" s="159"/>
    </row>
    <row r="288" spans="1:11">
      <c r="A288" s="369" t="s">
        <v>111</v>
      </c>
      <c r="B288" s="318">
        <f>G273</f>
        <v>625.29170593741458</v>
      </c>
      <c r="C288" s="318">
        <f>IF(C252&gt;380,F276*1000*380,F276*1000*C252)</f>
        <v>380</v>
      </c>
      <c r="D288" s="318">
        <f>MAX(B288:C288)</f>
        <v>625.29170593741458</v>
      </c>
      <c r="E288" s="261">
        <f>PI()*(E285/2)^2*1000/$D288</f>
        <v>180.87131886657787</v>
      </c>
      <c r="F288" s="261">
        <f>PI()*(F285/2)^2*1000/$D288</f>
        <v>321.54901131836061</v>
      </c>
      <c r="G288" s="261">
        <f>PI()*(G285/2)^2*1000/$D288</f>
        <v>502.42033018493856</v>
      </c>
      <c r="H288" s="261">
        <f>PI()*(H285/2)^2*1000/$D288</f>
        <v>607.92859952377557</v>
      </c>
      <c r="I288" s="283">
        <f>PI()*(I285/2)^2*1000/$D288</f>
        <v>785.03176591396652</v>
      </c>
      <c r="J288" s="328"/>
      <c r="K288" s="159"/>
    </row>
    <row r="289" spans="1:16">
      <c r="A289" s="371" t="s">
        <v>110</v>
      </c>
      <c r="B289" s="319"/>
      <c r="C289" s="319">
        <f>IF(C252&gt;380,F277*1000*380,F277*1000*C252)</f>
        <v>570</v>
      </c>
      <c r="D289" s="319">
        <f>MAX(B289:C289)</f>
        <v>570</v>
      </c>
      <c r="E289" s="284">
        <f>PI()*(E285/2)^2*1000/$D289</f>
        <v>198.41637812146064</v>
      </c>
      <c r="F289" s="284">
        <f>PI()*(F285/2)^2*1000/$D289</f>
        <v>352.74022777148554</v>
      </c>
      <c r="G289" s="284">
        <f>PI()*(G285/2)^2*1000/$D289</f>
        <v>551.15660589294623</v>
      </c>
      <c r="H289" s="284">
        <f>PI()*(H285/2)^2*1000/$D289</f>
        <v>666.89949313046486</v>
      </c>
      <c r="I289" s="285">
        <f>PI()*(I285/2)^2*1000/$D289</f>
        <v>861.18219670772839</v>
      </c>
      <c r="J289" s="328"/>
      <c r="K289" s="159"/>
    </row>
    <row r="290" spans="1:16">
      <c r="A290" s="369" t="s">
        <v>1086</v>
      </c>
      <c r="B290" s="260"/>
      <c r="C290" s="318"/>
      <c r="D290" s="318"/>
      <c r="E290" s="496"/>
      <c r="F290" s="496"/>
      <c r="G290" s="496"/>
      <c r="H290" s="496"/>
      <c r="I290" s="497"/>
      <c r="J290" s="330"/>
      <c r="K290" s="159"/>
      <c r="L290" s="3173" t="s">
        <v>2042</v>
      </c>
      <c r="M290" s="3174"/>
      <c r="N290" s="3174"/>
      <c r="O290" s="3174"/>
      <c r="P290" s="3175"/>
    </row>
    <row r="291" spans="1:16">
      <c r="A291" s="369" t="s">
        <v>111</v>
      </c>
      <c r="B291" s="318">
        <f>G274</f>
        <v>63.392989669944306</v>
      </c>
      <c r="C291" s="318">
        <f>IF(C252&gt;380,F279*1000*380,F279*1000*C252)</f>
        <v>570</v>
      </c>
      <c r="D291" s="318">
        <f>MAX(B291:C291)</f>
        <v>570</v>
      </c>
      <c r="E291" s="261">
        <f>PI()*(E285/2)^2*1000/$D291</f>
        <v>198.41637812146064</v>
      </c>
      <c r="F291" s="261">
        <f>PI()*(F285/2)^2*1000/$D291</f>
        <v>352.74022777148554</v>
      </c>
      <c r="G291" s="261">
        <f>PI()*(G285/2)^2*1000/$D291</f>
        <v>551.15660589294623</v>
      </c>
      <c r="H291" s="261">
        <f>PI()*(H285/2)^2*1000/$D291</f>
        <v>666.89949313046486</v>
      </c>
      <c r="I291" s="283">
        <f>PI()*(I285/2)^2*1000/$D291</f>
        <v>861.18219670772839</v>
      </c>
      <c r="J291" s="328"/>
      <c r="K291" s="159"/>
      <c r="L291" s="3169" t="s">
        <v>486</v>
      </c>
      <c r="M291" s="3171" t="s">
        <v>442</v>
      </c>
      <c r="N291" s="3176"/>
      <c r="O291" s="3176"/>
      <c r="P291" s="3172"/>
    </row>
    <row r="292" spans="1:16">
      <c r="A292" s="371" t="s">
        <v>110</v>
      </c>
      <c r="B292" s="263"/>
      <c r="C292" s="319">
        <f>IF(C252&gt;380,F280*1000*380,F280*1000*C252)</f>
        <v>760</v>
      </c>
      <c r="D292" s="319">
        <f>MAX(B292:C292)</f>
        <v>760</v>
      </c>
      <c r="E292" s="284">
        <f>PI()*(E285/2)^2*1000/$D292</f>
        <v>148.81228359109548</v>
      </c>
      <c r="F292" s="284">
        <f>PI()*(F285/2)^2*1000/$D292</f>
        <v>264.55517082861417</v>
      </c>
      <c r="G292" s="284">
        <f>PI()*(G285/2)^2*1000/$D292</f>
        <v>413.36745441970965</v>
      </c>
      <c r="H292" s="284">
        <f>PI()*(H285/2)^2*1000/$D292</f>
        <v>500.17461984784865</v>
      </c>
      <c r="I292" s="285">
        <f>PI()*(I285/2)^2*1000/$D292</f>
        <v>645.88664753079627</v>
      </c>
      <c r="J292" s="328"/>
      <c r="K292" s="159"/>
      <c r="L292" s="3170"/>
      <c r="M292" s="3171" t="s">
        <v>492</v>
      </c>
      <c r="N292" s="3172"/>
      <c r="O292" s="3171" t="s">
        <v>493</v>
      </c>
      <c r="P292" s="3172"/>
    </row>
    <row r="293" spans="1:16">
      <c r="J293" s="46"/>
      <c r="K293" s="159"/>
      <c r="L293" s="3170"/>
      <c r="M293" s="926" t="s">
        <v>709</v>
      </c>
      <c r="N293" s="902" t="s">
        <v>710</v>
      </c>
      <c r="O293" s="902" t="s">
        <v>709</v>
      </c>
      <c r="P293" s="928" t="s">
        <v>710</v>
      </c>
    </row>
    <row r="294" spans="1:16">
      <c r="J294" s="46"/>
      <c r="K294" s="159"/>
      <c r="L294" s="2577" t="s">
        <v>2026</v>
      </c>
      <c r="M294" s="2578">
        <f>D297</f>
        <v>16</v>
      </c>
      <c r="N294" s="2579">
        <f>F297</f>
        <v>200</v>
      </c>
      <c r="O294" s="2578">
        <f>D300</f>
        <v>16</v>
      </c>
      <c r="P294" s="2580">
        <f>F300</f>
        <v>200</v>
      </c>
    </row>
    <row r="295" spans="1:16">
      <c r="B295" s="495" t="s">
        <v>492</v>
      </c>
      <c r="C295" s="55"/>
      <c r="D295" s="252"/>
      <c r="E295" s="55"/>
      <c r="F295" s="55"/>
      <c r="G295" s="56"/>
      <c r="J295" s="46"/>
      <c r="K295" s="159"/>
      <c r="L295" s="895" t="s">
        <v>2040</v>
      </c>
      <c r="M295" s="899">
        <f>'CS gate'!D243</f>
        <v>16</v>
      </c>
      <c r="N295" s="887">
        <f>'CS gate'!F243</f>
        <v>200</v>
      </c>
      <c r="O295" s="899">
        <f>'CS gate'!D246</f>
        <v>16</v>
      </c>
      <c r="P295" s="886">
        <f>'CS gate'!F246</f>
        <v>200</v>
      </c>
    </row>
    <row r="296" spans="1:16" ht="15.75">
      <c r="B296" s="369" t="s">
        <v>111</v>
      </c>
      <c r="C296" s="268" t="s">
        <v>136</v>
      </c>
      <c r="D296" s="942">
        <f>D194</f>
        <v>16</v>
      </c>
      <c r="E296" s="494" t="s">
        <v>481</v>
      </c>
      <c r="F296" s="941">
        <f>F194</f>
        <v>200</v>
      </c>
      <c r="G296" s="272" t="s">
        <v>482</v>
      </c>
      <c r="J296" s="46"/>
      <c r="K296" s="159"/>
      <c r="L296" s="900" t="s">
        <v>2041</v>
      </c>
      <c r="M296" s="901">
        <f>'RS gate'!D245</f>
        <v>16</v>
      </c>
      <c r="N296" s="888">
        <f>'RS gate'!F245</f>
        <v>200</v>
      </c>
      <c r="O296" s="901">
        <f>'RS gate'!D248</f>
        <v>16</v>
      </c>
      <c r="P296" s="889">
        <f>'RS gate'!F248</f>
        <v>200</v>
      </c>
    </row>
    <row r="297" spans="1:16" ht="15.75">
      <c r="B297" s="371" t="s">
        <v>110</v>
      </c>
      <c r="C297" s="278" t="s">
        <v>136</v>
      </c>
      <c r="D297" s="279">
        <v>16</v>
      </c>
      <c r="E297" s="280" t="s">
        <v>481</v>
      </c>
      <c r="F297" s="281">
        <v>200</v>
      </c>
      <c r="G297" s="282" t="s">
        <v>482</v>
      </c>
      <c r="J297" s="46"/>
      <c r="K297" s="159"/>
    </row>
    <row r="298" spans="1:16" ht="15">
      <c r="B298" s="369" t="s">
        <v>1086</v>
      </c>
      <c r="C298" s="273"/>
      <c r="D298" s="274"/>
      <c r="E298" s="275"/>
      <c r="F298" s="276"/>
      <c r="G298" s="277"/>
      <c r="J298" s="46"/>
      <c r="K298" s="159"/>
    </row>
    <row r="299" spans="1:16" ht="15.75">
      <c r="B299" s="369" t="s">
        <v>111</v>
      </c>
      <c r="C299" s="268" t="s">
        <v>136</v>
      </c>
      <c r="D299" s="269">
        <v>16</v>
      </c>
      <c r="E299" s="494" t="s">
        <v>481</v>
      </c>
      <c r="F299" s="271">
        <v>200</v>
      </c>
      <c r="G299" s="272" t="s">
        <v>482</v>
      </c>
      <c r="J299" s="46"/>
      <c r="K299" s="159"/>
    </row>
    <row r="300" spans="1:16" ht="15.75">
      <c r="B300" s="371" t="s">
        <v>110</v>
      </c>
      <c r="C300" s="278" t="s">
        <v>136</v>
      </c>
      <c r="D300" s="279">
        <v>16</v>
      </c>
      <c r="E300" s="280" t="s">
        <v>481</v>
      </c>
      <c r="F300" s="281">
        <v>200</v>
      </c>
      <c r="G300" s="282" t="s">
        <v>482</v>
      </c>
      <c r="J300" s="46"/>
      <c r="K300" s="159"/>
    </row>
    <row r="301" spans="1:16">
      <c r="J301" s="46"/>
      <c r="K301" s="159"/>
    </row>
    <row r="302" spans="1:16">
      <c r="J302" s="46"/>
      <c r="K302" s="159"/>
      <c r="L302" s="203"/>
      <c r="M302" s="129"/>
      <c r="N302" s="187"/>
    </row>
    <row r="303" spans="1:16">
      <c r="A303" s="392" t="s">
        <v>834</v>
      </c>
      <c r="B303" s="174"/>
      <c r="C303" s="174"/>
      <c r="K303" s="159"/>
      <c r="L303" s="203"/>
      <c r="M303" s="187"/>
      <c r="N303" s="187"/>
    </row>
    <row r="304" spans="1:16">
      <c r="K304" s="159"/>
    </row>
    <row r="305" spans="1:14" ht="14.25">
      <c r="A305" t="s">
        <v>835</v>
      </c>
      <c r="B305" s="1894">
        <f>'Mom Dist-Barl'!D90</f>
        <v>0</v>
      </c>
      <c r="C305" t="s">
        <v>107</v>
      </c>
      <c r="F305" s="179" t="s">
        <v>1491</v>
      </c>
      <c r="G305" s="179"/>
      <c r="H305" s="184">
        <f>0.4*C21</f>
        <v>8.8000000000000007</v>
      </c>
      <c r="I305" s="187" t="s">
        <v>421</v>
      </c>
      <c r="K305" s="159"/>
    </row>
    <row r="306" spans="1:14">
      <c r="A306" s="187" t="s">
        <v>1087</v>
      </c>
      <c r="D306" s="33">
        <f>+G161*2</f>
        <v>307.4139250552347</v>
      </c>
      <c r="E306" s="187" t="s">
        <v>21</v>
      </c>
      <c r="K306" s="159"/>
    </row>
    <row r="307" spans="1:14">
      <c r="A307" s="187" t="s">
        <v>1088</v>
      </c>
      <c r="B307" s="16"/>
      <c r="D307" s="242">
        <f>+H211*2</f>
        <v>342.27759272579078</v>
      </c>
      <c r="E307" s="187" t="s">
        <v>21</v>
      </c>
      <c r="K307" s="159"/>
    </row>
    <row r="308" spans="1:14">
      <c r="A308" t="s">
        <v>357</v>
      </c>
      <c r="C308">
        <f>D18*1000</f>
        <v>450</v>
      </c>
      <c r="D308" s="187" t="s">
        <v>98</v>
      </c>
      <c r="F308" s="187" t="s">
        <v>1489</v>
      </c>
      <c r="H308" s="33">
        <f>MAX(D307,D306)*1000/(C308*C309)</f>
        <v>0.7606168727239796</v>
      </c>
      <c r="I308" s="187" t="s">
        <v>1490</v>
      </c>
      <c r="K308" s="159"/>
    </row>
    <row r="309" spans="1:14">
      <c r="A309" s="187" t="s">
        <v>1488</v>
      </c>
      <c r="B309" s="16"/>
      <c r="C309">
        <v>1000</v>
      </c>
      <c r="D309" s="187" t="s">
        <v>98</v>
      </c>
      <c r="F309" s="242"/>
      <c r="G309" s="241"/>
      <c r="I309" s="126" t="str">
        <f>IF(H305&gt;=H308,"Ok","Not ok")</f>
        <v>Ok</v>
      </c>
      <c r="K309" s="159"/>
    </row>
    <row r="310" spans="1:14">
      <c r="K310" s="159"/>
    </row>
    <row r="311" spans="1:14">
      <c r="K311" s="159"/>
    </row>
    <row r="312" spans="1:14" ht="14.25">
      <c r="A312" s="241" t="s">
        <v>493</v>
      </c>
      <c r="B312" s="16"/>
      <c r="C312" s="241" t="s">
        <v>111</v>
      </c>
      <c r="D312" s="16">
        <f>IF(F116&lt;=9,F39,F44)</f>
        <v>1.5E-3</v>
      </c>
      <c r="E312" s="241" t="s">
        <v>438</v>
      </c>
      <c r="K312" s="159"/>
    </row>
    <row r="313" spans="1:14" ht="14.25">
      <c r="A313" s="16"/>
      <c r="B313" s="16"/>
      <c r="C313" s="241" t="s">
        <v>110</v>
      </c>
      <c r="D313" s="16">
        <f>IF(E47/1000&lt;=9,F39,F44)</f>
        <v>2E-3</v>
      </c>
      <c r="E313" s="241" t="s">
        <v>438</v>
      </c>
      <c r="J313" s="496"/>
      <c r="K313" s="159"/>
    </row>
    <row r="314" spans="1:14">
      <c r="J314" s="75"/>
      <c r="K314" s="159"/>
    </row>
    <row r="315" spans="1:14">
      <c r="A315" s="255" t="s">
        <v>836</v>
      </c>
      <c r="G315" s="107"/>
      <c r="H315" s="107"/>
      <c r="J315" s="759"/>
      <c r="K315" s="159"/>
      <c r="L315" s="3173" t="s">
        <v>2043</v>
      </c>
      <c r="M315" s="3174"/>
      <c r="N315" s="3175"/>
    </row>
    <row r="316" spans="1:14">
      <c r="J316" s="330"/>
      <c r="K316" s="159"/>
      <c r="L316" s="3169" t="s">
        <v>486</v>
      </c>
      <c r="M316" s="3171" t="s">
        <v>442</v>
      </c>
      <c r="N316" s="3172"/>
    </row>
    <row r="317" spans="1:14">
      <c r="A317" s="3147" t="s">
        <v>486</v>
      </c>
      <c r="B317" s="3148" t="s">
        <v>487</v>
      </c>
      <c r="C317" s="3148" t="s">
        <v>488</v>
      </c>
      <c r="D317" s="3148" t="s">
        <v>489</v>
      </c>
      <c r="E317" s="3149" t="s">
        <v>490</v>
      </c>
      <c r="F317" s="3150"/>
      <c r="G317" s="3150"/>
      <c r="H317" s="3150"/>
      <c r="I317" s="3150"/>
      <c r="J317" s="328"/>
      <c r="K317" s="159"/>
      <c r="L317" s="3170"/>
      <c r="M317" s="3171" t="s">
        <v>493</v>
      </c>
      <c r="N317" s="3172"/>
    </row>
    <row r="318" spans="1:14">
      <c r="A318" s="3147"/>
      <c r="B318" s="3148"/>
      <c r="C318" s="3148"/>
      <c r="D318" s="3148"/>
      <c r="E318" s="94">
        <v>12</v>
      </c>
      <c r="F318" s="94">
        <v>16</v>
      </c>
      <c r="G318" s="94">
        <v>20</v>
      </c>
      <c r="H318" s="94">
        <v>22</v>
      </c>
      <c r="I318" s="94">
        <v>25</v>
      </c>
      <c r="J318" s="328"/>
      <c r="K318" s="159"/>
      <c r="L318" s="3170"/>
      <c r="M318" s="926" t="s">
        <v>709</v>
      </c>
      <c r="N318" s="902" t="s">
        <v>710</v>
      </c>
    </row>
    <row r="319" spans="1:14" ht="14.25">
      <c r="A319" s="172"/>
      <c r="B319" s="256" t="s">
        <v>491</v>
      </c>
      <c r="C319" s="256" t="s">
        <v>491</v>
      </c>
      <c r="D319" s="256" t="s">
        <v>491</v>
      </c>
      <c r="E319" s="493" t="s">
        <v>98</v>
      </c>
      <c r="F319" s="493" t="s">
        <v>98</v>
      </c>
      <c r="G319" s="493" t="s">
        <v>98</v>
      </c>
      <c r="H319" s="493" t="s">
        <v>98</v>
      </c>
      <c r="I319" s="493" t="s">
        <v>98</v>
      </c>
      <c r="J319" s="46"/>
      <c r="K319" s="159"/>
      <c r="L319" s="2577" t="s">
        <v>2026</v>
      </c>
      <c r="M319" s="2578">
        <f>D327</f>
        <v>16</v>
      </c>
      <c r="N319" s="2580">
        <f>F327</f>
        <v>200</v>
      </c>
    </row>
    <row r="320" spans="1:14">
      <c r="A320" s="369" t="s">
        <v>493</v>
      </c>
      <c r="B320" s="260"/>
      <c r="C320" s="318"/>
      <c r="D320" s="318"/>
      <c r="E320" s="496"/>
      <c r="F320" s="496"/>
      <c r="G320" s="496"/>
      <c r="H320" s="496"/>
      <c r="I320" s="497"/>
      <c r="J320" s="46"/>
      <c r="K320" s="159"/>
      <c r="L320" s="895" t="s">
        <v>2040</v>
      </c>
      <c r="M320" s="899">
        <f>'CS gate'!D337</f>
        <v>16</v>
      </c>
      <c r="N320" s="886">
        <f>'CS gate'!F337</f>
        <v>200</v>
      </c>
    </row>
    <row r="321" spans="1:17">
      <c r="A321" s="369" t="s">
        <v>111</v>
      </c>
      <c r="B321" s="318">
        <f>G304</f>
        <v>0</v>
      </c>
      <c r="C321" s="318">
        <f>IF(C308&gt;380,D312*1000*380,D312*1000*C308)</f>
        <v>570</v>
      </c>
      <c r="D321" s="318">
        <f>MAX(B321:C321)</f>
        <v>570</v>
      </c>
      <c r="E321" s="261">
        <f>PI()*(E318/2)^2*1000/$D321</f>
        <v>198.41637812146064</v>
      </c>
      <c r="F321" s="261">
        <f>PI()*(F318/2)^2*1000/$D321</f>
        <v>352.74022777148554</v>
      </c>
      <c r="G321" s="261">
        <f>PI()*(G318/2)^2*1000/$D321</f>
        <v>551.15660589294623</v>
      </c>
      <c r="H321" s="261">
        <f>PI()*(H318/2)^2*1000/$D321</f>
        <v>666.89949313046486</v>
      </c>
      <c r="I321" s="283">
        <f>PI()*(I318/2)^2*1000/$D321</f>
        <v>861.18219670772839</v>
      </c>
      <c r="J321" s="46"/>
      <c r="K321" s="159"/>
      <c r="L321" s="900" t="s">
        <v>2041</v>
      </c>
      <c r="M321" s="901">
        <f>'RS gate'!D338</f>
        <v>16</v>
      </c>
      <c r="N321" s="889">
        <f>'CS gate'!F337</f>
        <v>200</v>
      </c>
    </row>
    <row r="322" spans="1:17">
      <c r="A322" s="371" t="s">
        <v>110</v>
      </c>
      <c r="B322" s="263"/>
      <c r="C322" s="319">
        <f>IF(C308&gt;380,D313*1000*380,D313*1000*C308)</f>
        <v>760</v>
      </c>
      <c r="D322" s="319">
        <f>MAX(B322:C322)</f>
        <v>760</v>
      </c>
      <c r="E322" s="284">
        <f>PI()*(E318/2)^2*1000/$D322</f>
        <v>148.81228359109548</v>
      </c>
      <c r="F322" s="284">
        <f>PI()*(F318/2)^2*1000/$D322</f>
        <v>264.55517082861417</v>
      </c>
      <c r="G322" s="284">
        <f>PI()*(G318/2)^2*1000/$D322</f>
        <v>413.36745441970965</v>
      </c>
      <c r="H322" s="284">
        <f>PI()*(H318/2)^2*1000/$D322</f>
        <v>500.17461984784865</v>
      </c>
      <c r="I322" s="285">
        <f>PI()*(I318/2)^2*1000/$D322</f>
        <v>645.88664753079627</v>
      </c>
      <c r="J322" s="46"/>
      <c r="K322" s="159"/>
    </row>
    <row r="323" spans="1:17">
      <c r="J323" s="46"/>
      <c r="K323" s="159"/>
    </row>
    <row r="324" spans="1:17">
      <c r="J324" s="46"/>
      <c r="K324" s="159"/>
    </row>
    <row r="325" spans="1:17" ht="15">
      <c r="B325" s="495" t="s">
        <v>493</v>
      </c>
      <c r="C325" s="498"/>
      <c r="D325" s="499"/>
      <c r="E325" s="484"/>
      <c r="F325" s="500"/>
      <c r="G325" s="501"/>
      <c r="J325" s="46"/>
      <c r="K325" s="159"/>
    </row>
    <row r="326" spans="1:17" ht="15.75">
      <c r="B326" s="369" t="s">
        <v>111</v>
      </c>
      <c r="C326" s="268" t="s">
        <v>136</v>
      </c>
      <c r="D326" s="269">
        <v>16</v>
      </c>
      <c r="E326" s="494" t="s">
        <v>481</v>
      </c>
      <c r="F326" s="271">
        <v>200</v>
      </c>
      <c r="G326" s="272" t="s">
        <v>482</v>
      </c>
      <c r="J326" s="46"/>
      <c r="K326" s="159"/>
    </row>
    <row r="327" spans="1:17" ht="15.75">
      <c r="B327" s="371" t="s">
        <v>110</v>
      </c>
      <c r="C327" s="278" t="s">
        <v>136</v>
      </c>
      <c r="D327" s="279">
        <v>16</v>
      </c>
      <c r="E327" s="280" t="s">
        <v>481</v>
      </c>
      <c r="F327" s="281">
        <v>200</v>
      </c>
      <c r="G327" s="282" t="s">
        <v>482</v>
      </c>
      <c r="J327" s="46"/>
      <c r="K327" s="159"/>
    </row>
    <row r="328" spans="1:17">
      <c r="J328" s="46"/>
      <c r="K328" s="159"/>
    </row>
    <row r="329" spans="1:17">
      <c r="A329" s="159"/>
      <c r="B329" s="159"/>
      <c r="C329" s="159"/>
      <c r="D329" s="159"/>
      <c r="E329" s="159"/>
      <c r="F329" s="159"/>
      <c r="G329" s="159"/>
      <c r="H329" s="159"/>
      <c r="I329" s="159"/>
      <c r="J329" s="159"/>
      <c r="K329" s="159"/>
      <c r="M329" s="386"/>
      <c r="N329" s="386"/>
      <c r="O329" s="386"/>
      <c r="P329" s="1490"/>
      <c r="Q329" s="1491"/>
    </row>
    <row r="330" spans="1:17">
      <c r="J330" s="46"/>
      <c r="M330" s="386"/>
      <c r="N330" s="386"/>
      <c r="O330" s="386"/>
      <c r="P330" s="1490"/>
      <c r="Q330" s="1491"/>
    </row>
    <row r="331" spans="1:17">
      <c r="J331" s="46"/>
      <c r="M331" s="386"/>
      <c r="N331" s="386"/>
      <c r="O331" s="386"/>
      <c r="P331" s="1492"/>
      <c r="Q331" s="386"/>
    </row>
    <row r="332" spans="1:17">
      <c r="J332" s="46"/>
      <c r="M332" s="386"/>
      <c r="N332" s="386"/>
      <c r="O332" s="386"/>
      <c r="P332" s="1492"/>
      <c r="Q332" s="386"/>
    </row>
    <row r="334" spans="1:17">
      <c r="A334" s="1420"/>
      <c r="B334" s="1421"/>
      <c r="C334" s="1353"/>
      <c r="D334" s="1353"/>
      <c r="E334" s="1353"/>
      <c r="F334" s="109"/>
      <c r="G334" s="1422"/>
      <c r="H334" s="110"/>
    </row>
    <row r="335" spans="1:17">
      <c r="A335" s="109"/>
      <c r="B335" s="1422"/>
      <c r="C335" s="1423"/>
      <c r="D335" s="1423"/>
      <c r="E335" s="1423"/>
      <c r="F335" s="109"/>
      <c r="G335" s="1424"/>
      <c r="H335" s="109"/>
      <c r="L335" s="16"/>
      <c r="M335" s="16"/>
      <c r="N335" s="75"/>
    </row>
    <row r="336" spans="1:17">
      <c r="A336" s="109"/>
      <c r="B336" s="109"/>
      <c r="C336" s="1495"/>
      <c r="D336" s="1495"/>
      <c r="E336" s="1495"/>
      <c r="F336" s="1495"/>
      <c r="G336" s="1495"/>
      <c r="H336" s="1495"/>
      <c r="L336" s="16"/>
      <c r="M336" s="16"/>
      <c r="N336" s="75"/>
    </row>
    <row r="337" spans="1:20">
      <c r="A337" s="109"/>
      <c r="B337" s="109"/>
      <c r="C337" s="1495"/>
      <c r="D337" s="1495"/>
      <c r="E337" s="1495"/>
      <c r="F337" s="1495"/>
      <c r="G337" s="1495"/>
      <c r="H337" s="1495"/>
    </row>
    <row r="338" spans="1:20">
      <c r="A338" s="109"/>
      <c r="B338" s="109"/>
      <c r="C338" s="1425"/>
      <c r="D338" s="1425"/>
      <c r="E338" s="1425"/>
      <c r="F338" s="1425"/>
      <c r="G338" s="1425"/>
      <c r="H338" s="1425"/>
    </row>
    <row r="339" spans="1:20" ht="15.75">
      <c r="A339" s="1493" t="s">
        <v>1471</v>
      </c>
      <c r="B339" s="1494"/>
      <c r="C339" s="1494"/>
      <c r="D339" s="1494"/>
      <c r="E339" s="1494"/>
      <c r="L339" s="187" t="s">
        <v>1412</v>
      </c>
    </row>
    <row r="340" spans="1:20">
      <c r="L340" t="s">
        <v>1380</v>
      </c>
      <c r="M340" t="s">
        <v>1381</v>
      </c>
      <c r="N340" t="s">
        <v>1382</v>
      </c>
      <c r="Q340" s="187" t="s">
        <v>1413</v>
      </c>
    </row>
    <row r="341" spans="1:20">
      <c r="A341" s="187" t="s">
        <v>1415</v>
      </c>
      <c r="D341" s="235">
        <f>C12</f>
        <v>2</v>
      </c>
      <c r="L341" t="s">
        <v>1380</v>
      </c>
      <c r="M341" t="s">
        <v>1383</v>
      </c>
      <c r="N341" t="s">
        <v>1384</v>
      </c>
    </row>
    <row r="342" spans="1:20" ht="14.25">
      <c r="A342" s="187" t="s">
        <v>1377</v>
      </c>
      <c r="D342" s="115">
        <f>G145</f>
        <v>2.3249999999999997</v>
      </c>
      <c r="E342" s="187" t="s">
        <v>1041</v>
      </c>
      <c r="F342" s="187"/>
      <c r="G342" s="187" t="s">
        <v>1477</v>
      </c>
      <c r="I342">
        <f>F93</f>
        <v>14.16</v>
      </c>
      <c r="J342" t="s">
        <v>3</v>
      </c>
      <c r="L342" s="187" t="s">
        <v>1474</v>
      </c>
      <c r="N342" s="109"/>
      <c r="O342" s="46"/>
      <c r="P342" s="244"/>
      <c r="Q342" s="46"/>
    </row>
    <row r="343" spans="1:20">
      <c r="A343" s="187" t="s">
        <v>1378</v>
      </c>
      <c r="D343" s="115">
        <f>G146</f>
        <v>2.25</v>
      </c>
      <c r="E343" s="187" t="s">
        <v>1041</v>
      </c>
      <c r="F343" s="187"/>
      <c r="G343" s="187" t="s">
        <v>1033</v>
      </c>
      <c r="I343" s="33">
        <f>F88/2</f>
        <v>98.070000000000022</v>
      </c>
      <c r="J343" s="187" t="s">
        <v>21</v>
      </c>
    </row>
    <row r="344" spans="1:20" ht="14.25">
      <c r="A344" t="s">
        <v>1441</v>
      </c>
      <c r="D344">
        <f>G147</f>
        <v>2.4500000000000002</v>
      </c>
      <c r="E344" s="187" t="s">
        <v>1041</v>
      </c>
      <c r="F344" s="187"/>
      <c r="J344" s="1426"/>
      <c r="L344" t="s">
        <v>1472</v>
      </c>
      <c r="N344" s="187" t="s">
        <v>1473</v>
      </c>
    </row>
    <row r="345" spans="1:20">
      <c r="A345" s="363" t="s">
        <v>1440</v>
      </c>
      <c r="D345" s="33">
        <f>D15</f>
        <v>0.6</v>
      </c>
      <c r="E345" s="187" t="s">
        <v>5</v>
      </c>
      <c r="G345" s="115"/>
      <c r="J345" s="1426"/>
    </row>
    <row r="346" spans="1:20">
      <c r="A346" s="1102" t="s">
        <v>1476</v>
      </c>
      <c r="D346" s="33">
        <f>D16</f>
        <v>0.7</v>
      </c>
      <c r="E346" s="187" t="s">
        <v>5</v>
      </c>
      <c r="L346" t="s">
        <v>1416</v>
      </c>
      <c r="M346">
        <v>2.0889999999999999E-2</v>
      </c>
      <c r="N346" t="s">
        <v>1417</v>
      </c>
      <c r="T346" s="187"/>
    </row>
    <row r="347" spans="1:20">
      <c r="A347" s="30" t="s">
        <v>1442</v>
      </c>
      <c r="D347" s="33">
        <f>D17</f>
        <v>0.6</v>
      </c>
      <c r="E347" s="187" t="s">
        <v>5</v>
      </c>
      <c r="J347" s="1426"/>
      <c r="L347" t="s">
        <v>1418</v>
      </c>
      <c r="M347" s="33">
        <f>1/M346</f>
        <v>47.869794159885117</v>
      </c>
      <c r="N347" t="s">
        <v>1419</v>
      </c>
      <c r="T347" s="187"/>
    </row>
    <row r="348" spans="1:20">
      <c r="A348" s="30" t="s">
        <v>1475</v>
      </c>
      <c r="D348" s="33">
        <f>D18</f>
        <v>0.45</v>
      </c>
      <c r="E348" s="187" t="s">
        <v>5</v>
      </c>
      <c r="J348" s="1426"/>
      <c r="L348" t="s">
        <v>1420</v>
      </c>
      <c r="M348">
        <f>M347*100</f>
        <v>4786.9794159885114</v>
      </c>
      <c r="N348" t="s">
        <v>1421</v>
      </c>
      <c r="O348" s="115">
        <f>M348/1000</f>
        <v>4.7869794159885117</v>
      </c>
      <c r="P348" t="s">
        <v>1422</v>
      </c>
    </row>
    <row r="349" spans="1:20">
      <c r="J349" s="1426"/>
      <c r="L349" t="s">
        <v>1423</v>
      </c>
      <c r="M349">
        <f>M347*40</f>
        <v>1914.7917663954047</v>
      </c>
      <c r="N349" t="s">
        <v>1421</v>
      </c>
      <c r="O349" s="115">
        <f>M349/1000</f>
        <v>1.9147917663954046</v>
      </c>
      <c r="P349" t="s">
        <v>1422</v>
      </c>
    </row>
    <row r="350" spans="1:20">
      <c r="J350" s="1426"/>
      <c r="L350" s="187"/>
      <c r="O350" s="1461"/>
      <c r="P350" s="187"/>
    </row>
    <row r="351" spans="1:20">
      <c r="C351" s="1427" t="s">
        <v>45</v>
      </c>
      <c r="D351" s="1428" t="s">
        <v>44</v>
      </c>
      <c r="J351" s="1426"/>
      <c r="L351" s="187"/>
      <c r="O351" s="1461"/>
      <c r="P351" s="187"/>
    </row>
    <row r="352" spans="1:20">
      <c r="J352" s="1426"/>
      <c r="L352" s="187"/>
      <c r="N352" s="742"/>
      <c r="O352" s="187"/>
    </row>
    <row r="353" spans="1:82">
      <c r="J353" s="1426"/>
    </row>
    <row r="354" spans="1:82">
      <c r="J354" s="1426"/>
    </row>
    <row r="355" spans="1:82">
      <c r="J355" s="1426"/>
    </row>
    <row r="356" spans="1:82">
      <c r="J356" s="1426"/>
    </row>
    <row r="357" spans="1:82">
      <c r="J357" s="1426"/>
    </row>
    <row r="358" spans="1:82">
      <c r="G358" s="143"/>
    </row>
    <row r="359" spans="1:82">
      <c r="H359" s="143"/>
    </row>
    <row r="360" spans="1:82">
      <c r="E360" s="17"/>
      <c r="H360" s="143"/>
    </row>
    <row r="361" spans="1:82">
      <c r="A361" s="731"/>
      <c r="C361" s="731"/>
      <c r="D361" s="731"/>
      <c r="E361" s="731"/>
      <c r="F361" s="731"/>
      <c r="G361" s="731"/>
      <c r="H361" s="731"/>
      <c r="I361" s="731"/>
      <c r="J361" s="731"/>
      <c r="K361" s="731"/>
      <c r="L361" s="731"/>
      <c r="M361" s="731"/>
    </row>
    <row r="362" spans="1:82">
      <c r="A362" s="731"/>
      <c r="C362" s="731"/>
      <c r="D362" s="731"/>
      <c r="E362" s="731"/>
      <c r="F362" s="731"/>
      <c r="G362" s="731"/>
      <c r="H362" s="731"/>
      <c r="I362" s="731"/>
      <c r="J362" s="731"/>
      <c r="K362" s="731"/>
      <c r="L362" s="731"/>
      <c r="M362" s="731"/>
    </row>
    <row r="363" spans="1:82">
      <c r="A363" s="1455" t="s">
        <v>1389</v>
      </c>
      <c r="B363" s="93"/>
      <c r="C363" s="1453">
        <v>1</v>
      </c>
      <c r="D363" s="1454"/>
      <c r="E363" s="1453">
        <v>2</v>
      </c>
      <c r="F363" s="1454"/>
      <c r="G363" s="1453">
        <v>3</v>
      </c>
      <c r="H363" s="1454"/>
      <c r="I363" s="1453">
        <v>4</v>
      </c>
      <c r="J363" s="1454"/>
      <c r="K363" s="1453">
        <v>5</v>
      </c>
      <c r="L363" s="1454"/>
      <c r="M363" s="1453">
        <v>6</v>
      </c>
      <c r="N363" s="1454"/>
      <c r="O363" s="1453">
        <v>7</v>
      </c>
      <c r="P363" s="1454"/>
      <c r="Q363" s="1453">
        <v>8</v>
      </c>
      <c r="R363" s="1454"/>
      <c r="S363" s="1453">
        <v>9</v>
      </c>
      <c r="T363" s="1454"/>
      <c r="U363" s="1453">
        <v>10</v>
      </c>
      <c r="V363" s="1454"/>
      <c r="W363" s="1453">
        <v>11</v>
      </c>
      <c r="X363" s="1454"/>
      <c r="Y363" s="1453">
        <v>12</v>
      </c>
      <c r="Z363" s="1454"/>
      <c r="AA363" s="1453">
        <v>13</v>
      </c>
      <c r="AB363" s="1454"/>
      <c r="AC363" s="1453">
        <v>14</v>
      </c>
      <c r="AD363" s="1454"/>
      <c r="AE363" s="1453">
        <v>15</v>
      </c>
      <c r="AF363" s="1454"/>
      <c r="AG363" s="1453">
        <v>16</v>
      </c>
      <c r="AH363" s="1454"/>
      <c r="AI363" s="1453">
        <v>17</v>
      </c>
      <c r="AJ363" s="1454"/>
      <c r="AK363" s="1453">
        <v>18</v>
      </c>
      <c r="AL363" s="1454"/>
      <c r="AM363" s="1453">
        <v>19</v>
      </c>
      <c r="AN363" s="1454"/>
      <c r="AO363" s="1453">
        <v>20</v>
      </c>
      <c r="AP363" s="1454"/>
      <c r="AQ363" s="1453">
        <v>21</v>
      </c>
      <c r="AR363" s="1454"/>
      <c r="AS363" s="1453">
        <v>22</v>
      </c>
      <c r="AT363" s="1454"/>
      <c r="AU363" s="1453">
        <v>23</v>
      </c>
      <c r="AV363" s="1454"/>
      <c r="AW363" s="1453">
        <v>24</v>
      </c>
      <c r="AX363" s="1454"/>
      <c r="AY363" s="1453">
        <v>25</v>
      </c>
      <c r="AZ363" s="1454"/>
      <c r="BA363" s="1453">
        <v>26</v>
      </c>
      <c r="BB363" s="1454"/>
      <c r="BC363" s="1453">
        <v>27</v>
      </c>
      <c r="BD363" s="1454"/>
      <c r="BE363" s="1453">
        <v>28</v>
      </c>
      <c r="BF363" s="1454"/>
      <c r="BG363" s="1453">
        <v>29</v>
      </c>
      <c r="BH363" s="1454"/>
      <c r="BI363" s="1453">
        <v>30</v>
      </c>
      <c r="BJ363" s="1454"/>
      <c r="BK363" s="1453">
        <v>31</v>
      </c>
      <c r="BL363" s="1454"/>
      <c r="BM363" s="1453">
        <v>32</v>
      </c>
      <c r="BN363" s="1454"/>
      <c r="BO363" s="1453">
        <v>33</v>
      </c>
      <c r="BP363" s="1454"/>
      <c r="BQ363" s="1453">
        <v>34</v>
      </c>
      <c r="BR363" s="1454"/>
      <c r="BS363" s="1453">
        <v>35</v>
      </c>
      <c r="BT363" s="1454"/>
      <c r="BU363" s="1453">
        <v>36</v>
      </c>
      <c r="BV363" s="1454"/>
      <c r="BW363" s="1453">
        <v>37</v>
      </c>
      <c r="BX363" s="1454"/>
      <c r="BY363" s="1453">
        <v>38</v>
      </c>
      <c r="BZ363" s="1454"/>
      <c r="CA363" s="1453">
        <v>39</v>
      </c>
      <c r="CB363" s="1454"/>
      <c r="CC363" s="1453">
        <v>40</v>
      </c>
      <c r="CD363" s="1454"/>
    </row>
    <row r="364" spans="1:82">
      <c r="A364" s="1455" t="s">
        <v>1424</v>
      </c>
      <c r="B364" s="93"/>
      <c r="C364" s="3164">
        <f>D342</f>
        <v>2.3249999999999997</v>
      </c>
      <c r="D364" s="3165"/>
      <c r="E364" s="3162">
        <f>IF($D$341&gt;E363,$D$343,$D$342)</f>
        <v>2.3249999999999997</v>
      </c>
      <c r="F364" s="3163"/>
      <c r="G364" s="3162">
        <f t="shared" ref="G364" si="0">IF($D$341&gt;G363,$D$343,$D$342)</f>
        <v>2.3249999999999997</v>
      </c>
      <c r="H364" s="3163"/>
      <c r="I364" s="3162">
        <f t="shared" ref="I364" si="1">IF($D$341&gt;I363,$D$343,$D$342)</f>
        <v>2.3249999999999997</v>
      </c>
      <c r="J364" s="3163"/>
      <c r="K364" s="3162">
        <f t="shared" ref="K364" si="2">IF($D$341&gt;K363,$D$343,$D$342)</f>
        <v>2.3249999999999997</v>
      </c>
      <c r="L364" s="3163"/>
      <c r="M364" s="3162">
        <f t="shared" ref="M364" si="3">IF($D$341&gt;M363,$D$343,$D$342)</f>
        <v>2.3249999999999997</v>
      </c>
      <c r="N364" s="3163"/>
      <c r="O364" s="3162">
        <f t="shared" ref="O364" si="4">IF($D$341&gt;O363,$D$343,$D$342)</f>
        <v>2.3249999999999997</v>
      </c>
      <c r="P364" s="3163"/>
      <c r="Q364" s="3162">
        <f t="shared" ref="Q364" si="5">IF($D$341&gt;Q363,$D$343,$D$342)</f>
        <v>2.3249999999999997</v>
      </c>
      <c r="R364" s="3163"/>
      <c r="S364" s="3162">
        <f t="shared" ref="S364" si="6">IF($D$341&gt;S363,$D$343,$D$342)</f>
        <v>2.3249999999999997</v>
      </c>
      <c r="T364" s="3163"/>
      <c r="U364" s="3162">
        <f t="shared" ref="U364" si="7">IF($D$341&gt;U363,$D$343,$D$342)</f>
        <v>2.3249999999999997</v>
      </c>
      <c r="V364" s="3163"/>
      <c r="W364" s="3162">
        <f t="shared" ref="W364" si="8">IF($D$341&gt;W363,$D$343,$D$342)</f>
        <v>2.3249999999999997</v>
      </c>
      <c r="X364" s="3163"/>
      <c r="Y364" s="3162">
        <f t="shared" ref="Y364" si="9">IF($D$341&gt;Y363,$D$343,$D$342)</f>
        <v>2.3249999999999997</v>
      </c>
      <c r="Z364" s="3163"/>
      <c r="AA364" s="3162">
        <f t="shared" ref="AA364" si="10">IF($D$341&gt;AA363,$D$343,$D$342)</f>
        <v>2.3249999999999997</v>
      </c>
      <c r="AB364" s="3163"/>
      <c r="AC364" s="3162">
        <f t="shared" ref="AC364" si="11">IF($D$341&gt;AC363,$D$343,$D$342)</f>
        <v>2.3249999999999997</v>
      </c>
      <c r="AD364" s="3163"/>
      <c r="AE364" s="3162">
        <f t="shared" ref="AE364" si="12">IF($D$341&gt;AE363,$D$343,$D$342)</f>
        <v>2.3249999999999997</v>
      </c>
      <c r="AF364" s="3163"/>
      <c r="AG364" s="3162">
        <f t="shared" ref="AG364" si="13">IF($D$341&gt;AG363,$D$343,$D$342)</f>
        <v>2.3249999999999997</v>
      </c>
      <c r="AH364" s="3163"/>
      <c r="AI364" s="3162">
        <f t="shared" ref="AI364" si="14">IF($D$341&gt;AI363,$D$343,$D$342)</f>
        <v>2.3249999999999997</v>
      </c>
      <c r="AJ364" s="3163"/>
      <c r="AK364" s="3162">
        <f t="shared" ref="AK364" si="15">IF($D$341&gt;AK363,$D$343,$D$342)</f>
        <v>2.3249999999999997</v>
      </c>
      <c r="AL364" s="3163"/>
      <c r="AM364" s="3162">
        <f t="shared" ref="AM364" si="16">IF($D$341&gt;AM363,$D$343,$D$342)</f>
        <v>2.3249999999999997</v>
      </c>
      <c r="AN364" s="3163"/>
      <c r="AO364" s="3162">
        <f t="shared" ref="AO364" si="17">IF($D$341&gt;AO363,$D$343,$D$342)</f>
        <v>2.3249999999999997</v>
      </c>
      <c r="AP364" s="3163"/>
      <c r="AQ364" s="3162">
        <f t="shared" ref="AQ364" si="18">IF($D$341&gt;AQ363,$D$343,$D$342)</f>
        <v>2.3249999999999997</v>
      </c>
      <c r="AR364" s="3163"/>
      <c r="AS364" s="3162">
        <f t="shared" ref="AS364" si="19">IF($D$341&gt;AS363,$D$343,$D$342)</f>
        <v>2.3249999999999997</v>
      </c>
      <c r="AT364" s="3163"/>
      <c r="AU364" s="3162">
        <f t="shared" ref="AU364" si="20">IF($D$341&gt;AU363,$D$343,$D$342)</f>
        <v>2.3249999999999997</v>
      </c>
      <c r="AV364" s="3163"/>
      <c r="AW364" s="3162">
        <f t="shared" ref="AW364" si="21">IF($D$341&gt;AW363,$D$343,$D$342)</f>
        <v>2.3249999999999997</v>
      </c>
      <c r="AX364" s="3163"/>
      <c r="AY364" s="3162">
        <f t="shared" ref="AY364" si="22">IF($D$341&gt;AY363,$D$343,$D$342)</f>
        <v>2.3249999999999997</v>
      </c>
      <c r="AZ364" s="3163"/>
      <c r="BA364" s="3162">
        <f t="shared" ref="BA364" si="23">IF($D$341&gt;BA363,$D$343,$D$342)</f>
        <v>2.3249999999999997</v>
      </c>
      <c r="BB364" s="3163"/>
      <c r="BC364" s="3162">
        <f t="shared" ref="BC364" si="24">IF($D$341&gt;BC363,$D$343,$D$342)</f>
        <v>2.3249999999999997</v>
      </c>
      <c r="BD364" s="3163"/>
      <c r="BE364" s="3162">
        <f t="shared" ref="BE364" si="25">IF($D$341&gt;BE363,$D$343,$D$342)</f>
        <v>2.3249999999999997</v>
      </c>
      <c r="BF364" s="3163"/>
      <c r="BG364" s="3162">
        <f t="shared" ref="BG364" si="26">IF($D$341&gt;BG363,$D$343,$D$342)</f>
        <v>2.3249999999999997</v>
      </c>
      <c r="BH364" s="3163"/>
      <c r="BI364" s="3162">
        <f t="shared" ref="BI364" si="27">IF($D$341&gt;BI363,$D$343,$D$342)</f>
        <v>2.3249999999999997</v>
      </c>
      <c r="BJ364" s="3163"/>
      <c r="BK364" s="3162">
        <f t="shared" ref="BK364" si="28">IF($D$341&gt;BK363,$D$343,$D$342)</f>
        <v>2.3249999999999997</v>
      </c>
      <c r="BL364" s="3163"/>
      <c r="BM364" s="3162">
        <f t="shared" ref="BM364" si="29">IF($D$341&gt;BM363,$D$343,$D$342)</f>
        <v>2.3249999999999997</v>
      </c>
      <c r="BN364" s="3163"/>
      <c r="BO364" s="3162">
        <f t="shared" ref="BO364" si="30">IF($D$341&gt;BO363,$D$343,$D$342)</f>
        <v>2.3249999999999997</v>
      </c>
      <c r="BP364" s="3163"/>
      <c r="BQ364" s="3162">
        <f t="shared" ref="BQ364" si="31">IF($D$341&gt;BQ363,$D$343,$D$342)</f>
        <v>2.3249999999999997</v>
      </c>
      <c r="BR364" s="3163"/>
      <c r="BS364" s="3162">
        <f t="shared" ref="BS364" si="32">IF($D$341&gt;BS363,$D$343,$D$342)</f>
        <v>2.3249999999999997</v>
      </c>
      <c r="BT364" s="3163"/>
      <c r="BU364" s="3162">
        <f t="shared" ref="BU364" si="33">IF($D$341&gt;BU363,$D$343,$D$342)</f>
        <v>2.3249999999999997</v>
      </c>
      <c r="BV364" s="3163"/>
      <c r="BW364" s="3162">
        <f t="shared" ref="BW364" si="34">IF($D$341&gt;BW363,$D$343,$D$342)</f>
        <v>2.3249999999999997</v>
      </c>
      <c r="BX364" s="3163"/>
      <c r="BY364" s="3162">
        <f t="shared" ref="BY364" si="35">IF($D$341&gt;BY363,$D$343,$D$342)</f>
        <v>2.3249999999999997</v>
      </c>
      <c r="BZ364" s="3163"/>
      <c r="CA364" s="3162">
        <f t="shared" ref="CA364" si="36">IF($D$341&gt;CA363,$D$343,$D$342)</f>
        <v>2.3249999999999997</v>
      </c>
      <c r="CB364" s="3163"/>
      <c r="CC364" s="3162">
        <f t="shared" ref="CC364" si="37">IF($D$341&gt;CC363,$D$343,$D$342)</f>
        <v>2.3249999999999997</v>
      </c>
      <c r="CD364" s="3163"/>
    </row>
    <row r="365" spans="1:82">
      <c r="A365" s="363" t="s">
        <v>1443</v>
      </c>
      <c r="C365" s="3159">
        <f>IF($I$76=0,$I$342,$F$94)</f>
        <v>129.428</v>
      </c>
      <c r="D365" s="3160"/>
      <c r="E365" s="3159">
        <f>IF($I$76=0,$I$342,$F$94)</f>
        <v>129.428</v>
      </c>
      <c r="F365" s="3160"/>
      <c r="G365" s="3159">
        <f>IF($I$76=0,$I$342,$F$94)</f>
        <v>129.428</v>
      </c>
      <c r="H365" s="3160"/>
      <c r="I365" s="3159">
        <f>IF($I$76=0,$I$342,$F$94)</f>
        <v>129.428</v>
      </c>
      <c r="J365" s="3160"/>
      <c r="K365" s="3159">
        <f>IF($I$76=0,$I$342,$F$94)</f>
        <v>129.428</v>
      </c>
      <c r="L365" s="3160"/>
      <c r="M365" s="3159">
        <f>IF($I$76=0,$I$342,$F$94)</f>
        <v>129.428</v>
      </c>
      <c r="N365" s="3160"/>
      <c r="O365" s="3159">
        <f>IF($I$76=0,$I$342,$F$94)</f>
        <v>129.428</v>
      </c>
      <c r="P365" s="3160"/>
      <c r="Q365" s="3159">
        <f>IF($I$76=0,$I$342,$F$94)</f>
        <v>129.428</v>
      </c>
      <c r="R365" s="3160"/>
      <c r="S365" s="3159">
        <f>IF($I$76=0,$I$342,$F$94)</f>
        <v>129.428</v>
      </c>
      <c r="T365" s="3160"/>
      <c r="U365" s="3159">
        <f>IF($I$76=0,$I$342,$F$94)</f>
        <v>129.428</v>
      </c>
      <c r="V365" s="3160"/>
      <c r="W365" s="3159">
        <f>IF($I$76=0,$I$342,$F$94)</f>
        <v>129.428</v>
      </c>
      <c r="X365" s="3160"/>
      <c r="Y365" s="3159">
        <f>IF($I$76=0,$I$342,$F$94)</f>
        <v>129.428</v>
      </c>
      <c r="Z365" s="3160"/>
      <c r="AA365" s="3159">
        <f>IF($I$76=0,$I$342,$F$94)</f>
        <v>129.428</v>
      </c>
      <c r="AB365" s="3160"/>
      <c r="AC365" s="3159">
        <f>IF($I$76=0,$I$342,$F$94)</f>
        <v>129.428</v>
      </c>
      <c r="AD365" s="3160"/>
      <c r="AE365" s="3159">
        <f>IF($I$76=0,$I$342,$F$94)</f>
        <v>129.428</v>
      </c>
      <c r="AF365" s="3160"/>
      <c r="AG365" s="3159">
        <f>IF($I$76=0,$I$342,$F$94)</f>
        <v>129.428</v>
      </c>
      <c r="AH365" s="3160"/>
      <c r="AI365" s="3159">
        <f>IF($I$76=0,$I$342,$F$94)</f>
        <v>129.428</v>
      </c>
      <c r="AJ365" s="3160"/>
      <c r="AK365" s="3159">
        <f>IF($I$76=0,$I$342,$F$94)</f>
        <v>129.428</v>
      </c>
      <c r="AL365" s="3160"/>
      <c r="AM365" s="3159">
        <f>IF($I$76=0,$I$342,$F$94)</f>
        <v>129.428</v>
      </c>
      <c r="AN365" s="3160"/>
      <c r="AO365" s="3159">
        <f>IF($I$76=0,$I$342,$F$94)</f>
        <v>129.428</v>
      </c>
      <c r="AP365" s="3160"/>
      <c r="AQ365" s="3159">
        <f>IF($I$76=0,$I$342,$F$94)</f>
        <v>129.428</v>
      </c>
      <c r="AR365" s="3160"/>
      <c r="AS365" s="3159">
        <f>IF($I$76=0,$I$342,$F$94)</f>
        <v>129.428</v>
      </c>
      <c r="AT365" s="3160"/>
      <c r="AU365" s="3159">
        <f>IF($I$76=0,$I$342,$F$94)</f>
        <v>129.428</v>
      </c>
      <c r="AV365" s="3160"/>
      <c r="AW365" s="3159">
        <f>IF($I$76=0,$I$342,$F$94)</f>
        <v>129.428</v>
      </c>
      <c r="AX365" s="3160"/>
      <c r="AY365" s="3159">
        <f>IF($I$76=0,$I$342,$F$94)</f>
        <v>129.428</v>
      </c>
      <c r="AZ365" s="3160"/>
      <c r="BA365" s="3159">
        <f>IF($I$76=0,$I$342,$F$94)</f>
        <v>129.428</v>
      </c>
      <c r="BB365" s="3160"/>
      <c r="BC365" s="3159">
        <f>IF($I$76=0,$I$342,$F$94)</f>
        <v>129.428</v>
      </c>
      <c r="BD365" s="3160"/>
      <c r="BE365" s="3159">
        <f>IF($I$76=0,$I$342,$F$94)</f>
        <v>129.428</v>
      </c>
      <c r="BF365" s="3160"/>
      <c r="BG365" s="3159">
        <f>IF($I$76=0,$I$342,$F$94)</f>
        <v>129.428</v>
      </c>
      <c r="BH365" s="3160"/>
      <c r="BI365" s="3159">
        <f>IF($I$76=0,$I$342,$F$94)</f>
        <v>129.428</v>
      </c>
      <c r="BJ365" s="3160"/>
      <c r="BK365" s="3159">
        <f>IF($I$76=0,$I$342,$F$94)</f>
        <v>129.428</v>
      </c>
      <c r="BL365" s="3160"/>
      <c r="BM365" s="3159">
        <f>IF($I$76=0,$I$342,$F$94)</f>
        <v>129.428</v>
      </c>
      <c r="BN365" s="3160"/>
      <c r="BO365" s="3159">
        <f>IF($I$76=0,$I$342,$F$94)</f>
        <v>129.428</v>
      </c>
      <c r="BP365" s="3160"/>
      <c r="BQ365" s="3159">
        <f>IF($I$76=0,$I$342,$F$94)</f>
        <v>129.428</v>
      </c>
      <c r="BR365" s="3160"/>
      <c r="BS365" s="3159">
        <f>IF($I$76=0,$I$342,$F$94)</f>
        <v>129.428</v>
      </c>
      <c r="BT365" s="3160"/>
      <c r="BU365" s="3159">
        <f>IF($I$76=0,$I$342,$F$94)</f>
        <v>129.428</v>
      </c>
      <c r="BV365" s="3160"/>
      <c r="BW365" s="3159">
        <f>IF($I$76=0,$I$342,$F$94)</f>
        <v>129.428</v>
      </c>
      <c r="BX365" s="3160"/>
      <c r="BY365" s="3159">
        <f>IF($I$76=0,$I$342,$F$94)</f>
        <v>129.428</v>
      </c>
      <c r="BZ365" s="3160"/>
      <c r="CA365" s="3159">
        <f>IF($I$76=0,$I$342,$F$94)</f>
        <v>129.428</v>
      </c>
      <c r="CB365" s="3160"/>
      <c r="CC365" s="3159">
        <f>IF($I$76=0,$I$342,$F$94)</f>
        <v>129.428</v>
      </c>
      <c r="CD365" s="3161"/>
    </row>
    <row r="366" spans="1:82">
      <c r="A366" s="1456" t="s">
        <v>1425</v>
      </c>
      <c r="C366" s="3154">
        <f>IF($I$76=0,$I$343,0)</f>
        <v>0</v>
      </c>
      <c r="D366" s="3156"/>
      <c r="E366" s="3154">
        <f>IF($I$76=0,$I$343,0)</f>
        <v>0</v>
      </c>
      <c r="F366" s="3156"/>
      <c r="G366" s="3154">
        <f>IF($I$76=0,$I$343,0)</f>
        <v>0</v>
      </c>
      <c r="H366" s="3156"/>
      <c r="I366" s="3154">
        <f>IF($I$76=0,$I$343,0)</f>
        <v>0</v>
      </c>
      <c r="J366" s="3156"/>
      <c r="K366" s="3154">
        <f>IF($I$76=0,$I$343,0)</f>
        <v>0</v>
      </c>
      <c r="L366" s="3156"/>
      <c r="M366" s="3154">
        <f>IF($I$76=0,$I$343,0)</f>
        <v>0</v>
      </c>
      <c r="N366" s="3156"/>
      <c r="O366" s="3154">
        <f>IF($I$76=0,$I$343,0)</f>
        <v>0</v>
      </c>
      <c r="P366" s="3156"/>
      <c r="Q366" s="3154">
        <f>IF($I$76=0,$I$343,0)</f>
        <v>0</v>
      </c>
      <c r="R366" s="3156"/>
      <c r="S366" s="3154">
        <f>IF($I$76=0,$I$343,0)</f>
        <v>0</v>
      </c>
      <c r="T366" s="3156"/>
      <c r="U366" s="3154">
        <f>IF($I$76=0,$I$343,0)</f>
        <v>0</v>
      </c>
      <c r="V366" s="3156"/>
      <c r="W366" s="3154">
        <f>IF($I$76=0,$I$343,0)</f>
        <v>0</v>
      </c>
      <c r="X366" s="3156"/>
      <c r="Y366" s="3154">
        <f>IF($I$76=0,$I$343,0)</f>
        <v>0</v>
      </c>
      <c r="Z366" s="3156"/>
      <c r="AA366" s="3154">
        <f>IF($I$76=0,$I$343,0)</f>
        <v>0</v>
      </c>
      <c r="AB366" s="3156"/>
      <c r="AC366" s="3154">
        <f>IF($I$76=0,$I$343,0)</f>
        <v>0</v>
      </c>
      <c r="AD366" s="3156"/>
      <c r="AE366" s="3154">
        <f>IF($I$76=0,$I$343,0)</f>
        <v>0</v>
      </c>
      <c r="AF366" s="3156"/>
      <c r="AG366" s="3154">
        <f>IF($I$76=0,$I$343,0)</f>
        <v>0</v>
      </c>
      <c r="AH366" s="3156"/>
      <c r="AI366" s="3154">
        <f>IF($I$76=0,$I$343,0)</f>
        <v>0</v>
      </c>
      <c r="AJ366" s="3156"/>
      <c r="AK366" s="3154">
        <f>IF($I$76=0,$I$343,0)</f>
        <v>0</v>
      </c>
      <c r="AL366" s="3156"/>
      <c r="AM366" s="3154">
        <f>IF($I$76=0,$I$343,0)</f>
        <v>0</v>
      </c>
      <c r="AN366" s="3156"/>
      <c r="AO366" s="3154">
        <f>IF($I$76=0,$I$343,0)</f>
        <v>0</v>
      </c>
      <c r="AP366" s="3156"/>
      <c r="AQ366" s="3154">
        <f>IF($I$76=0,$I$343,0)</f>
        <v>0</v>
      </c>
      <c r="AR366" s="3156"/>
      <c r="AS366" s="3154">
        <f>IF($I$76=0,$I$343,0)</f>
        <v>0</v>
      </c>
      <c r="AT366" s="3156"/>
      <c r="AU366" s="3154">
        <f>IF($I$76=0,$I$343,0)</f>
        <v>0</v>
      </c>
      <c r="AV366" s="3156"/>
      <c r="AW366" s="3154">
        <f>IF($I$76=0,$I$343,0)</f>
        <v>0</v>
      </c>
      <c r="AX366" s="3156"/>
      <c r="AY366" s="3154">
        <f>IF($I$76=0,$I$343,0)</f>
        <v>0</v>
      </c>
      <c r="AZ366" s="3156"/>
      <c r="BA366" s="3154">
        <f>IF($I$76=0,$I$343,0)</f>
        <v>0</v>
      </c>
      <c r="BB366" s="3156"/>
      <c r="BC366" s="3154">
        <f>IF($I$76=0,$I$343,0)</f>
        <v>0</v>
      </c>
      <c r="BD366" s="3156"/>
      <c r="BE366" s="3154">
        <f>IF($I$76=0,$I$343,0)</f>
        <v>0</v>
      </c>
      <c r="BF366" s="3156"/>
      <c r="BG366" s="3154">
        <f>IF($I$76=0,$I$343,0)</f>
        <v>0</v>
      </c>
      <c r="BH366" s="3156"/>
      <c r="BI366" s="3154">
        <f>IF($I$76=0,$I$343,0)</f>
        <v>0</v>
      </c>
      <c r="BJ366" s="3156"/>
      <c r="BK366" s="3154">
        <f>IF($I$76=0,$I$343,0)</f>
        <v>0</v>
      </c>
      <c r="BL366" s="3156"/>
      <c r="BM366" s="3154">
        <f>IF($I$76=0,$I$343,0)</f>
        <v>0</v>
      </c>
      <c r="BN366" s="3156"/>
      <c r="BO366" s="3154">
        <f>IF($I$76=0,$I$343,0)</f>
        <v>0</v>
      </c>
      <c r="BP366" s="3156"/>
      <c r="BQ366" s="3154">
        <f>IF($I$76=0,$I$343,0)</f>
        <v>0</v>
      </c>
      <c r="BR366" s="3156"/>
      <c r="BS366" s="3154">
        <f>IF($I$76=0,$I$343,0)</f>
        <v>0</v>
      </c>
      <c r="BT366" s="3156"/>
      <c r="BU366" s="3154">
        <f>IF($I$76=0,$I$343,0)</f>
        <v>0</v>
      </c>
      <c r="BV366" s="3156"/>
      <c r="BW366" s="3154">
        <f>IF($I$76=0,$I$343,0)</f>
        <v>0</v>
      </c>
      <c r="BX366" s="3156"/>
      <c r="BY366" s="3154">
        <f>IF($I$76=0,$I$343,0)</f>
        <v>0</v>
      </c>
      <c r="BZ366" s="3156"/>
      <c r="CA366" s="3154">
        <f>IF($I$76=0,$I$343,0)</f>
        <v>0</v>
      </c>
      <c r="CB366" s="3156"/>
      <c r="CC366" s="3154">
        <f>IF($I$76=0,$I$343,0)</f>
        <v>0</v>
      </c>
      <c r="CD366" s="3155"/>
    </row>
    <row r="367" spans="1:82">
      <c r="A367" s="363" t="s">
        <v>1426</v>
      </c>
      <c r="C367" s="1459">
        <v>0.5</v>
      </c>
      <c r="D367" s="1464">
        <f>C364-C367</f>
        <v>1.8249999999999997</v>
      </c>
      <c r="E367" s="1459">
        <f>$C$367</f>
        <v>0.5</v>
      </c>
      <c r="F367" s="1460">
        <f t="shared" ref="F367:BP367" si="38">E364-E367</f>
        <v>1.8249999999999997</v>
      </c>
      <c r="G367" s="1459">
        <f t="shared" ref="G367" si="39">$C$367</f>
        <v>0.5</v>
      </c>
      <c r="H367" s="1460">
        <f t="shared" si="38"/>
        <v>1.8249999999999997</v>
      </c>
      <c r="I367" s="1459">
        <f t="shared" ref="I367" si="40">$C$367</f>
        <v>0.5</v>
      </c>
      <c r="J367" s="1460">
        <f t="shared" si="38"/>
        <v>1.8249999999999997</v>
      </c>
      <c r="K367" s="1459">
        <f t="shared" ref="K367" si="41">$C$367</f>
        <v>0.5</v>
      </c>
      <c r="L367" s="1460">
        <f t="shared" si="38"/>
        <v>1.8249999999999997</v>
      </c>
      <c r="M367" s="1459">
        <f t="shared" ref="M367" si="42">$C$367</f>
        <v>0.5</v>
      </c>
      <c r="N367" s="1460">
        <f t="shared" si="38"/>
        <v>1.8249999999999997</v>
      </c>
      <c r="O367" s="1459">
        <f t="shared" ref="O367" si="43">$C$367</f>
        <v>0.5</v>
      </c>
      <c r="P367" s="1460">
        <f t="shared" si="38"/>
        <v>1.8249999999999997</v>
      </c>
      <c r="Q367" s="1459">
        <f t="shared" ref="Q367" si="44">$C$367</f>
        <v>0.5</v>
      </c>
      <c r="R367" s="1460">
        <f t="shared" si="38"/>
        <v>1.8249999999999997</v>
      </c>
      <c r="S367" s="1459">
        <f t="shared" ref="S367" si="45">$C$367</f>
        <v>0.5</v>
      </c>
      <c r="T367" s="1460">
        <f t="shared" si="38"/>
        <v>1.8249999999999997</v>
      </c>
      <c r="U367" s="1459">
        <f t="shared" ref="U367" si="46">$C$367</f>
        <v>0.5</v>
      </c>
      <c r="V367" s="1460">
        <f t="shared" si="38"/>
        <v>1.8249999999999997</v>
      </c>
      <c r="W367" s="1459">
        <f t="shared" ref="W367" si="47">$C$367</f>
        <v>0.5</v>
      </c>
      <c r="X367" s="1460">
        <f t="shared" si="38"/>
        <v>1.8249999999999997</v>
      </c>
      <c r="Y367" s="1459">
        <f t="shared" ref="Y367" si="48">$C$367</f>
        <v>0.5</v>
      </c>
      <c r="Z367" s="1460">
        <f t="shared" si="38"/>
        <v>1.8249999999999997</v>
      </c>
      <c r="AA367" s="1459">
        <f t="shared" ref="AA367" si="49">$C$367</f>
        <v>0.5</v>
      </c>
      <c r="AB367" s="1460">
        <f t="shared" si="38"/>
        <v>1.8249999999999997</v>
      </c>
      <c r="AC367" s="1459">
        <f t="shared" ref="AC367" si="50">$C$367</f>
        <v>0.5</v>
      </c>
      <c r="AD367" s="1460">
        <f t="shared" si="38"/>
        <v>1.8249999999999997</v>
      </c>
      <c r="AE367" s="1459">
        <f t="shared" ref="AE367" si="51">$C$367</f>
        <v>0.5</v>
      </c>
      <c r="AF367" s="1460">
        <f t="shared" si="38"/>
        <v>1.8249999999999997</v>
      </c>
      <c r="AG367" s="1459">
        <f t="shared" ref="AG367" si="52">$C$367</f>
        <v>0.5</v>
      </c>
      <c r="AH367" s="1460">
        <f t="shared" si="38"/>
        <v>1.8249999999999997</v>
      </c>
      <c r="AI367" s="1459">
        <f t="shared" ref="AI367" si="53">$C$367</f>
        <v>0.5</v>
      </c>
      <c r="AJ367" s="1460">
        <f t="shared" si="38"/>
        <v>1.8249999999999997</v>
      </c>
      <c r="AK367" s="1459">
        <f t="shared" ref="AK367" si="54">$C$367</f>
        <v>0.5</v>
      </c>
      <c r="AL367" s="1460">
        <f t="shared" si="38"/>
        <v>1.8249999999999997</v>
      </c>
      <c r="AM367" s="1459">
        <f t="shared" ref="AM367" si="55">$C$367</f>
        <v>0.5</v>
      </c>
      <c r="AN367" s="1460">
        <f t="shared" si="38"/>
        <v>1.8249999999999997</v>
      </c>
      <c r="AO367" s="1459">
        <f t="shared" ref="AO367" si="56">$C$367</f>
        <v>0.5</v>
      </c>
      <c r="AP367" s="1460">
        <f t="shared" si="38"/>
        <v>1.8249999999999997</v>
      </c>
      <c r="AQ367" s="1459">
        <f t="shared" ref="AQ367" si="57">$C$367</f>
        <v>0.5</v>
      </c>
      <c r="AR367" s="1460">
        <f t="shared" si="38"/>
        <v>1.8249999999999997</v>
      </c>
      <c r="AS367" s="1459">
        <f t="shared" ref="AS367" si="58">$C$367</f>
        <v>0.5</v>
      </c>
      <c r="AT367" s="1460">
        <f t="shared" si="38"/>
        <v>1.8249999999999997</v>
      </c>
      <c r="AU367" s="1459">
        <f t="shared" ref="AU367" si="59">$C$367</f>
        <v>0.5</v>
      </c>
      <c r="AV367" s="1460">
        <f t="shared" si="38"/>
        <v>1.8249999999999997</v>
      </c>
      <c r="AW367" s="1459">
        <f t="shared" ref="AW367" si="60">$C$367</f>
        <v>0.5</v>
      </c>
      <c r="AX367" s="1460">
        <f t="shared" si="38"/>
        <v>1.8249999999999997</v>
      </c>
      <c r="AY367" s="1459">
        <f t="shared" ref="AY367" si="61">$C$367</f>
        <v>0.5</v>
      </c>
      <c r="AZ367" s="1460">
        <f t="shared" si="38"/>
        <v>1.8249999999999997</v>
      </c>
      <c r="BA367" s="1459">
        <f t="shared" ref="BA367" si="62">$C$367</f>
        <v>0.5</v>
      </c>
      <c r="BB367" s="1460">
        <f t="shared" si="38"/>
        <v>1.8249999999999997</v>
      </c>
      <c r="BC367" s="1459">
        <f t="shared" ref="BC367" si="63">$C$367</f>
        <v>0.5</v>
      </c>
      <c r="BD367" s="1460">
        <f t="shared" si="38"/>
        <v>1.8249999999999997</v>
      </c>
      <c r="BE367" s="1459">
        <f t="shared" ref="BE367" si="64">$C$367</f>
        <v>0.5</v>
      </c>
      <c r="BF367" s="1460">
        <f t="shared" si="38"/>
        <v>1.8249999999999997</v>
      </c>
      <c r="BG367" s="1459">
        <f t="shared" ref="BG367" si="65">$C$367</f>
        <v>0.5</v>
      </c>
      <c r="BH367" s="1460">
        <f t="shared" si="38"/>
        <v>1.8249999999999997</v>
      </c>
      <c r="BI367" s="1459">
        <f t="shared" ref="BI367" si="66">$C$367</f>
        <v>0.5</v>
      </c>
      <c r="BJ367" s="1460">
        <f t="shared" si="38"/>
        <v>1.8249999999999997</v>
      </c>
      <c r="BK367" s="1459">
        <f t="shared" ref="BK367" si="67">$C$367</f>
        <v>0.5</v>
      </c>
      <c r="BL367" s="1460">
        <f t="shared" si="38"/>
        <v>1.8249999999999997</v>
      </c>
      <c r="BM367" s="1459">
        <f t="shared" ref="BM367" si="68">$C$367</f>
        <v>0.5</v>
      </c>
      <c r="BN367" s="1460">
        <f t="shared" si="38"/>
        <v>1.8249999999999997</v>
      </c>
      <c r="BO367" s="1459">
        <f t="shared" ref="BO367" si="69">$C$367</f>
        <v>0.5</v>
      </c>
      <c r="BP367" s="1460">
        <f t="shared" si="38"/>
        <v>1.8249999999999997</v>
      </c>
      <c r="BQ367" s="1459">
        <f t="shared" ref="BQ367" si="70">$C$367</f>
        <v>0.5</v>
      </c>
      <c r="BR367" s="1460">
        <f t="shared" ref="BR367:CD367" si="71">BQ364-BQ367</f>
        <v>1.8249999999999997</v>
      </c>
      <c r="BS367" s="1459">
        <f t="shared" ref="BS367" si="72">$C$367</f>
        <v>0.5</v>
      </c>
      <c r="BT367" s="1460">
        <f t="shared" si="71"/>
        <v>1.8249999999999997</v>
      </c>
      <c r="BU367" s="1459">
        <f t="shared" ref="BU367" si="73">$C$367</f>
        <v>0.5</v>
      </c>
      <c r="BV367" s="1460">
        <f t="shared" si="71"/>
        <v>1.8249999999999997</v>
      </c>
      <c r="BW367" s="1459">
        <f t="shared" ref="BW367" si="74">$C$367</f>
        <v>0.5</v>
      </c>
      <c r="BX367" s="1460">
        <f t="shared" si="71"/>
        <v>1.8249999999999997</v>
      </c>
      <c r="BY367" s="1459">
        <f t="shared" ref="BY367" si="75">$C$367</f>
        <v>0.5</v>
      </c>
      <c r="BZ367" s="1460">
        <f t="shared" si="71"/>
        <v>1.8249999999999997</v>
      </c>
      <c r="CA367" s="1459">
        <f t="shared" ref="CA367" si="76">$C$367</f>
        <v>0.5</v>
      </c>
      <c r="CB367" s="1460">
        <f t="shared" si="71"/>
        <v>1.8249999999999997</v>
      </c>
      <c r="CC367" s="1459">
        <f t="shared" ref="CC367" si="77">$C$367</f>
        <v>0.5</v>
      </c>
      <c r="CD367" s="1460">
        <f t="shared" si="71"/>
        <v>1.8249999999999997</v>
      </c>
    </row>
    <row r="368" spans="1:82">
      <c r="A368" s="1457" t="s">
        <v>1427</v>
      </c>
      <c r="C368" s="3154">
        <v>0</v>
      </c>
      <c r="D368" s="3156"/>
      <c r="E368" s="3154">
        <f>$C$368</f>
        <v>0</v>
      </c>
      <c r="F368" s="3155"/>
      <c r="G368" s="3154">
        <f t="shared" ref="G368" si="78">$C$368</f>
        <v>0</v>
      </c>
      <c r="H368" s="3155"/>
      <c r="I368" s="3154">
        <f t="shared" ref="I368" si="79">$C$368</f>
        <v>0</v>
      </c>
      <c r="J368" s="3155"/>
      <c r="K368" s="3154">
        <f t="shared" ref="K368" si="80">$C$368</f>
        <v>0</v>
      </c>
      <c r="L368" s="3155"/>
      <c r="M368" s="3154">
        <f t="shared" ref="M368" si="81">$C$368</f>
        <v>0</v>
      </c>
      <c r="N368" s="3155"/>
      <c r="O368" s="3154">
        <f t="shared" ref="O368" si="82">$C$368</f>
        <v>0</v>
      </c>
      <c r="P368" s="3155"/>
      <c r="Q368" s="3154">
        <f t="shared" ref="Q368" si="83">$C$368</f>
        <v>0</v>
      </c>
      <c r="R368" s="3155"/>
      <c r="S368" s="3154">
        <f t="shared" ref="S368" si="84">$C$368</f>
        <v>0</v>
      </c>
      <c r="T368" s="3155"/>
      <c r="U368" s="3154">
        <f t="shared" ref="U368" si="85">$C$368</f>
        <v>0</v>
      </c>
      <c r="V368" s="3155"/>
      <c r="W368" s="3154">
        <f t="shared" ref="W368" si="86">$C$368</f>
        <v>0</v>
      </c>
      <c r="X368" s="3155"/>
      <c r="Y368" s="3154">
        <f t="shared" ref="Y368" si="87">$C$368</f>
        <v>0</v>
      </c>
      <c r="Z368" s="3155"/>
      <c r="AA368" s="3154">
        <f t="shared" ref="AA368" si="88">$C$368</f>
        <v>0</v>
      </c>
      <c r="AB368" s="3155"/>
      <c r="AC368" s="3154">
        <f t="shared" ref="AC368" si="89">$C$368</f>
        <v>0</v>
      </c>
      <c r="AD368" s="3155"/>
      <c r="AE368" s="3154">
        <f t="shared" ref="AE368" si="90">$C$368</f>
        <v>0</v>
      </c>
      <c r="AF368" s="3155"/>
      <c r="AG368" s="3154">
        <f t="shared" ref="AG368" si="91">$C$368</f>
        <v>0</v>
      </c>
      <c r="AH368" s="3155"/>
      <c r="AI368" s="3154">
        <f t="shared" ref="AI368" si="92">$C$368</f>
        <v>0</v>
      </c>
      <c r="AJ368" s="3155"/>
      <c r="AK368" s="3154">
        <f t="shared" ref="AK368" si="93">$C$368</f>
        <v>0</v>
      </c>
      <c r="AL368" s="3155"/>
      <c r="AM368" s="3154">
        <f t="shared" ref="AM368" si="94">$C$368</f>
        <v>0</v>
      </c>
      <c r="AN368" s="3155"/>
      <c r="AO368" s="3154">
        <f t="shared" ref="AO368" si="95">$C$368</f>
        <v>0</v>
      </c>
      <c r="AP368" s="3155"/>
      <c r="AQ368" s="3154">
        <f t="shared" ref="AQ368" si="96">$C$368</f>
        <v>0</v>
      </c>
      <c r="AR368" s="3155"/>
      <c r="AS368" s="3154">
        <f t="shared" ref="AS368" si="97">$C$368</f>
        <v>0</v>
      </c>
      <c r="AT368" s="3155"/>
      <c r="AU368" s="3154">
        <f t="shared" ref="AU368" si="98">$C$368</f>
        <v>0</v>
      </c>
      <c r="AV368" s="3155"/>
      <c r="AW368" s="3154">
        <f t="shared" ref="AW368" si="99">$C$368</f>
        <v>0</v>
      </c>
      <c r="AX368" s="3155"/>
      <c r="AY368" s="3154">
        <f t="shared" ref="AY368" si="100">$C$368</f>
        <v>0</v>
      </c>
      <c r="AZ368" s="3155"/>
      <c r="BA368" s="3154">
        <f t="shared" ref="BA368" si="101">$C$368</f>
        <v>0</v>
      </c>
      <c r="BB368" s="3155"/>
      <c r="BC368" s="3154">
        <f t="shared" ref="BC368" si="102">$C$368</f>
        <v>0</v>
      </c>
      <c r="BD368" s="3155"/>
      <c r="BE368" s="3154">
        <f t="shared" ref="BE368" si="103">$C$368</f>
        <v>0</v>
      </c>
      <c r="BF368" s="3155"/>
      <c r="BG368" s="3154">
        <f t="shared" ref="BG368" si="104">$C$368</f>
        <v>0</v>
      </c>
      <c r="BH368" s="3155"/>
      <c r="BI368" s="3154">
        <f t="shared" ref="BI368" si="105">$C$368</f>
        <v>0</v>
      </c>
      <c r="BJ368" s="3155"/>
      <c r="BK368" s="3154">
        <f t="shared" ref="BK368" si="106">$C$368</f>
        <v>0</v>
      </c>
      <c r="BL368" s="3155"/>
      <c r="BM368" s="3154">
        <f t="shared" ref="BM368" si="107">$C$368</f>
        <v>0</v>
      </c>
      <c r="BN368" s="3155"/>
      <c r="BO368" s="3154">
        <f t="shared" ref="BO368" si="108">$C$368</f>
        <v>0</v>
      </c>
      <c r="BP368" s="3155"/>
      <c r="BQ368" s="3154">
        <f t="shared" ref="BQ368" si="109">$C$368</f>
        <v>0</v>
      </c>
      <c r="BR368" s="3155"/>
      <c r="BS368" s="3154">
        <f t="shared" ref="BS368" si="110">$C$368</f>
        <v>0</v>
      </c>
      <c r="BT368" s="3155"/>
      <c r="BU368" s="3154">
        <f t="shared" ref="BU368" si="111">$C$368</f>
        <v>0</v>
      </c>
      <c r="BV368" s="3155"/>
      <c r="BW368" s="3154">
        <f t="shared" ref="BW368" si="112">$C$368</f>
        <v>0</v>
      </c>
      <c r="BX368" s="3155"/>
      <c r="BY368" s="3154">
        <f t="shared" ref="BY368" si="113">$C$368</f>
        <v>0</v>
      </c>
      <c r="BZ368" s="3155"/>
      <c r="CA368" s="3154">
        <f t="shared" ref="CA368" si="114">$C$368</f>
        <v>0</v>
      </c>
      <c r="CB368" s="3155"/>
      <c r="CC368" s="3154">
        <f t="shared" ref="CC368" si="115">$C$368</f>
        <v>0</v>
      </c>
      <c r="CD368" s="3155"/>
    </row>
    <row r="369" spans="1:87">
      <c r="A369" s="1102" t="s">
        <v>1426</v>
      </c>
      <c r="C369" s="1459">
        <v>2</v>
      </c>
      <c r="D369" s="785">
        <f>C364-C369</f>
        <v>0.32499999999999973</v>
      </c>
      <c r="E369" s="1459">
        <f>$C$369</f>
        <v>2</v>
      </c>
      <c r="F369" s="1462">
        <f>E364-E369</f>
        <v>0.32499999999999973</v>
      </c>
      <c r="G369" s="1459">
        <f t="shared" ref="G369" si="116">$C$369</f>
        <v>2</v>
      </c>
      <c r="H369" s="1462">
        <f t="shared" ref="H369" si="117">G364-G369</f>
        <v>0.32499999999999973</v>
      </c>
      <c r="I369" s="1459">
        <f t="shared" ref="I369" si="118">$C$369</f>
        <v>2</v>
      </c>
      <c r="J369" s="1462">
        <f t="shared" ref="J369" si="119">I364-I369</f>
        <v>0.32499999999999973</v>
      </c>
      <c r="K369" s="1459">
        <f t="shared" ref="K369" si="120">$C$369</f>
        <v>2</v>
      </c>
      <c r="L369" s="1462">
        <f t="shared" ref="L369" si="121">K364-K369</f>
        <v>0.32499999999999973</v>
      </c>
      <c r="M369" s="1459">
        <f t="shared" ref="M369" si="122">$C$369</f>
        <v>2</v>
      </c>
      <c r="N369" s="1462">
        <f t="shared" ref="N369" si="123">M364-M369</f>
        <v>0.32499999999999973</v>
      </c>
      <c r="O369" s="1459">
        <f t="shared" ref="O369" si="124">$C$369</f>
        <v>2</v>
      </c>
      <c r="P369" s="1462">
        <f t="shared" ref="P369" si="125">O364-O369</f>
        <v>0.32499999999999973</v>
      </c>
      <c r="Q369" s="1459">
        <f t="shared" ref="Q369" si="126">$C$369</f>
        <v>2</v>
      </c>
      <c r="R369" s="1462">
        <f t="shared" ref="R369" si="127">Q364-Q369</f>
        <v>0.32499999999999973</v>
      </c>
      <c r="S369" s="1459">
        <f t="shared" ref="S369" si="128">$C$369</f>
        <v>2</v>
      </c>
      <c r="T369" s="1462">
        <f t="shared" ref="T369" si="129">S364-S369</f>
        <v>0.32499999999999973</v>
      </c>
      <c r="U369" s="1459">
        <f t="shared" ref="U369" si="130">$C$369</f>
        <v>2</v>
      </c>
      <c r="V369" s="1462">
        <f t="shared" ref="V369" si="131">U364-U369</f>
        <v>0.32499999999999973</v>
      </c>
      <c r="W369" s="1459">
        <f t="shared" ref="W369" si="132">$C$369</f>
        <v>2</v>
      </c>
      <c r="X369" s="1462">
        <f t="shared" ref="X369" si="133">W364-W369</f>
        <v>0.32499999999999973</v>
      </c>
      <c r="Y369" s="1459">
        <f t="shared" ref="Y369" si="134">$C$369</f>
        <v>2</v>
      </c>
      <c r="Z369" s="1462">
        <f t="shared" ref="Z369" si="135">Y364-Y369</f>
        <v>0.32499999999999973</v>
      </c>
      <c r="AA369" s="1459">
        <f t="shared" ref="AA369" si="136">$C$369</f>
        <v>2</v>
      </c>
      <c r="AB369" s="1462">
        <f t="shared" ref="AB369" si="137">AA364-AA369</f>
        <v>0.32499999999999973</v>
      </c>
      <c r="AC369" s="1459">
        <f t="shared" ref="AC369" si="138">$C$369</f>
        <v>2</v>
      </c>
      <c r="AD369" s="1462">
        <f t="shared" ref="AD369" si="139">AC364-AC369</f>
        <v>0.32499999999999973</v>
      </c>
      <c r="AE369" s="1459">
        <f t="shared" ref="AE369" si="140">$C$369</f>
        <v>2</v>
      </c>
      <c r="AF369" s="1462">
        <f t="shared" ref="AF369" si="141">AE364-AE369</f>
        <v>0.32499999999999973</v>
      </c>
      <c r="AG369" s="1459">
        <f t="shared" ref="AG369" si="142">$C$369</f>
        <v>2</v>
      </c>
      <c r="AH369" s="1462">
        <f t="shared" ref="AH369" si="143">AG364-AG369</f>
        <v>0.32499999999999973</v>
      </c>
      <c r="AI369" s="1459">
        <f t="shared" ref="AI369" si="144">$C$369</f>
        <v>2</v>
      </c>
      <c r="AJ369" s="1462">
        <f t="shared" ref="AJ369" si="145">AI364-AI369</f>
        <v>0.32499999999999973</v>
      </c>
      <c r="AK369" s="1459">
        <f t="shared" ref="AK369" si="146">$C$369</f>
        <v>2</v>
      </c>
      <c r="AL369" s="1462">
        <f t="shared" ref="AL369" si="147">AK364-AK369</f>
        <v>0.32499999999999973</v>
      </c>
      <c r="AM369" s="1459">
        <f t="shared" ref="AM369" si="148">$C$369</f>
        <v>2</v>
      </c>
      <c r="AN369" s="1462">
        <f t="shared" ref="AN369" si="149">AM364-AM369</f>
        <v>0.32499999999999973</v>
      </c>
      <c r="AO369" s="1459">
        <f t="shared" ref="AO369" si="150">$C$369</f>
        <v>2</v>
      </c>
      <c r="AP369" s="1462">
        <f t="shared" ref="AP369" si="151">AO364-AO369</f>
        <v>0.32499999999999973</v>
      </c>
      <c r="AQ369" s="1459">
        <f t="shared" ref="AQ369" si="152">$C$369</f>
        <v>2</v>
      </c>
      <c r="AR369" s="1462">
        <f t="shared" ref="AR369" si="153">AQ364-AQ369</f>
        <v>0.32499999999999973</v>
      </c>
      <c r="AS369" s="1459">
        <f t="shared" ref="AS369" si="154">$C$369</f>
        <v>2</v>
      </c>
      <c r="AT369" s="1462">
        <f t="shared" ref="AT369" si="155">AS364-AS369</f>
        <v>0.32499999999999973</v>
      </c>
      <c r="AU369" s="1459">
        <f t="shared" ref="AU369" si="156">$C$369</f>
        <v>2</v>
      </c>
      <c r="AV369" s="1462">
        <f t="shared" ref="AV369" si="157">AU364-AU369</f>
        <v>0.32499999999999973</v>
      </c>
      <c r="AW369" s="1459">
        <f t="shared" ref="AW369" si="158">$C$369</f>
        <v>2</v>
      </c>
      <c r="AX369" s="1462">
        <f t="shared" ref="AX369" si="159">AW364-AW369</f>
        <v>0.32499999999999973</v>
      </c>
      <c r="AY369" s="1459">
        <f t="shared" ref="AY369" si="160">$C$369</f>
        <v>2</v>
      </c>
      <c r="AZ369" s="1462">
        <f t="shared" ref="AZ369" si="161">AY364-AY369</f>
        <v>0.32499999999999973</v>
      </c>
      <c r="BA369" s="1459">
        <f t="shared" ref="BA369" si="162">$C$369</f>
        <v>2</v>
      </c>
      <c r="BB369" s="1462">
        <f t="shared" ref="BB369" si="163">BA364-BA369</f>
        <v>0.32499999999999973</v>
      </c>
      <c r="BC369" s="1459">
        <f t="shared" ref="BC369" si="164">$C$369</f>
        <v>2</v>
      </c>
      <c r="BD369" s="1462">
        <f t="shared" ref="BD369" si="165">BC364-BC369</f>
        <v>0.32499999999999973</v>
      </c>
      <c r="BE369" s="1459">
        <f t="shared" ref="BE369" si="166">$C$369</f>
        <v>2</v>
      </c>
      <c r="BF369" s="1462">
        <f t="shared" ref="BF369" si="167">BE364-BE369</f>
        <v>0.32499999999999973</v>
      </c>
      <c r="BG369" s="1459">
        <f t="shared" ref="BG369" si="168">$C$369</f>
        <v>2</v>
      </c>
      <c r="BH369" s="1462">
        <f t="shared" ref="BH369" si="169">BG364-BG369</f>
        <v>0.32499999999999973</v>
      </c>
      <c r="BI369" s="1459">
        <f t="shared" ref="BI369" si="170">$C$369</f>
        <v>2</v>
      </c>
      <c r="BJ369" s="1462">
        <f t="shared" ref="BJ369" si="171">BI364-BI369</f>
        <v>0.32499999999999973</v>
      </c>
      <c r="BK369" s="1459">
        <f t="shared" ref="BK369" si="172">$C$369</f>
        <v>2</v>
      </c>
      <c r="BL369" s="1462">
        <f t="shared" ref="BL369" si="173">BK364-BK369</f>
        <v>0.32499999999999973</v>
      </c>
      <c r="BM369" s="1459">
        <f t="shared" ref="BM369" si="174">$C$369</f>
        <v>2</v>
      </c>
      <c r="BN369" s="1462">
        <f t="shared" ref="BN369" si="175">BM364-BM369</f>
        <v>0.32499999999999973</v>
      </c>
      <c r="BO369" s="1459">
        <f t="shared" ref="BO369" si="176">$C$369</f>
        <v>2</v>
      </c>
      <c r="BP369" s="1462">
        <f t="shared" ref="BP369" si="177">BO364-BO369</f>
        <v>0.32499999999999973</v>
      </c>
      <c r="BQ369" s="1459">
        <f t="shared" ref="BQ369" si="178">$C$369</f>
        <v>2</v>
      </c>
      <c r="BR369" s="1462">
        <f t="shared" ref="BR369" si="179">BQ364-BQ369</f>
        <v>0.32499999999999973</v>
      </c>
      <c r="BS369" s="1459">
        <f t="shared" ref="BS369" si="180">$C$369</f>
        <v>2</v>
      </c>
      <c r="BT369" s="1462">
        <f t="shared" ref="BT369" si="181">BS364-BS369</f>
        <v>0.32499999999999973</v>
      </c>
      <c r="BU369" s="1459">
        <f t="shared" ref="BU369" si="182">$C$369</f>
        <v>2</v>
      </c>
      <c r="BV369" s="1462">
        <f t="shared" ref="BV369" si="183">BU364-BU369</f>
        <v>0.32499999999999973</v>
      </c>
      <c r="BW369" s="1459">
        <f t="shared" ref="BW369" si="184">$C$369</f>
        <v>2</v>
      </c>
      <c r="BX369" s="1462">
        <f t="shared" ref="BX369" si="185">BW364-BW369</f>
        <v>0.32499999999999973</v>
      </c>
      <c r="BY369" s="1459">
        <f t="shared" ref="BY369" si="186">$C$369</f>
        <v>2</v>
      </c>
      <c r="BZ369" s="1462">
        <f t="shared" ref="BZ369" si="187">BY364-BY369</f>
        <v>0.32499999999999973</v>
      </c>
      <c r="CA369" s="1459">
        <f t="shared" ref="CA369" si="188">$C$369</f>
        <v>2</v>
      </c>
      <c r="CB369" s="1462">
        <f t="shared" ref="CB369" si="189">CA364-CA369</f>
        <v>0.32499999999999973</v>
      </c>
      <c r="CC369" s="1459">
        <f t="shared" ref="CC369" si="190">$C$369</f>
        <v>2</v>
      </c>
      <c r="CD369" s="1462">
        <f t="shared" ref="CD369" si="191">CC364-CC369</f>
        <v>0.32499999999999973</v>
      </c>
    </row>
    <row r="370" spans="1:87">
      <c r="A370" s="363" t="s">
        <v>1444</v>
      </c>
      <c r="C370" s="3154">
        <f>$G$101</f>
        <v>142.77885714285713</v>
      </c>
      <c r="D370" s="3156"/>
      <c r="E370" s="3154">
        <f t="shared" ref="E370" si="192">$G$101</f>
        <v>142.77885714285713</v>
      </c>
      <c r="F370" s="3155"/>
      <c r="G370" s="3154">
        <f t="shared" ref="G370" si="193">$G$101</f>
        <v>142.77885714285713</v>
      </c>
      <c r="H370" s="3155"/>
      <c r="I370" s="3154">
        <f t="shared" ref="I370" si="194">$G$101</f>
        <v>142.77885714285713</v>
      </c>
      <c r="J370" s="3155"/>
      <c r="K370" s="3154">
        <f t="shared" ref="K370" si="195">$G$101</f>
        <v>142.77885714285713</v>
      </c>
      <c r="L370" s="3155"/>
      <c r="M370" s="3154">
        <f t="shared" ref="M370" si="196">$G$101</f>
        <v>142.77885714285713</v>
      </c>
      <c r="N370" s="3155"/>
      <c r="O370" s="3154">
        <f t="shared" ref="O370" si="197">$G$101</f>
        <v>142.77885714285713</v>
      </c>
      <c r="P370" s="3155"/>
      <c r="Q370" s="3154">
        <f t="shared" ref="Q370" si="198">$G$101</f>
        <v>142.77885714285713</v>
      </c>
      <c r="R370" s="3155"/>
      <c r="S370" s="3154">
        <f t="shared" ref="S370" si="199">$G$101</f>
        <v>142.77885714285713</v>
      </c>
      <c r="T370" s="3155"/>
      <c r="U370" s="3154">
        <f t="shared" ref="U370" si="200">$G$101</f>
        <v>142.77885714285713</v>
      </c>
      <c r="V370" s="3155"/>
      <c r="W370" s="3154">
        <f t="shared" ref="W370" si="201">$G$101</f>
        <v>142.77885714285713</v>
      </c>
      <c r="X370" s="3155"/>
      <c r="Y370" s="3154">
        <f t="shared" ref="Y370" si="202">$G$101</f>
        <v>142.77885714285713</v>
      </c>
      <c r="Z370" s="3155"/>
      <c r="AA370" s="3154">
        <f t="shared" ref="AA370" si="203">$G$101</f>
        <v>142.77885714285713</v>
      </c>
      <c r="AB370" s="3155"/>
      <c r="AC370" s="3154">
        <f t="shared" ref="AC370" si="204">$G$101</f>
        <v>142.77885714285713</v>
      </c>
      <c r="AD370" s="3155"/>
      <c r="AE370" s="3154">
        <f t="shared" ref="AE370" si="205">$G$101</f>
        <v>142.77885714285713</v>
      </c>
      <c r="AF370" s="3155"/>
      <c r="AG370" s="3154">
        <f t="shared" ref="AG370" si="206">$G$101</f>
        <v>142.77885714285713</v>
      </c>
      <c r="AH370" s="3155"/>
      <c r="AI370" s="3154">
        <f t="shared" ref="AI370" si="207">$G$101</f>
        <v>142.77885714285713</v>
      </c>
      <c r="AJ370" s="3155"/>
      <c r="AK370" s="3154">
        <f t="shared" ref="AK370" si="208">$G$101</f>
        <v>142.77885714285713</v>
      </c>
      <c r="AL370" s="3155"/>
      <c r="AM370" s="3154">
        <f t="shared" ref="AM370" si="209">$G$101</f>
        <v>142.77885714285713</v>
      </c>
      <c r="AN370" s="3155"/>
      <c r="AO370" s="3154">
        <f t="shared" ref="AO370" si="210">$G$101</f>
        <v>142.77885714285713</v>
      </c>
      <c r="AP370" s="3155"/>
      <c r="AQ370" s="3154">
        <f t="shared" ref="AQ370" si="211">$G$101</f>
        <v>142.77885714285713</v>
      </c>
      <c r="AR370" s="3155"/>
      <c r="AS370" s="3154">
        <f t="shared" ref="AS370" si="212">$G$101</f>
        <v>142.77885714285713</v>
      </c>
      <c r="AT370" s="3155"/>
      <c r="AU370" s="3154">
        <f t="shared" ref="AU370" si="213">$G$101</f>
        <v>142.77885714285713</v>
      </c>
      <c r="AV370" s="3155"/>
      <c r="AW370" s="3154">
        <f t="shared" ref="AW370" si="214">$G$101</f>
        <v>142.77885714285713</v>
      </c>
      <c r="AX370" s="3155"/>
      <c r="AY370" s="3154">
        <f t="shared" ref="AY370" si="215">$G$101</f>
        <v>142.77885714285713</v>
      </c>
      <c r="AZ370" s="3155"/>
      <c r="BA370" s="3154">
        <f t="shared" ref="BA370" si="216">$G$101</f>
        <v>142.77885714285713</v>
      </c>
      <c r="BB370" s="3155"/>
      <c r="BC370" s="3154">
        <f t="shared" ref="BC370" si="217">$G$101</f>
        <v>142.77885714285713</v>
      </c>
      <c r="BD370" s="3155"/>
      <c r="BE370" s="3154">
        <f t="shared" ref="BE370" si="218">$G$101</f>
        <v>142.77885714285713</v>
      </c>
      <c r="BF370" s="3155"/>
      <c r="BG370" s="3154">
        <f t="shared" ref="BG370" si="219">$G$101</f>
        <v>142.77885714285713</v>
      </c>
      <c r="BH370" s="3155"/>
      <c r="BI370" s="3154">
        <f t="shared" ref="BI370" si="220">$G$101</f>
        <v>142.77885714285713</v>
      </c>
      <c r="BJ370" s="3155"/>
      <c r="BK370" s="3154">
        <f t="shared" ref="BK370" si="221">$G$101</f>
        <v>142.77885714285713</v>
      </c>
      <c r="BL370" s="3155"/>
      <c r="BM370" s="3154">
        <f t="shared" ref="BM370" si="222">$G$101</f>
        <v>142.77885714285713</v>
      </c>
      <c r="BN370" s="3155"/>
      <c r="BO370" s="3154">
        <f t="shared" ref="BO370" si="223">$G$101</f>
        <v>142.77885714285713</v>
      </c>
      <c r="BP370" s="3155"/>
      <c r="BQ370" s="3154">
        <f t="shared" ref="BQ370" si="224">$G$101</f>
        <v>142.77885714285713</v>
      </c>
      <c r="BR370" s="3155"/>
      <c r="BS370" s="3154">
        <f t="shared" ref="BS370" si="225">$G$101</f>
        <v>142.77885714285713</v>
      </c>
      <c r="BT370" s="3155"/>
      <c r="BU370" s="3154">
        <f t="shared" ref="BU370" si="226">$G$101</f>
        <v>142.77885714285713</v>
      </c>
      <c r="BV370" s="3155"/>
      <c r="BW370" s="3154">
        <f t="shared" ref="BW370" si="227">$G$101</f>
        <v>142.77885714285713</v>
      </c>
      <c r="BX370" s="3155"/>
      <c r="BY370" s="3154">
        <f t="shared" ref="BY370" si="228">$G$101</f>
        <v>142.77885714285713</v>
      </c>
      <c r="BZ370" s="3155"/>
      <c r="CA370" s="3154">
        <f t="shared" ref="CA370" si="229">$G$101</f>
        <v>142.77885714285713</v>
      </c>
      <c r="CB370" s="3155"/>
      <c r="CC370" s="3154">
        <f t="shared" ref="CC370" si="230">$G$101</f>
        <v>142.77885714285713</v>
      </c>
      <c r="CD370" s="3155"/>
    </row>
    <row r="371" spans="1:87">
      <c r="A371" s="369" t="s">
        <v>1470</v>
      </c>
      <c r="B371" s="16"/>
      <c r="C371" s="1459">
        <f>$H$125</f>
        <v>89.537898896243007</v>
      </c>
      <c r="D371" s="1466">
        <f>$H$126</f>
        <v>120.00565615954791</v>
      </c>
      <c r="E371" s="1459">
        <f t="shared" ref="E371:BO371" si="231">$H$125</f>
        <v>89.537898896243007</v>
      </c>
      <c r="F371" s="1463">
        <f t="shared" ref="F371:BP371" si="232">$H$126</f>
        <v>120.00565615954791</v>
      </c>
      <c r="G371" s="1459">
        <f t="shared" si="231"/>
        <v>89.537898896243007</v>
      </c>
      <c r="H371" s="1463">
        <f t="shared" si="232"/>
        <v>120.00565615954791</v>
      </c>
      <c r="I371" s="1459">
        <f t="shared" si="231"/>
        <v>89.537898896243007</v>
      </c>
      <c r="J371" s="1463">
        <f t="shared" si="232"/>
        <v>120.00565615954791</v>
      </c>
      <c r="K371" s="1459">
        <f t="shared" si="231"/>
        <v>89.537898896243007</v>
      </c>
      <c r="L371" s="1463">
        <f t="shared" si="232"/>
        <v>120.00565615954791</v>
      </c>
      <c r="M371" s="1459">
        <f t="shared" si="231"/>
        <v>89.537898896243007</v>
      </c>
      <c r="N371" s="1463">
        <f t="shared" si="232"/>
        <v>120.00565615954791</v>
      </c>
      <c r="O371" s="1459">
        <f t="shared" si="231"/>
        <v>89.537898896243007</v>
      </c>
      <c r="P371" s="1463">
        <f t="shared" si="232"/>
        <v>120.00565615954791</v>
      </c>
      <c r="Q371" s="1459">
        <f t="shared" si="231"/>
        <v>89.537898896243007</v>
      </c>
      <c r="R371" s="1463">
        <f t="shared" si="232"/>
        <v>120.00565615954791</v>
      </c>
      <c r="S371" s="1459">
        <f t="shared" si="231"/>
        <v>89.537898896243007</v>
      </c>
      <c r="T371" s="1463">
        <f t="shared" si="232"/>
        <v>120.00565615954791</v>
      </c>
      <c r="U371" s="1459">
        <f t="shared" si="231"/>
        <v>89.537898896243007</v>
      </c>
      <c r="V371" s="1463">
        <f t="shared" si="232"/>
        <v>120.00565615954791</v>
      </c>
      <c r="W371" s="1459">
        <f t="shared" si="231"/>
        <v>89.537898896243007</v>
      </c>
      <c r="X371" s="1463">
        <f t="shared" si="232"/>
        <v>120.00565615954791</v>
      </c>
      <c r="Y371" s="1459">
        <f t="shared" si="231"/>
        <v>89.537898896243007</v>
      </c>
      <c r="Z371" s="1463">
        <f t="shared" si="232"/>
        <v>120.00565615954791</v>
      </c>
      <c r="AA371" s="1459">
        <f t="shared" si="231"/>
        <v>89.537898896243007</v>
      </c>
      <c r="AB371" s="1463">
        <f t="shared" si="232"/>
        <v>120.00565615954791</v>
      </c>
      <c r="AC371" s="1459">
        <f t="shared" si="231"/>
        <v>89.537898896243007</v>
      </c>
      <c r="AD371" s="1463">
        <f t="shared" si="232"/>
        <v>120.00565615954791</v>
      </c>
      <c r="AE371" s="1459">
        <f t="shared" si="231"/>
        <v>89.537898896243007</v>
      </c>
      <c r="AF371" s="1463">
        <f t="shared" si="232"/>
        <v>120.00565615954791</v>
      </c>
      <c r="AG371" s="1459">
        <f t="shared" si="231"/>
        <v>89.537898896243007</v>
      </c>
      <c r="AH371" s="1463">
        <f t="shared" si="232"/>
        <v>120.00565615954791</v>
      </c>
      <c r="AI371" s="1459">
        <f t="shared" si="231"/>
        <v>89.537898896243007</v>
      </c>
      <c r="AJ371" s="1463">
        <f t="shared" si="232"/>
        <v>120.00565615954791</v>
      </c>
      <c r="AK371" s="1459">
        <f t="shared" si="231"/>
        <v>89.537898896243007</v>
      </c>
      <c r="AL371" s="1463">
        <f t="shared" si="232"/>
        <v>120.00565615954791</v>
      </c>
      <c r="AM371" s="1459">
        <f t="shared" si="231"/>
        <v>89.537898896243007</v>
      </c>
      <c r="AN371" s="1463">
        <f t="shared" si="232"/>
        <v>120.00565615954791</v>
      </c>
      <c r="AO371" s="1459">
        <f t="shared" si="231"/>
        <v>89.537898896243007</v>
      </c>
      <c r="AP371" s="1463">
        <f t="shared" si="232"/>
        <v>120.00565615954791</v>
      </c>
      <c r="AQ371" s="1459">
        <f t="shared" si="231"/>
        <v>89.537898896243007</v>
      </c>
      <c r="AR371" s="1463">
        <f t="shared" si="232"/>
        <v>120.00565615954791</v>
      </c>
      <c r="AS371" s="1459">
        <f t="shared" si="231"/>
        <v>89.537898896243007</v>
      </c>
      <c r="AT371" s="1463">
        <f t="shared" si="232"/>
        <v>120.00565615954791</v>
      </c>
      <c r="AU371" s="1459">
        <f t="shared" si="231"/>
        <v>89.537898896243007</v>
      </c>
      <c r="AV371" s="1463">
        <f t="shared" si="232"/>
        <v>120.00565615954791</v>
      </c>
      <c r="AW371" s="1459">
        <f t="shared" si="231"/>
        <v>89.537898896243007</v>
      </c>
      <c r="AX371" s="1463">
        <f t="shared" si="232"/>
        <v>120.00565615954791</v>
      </c>
      <c r="AY371" s="1459">
        <f t="shared" si="231"/>
        <v>89.537898896243007</v>
      </c>
      <c r="AZ371" s="1463">
        <f t="shared" si="232"/>
        <v>120.00565615954791</v>
      </c>
      <c r="BA371" s="1459">
        <f t="shared" si="231"/>
        <v>89.537898896243007</v>
      </c>
      <c r="BB371" s="1463">
        <f t="shared" si="232"/>
        <v>120.00565615954791</v>
      </c>
      <c r="BC371" s="1459">
        <f t="shared" si="231"/>
        <v>89.537898896243007</v>
      </c>
      <c r="BD371" s="1463">
        <f t="shared" si="232"/>
        <v>120.00565615954791</v>
      </c>
      <c r="BE371" s="1459">
        <f t="shared" si="231"/>
        <v>89.537898896243007</v>
      </c>
      <c r="BF371" s="1463">
        <f t="shared" si="232"/>
        <v>120.00565615954791</v>
      </c>
      <c r="BG371" s="1459">
        <f t="shared" si="231"/>
        <v>89.537898896243007</v>
      </c>
      <c r="BH371" s="1463">
        <f t="shared" si="232"/>
        <v>120.00565615954791</v>
      </c>
      <c r="BI371" s="1459">
        <f t="shared" si="231"/>
        <v>89.537898896243007</v>
      </c>
      <c r="BJ371" s="1463">
        <f t="shared" si="232"/>
        <v>120.00565615954791</v>
      </c>
      <c r="BK371" s="1459">
        <f t="shared" si="231"/>
        <v>89.537898896243007</v>
      </c>
      <c r="BL371" s="1463">
        <f t="shared" si="232"/>
        <v>120.00565615954791</v>
      </c>
      <c r="BM371" s="1459">
        <f t="shared" si="231"/>
        <v>89.537898896243007</v>
      </c>
      <c r="BN371" s="1463">
        <f t="shared" si="232"/>
        <v>120.00565615954791</v>
      </c>
      <c r="BO371" s="1459">
        <f t="shared" si="231"/>
        <v>89.537898896243007</v>
      </c>
      <c r="BP371" s="1463">
        <f t="shared" si="232"/>
        <v>120.00565615954791</v>
      </c>
      <c r="BQ371" s="1459">
        <f t="shared" ref="BQ371:CC371" si="233">$H$125</f>
        <v>89.537898896243007</v>
      </c>
      <c r="BR371" s="1463">
        <f t="shared" ref="BR371:CD371" si="234">$H$126</f>
        <v>120.00565615954791</v>
      </c>
      <c r="BS371" s="1459">
        <f t="shared" si="233"/>
        <v>89.537898896243007</v>
      </c>
      <c r="BT371" s="1463">
        <f t="shared" si="234"/>
        <v>120.00565615954791</v>
      </c>
      <c r="BU371" s="1459">
        <f t="shared" si="233"/>
        <v>89.537898896243007</v>
      </c>
      <c r="BV371" s="1463">
        <f t="shared" si="234"/>
        <v>120.00565615954791</v>
      </c>
      <c r="BW371" s="1459">
        <f t="shared" si="233"/>
        <v>89.537898896243007</v>
      </c>
      <c r="BX371" s="1463">
        <f t="shared" si="234"/>
        <v>120.00565615954791</v>
      </c>
      <c r="BY371" s="1459">
        <f t="shared" si="233"/>
        <v>89.537898896243007</v>
      </c>
      <c r="BZ371" s="1463">
        <f t="shared" si="234"/>
        <v>120.00565615954791</v>
      </c>
      <c r="CA371" s="1459">
        <f t="shared" si="233"/>
        <v>89.537898896243007</v>
      </c>
      <c r="CB371" s="1463">
        <f t="shared" si="234"/>
        <v>120.00565615954791</v>
      </c>
      <c r="CC371" s="1459">
        <f t="shared" si="233"/>
        <v>89.537898896243007</v>
      </c>
      <c r="CD371" s="1463">
        <f t="shared" si="234"/>
        <v>120.00565615954791</v>
      </c>
    </row>
    <row r="372" spans="1:87">
      <c r="A372" s="371"/>
      <c r="B372" s="59"/>
      <c r="C372" s="1380"/>
      <c r="D372" s="1465"/>
      <c r="E372" s="1480"/>
      <c r="F372" s="1481"/>
      <c r="G372" s="1480"/>
      <c r="H372" s="1481"/>
      <c r="I372" s="1480"/>
      <c r="J372" s="1481"/>
      <c r="K372" s="1480"/>
      <c r="L372" s="1481"/>
      <c r="M372" s="1480"/>
      <c r="N372" s="1481"/>
      <c r="O372" s="1480"/>
      <c r="P372" s="1481"/>
      <c r="Q372" s="1480"/>
      <c r="R372" s="1481"/>
      <c r="S372" s="1480"/>
      <c r="T372" s="1481"/>
      <c r="U372" s="1480"/>
      <c r="V372" s="1481"/>
      <c r="W372" s="1480"/>
      <c r="X372" s="1481"/>
      <c r="Y372" s="1480"/>
      <c r="Z372" s="1481"/>
      <c r="AA372" s="1480"/>
      <c r="AB372" s="1481"/>
      <c r="AC372" s="1480"/>
      <c r="AD372" s="1481"/>
      <c r="AE372" s="1480"/>
      <c r="AF372" s="1481"/>
      <c r="AG372" s="1480"/>
      <c r="AH372" s="1481"/>
      <c r="AI372" s="1480"/>
      <c r="AJ372" s="1481"/>
      <c r="AK372" s="1480"/>
      <c r="AL372" s="1481"/>
      <c r="AM372" s="1480"/>
      <c r="AN372" s="1481"/>
      <c r="AO372" s="1480"/>
      <c r="AP372" s="1481"/>
      <c r="AQ372" s="1480"/>
      <c r="AR372" s="1481"/>
      <c r="AS372" s="1480"/>
      <c r="AT372" s="1481"/>
      <c r="AU372" s="1480"/>
      <c r="AV372" s="1481"/>
      <c r="AW372" s="1480"/>
      <c r="AX372" s="1481"/>
      <c r="AY372" s="1480"/>
      <c r="AZ372" s="1481"/>
      <c r="BA372" s="1480"/>
      <c r="BB372" s="1481"/>
      <c r="BC372" s="1480"/>
      <c r="BD372" s="1481"/>
      <c r="BE372" s="1480"/>
      <c r="BF372" s="1481"/>
      <c r="BG372" s="1480"/>
      <c r="BH372" s="1481"/>
      <c r="BI372" s="1480"/>
      <c r="BJ372" s="1481"/>
      <c r="BK372" s="1480"/>
      <c r="BL372" s="1481"/>
      <c r="BM372" s="1480"/>
      <c r="BN372" s="1481"/>
      <c r="BO372" s="1480"/>
      <c r="BP372" s="1481"/>
      <c r="BQ372" s="1480"/>
      <c r="BR372" s="1481"/>
      <c r="BS372" s="1480"/>
      <c r="BT372" s="1481"/>
      <c r="BU372" s="1480"/>
      <c r="BV372" s="1481"/>
      <c r="BW372" s="1480"/>
      <c r="BX372" s="1481"/>
      <c r="BY372" s="1480"/>
      <c r="BZ372" s="1481"/>
      <c r="CA372" s="1480"/>
      <c r="CB372" s="1481"/>
      <c r="CC372" s="1480"/>
      <c r="CD372" s="1481"/>
    </row>
    <row r="373" spans="1:87" ht="15.75">
      <c r="A373" s="545" t="s">
        <v>1453</v>
      </c>
      <c r="B373" s="56"/>
      <c r="C373" s="1429">
        <f>-C365*C364^2/12</f>
        <v>-58.303269374999985</v>
      </c>
      <c r="D373" s="1430">
        <f>C365*C364^2/12</f>
        <v>58.303269374999985</v>
      </c>
      <c r="E373" s="1429">
        <f>-E365*E364^2/12</f>
        <v>-58.303269374999985</v>
      </c>
      <c r="F373" s="1430">
        <f>E365*E364^2/12</f>
        <v>58.303269374999985</v>
      </c>
      <c r="G373" s="1429">
        <f t="shared" ref="G373" si="235">-G365*G364^2/12</f>
        <v>-58.303269374999985</v>
      </c>
      <c r="H373" s="1430">
        <f t="shared" ref="H373" si="236">G365*G364^2/12</f>
        <v>58.303269374999985</v>
      </c>
      <c r="I373" s="1429">
        <f t="shared" ref="I373" si="237">-I365*I364^2/12</f>
        <v>-58.303269374999985</v>
      </c>
      <c r="J373" s="1430">
        <f t="shared" ref="J373" si="238">I365*I364^2/12</f>
        <v>58.303269374999985</v>
      </c>
      <c r="K373" s="1429">
        <f t="shared" ref="K373" si="239">-K365*K364^2/12</f>
        <v>-58.303269374999985</v>
      </c>
      <c r="L373" s="1430">
        <f t="shared" ref="L373" si="240">K365*K364^2/12</f>
        <v>58.303269374999985</v>
      </c>
      <c r="M373" s="1429">
        <f t="shared" ref="M373" si="241">-M365*M364^2/12</f>
        <v>-58.303269374999985</v>
      </c>
      <c r="N373" s="1430">
        <f t="shared" ref="N373" si="242">M365*M364^2/12</f>
        <v>58.303269374999985</v>
      </c>
      <c r="O373" s="1429">
        <f t="shared" ref="O373" si="243">-O365*O364^2/12</f>
        <v>-58.303269374999985</v>
      </c>
      <c r="P373" s="1430">
        <f t="shared" ref="P373" si="244">O365*O364^2/12</f>
        <v>58.303269374999985</v>
      </c>
      <c r="Q373" s="1429">
        <f t="shared" ref="Q373" si="245">-Q365*Q364^2/12</f>
        <v>-58.303269374999985</v>
      </c>
      <c r="R373" s="1430">
        <f t="shared" ref="R373" si="246">Q365*Q364^2/12</f>
        <v>58.303269374999985</v>
      </c>
      <c r="S373" s="1429">
        <f t="shared" ref="S373" si="247">-S365*S364^2/12</f>
        <v>-58.303269374999985</v>
      </c>
      <c r="T373" s="1430">
        <f t="shared" ref="T373" si="248">S365*S364^2/12</f>
        <v>58.303269374999985</v>
      </c>
      <c r="U373" s="1429">
        <f t="shared" ref="U373" si="249">-U365*U364^2/12</f>
        <v>-58.303269374999985</v>
      </c>
      <c r="V373" s="1430">
        <f t="shared" ref="V373" si="250">U365*U364^2/12</f>
        <v>58.303269374999985</v>
      </c>
      <c r="W373" s="1429">
        <f t="shared" ref="W373" si="251">-W365*W364^2/12</f>
        <v>-58.303269374999985</v>
      </c>
      <c r="X373" s="1430">
        <f t="shared" ref="X373" si="252">W365*W364^2/12</f>
        <v>58.303269374999985</v>
      </c>
      <c r="Y373" s="1429">
        <f t="shared" ref="Y373" si="253">-Y365*Y364^2/12</f>
        <v>-58.303269374999985</v>
      </c>
      <c r="Z373" s="1430">
        <f t="shared" ref="Z373" si="254">Y365*Y364^2/12</f>
        <v>58.303269374999985</v>
      </c>
      <c r="AA373" s="1429">
        <f t="shared" ref="AA373" si="255">-AA365*AA364^2/12</f>
        <v>-58.303269374999985</v>
      </c>
      <c r="AB373" s="1430">
        <f t="shared" ref="AB373" si="256">AA365*AA364^2/12</f>
        <v>58.303269374999985</v>
      </c>
      <c r="AC373" s="1429">
        <f t="shared" ref="AC373" si="257">-AC365*AC364^2/12</f>
        <v>-58.303269374999985</v>
      </c>
      <c r="AD373" s="1430">
        <f t="shared" ref="AD373" si="258">AC365*AC364^2/12</f>
        <v>58.303269374999985</v>
      </c>
      <c r="AE373" s="1429">
        <f t="shared" ref="AE373" si="259">-AE365*AE364^2/12</f>
        <v>-58.303269374999985</v>
      </c>
      <c r="AF373" s="1430">
        <f t="shared" ref="AF373" si="260">AE365*AE364^2/12</f>
        <v>58.303269374999985</v>
      </c>
      <c r="AG373" s="1429">
        <f t="shared" ref="AG373" si="261">-AG365*AG364^2/12</f>
        <v>-58.303269374999985</v>
      </c>
      <c r="AH373" s="1430">
        <f t="shared" ref="AH373" si="262">AG365*AG364^2/12</f>
        <v>58.303269374999985</v>
      </c>
      <c r="AI373" s="1429">
        <f t="shared" ref="AI373" si="263">-AI365*AI364^2/12</f>
        <v>-58.303269374999985</v>
      </c>
      <c r="AJ373" s="1430">
        <f t="shared" ref="AJ373" si="264">AI365*AI364^2/12</f>
        <v>58.303269374999985</v>
      </c>
      <c r="AK373" s="1429">
        <f t="shared" ref="AK373" si="265">-AK365*AK364^2/12</f>
        <v>-58.303269374999985</v>
      </c>
      <c r="AL373" s="1430">
        <f t="shared" ref="AL373" si="266">AK365*AK364^2/12</f>
        <v>58.303269374999985</v>
      </c>
      <c r="AM373" s="1429">
        <f t="shared" ref="AM373" si="267">-AM365*AM364^2/12</f>
        <v>-58.303269374999985</v>
      </c>
      <c r="AN373" s="1430">
        <f t="shared" ref="AN373" si="268">AM365*AM364^2/12</f>
        <v>58.303269374999985</v>
      </c>
      <c r="AO373" s="1429">
        <f t="shared" ref="AO373" si="269">-AO365*AO364^2/12</f>
        <v>-58.303269374999985</v>
      </c>
      <c r="AP373" s="1430">
        <f t="shared" ref="AP373" si="270">AO365*AO364^2/12</f>
        <v>58.303269374999985</v>
      </c>
      <c r="AQ373" s="1429">
        <f t="shared" ref="AQ373" si="271">-AQ365*AQ364^2/12</f>
        <v>-58.303269374999985</v>
      </c>
      <c r="AR373" s="1430">
        <f t="shared" ref="AR373" si="272">AQ365*AQ364^2/12</f>
        <v>58.303269374999985</v>
      </c>
      <c r="AS373" s="1429">
        <f t="shared" ref="AS373" si="273">-AS365*AS364^2/12</f>
        <v>-58.303269374999985</v>
      </c>
      <c r="AT373" s="1430">
        <f t="shared" ref="AT373" si="274">AS365*AS364^2/12</f>
        <v>58.303269374999985</v>
      </c>
      <c r="AU373" s="1429">
        <f t="shared" ref="AU373" si="275">-AU365*AU364^2/12</f>
        <v>-58.303269374999985</v>
      </c>
      <c r="AV373" s="1430">
        <f t="shared" ref="AV373" si="276">AU365*AU364^2/12</f>
        <v>58.303269374999985</v>
      </c>
      <c r="AW373" s="1429">
        <f t="shared" ref="AW373" si="277">-AW365*AW364^2/12</f>
        <v>-58.303269374999985</v>
      </c>
      <c r="AX373" s="1430">
        <f t="shared" ref="AX373" si="278">AW365*AW364^2/12</f>
        <v>58.303269374999985</v>
      </c>
      <c r="AY373" s="1429">
        <f t="shared" ref="AY373" si="279">-AY365*AY364^2/12</f>
        <v>-58.303269374999985</v>
      </c>
      <c r="AZ373" s="1430">
        <f t="shared" ref="AZ373" si="280">AY365*AY364^2/12</f>
        <v>58.303269374999985</v>
      </c>
      <c r="BA373" s="1429">
        <f t="shared" ref="BA373" si="281">-BA365*BA364^2/12</f>
        <v>-58.303269374999985</v>
      </c>
      <c r="BB373" s="1430">
        <f t="shared" ref="BB373" si="282">BA365*BA364^2/12</f>
        <v>58.303269374999985</v>
      </c>
      <c r="BC373" s="1429">
        <f t="shared" ref="BC373" si="283">-BC365*BC364^2/12</f>
        <v>-58.303269374999985</v>
      </c>
      <c r="BD373" s="1430">
        <f t="shared" ref="BD373" si="284">BC365*BC364^2/12</f>
        <v>58.303269374999985</v>
      </c>
      <c r="BE373" s="1429">
        <f t="shared" ref="BE373" si="285">-BE365*BE364^2/12</f>
        <v>-58.303269374999985</v>
      </c>
      <c r="BF373" s="1430">
        <f t="shared" ref="BF373" si="286">BE365*BE364^2/12</f>
        <v>58.303269374999985</v>
      </c>
      <c r="BG373" s="1429">
        <f t="shared" ref="BG373" si="287">-BG365*BG364^2/12</f>
        <v>-58.303269374999985</v>
      </c>
      <c r="BH373" s="1430">
        <f t="shared" ref="BH373" si="288">BG365*BG364^2/12</f>
        <v>58.303269374999985</v>
      </c>
      <c r="BI373" s="1429">
        <f t="shared" ref="BI373" si="289">-BI365*BI364^2/12</f>
        <v>-58.303269374999985</v>
      </c>
      <c r="BJ373" s="1430">
        <f t="shared" ref="BJ373" si="290">BI365*BI364^2/12</f>
        <v>58.303269374999985</v>
      </c>
      <c r="BK373" s="1429">
        <f t="shared" ref="BK373" si="291">-BK365*BK364^2/12</f>
        <v>-58.303269374999985</v>
      </c>
      <c r="BL373" s="1430">
        <f t="shared" ref="BL373" si="292">BK365*BK364^2/12</f>
        <v>58.303269374999985</v>
      </c>
      <c r="BM373" s="1429">
        <f t="shared" ref="BM373" si="293">-BM365*BM364^2/12</f>
        <v>-58.303269374999985</v>
      </c>
      <c r="BN373" s="1430">
        <f t="shared" ref="BN373" si="294">BM365*BM364^2/12</f>
        <v>58.303269374999985</v>
      </c>
      <c r="BO373" s="1429">
        <f t="shared" ref="BO373" si="295">-BO365*BO364^2/12</f>
        <v>-58.303269374999985</v>
      </c>
      <c r="BP373" s="1430">
        <f t="shared" ref="BP373" si="296">BO365*BO364^2/12</f>
        <v>58.303269374999985</v>
      </c>
      <c r="BQ373" s="1429">
        <f t="shared" ref="BQ373" si="297">-BQ365*BQ364^2/12</f>
        <v>-58.303269374999985</v>
      </c>
      <c r="BR373" s="1430">
        <f t="shared" ref="BR373" si="298">BQ365*BQ364^2/12</f>
        <v>58.303269374999985</v>
      </c>
      <c r="BS373" s="1429">
        <f t="shared" ref="BS373" si="299">-BS365*BS364^2/12</f>
        <v>-58.303269374999985</v>
      </c>
      <c r="BT373" s="1430">
        <f t="shared" ref="BT373" si="300">BS365*BS364^2/12</f>
        <v>58.303269374999985</v>
      </c>
      <c r="BU373" s="1429">
        <f t="shared" ref="BU373" si="301">-BU365*BU364^2/12</f>
        <v>-58.303269374999985</v>
      </c>
      <c r="BV373" s="1430">
        <f t="shared" ref="BV373" si="302">BU365*BU364^2/12</f>
        <v>58.303269374999985</v>
      </c>
      <c r="BW373" s="1429">
        <f t="shared" ref="BW373" si="303">-BW365*BW364^2/12</f>
        <v>-58.303269374999985</v>
      </c>
      <c r="BX373" s="1430">
        <f t="shared" ref="BX373" si="304">BW365*BW364^2/12</f>
        <v>58.303269374999985</v>
      </c>
      <c r="BY373" s="1429">
        <f t="shared" ref="BY373" si="305">-BY365*BY364^2/12</f>
        <v>-58.303269374999985</v>
      </c>
      <c r="BZ373" s="1430">
        <f t="shared" ref="BZ373" si="306">BY365*BY364^2/12</f>
        <v>58.303269374999985</v>
      </c>
      <c r="CA373" s="1429">
        <f t="shared" ref="CA373" si="307">-CA365*CA364^2/12</f>
        <v>-58.303269374999985</v>
      </c>
      <c r="CB373" s="1430">
        <f t="shared" ref="CB373" si="308">CA365*CA364^2/12</f>
        <v>58.303269374999985</v>
      </c>
      <c r="CC373" s="1429">
        <f t="shared" ref="CC373" si="309">-CC365*CC364^2/12</f>
        <v>-58.303269374999985</v>
      </c>
      <c r="CD373" s="1430">
        <f t="shared" ref="CD373" si="310">CC365*CC364^2/12</f>
        <v>58.303269374999985</v>
      </c>
    </row>
    <row r="374" spans="1:87" ht="15.75">
      <c r="A374" s="363" t="s">
        <v>1428</v>
      </c>
      <c r="B374" s="58"/>
      <c r="C374" s="1431">
        <f>-C366*C367*D367^2/C364^2</f>
        <v>0</v>
      </c>
      <c r="D374" s="1432">
        <f>C366*C367^2*D367/C364^2</f>
        <v>0</v>
      </c>
      <c r="E374" s="1431">
        <f t="shared" ref="E374" si="311">-E366*E367*F367^2/E364^2</f>
        <v>0</v>
      </c>
      <c r="F374" s="1432">
        <f t="shared" ref="F374" si="312">E366*E367^2*F367/E364^2</f>
        <v>0</v>
      </c>
      <c r="G374" s="1431">
        <f t="shared" ref="G374" si="313">-G366*G367*H367^2/G364^2</f>
        <v>0</v>
      </c>
      <c r="H374" s="1432">
        <f t="shared" ref="H374" si="314">G366*G367^2*H367/G364^2</f>
        <v>0</v>
      </c>
      <c r="I374" s="1431">
        <f t="shared" ref="I374" si="315">-I366*I367*J367^2/I364^2</f>
        <v>0</v>
      </c>
      <c r="J374" s="1432">
        <f t="shared" ref="J374" si="316">I366*I367^2*J367/I364^2</f>
        <v>0</v>
      </c>
      <c r="K374" s="1431">
        <f t="shared" ref="K374" si="317">-K366*K367*L367^2/K364^2</f>
        <v>0</v>
      </c>
      <c r="L374" s="1432">
        <f t="shared" ref="L374" si="318">K366*K367^2*L367/K364^2</f>
        <v>0</v>
      </c>
      <c r="M374" s="1431">
        <f t="shared" ref="M374" si="319">-M366*M367*N367^2/M364^2</f>
        <v>0</v>
      </c>
      <c r="N374" s="1432">
        <f t="shared" ref="N374" si="320">M366*M367^2*N367/M364^2</f>
        <v>0</v>
      </c>
      <c r="O374" s="1431">
        <f t="shared" ref="O374" si="321">-O366*O367*P367^2/O364^2</f>
        <v>0</v>
      </c>
      <c r="P374" s="1432">
        <f t="shared" ref="P374" si="322">O366*O367^2*P367/O364^2</f>
        <v>0</v>
      </c>
      <c r="Q374" s="1431">
        <f t="shared" ref="Q374" si="323">-Q366*Q367*R367^2/Q364^2</f>
        <v>0</v>
      </c>
      <c r="R374" s="1432">
        <f t="shared" ref="R374" si="324">Q366*Q367^2*R367/Q364^2</f>
        <v>0</v>
      </c>
      <c r="S374" s="1431">
        <f t="shared" ref="S374" si="325">-S366*S367*T367^2/S364^2</f>
        <v>0</v>
      </c>
      <c r="T374" s="1432">
        <f t="shared" ref="T374" si="326">S366*S367^2*T367/S364^2</f>
        <v>0</v>
      </c>
      <c r="U374" s="1431">
        <f t="shared" ref="U374" si="327">-U366*U367*V367^2/U364^2</f>
        <v>0</v>
      </c>
      <c r="V374" s="1432">
        <f t="shared" ref="V374" si="328">U366*U367^2*V367/U364^2</f>
        <v>0</v>
      </c>
      <c r="W374" s="1431">
        <f t="shared" ref="W374" si="329">-W366*W367*X367^2/W364^2</f>
        <v>0</v>
      </c>
      <c r="X374" s="1432">
        <f t="shared" ref="X374" si="330">W366*W367^2*X367/W364^2</f>
        <v>0</v>
      </c>
      <c r="Y374" s="1431">
        <f t="shared" ref="Y374" si="331">-Y366*Y367*Z367^2/Y364^2</f>
        <v>0</v>
      </c>
      <c r="Z374" s="1432">
        <f t="shared" ref="Z374" si="332">Y366*Y367^2*Z367/Y364^2</f>
        <v>0</v>
      </c>
      <c r="AA374" s="1431">
        <f t="shared" ref="AA374" si="333">-AA366*AA367*AB367^2/AA364^2</f>
        <v>0</v>
      </c>
      <c r="AB374" s="1432">
        <f t="shared" ref="AB374" si="334">AA366*AA367^2*AB367/AA364^2</f>
        <v>0</v>
      </c>
      <c r="AC374" s="1431">
        <f t="shared" ref="AC374" si="335">-AC366*AC367*AD367^2/AC364^2</f>
        <v>0</v>
      </c>
      <c r="AD374" s="1432">
        <f t="shared" ref="AD374" si="336">AC366*AC367^2*AD367/AC364^2</f>
        <v>0</v>
      </c>
      <c r="AE374" s="1431">
        <f t="shared" ref="AE374" si="337">-AE366*AE367*AF367^2/AE364^2</f>
        <v>0</v>
      </c>
      <c r="AF374" s="1432">
        <f t="shared" ref="AF374" si="338">AE366*AE367^2*AF367/AE364^2</f>
        <v>0</v>
      </c>
      <c r="AG374" s="1431">
        <f t="shared" ref="AG374" si="339">-AG366*AG367*AH367^2/AG364^2</f>
        <v>0</v>
      </c>
      <c r="AH374" s="1432">
        <f t="shared" ref="AH374" si="340">AG366*AG367^2*AH367/AG364^2</f>
        <v>0</v>
      </c>
      <c r="AI374" s="1431">
        <f t="shared" ref="AI374" si="341">-AI366*AI367*AJ367^2/AI364^2</f>
        <v>0</v>
      </c>
      <c r="AJ374" s="1432">
        <f t="shared" ref="AJ374" si="342">AI366*AI367^2*AJ367/AI364^2</f>
        <v>0</v>
      </c>
      <c r="AK374" s="1431">
        <f t="shared" ref="AK374" si="343">-AK366*AK367*AL367^2/AK364^2</f>
        <v>0</v>
      </c>
      <c r="AL374" s="1432">
        <f t="shared" ref="AL374" si="344">AK366*AK367^2*AL367/AK364^2</f>
        <v>0</v>
      </c>
      <c r="AM374" s="1431">
        <f t="shared" ref="AM374" si="345">-AM366*AM367*AN367^2/AM364^2</f>
        <v>0</v>
      </c>
      <c r="AN374" s="1432">
        <f t="shared" ref="AN374" si="346">AM366*AM367^2*AN367/AM364^2</f>
        <v>0</v>
      </c>
      <c r="AO374" s="1431">
        <f t="shared" ref="AO374" si="347">-AO366*AO367*AP367^2/AO364^2</f>
        <v>0</v>
      </c>
      <c r="AP374" s="1432">
        <f t="shared" ref="AP374" si="348">AO366*AO367^2*AP367/AO364^2</f>
        <v>0</v>
      </c>
      <c r="AQ374" s="1431">
        <f t="shared" ref="AQ374" si="349">-AQ366*AQ367*AR367^2/AQ364^2</f>
        <v>0</v>
      </c>
      <c r="AR374" s="1432">
        <f t="shared" ref="AR374" si="350">AQ366*AQ367^2*AR367/AQ364^2</f>
        <v>0</v>
      </c>
      <c r="AS374" s="1431">
        <f t="shared" ref="AS374" si="351">-AS366*AS367*AT367^2/AS364^2</f>
        <v>0</v>
      </c>
      <c r="AT374" s="1432">
        <f t="shared" ref="AT374" si="352">AS366*AS367^2*AT367/AS364^2</f>
        <v>0</v>
      </c>
      <c r="AU374" s="1431">
        <f t="shared" ref="AU374" si="353">-AU366*AU367*AV367^2/AU364^2</f>
        <v>0</v>
      </c>
      <c r="AV374" s="1432">
        <f t="shared" ref="AV374" si="354">AU366*AU367^2*AV367/AU364^2</f>
        <v>0</v>
      </c>
      <c r="AW374" s="1431">
        <f t="shared" ref="AW374" si="355">-AW366*AW367*AX367^2/AW364^2</f>
        <v>0</v>
      </c>
      <c r="AX374" s="1432">
        <f t="shared" ref="AX374" si="356">AW366*AW367^2*AX367/AW364^2</f>
        <v>0</v>
      </c>
      <c r="AY374" s="1431">
        <f t="shared" ref="AY374" si="357">-AY366*AY367*AZ367^2/AY364^2</f>
        <v>0</v>
      </c>
      <c r="AZ374" s="1432">
        <f t="shared" ref="AZ374" si="358">AY366*AY367^2*AZ367/AY364^2</f>
        <v>0</v>
      </c>
      <c r="BA374" s="1431">
        <f t="shared" ref="BA374" si="359">-BA366*BA367*BB367^2/BA364^2</f>
        <v>0</v>
      </c>
      <c r="BB374" s="1432">
        <f t="shared" ref="BB374" si="360">BA366*BA367^2*BB367/BA364^2</f>
        <v>0</v>
      </c>
      <c r="BC374" s="1431">
        <f t="shared" ref="BC374" si="361">-BC366*BC367*BD367^2/BC364^2</f>
        <v>0</v>
      </c>
      <c r="BD374" s="1432">
        <f t="shared" ref="BD374" si="362">BC366*BC367^2*BD367/BC364^2</f>
        <v>0</v>
      </c>
      <c r="BE374" s="1431">
        <f t="shared" ref="BE374" si="363">-BE366*BE367*BF367^2/BE364^2</f>
        <v>0</v>
      </c>
      <c r="BF374" s="1432">
        <f t="shared" ref="BF374" si="364">BE366*BE367^2*BF367/BE364^2</f>
        <v>0</v>
      </c>
      <c r="BG374" s="1431">
        <f t="shared" ref="BG374" si="365">-BG366*BG367*BH367^2/BG364^2</f>
        <v>0</v>
      </c>
      <c r="BH374" s="1432">
        <f t="shared" ref="BH374" si="366">BG366*BG367^2*BH367/BG364^2</f>
        <v>0</v>
      </c>
      <c r="BI374" s="1431">
        <f t="shared" ref="BI374" si="367">-BI366*BI367*BJ367^2/BI364^2</f>
        <v>0</v>
      </c>
      <c r="BJ374" s="1432">
        <f t="shared" ref="BJ374" si="368">BI366*BI367^2*BJ367/BI364^2</f>
        <v>0</v>
      </c>
      <c r="BK374" s="1431">
        <f t="shared" ref="BK374" si="369">-BK366*BK367*BL367^2/BK364^2</f>
        <v>0</v>
      </c>
      <c r="BL374" s="1432">
        <f t="shared" ref="BL374" si="370">BK366*BK367^2*BL367/BK364^2</f>
        <v>0</v>
      </c>
      <c r="BM374" s="1431">
        <f t="shared" ref="BM374" si="371">-BM366*BM367*BN367^2/BM364^2</f>
        <v>0</v>
      </c>
      <c r="BN374" s="1432">
        <f t="shared" ref="BN374" si="372">BM366*BM367^2*BN367/BM364^2</f>
        <v>0</v>
      </c>
      <c r="BO374" s="1431">
        <f t="shared" ref="BO374" si="373">-BO366*BO367*BP367^2/BO364^2</f>
        <v>0</v>
      </c>
      <c r="BP374" s="1432">
        <f t="shared" ref="BP374" si="374">BO366*BO367^2*BP367/BO364^2</f>
        <v>0</v>
      </c>
      <c r="BQ374" s="1431">
        <f t="shared" ref="BQ374" si="375">-BQ366*BQ367*BR367^2/BQ364^2</f>
        <v>0</v>
      </c>
      <c r="BR374" s="1432">
        <f t="shared" ref="BR374" si="376">BQ366*BQ367^2*BR367/BQ364^2</f>
        <v>0</v>
      </c>
      <c r="BS374" s="1431">
        <f t="shared" ref="BS374" si="377">-BS366*BS367*BT367^2/BS364^2</f>
        <v>0</v>
      </c>
      <c r="BT374" s="1432">
        <f t="shared" ref="BT374" si="378">BS366*BS367^2*BT367/BS364^2</f>
        <v>0</v>
      </c>
      <c r="BU374" s="1431">
        <f t="shared" ref="BU374" si="379">-BU366*BU367*BV367^2/BU364^2</f>
        <v>0</v>
      </c>
      <c r="BV374" s="1432">
        <f t="shared" ref="BV374" si="380">BU366*BU367^2*BV367/BU364^2</f>
        <v>0</v>
      </c>
      <c r="BW374" s="1431">
        <f t="shared" ref="BW374" si="381">-BW366*BW367*BX367^2/BW364^2</f>
        <v>0</v>
      </c>
      <c r="BX374" s="1432">
        <f t="shared" ref="BX374" si="382">BW366*BW367^2*BX367/BW364^2</f>
        <v>0</v>
      </c>
      <c r="BY374" s="1431">
        <f t="shared" ref="BY374" si="383">-BY366*BY367*BZ367^2/BY364^2</f>
        <v>0</v>
      </c>
      <c r="BZ374" s="1432">
        <f t="shared" ref="BZ374" si="384">BY366*BY367^2*BZ367/BY364^2</f>
        <v>0</v>
      </c>
      <c r="CA374" s="1431">
        <f t="shared" ref="CA374" si="385">-CA366*CA367*CB367^2/CA364^2</f>
        <v>0</v>
      </c>
      <c r="CB374" s="1432">
        <f t="shared" ref="CB374" si="386">CA366*CA367^2*CB367/CA364^2</f>
        <v>0</v>
      </c>
      <c r="CC374" s="1431">
        <f t="shared" ref="CC374" si="387">-CC366*CC367*CD367^2/CC364^2</f>
        <v>0</v>
      </c>
      <c r="CD374" s="1432">
        <f t="shared" ref="CD374" si="388">CC366*CC367^2*CD367/CC364^2</f>
        <v>0</v>
      </c>
    </row>
    <row r="375" spans="1:87" ht="15.75">
      <c r="A375" s="363" t="s">
        <v>1429</v>
      </c>
      <c r="B375" s="58"/>
      <c r="C375" s="1431">
        <f>-C368*C369*D369^2/C364^2</f>
        <v>0</v>
      </c>
      <c r="D375" s="1432">
        <f>C368*C369^2*D369/C364^2</f>
        <v>0</v>
      </c>
      <c r="E375" s="1431">
        <f t="shared" ref="E375" si="389">-E368*E369*F369^2/E364^2</f>
        <v>0</v>
      </c>
      <c r="F375" s="1432">
        <f t="shared" ref="F375" si="390">E368*E369^2*F369/E364^2</f>
        <v>0</v>
      </c>
      <c r="G375" s="1431">
        <f t="shared" ref="G375" si="391">-G368*G369*H369^2/G364^2</f>
        <v>0</v>
      </c>
      <c r="H375" s="1432">
        <f t="shared" ref="H375" si="392">G368*G369^2*H369/G364^2</f>
        <v>0</v>
      </c>
      <c r="I375" s="1431">
        <f t="shared" ref="I375" si="393">-I368*I369*J369^2/I364^2</f>
        <v>0</v>
      </c>
      <c r="J375" s="1432">
        <f t="shared" ref="J375" si="394">I368*I369^2*J369/I364^2</f>
        <v>0</v>
      </c>
      <c r="K375" s="1431">
        <f t="shared" ref="K375" si="395">-K368*K369*L369^2/K364^2</f>
        <v>0</v>
      </c>
      <c r="L375" s="1432">
        <f t="shared" ref="L375" si="396">K368*K369^2*L369/K364^2</f>
        <v>0</v>
      </c>
      <c r="M375" s="1431">
        <f t="shared" ref="M375" si="397">-M368*M369*N369^2/M364^2</f>
        <v>0</v>
      </c>
      <c r="N375" s="1432">
        <f t="shared" ref="N375" si="398">M368*M369^2*N369/M364^2</f>
        <v>0</v>
      </c>
      <c r="O375" s="1431">
        <f t="shared" ref="O375" si="399">-O368*O369*P369^2/O364^2</f>
        <v>0</v>
      </c>
      <c r="P375" s="1432">
        <f t="shared" ref="P375" si="400">O368*O369^2*P369/O364^2</f>
        <v>0</v>
      </c>
      <c r="Q375" s="1431">
        <f t="shared" ref="Q375" si="401">-Q368*Q369*R369^2/Q364^2</f>
        <v>0</v>
      </c>
      <c r="R375" s="1432">
        <f t="shared" ref="R375" si="402">Q368*Q369^2*R369/Q364^2</f>
        <v>0</v>
      </c>
      <c r="S375" s="1431">
        <f t="shared" ref="S375" si="403">-S368*S369*T369^2/S364^2</f>
        <v>0</v>
      </c>
      <c r="T375" s="1432">
        <f t="shared" ref="T375" si="404">S368*S369^2*T369/S364^2</f>
        <v>0</v>
      </c>
      <c r="U375" s="1431">
        <f t="shared" ref="U375" si="405">-U368*U369*V369^2/U364^2</f>
        <v>0</v>
      </c>
      <c r="V375" s="1432">
        <f t="shared" ref="V375" si="406">U368*U369^2*V369/U364^2</f>
        <v>0</v>
      </c>
      <c r="W375" s="1431">
        <f t="shared" ref="W375" si="407">-W368*W369*X369^2/W364^2</f>
        <v>0</v>
      </c>
      <c r="X375" s="1432">
        <f t="shared" ref="X375" si="408">W368*W369^2*X369/W364^2</f>
        <v>0</v>
      </c>
      <c r="Y375" s="1431">
        <f t="shared" ref="Y375" si="409">-Y368*Y369*Z369^2/Y364^2</f>
        <v>0</v>
      </c>
      <c r="Z375" s="1432">
        <f t="shared" ref="Z375" si="410">Y368*Y369^2*Z369/Y364^2</f>
        <v>0</v>
      </c>
      <c r="AA375" s="1431">
        <f t="shared" ref="AA375" si="411">-AA368*AA369*AB369^2/AA364^2</f>
        <v>0</v>
      </c>
      <c r="AB375" s="1432">
        <f t="shared" ref="AB375" si="412">AA368*AA369^2*AB369/AA364^2</f>
        <v>0</v>
      </c>
      <c r="AC375" s="1431">
        <f t="shared" ref="AC375" si="413">-AC368*AC369*AD369^2/AC364^2</f>
        <v>0</v>
      </c>
      <c r="AD375" s="1432">
        <f t="shared" ref="AD375" si="414">AC368*AC369^2*AD369/AC364^2</f>
        <v>0</v>
      </c>
      <c r="AE375" s="1431">
        <f t="shared" ref="AE375" si="415">-AE368*AE369*AF369^2/AE364^2</f>
        <v>0</v>
      </c>
      <c r="AF375" s="1432">
        <f t="shared" ref="AF375" si="416">AE368*AE369^2*AF369/AE364^2</f>
        <v>0</v>
      </c>
      <c r="AG375" s="1431">
        <f t="shared" ref="AG375" si="417">-AG368*AG369*AH369^2/AG364^2</f>
        <v>0</v>
      </c>
      <c r="AH375" s="1432">
        <f t="shared" ref="AH375" si="418">AG368*AG369^2*AH369/AG364^2</f>
        <v>0</v>
      </c>
      <c r="AI375" s="1431">
        <f t="shared" ref="AI375" si="419">-AI368*AI369*AJ369^2/AI364^2</f>
        <v>0</v>
      </c>
      <c r="AJ375" s="1432">
        <f t="shared" ref="AJ375" si="420">AI368*AI369^2*AJ369/AI364^2</f>
        <v>0</v>
      </c>
      <c r="AK375" s="1431">
        <f t="shared" ref="AK375" si="421">-AK368*AK369*AL369^2/AK364^2</f>
        <v>0</v>
      </c>
      <c r="AL375" s="1432">
        <f t="shared" ref="AL375" si="422">AK368*AK369^2*AL369/AK364^2</f>
        <v>0</v>
      </c>
      <c r="AM375" s="1431">
        <f t="shared" ref="AM375" si="423">-AM368*AM369*AN369^2/AM364^2</f>
        <v>0</v>
      </c>
      <c r="AN375" s="1432">
        <f t="shared" ref="AN375" si="424">AM368*AM369^2*AN369/AM364^2</f>
        <v>0</v>
      </c>
      <c r="AO375" s="1431">
        <f t="shared" ref="AO375" si="425">-AO368*AO369*AP369^2/AO364^2</f>
        <v>0</v>
      </c>
      <c r="AP375" s="1432">
        <f t="shared" ref="AP375" si="426">AO368*AO369^2*AP369/AO364^2</f>
        <v>0</v>
      </c>
      <c r="AQ375" s="1431">
        <f t="shared" ref="AQ375" si="427">-AQ368*AQ369*AR369^2/AQ364^2</f>
        <v>0</v>
      </c>
      <c r="AR375" s="1432">
        <f t="shared" ref="AR375" si="428">AQ368*AQ369^2*AR369/AQ364^2</f>
        <v>0</v>
      </c>
      <c r="AS375" s="1431">
        <f t="shared" ref="AS375" si="429">-AS368*AS369*AT369^2/AS364^2</f>
        <v>0</v>
      </c>
      <c r="AT375" s="1432">
        <f t="shared" ref="AT375" si="430">AS368*AS369^2*AT369/AS364^2</f>
        <v>0</v>
      </c>
      <c r="AU375" s="1431">
        <f t="shared" ref="AU375" si="431">-AU368*AU369*AV369^2/AU364^2</f>
        <v>0</v>
      </c>
      <c r="AV375" s="1432">
        <f t="shared" ref="AV375" si="432">AU368*AU369^2*AV369/AU364^2</f>
        <v>0</v>
      </c>
      <c r="AW375" s="1431">
        <f t="shared" ref="AW375" si="433">-AW368*AW369*AX369^2/AW364^2</f>
        <v>0</v>
      </c>
      <c r="AX375" s="1432">
        <f t="shared" ref="AX375" si="434">AW368*AW369^2*AX369/AW364^2</f>
        <v>0</v>
      </c>
      <c r="AY375" s="1431">
        <f t="shared" ref="AY375" si="435">-AY368*AY369*AZ369^2/AY364^2</f>
        <v>0</v>
      </c>
      <c r="AZ375" s="1432">
        <f t="shared" ref="AZ375" si="436">AY368*AY369^2*AZ369/AY364^2</f>
        <v>0</v>
      </c>
      <c r="BA375" s="1431">
        <f t="shared" ref="BA375" si="437">-BA368*BA369*BB369^2/BA364^2</f>
        <v>0</v>
      </c>
      <c r="BB375" s="1432">
        <f t="shared" ref="BB375" si="438">BA368*BA369^2*BB369/BA364^2</f>
        <v>0</v>
      </c>
      <c r="BC375" s="1431">
        <f t="shared" ref="BC375" si="439">-BC368*BC369*BD369^2/BC364^2</f>
        <v>0</v>
      </c>
      <c r="BD375" s="1432">
        <f t="shared" ref="BD375" si="440">BC368*BC369^2*BD369/BC364^2</f>
        <v>0</v>
      </c>
      <c r="BE375" s="1431">
        <f t="shared" ref="BE375" si="441">-BE368*BE369*BF369^2/BE364^2</f>
        <v>0</v>
      </c>
      <c r="BF375" s="1432">
        <f t="shared" ref="BF375" si="442">BE368*BE369^2*BF369/BE364^2</f>
        <v>0</v>
      </c>
      <c r="BG375" s="1431">
        <f t="shared" ref="BG375" si="443">-BG368*BG369*BH369^2/BG364^2</f>
        <v>0</v>
      </c>
      <c r="BH375" s="1432">
        <f t="shared" ref="BH375" si="444">BG368*BG369^2*BH369/BG364^2</f>
        <v>0</v>
      </c>
      <c r="BI375" s="1431">
        <f t="shared" ref="BI375" si="445">-BI368*BI369*BJ369^2/BI364^2</f>
        <v>0</v>
      </c>
      <c r="BJ375" s="1432">
        <f t="shared" ref="BJ375" si="446">BI368*BI369^2*BJ369/BI364^2</f>
        <v>0</v>
      </c>
      <c r="BK375" s="1431">
        <f t="shared" ref="BK375" si="447">-BK368*BK369*BL369^2/BK364^2</f>
        <v>0</v>
      </c>
      <c r="BL375" s="1432">
        <f t="shared" ref="BL375" si="448">BK368*BK369^2*BL369/BK364^2</f>
        <v>0</v>
      </c>
      <c r="BM375" s="1431">
        <f t="shared" ref="BM375" si="449">-BM368*BM369*BN369^2/BM364^2</f>
        <v>0</v>
      </c>
      <c r="BN375" s="1432">
        <f t="shared" ref="BN375" si="450">BM368*BM369^2*BN369/BM364^2</f>
        <v>0</v>
      </c>
      <c r="BO375" s="1431">
        <f t="shared" ref="BO375" si="451">-BO368*BO369*BP369^2/BO364^2</f>
        <v>0</v>
      </c>
      <c r="BP375" s="1432">
        <f t="shared" ref="BP375" si="452">BO368*BO369^2*BP369/BO364^2</f>
        <v>0</v>
      </c>
      <c r="BQ375" s="1431">
        <f t="shared" ref="BQ375" si="453">-BQ368*BQ369*BR369^2/BQ364^2</f>
        <v>0</v>
      </c>
      <c r="BR375" s="1432">
        <f t="shared" ref="BR375" si="454">BQ368*BQ369^2*BR369/BQ364^2</f>
        <v>0</v>
      </c>
      <c r="BS375" s="1431">
        <f t="shared" ref="BS375" si="455">-BS368*BS369*BT369^2/BS364^2</f>
        <v>0</v>
      </c>
      <c r="BT375" s="1432">
        <f t="shared" ref="BT375" si="456">BS368*BS369^2*BT369/BS364^2</f>
        <v>0</v>
      </c>
      <c r="BU375" s="1431">
        <f t="shared" ref="BU375" si="457">-BU368*BU369*BV369^2/BU364^2</f>
        <v>0</v>
      </c>
      <c r="BV375" s="1432">
        <f t="shared" ref="BV375" si="458">BU368*BU369^2*BV369/BU364^2</f>
        <v>0</v>
      </c>
      <c r="BW375" s="1431">
        <f t="shared" ref="BW375" si="459">-BW368*BW369*BX369^2/BW364^2</f>
        <v>0</v>
      </c>
      <c r="BX375" s="1432">
        <f t="shared" ref="BX375" si="460">BW368*BW369^2*BX369/BW364^2</f>
        <v>0</v>
      </c>
      <c r="BY375" s="1431">
        <f t="shared" ref="BY375" si="461">-BY368*BY369*BZ369^2/BY364^2</f>
        <v>0</v>
      </c>
      <c r="BZ375" s="1432">
        <f t="shared" ref="BZ375" si="462">BY368*BY369^2*BZ369/BY364^2</f>
        <v>0</v>
      </c>
      <c r="CA375" s="1431">
        <f t="shared" ref="CA375" si="463">-CA368*CA369*CB369^2/CA364^2</f>
        <v>0</v>
      </c>
      <c r="CB375" s="1432">
        <f t="shared" ref="CB375" si="464">CA368*CA369^2*CB369/CA364^2</f>
        <v>0</v>
      </c>
      <c r="CC375" s="1431">
        <f t="shared" ref="CC375" si="465">-CC368*CC369*CD369^2/CC364^2</f>
        <v>0</v>
      </c>
      <c r="CD375" s="1432">
        <f t="shared" ref="CD375" si="466">CC368*CC369^2*CD369/CC364^2</f>
        <v>0</v>
      </c>
    </row>
    <row r="376" spans="1:87" ht="15.75">
      <c r="A376" s="363" t="s">
        <v>1460</v>
      </c>
      <c r="B376" s="58"/>
      <c r="C376" s="1431">
        <f>C373+C374+C375</f>
        <v>-58.303269374999985</v>
      </c>
      <c r="D376" s="1432">
        <f>D373+D374+D375</f>
        <v>58.303269374999985</v>
      </c>
      <c r="E376" s="1431">
        <f t="shared" ref="E376:BP376" si="467">E373+E374+E375</f>
        <v>-58.303269374999985</v>
      </c>
      <c r="F376" s="1432">
        <f t="shared" si="467"/>
        <v>58.303269374999985</v>
      </c>
      <c r="G376" s="1431">
        <f t="shared" si="467"/>
        <v>-58.303269374999985</v>
      </c>
      <c r="H376" s="1432">
        <f t="shared" si="467"/>
        <v>58.303269374999985</v>
      </c>
      <c r="I376" s="1431">
        <f t="shared" si="467"/>
        <v>-58.303269374999985</v>
      </c>
      <c r="J376" s="1432">
        <f t="shared" si="467"/>
        <v>58.303269374999985</v>
      </c>
      <c r="K376" s="1431">
        <f t="shared" si="467"/>
        <v>-58.303269374999985</v>
      </c>
      <c r="L376" s="1432">
        <f t="shared" si="467"/>
        <v>58.303269374999985</v>
      </c>
      <c r="M376" s="1431">
        <f t="shared" si="467"/>
        <v>-58.303269374999985</v>
      </c>
      <c r="N376" s="1432">
        <f t="shared" si="467"/>
        <v>58.303269374999985</v>
      </c>
      <c r="O376" s="1431">
        <f t="shared" si="467"/>
        <v>-58.303269374999985</v>
      </c>
      <c r="P376" s="1432">
        <f t="shared" si="467"/>
        <v>58.303269374999985</v>
      </c>
      <c r="Q376" s="1431">
        <f t="shared" si="467"/>
        <v>-58.303269374999985</v>
      </c>
      <c r="R376" s="1432">
        <f t="shared" si="467"/>
        <v>58.303269374999985</v>
      </c>
      <c r="S376" s="1431">
        <f t="shared" si="467"/>
        <v>-58.303269374999985</v>
      </c>
      <c r="T376" s="1432">
        <f t="shared" si="467"/>
        <v>58.303269374999985</v>
      </c>
      <c r="U376" s="1431">
        <f t="shared" si="467"/>
        <v>-58.303269374999985</v>
      </c>
      <c r="V376" s="1432">
        <f t="shared" si="467"/>
        <v>58.303269374999985</v>
      </c>
      <c r="W376" s="1431">
        <f t="shared" si="467"/>
        <v>-58.303269374999985</v>
      </c>
      <c r="X376" s="1432">
        <f t="shared" si="467"/>
        <v>58.303269374999985</v>
      </c>
      <c r="Y376" s="1431">
        <f t="shared" si="467"/>
        <v>-58.303269374999985</v>
      </c>
      <c r="Z376" s="1432">
        <f t="shared" si="467"/>
        <v>58.303269374999985</v>
      </c>
      <c r="AA376" s="1431">
        <f t="shared" si="467"/>
        <v>-58.303269374999985</v>
      </c>
      <c r="AB376" s="1432">
        <f t="shared" si="467"/>
        <v>58.303269374999985</v>
      </c>
      <c r="AC376" s="1431">
        <f t="shared" si="467"/>
        <v>-58.303269374999985</v>
      </c>
      <c r="AD376" s="1432">
        <f t="shared" si="467"/>
        <v>58.303269374999985</v>
      </c>
      <c r="AE376" s="1431">
        <f t="shared" si="467"/>
        <v>-58.303269374999985</v>
      </c>
      <c r="AF376" s="1432">
        <f t="shared" si="467"/>
        <v>58.303269374999985</v>
      </c>
      <c r="AG376" s="1431">
        <f t="shared" si="467"/>
        <v>-58.303269374999985</v>
      </c>
      <c r="AH376" s="1432">
        <f t="shared" si="467"/>
        <v>58.303269374999985</v>
      </c>
      <c r="AI376" s="1431">
        <f t="shared" si="467"/>
        <v>-58.303269374999985</v>
      </c>
      <c r="AJ376" s="1432">
        <f t="shared" si="467"/>
        <v>58.303269374999985</v>
      </c>
      <c r="AK376" s="1431">
        <f t="shared" si="467"/>
        <v>-58.303269374999985</v>
      </c>
      <c r="AL376" s="1432">
        <f t="shared" si="467"/>
        <v>58.303269374999985</v>
      </c>
      <c r="AM376" s="1431">
        <f t="shared" si="467"/>
        <v>-58.303269374999985</v>
      </c>
      <c r="AN376" s="1432">
        <f t="shared" si="467"/>
        <v>58.303269374999985</v>
      </c>
      <c r="AO376" s="1431">
        <f t="shared" si="467"/>
        <v>-58.303269374999985</v>
      </c>
      <c r="AP376" s="1432">
        <f t="shared" si="467"/>
        <v>58.303269374999985</v>
      </c>
      <c r="AQ376" s="1431">
        <f t="shared" si="467"/>
        <v>-58.303269374999985</v>
      </c>
      <c r="AR376" s="1432">
        <f t="shared" si="467"/>
        <v>58.303269374999985</v>
      </c>
      <c r="AS376" s="1431">
        <f t="shared" si="467"/>
        <v>-58.303269374999985</v>
      </c>
      <c r="AT376" s="1432">
        <f t="shared" si="467"/>
        <v>58.303269374999985</v>
      </c>
      <c r="AU376" s="1431">
        <f t="shared" si="467"/>
        <v>-58.303269374999985</v>
      </c>
      <c r="AV376" s="1432">
        <f t="shared" si="467"/>
        <v>58.303269374999985</v>
      </c>
      <c r="AW376" s="1431">
        <f t="shared" si="467"/>
        <v>-58.303269374999985</v>
      </c>
      <c r="AX376" s="1432">
        <f t="shared" si="467"/>
        <v>58.303269374999985</v>
      </c>
      <c r="AY376" s="1431">
        <f t="shared" si="467"/>
        <v>-58.303269374999985</v>
      </c>
      <c r="AZ376" s="1432">
        <f t="shared" si="467"/>
        <v>58.303269374999985</v>
      </c>
      <c r="BA376" s="1431">
        <f t="shared" si="467"/>
        <v>-58.303269374999985</v>
      </c>
      <c r="BB376" s="1432">
        <f t="shared" si="467"/>
        <v>58.303269374999985</v>
      </c>
      <c r="BC376" s="1431">
        <f t="shared" si="467"/>
        <v>-58.303269374999985</v>
      </c>
      <c r="BD376" s="1432">
        <f t="shared" si="467"/>
        <v>58.303269374999985</v>
      </c>
      <c r="BE376" s="1431">
        <f t="shared" si="467"/>
        <v>-58.303269374999985</v>
      </c>
      <c r="BF376" s="1432">
        <f t="shared" si="467"/>
        <v>58.303269374999985</v>
      </c>
      <c r="BG376" s="1431">
        <f t="shared" si="467"/>
        <v>-58.303269374999985</v>
      </c>
      <c r="BH376" s="1432">
        <f t="shared" si="467"/>
        <v>58.303269374999985</v>
      </c>
      <c r="BI376" s="1431">
        <f t="shared" si="467"/>
        <v>-58.303269374999985</v>
      </c>
      <c r="BJ376" s="1432">
        <f t="shared" si="467"/>
        <v>58.303269374999985</v>
      </c>
      <c r="BK376" s="1431">
        <f t="shared" si="467"/>
        <v>-58.303269374999985</v>
      </c>
      <c r="BL376" s="1432">
        <f t="shared" si="467"/>
        <v>58.303269374999985</v>
      </c>
      <c r="BM376" s="1431">
        <f t="shared" si="467"/>
        <v>-58.303269374999985</v>
      </c>
      <c r="BN376" s="1432">
        <f t="shared" si="467"/>
        <v>58.303269374999985</v>
      </c>
      <c r="BO376" s="1431">
        <f t="shared" si="467"/>
        <v>-58.303269374999985</v>
      </c>
      <c r="BP376" s="1432">
        <f t="shared" si="467"/>
        <v>58.303269374999985</v>
      </c>
      <c r="BQ376" s="1431">
        <f t="shared" ref="BQ376:CD376" si="468">BQ373+BQ374+BQ375</f>
        <v>-58.303269374999985</v>
      </c>
      <c r="BR376" s="1432">
        <f t="shared" si="468"/>
        <v>58.303269374999985</v>
      </c>
      <c r="BS376" s="1431">
        <f t="shared" si="468"/>
        <v>-58.303269374999985</v>
      </c>
      <c r="BT376" s="1432">
        <f t="shared" si="468"/>
        <v>58.303269374999985</v>
      </c>
      <c r="BU376" s="1431">
        <f t="shared" si="468"/>
        <v>-58.303269374999985</v>
      </c>
      <c r="BV376" s="1432">
        <f t="shared" si="468"/>
        <v>58.303269374999985</v>
      </c>
      <c r="BW376" s="1431">
        <f t="shared" si="468"/>
        <v>-58.303269374999985</v>
      </c>
      <c r="BX376" s="1432">
        <f t="shared" si="468"/>
        <v>58.303269374999985</v>
      </c>
      <c r="BY376" s="1431">
        <f t="shared" si="468"/>
        <v>-58.303269374999985</v>
      </c>
      <c r="BZ376" s="1432">
        <f t="shared" si="468"/>
        <v>58.303269374999985</v>
      </c>
      <c r="CA376" s="1431">
        <f t="shared" si="468"/>
        <v>-58.303269374999985</v>
      </c>
      <c r="CB376" s="1432">
        <f t="shared" si="468"/>
        <v>58.303269374999985</v>
      </c>
      <c r="CC376" s="1431">
        <f t="shared" si="468"/>
        <v>-58.303269374999985</v>
      </c>
      <c r="CD376" s="1432">
        <f t="shared" si="468"/>
        <v>58.303269374999985</v>
      </c>
    </row>
    <row r="377" spans="1:87" ht="15.75">
      <c r="A377" s="363" t="s">
        <v>1454</v>
      </c>
      <c r="B377" s="58"/>
      <c r="C377" s="1459">
        <f>C370*C364^2/12</f>
        <v>64.317413303571414</v>
      </c>
      <c r="D377" s="1458">
        <f>-C370*C364^2/12</f>
        <v>-64.317413303571414</v>
      </c>
      <c r="E377" s="1459">
        <f t="shared" ref="E377:BO377" si="469">E370*E364^2/12</f>
        <v>64.317413303571414</v>
      </c>
      <c r="F377" s="1458">
        <f>-E370*E364^2/12</f>
        <v>-64.317413303571414</v>
      </c>
      <c r="G377" s="1459">
        <f t="shared" si="469"/>
        <v>64.317413303571414</v>
      </c>
      <c r="H377" s="1458">
        <f>-G370*G364^2/12</f>
        <v>-64.317413303571414</v>
      </c>
      <c r="I377" s="1459">
        <f t="shared" si="469"/>
        <v>64.317413303571414</v>
      </c>
      <c r="J377" s="1458">
        <f t="shared" ref="J377" si="470">-I370*I364^2/12</f>
        <v>-64.317413303571414</v>
      </c>
      <c r="K377" s="1459">
        <f t="shared" si="469"/>
        <v>64.317413303571414</v>
      </c>
      <c r="L377" s="1458">
        <f t="shared" ref="L377" si="471">-K370*K364^2/12</f>
        <v>-64.317413303571414</v>
      </c>
      <c r="M377" s="1459">
        <f t="shared" si="469"/>
        <v>64.317413303571414</v>
      </c>
      <c r="N377" s="1458">
        <f t="shared" ref="N377" si="472">-M370*M364^2/12</f>
        <v>-64.317413303571414</v>
      </c>
      <c r="O377" s="1459">
        <f t="shared" si="469"/>
        <v>64.317413303571414</v>
      </c>
      <c r="P377" s="1458">
        <f t="shared" ref="P377" si="473">-O370*O364^2/12</f>
        <v>-64.317413303571414</v>
      </c>
      <c r="Q377" s="1459">
        <f t="shared" si="469"/>
        <v>64.317413303571414</v>
      </c>
      <c r="R377" s="1458">
        <f t="shared" ref="R377" si="474">-Q370*Q364^2/12</f>
        <v>-64.317413303571414</v>
      </c>
      <c r="S377" s="1459">
        <f t="shared" si="469"/>
        <v>64.317413303571414</v>
      </c>
      <c r="T377" s="1458">
        <f t="shared" ref="T377" si="475">-S370*S364^2/12</f>
        <v>-64.317413303571414</v>
      </c>
      <c r="U377" s="1459">
        <f t="shared" si="469"/>
        <v>64.317413303571414</v>
      </c>
      <c r="V377" s="1458">
        <f t="shared" ref="V377" si="476">-U370*U364^2/12</f>
        <v>-64.317413303571414</v>
      </c>
      <c r="W377" s="1459">
        <f t="shared" si="469"/>
        <v>64.317413303571414</v>
      </c>
      <c r="X377" s="1458">
        <f t="shared" ref="X377" si="477">-W370*W364^2/12</f>
        <v>-64.317413303571414</v>
      </c>
      <c r="Y377" s="1459">
        <f t="shared" si="469"/>
        <v>64.317413303571414</v>
      </c>
      <c r="Z377" s="1458">
        <f t="shared" ref="Z377" si="478">-Y370*Y364^2/12</f>
        <v>-64.317413303571414</v>
      </c>
      <c r="AA377" s="1459">
        <f t="shared" si="469"/>
        <v>64.317413303571414</v>
      </c>
      <c r="AB377" s="1458">
        <f t="shared" ref="AB377" si="479">-AA370*AA364^2/12</f>
        <v>-64.317413303571414</v>
      </c>
      <c r="AC377" s="1459">
        <f t="shared" si="469"/>
        <v>64.317413303571414</v>
      </c>
      <c r="AD377" s="1458">
        <f t="shared" ref="AD377" si="480">-AC370*AC364^2/12</f>
        <v>-64.317413303571414</v>
      </c>
      <c r="AE377" s="1459">
        <f t="shared" si="469"/>
        <v>64.317413303571414</v>
      </c>
      <c r="AF377" s="1458">
        <f t="shared" ref="AF377" si="481">-AE370*AE364^2/12</f>
        <v>-64.317413303571414</v>
      </c>
      <c r="AG377" s="1459">
        <f t="shared" si="469"/>
        <v>64.317413303571414</v>
      </c>
      <c r="AH377" s="1458">
        <f t="shared" ref="AH377" si="482">-AG370*AG364^2/12</f>
        <v>-64.317413303571414</v>
      </c>
      <c r="AI377" s="1459">
        <f t="shared" si="469"/>
        <v>64.317413303571414</v>
      </c>
      <c r="AJ377" s="1458">
        <f t="shared" ref="AJ377" si="483">-AI370*AI364^2/12</f>
        <v>-64.317413303571414</v>
      </c>
      <c r="AK377" s="1459">
        <f t="shared" si="469"/>
        <v>64.317413303571414</v>
      </c>
      <c r="AL377" s="1458">
        <f t="shared" ref="AL377" si="484">-AK370*AK364^2/12</f>
        <v>-64.317413303571414</v>
      </c>
      <c r="AM377" s="1459">
        <f t="shared" si="469"/>
        <v>64.317413303571414</v>
      </c>
      <c r="AN377" s="1458">
        <f t="shared" ref="AN377" si="485">-AM370*AM364^2/12</f>
        <v>-64.317413303571414</v>
      </c>
      <c r="AO377" s="1459">
        <f t="shared" si="469"/>
        <v>64.317413303571414</v>
      </c>
      <c r="AP377" s="1458">
        <f t="shared" ref="AP377" si="486">-AO370*AO364^2/12</f>
        <v>-64.317413303571414</v>
      </c>
      <c r="AQ377" s="1459">
        <f t="shared" si="469"/>
        <v>64.317413303571414</v>
      </c>
      <c r="AR377" s="1458">
        <f t="shared" ref="AR377" si="487">-AQ370*AQ364^2/12</f>
        <v>-64.317413303571414</v>
      </c>
      <c r="AS377" s="1459">
        <f t="shared" si="469"/>
        <v>64.317413303571414</v>
      </c>
      <c r="AT377" s="1458">
        <f t="shared" ref="AT377" si="488">-AS370*AS364^2/12</f>
        <v>-64.317413303571414</v>
      </c>
      <c r="AU377" s="1459">
        <f t="shared" si="469"/>
        <v>64.317413303571414</v>
      </c>
      <c r="AV377" s="1458">
        <f t="shared" ref="AV377" si="489">-AU370*AU364^2/12</f>
        <v>-64.317413303571414</v>
      </c>
      <c r="AW377" s="1459">
        <f t="shared" si="469"/>
        <v>64.317413303571414</v>
      </c>
      <c r="AX377" s="1458">
        <f t="shared" ref="AX377" si="490">-AW370*AW364^2/12</f>
        <v>-64.317413303571414</v>
      </c>
      <c r="AY377" s="1459">
        <f t="shared" si="469"/>
        <v>64.317413303571414</v>
      </c>
      <c r="AZ377" s="1458">
        <f t="shared" ref="AZ377" si="491">-AY370*AY364^2/12</f>
        <v>-64.317413303571414</v>
      </c>
      <c r="BA377" s="1459">
        <f t="shared" si="469"/>
        <v>64.317413303571414</v>
      </c>
      <c r="BB377" s="1458">
        <f t="shared" ref="BB377" si="492">-BA370*BA364^2/12</f>
        <v>-64.317413303571414</v>
      </c>
      <c r="BC377" s="1459">
        <f t="shared" si="469"/>
        <v>64.317413303571414</v>
      </c>
      <c r="BD377" s="1458">
        <f t="shared" ref="BD377" si="493">-BC370*BC364^2/12</f>
        <v>-64.317413303571414</v>
      </c>
      <c r="BE377" s="1459">
        <f t="shared" si="469"/>
        <v>64.317413303571414</v>
      </c>
      <c r="BF377" s="1458">
        <f t="shared" ref="BF377" si="494">-BE370*BE364^2/12</f>
        <v>-64.317413303571414</v>
      </c>
      <c r="BG377" s="1459">
        <f t="shared" si="469"/>
        <v>64.317413303571414</v>
      </c>
      <c r="BH377" s="1458">
        <f t="shared" ref="BH377" si="495">-BG370*BG364^2/12</f>
        <v>-64.317413303571414</v>
      </c>
      <c r="BI377" s="1459">
        <f t="shared" si="469"/>
        <v>64.317413303571414</v>
      </c>
      <c r="BJ377" s="1458">
        <f t="shared" ref="BJ377" si="496">-BI370*BI364^2/12</f>
        <v>-64.317413303571414</v>
      </c>
      <c r="BK377" s="1459">
        <f t="shared" si="469"/>
        <v>64.317413303571414</v>
      </c>
      <c r="BL377" s="1458">
        <f t="shared" ref="BL377" si="497">-BK370*BK364^2/12</f>
        <v>-64.317413303571414</v>
      </c>
      <c r="BM377" s="1459">
        <f t="shared" si="469"/>
        <v>64.317413303571414</v>
      </c>
      <c r="BN377" s="1458">
        <f t="shared" ref="BN377" si="498">-BM370*BM364^2/12</f>
        <v>-64.317413303571414</v>
      </c>
      <c r="BO377" s="1459">
        <f t="shared" si="469"/>
        <v>64.317413303571414</v>
      </c>
      <c r="BP377" s="1458">
        <f t="shared" ref="BP377" si="499">-BO370*BO364^2/12</f>
        <v>-64.317413303571414</v>
      </c>
      <c r="BQ377" s="1459">
        <f t="shared" ref="BQ377:CC377" si="500">BQ370*BQ364^2/12</f>
        <v>64.317413303571414</v>
      </c>
      <c r="BR377" s="1458">
        <f t="shared" ref="BR377" si="501">-BQ370*BQ364^2/12</f>
        <v>-64.317413303571414</v>
      </c>
      <c r="BS377" s="1459">
        <f t="shared" si="500"/>
        <v>64.317413303571414</v>
      </c>
      <c r="BT377" s="1458">
        <f t="shared" ref="BT377" si="502">-BS370*BS364^2/12</f>
        <v>-64.317413303571414</v>
      </c>
      <c r="BU377" s="1459">
        <f t="shared" si="500"/>
        <v>64.317413303571414</v>
      </c>
      <c r="BV377" s="1458">
        <f t="shared" ref="BV377" si="503">-BU370*BU364^2/12</f>
        <v>-64.317413303571414</v>
      </c>
      <c r="BW377" s="1459">
        <f t="shared" si="500"/>
        <v>64.317413303571414</v>
      </c>
      <c r="BX377" s="1458">
        <f t="shared" ref="BX377" si="504">-BW370*BW364^2/12</f>
        <v>-64.317413303571414</v>
      </c>
      <c r="BY377" s="1459">
        <f t="shared" si="500"/>
        <v>64.317413303571414</v>
      </c>
      <c r="BZ377" s="1458">
        <f t="shared" ref="BZ377" si="505">-BY370*BY364^2/12</f>
        <v>-64.317413303571414</v>
      </c>
      <c r="CA377" s="1459">
        <f t="shared" si="500"/>
        <v>64.317413303571414</v>
      </c>
      <c r="CB377" s="1458">
        <f t="shared" ref="CB377" si="506">-CA370*CA364^2/12</f>
        <v>-64.317413303571414</v>
      </c>
      <c r="CC377" s="1459">
        <f t="shared" si="500"/>
        <v>64.317413303571414</v>
      </c>
      <c r="CD377" s="1458">
        <f t="shared" ref="CD377" si="507">-CC370*CC364^2/12</f>
        <v>-64.317413303571414</v>
      </c>
    </row>
    <row r="378" spans="1:87">
      <c r="A378" s="421" t="s">
        <v>1447</v>
      </c>
      <c r="B378" s="366" t="s">
        <v>1449</v>
      </c>
      <c r="C378" s="1459">
        <f>C371*$D$344^2/12</f>
        <v>44.78760317705823</v>
      </c>
      <c r="D378" s="1458">
        <f>-C371*$D$344^2/12</f>
        <v>-44.78760317705823</v>
      </c>
      <c r="E378" s="1459">
        <f>E371*$D$344^2/12</f>
        <v>44.78760317705823</v>
      </c>
      <c r="F378" s="1458">
        <f>-E371*$D$344^2/12</f>
        <v>-44.78760317705823</v>
      </c>
      <c r="G378" s="1459">
        <f>G371*$D$344^2/12</f>
        <v>44.78760317705823</v>
      </c>
      <c r="H378" s="1458">
        <f>-G371*$D$344^2/12</f>
        <v>-44.78760317705823</v>
      </c>
      <c r="I378" s="1459">
        <f t="shared" ref="I378" si="508">I371*$D$344^2/12</f>
        <v>44.78760317705823</v>
      </c>
      <c r="J378" s="1458">
        <f t="shared" ref="J378" si="509">-I371*$D$344^2/12</f>
        <v>-44.78760317705823</v>
      </c>
      <c r="K378" s="1459">
        <f t="shared" ref="K378" si="510">K371*$D$344^2/12</f>
        <v>44.78760317705823</v>
      </c>
      <c r="L378" s="1458">
        <f t="shared" ref="L378" si="511">-K371*$D$344^2/12</f>
        <v>-44.78760317705823</v>
      </c>
      <c r="M378" s="1459">
        <f t="shared" ref="M378" si="512">M371*$D$344^2/12</f>
        <v>44.78760317705823</v>
      </c>
      <c r="N378" s="1458">
        <f t="shared" ref="N378" si="513">-M371*$D$344^2/12</f>
        <v>-44.78760317705823</v>
      </c>
      <c r="O378" s="1459">
        <f t="shared" ref="O378" si="514">O371*$D$344^2/12</f>
        <v>44.78760317705823</v>
      </c>
      <c r="P378" s="1458">
        <f t="shared" ref="P378" si="515">-O371*$D$344^2/12</f>
        <v>-44.78760317705823</v>
      </c>
      <c r="Q378" s="1459">
        <f t="shared" ref="Q378" si="516">Q371*$D$344^2/12</f>
        <v>44.78760317705823</v>
      </c>
      <c r="R378" s="1458">
        <f t="shared" ref="R378" si="517">-Q371*$D$344^2/12</f>
        <v>-44.78760317705823</v>
      </c>
      <c r="S378" s="1459">
        <f t="shared" ref="S378" si="518">S371*$D$344^2/12</f>
        <v>44.78760317705823</v>
      </c>
      <c r="T378" s="1458">
        <f t="shared" ref="T378" si="519">-S371*$D$344^2/12</f>
        <v>-44.78760317705823</v>
      </c>
      <c r="U378" s="1459">
        <f t="shared" ref="U378" si="520">U371*$D$344^2/12</f>
        <v>44.78760317705823</v>
      </c>
      <c r="V378" s="1458">
        <f t="shared" ref="V378" si="521">-U371*$D$344^2/12</f>
        <v>-44.78760317705823</v>
      </c>
      <c r="W378" s="1459">
        <f t="shared" ref="W378" si="522">W371*$D$344^2/12</f>
        <v>44.78760317705823</v>
      </c>
      <c r="X378" s="1458">
        <f t="shared" ref="X378" si="523">-W371*$D$344^2/12</f>
        <v>-44.78760317705823</v>
      </c>
      <c r="Y378" s="1459">
        <f t="shared" ref="Y378" si="524">Y371*$D$344^2/12</f>
        <v>44.78760317705823</v>
      </c>
      <c r="Z378" s="1458">
        <f t="shared" ref="Z378" si="525">-Y371*$D$344^2/12</f>
        <v>-44.78760317705823</v>
      </c>
      <c r="AA378" s="1459">
        <f t="shared" ref="AA378" si="526">AA371*$D$344^2/12</f>
        <v>44.78760317705823</v>
      </c>
      <c r="AB378" s="1458">
        <f t="shared" ref="AB378" si="527">-AA371*$D$344^2/12</f>
        <v>-44.78760317705823</v>
      </c>
      <c r="AC378" s="1459">
        <f t="shared" ref="AC378" si="528">AC371*$D$344^2/12</f>
        <v>44.78760317705823</v>
      </c>
      <c r="AD378" s="1458">
        <f t="shared" ref="AD378" si="529">-AC371*$D$344^2/12</f>
        <v>-44.78760317705823</v>
      </c>
      <c r="AE378" s="1459">
        <f t="shared" ref="AE378" si="530">AE371*$D$344^2/12</f>
        <v>44.78760317705823</v>
      </c>
      <c r="AF378" s="1458">
        <f t="shared" ref="AF378" si="531">-AE371*$D$344^2/12</f>
        <v>-44.78760317705823</v>
      </c>
      <c r="AG378" s="1459">
        <f t="shared" ref="AG378" si="532">AG371*$D$344^2/12</f>
        <v>44.78760317705823</v>
      </c>
      <c r="AH378" s="1458">
        <f t="shared" ref="AH378" si="533">-AG371*$D$344^2/12</f>
        <v>-44.78760317705823</v>
      </c>
      <c r="AI378" s="1459">
        <f t="shared" ref="AI378" si="534">AI371*$D$344^2/12</f>
        <v>44.78760317705823</v>
      </c>
      <c r="AJ378" s="1458">
        <f t="shared" ref="AJ378" si="535">-AI371*$D$344^2/12</f>
        <v>-44.78760317705823</v>
      </c>
      <c r="AK378" s="1459">
        <f t="shared" ref="AK378" si="536">AK371*$D$344^2/12</f>
        <v>44.78760317705823</v>
      </c>
      <c r="AL378" s="1458">
        <f t="shared" ref="AL378" si="537">-AK371*$D$344^2/12</f>
        <v>-44.78760317705823</v>
      </c>
      <c r="AM378" s="1459">
        <f t="shared" ref="AM378" si="538">AM371*$D$344^2/12</f>
        <v>44.78760317705823</v>
      </c>
      <c r="AN378" s="1458">
        <f t="shared" ref="AN378" si="539">-AM371*$D$344^2/12</f>
        <v>-44.78760317705823</v>
      </c>
      <c r="AO378" s="1459">
        <f t="shared" ref="AO378" si="540">AO371*$D$344^2/12</f>
        <v>44.78760317705823</v>
      </c>
      <c r="AP378" s="1458">
        <f t="shared" ref="AP378" si="541">-AO371*$D$344^2/12</f>
        <v>-44.78760317705823</v>
      </c>
      <c r="AQ378" s="1459">
        <f t="shared" ref="AQ378" si="542">AQ371*$D$344^2/12</f>
        <v>44.78760317705823</v>
      </c>
      <c r="AR378" s="1458">
        <f t="shared" ref="AR378" si="543">-AQ371*$D$344^2/12</f>
        <v>-44.78760317705823</v>
      </c>
      <c r="AS378" s="1459">
        <f t="shared" ref="AS378" si="544">AS371*$D$344^2/12</f>
        <v>44.78760317705823</v>
      </c>
      <c r="AT378" s="1458">
        <f t="shared" ref="AT378" si="545">-AS371*$D$344^2/12</f>
        <v>-44.78760317705823</v>
      </c>
      <c r="AU378" s="1459">
        <f t="shared" ref="AU378" si="546">AU371*$D$344^2/12</f>
        <v>44.78760317705823</v>
      </c>
      <c r="AV378" s="1458">
        <f t="shared" ref="AV378" si="547">-AU371*$D$344^2/12</f>
        <v>-44.78760317705823</v>
      </c>
      <c r="AW378" s="1459">
        <f t="shared" ref="AW378" si="548">AW371*$D$344^2/12</f>
        <v>44.78760317705823</v>
      </c>
      <c r="AX378" s="1458">
        <f t="shared" ref="AX378" si="549">-AW371*$D$344^2/12</f>
        <v>-44.78760317705823</v>
      </c>
      <c r="AY378" s="1459">
        <f t="shared" ref="AY378" si="550">AY371*$D$344^2/12</f>
        <v>44.78760317705823</v>
      </c>
      <c r="AZ378" s="1458">
        <f t="shared" ref="AZ378" si="551">-AY371*$D$344^2/12</f>
        <v>-44.78760317705823</v>
      </c>
      <c r="BA378" s="1459">
        <f t="shared" ref="BA378" si="552">BA371*$D$344^2/12</f>
        <v>44.78760317705823</v>
      </c>
      <c r="BB378" s="1458">
        <f t="shared" ref="BB378" si="553">-BA371*$D$344^2/12</f>
        <v>-44.78760317705823</v>
      </c>
      <c r="BC378" s="1459">
        <f t="shared" ref="BC378" si="554">BC371*$D$344^2/12</f>
        <v>44.78760317705823</v>
      </c>
      <c r="BD378" s="1458">
        <f t="shared" ref="BD378" si="555">-BC371*$D$344^2/12</f>
        <v>-44.78760317705823</v>
      </c>
      <c r="BE378" s="1459">
        <f t="shared" ref="BE378" si="556">BE371*$D$344^2/12</f>
        <v>44.78760317705823</v>
      </c>
      <c r="BF378" s="1458">
        <f t="shared" ref="BF378" si="557">-BE371*$D$344^2/12</f>
        <v>-44.78760317705823</v>
      </c>
      <c r="BG378" s="1459">
        <f t="shared" ref="BG378" si="558">BG371*$D$344^2/12</f>
        <v>44.78760317705823</v>
      </c>
      <c r="BH378" s="1458">
        <f t="shared" ref="BH378" si="559">-BG371*$D$344^2/12</f>
        <v>-44.78760317705823</v>
      </c>
      <c r="BI378" s="1459">
        <f t="shared" ref="BI378" si="560">BI371*$D$344^2/12</f>
        <v>44.78760317705823</v>
      </c>
      <c r="BJ378" s="1458">
        <f t="shared" ref="BJ378" si="561">-BI371*$D$344^2/12</f>
        <v>-44.78760317705823</v>
      </c>
      <c r="BK378" s="1459">
        <f t="shared" ref="BK378" si="562">BK371*$D$344^2/12</f>
        <v>44.78760317705823</v>
      </c>
      <c r="BL378" s="1458">
        <f t="shared" ref="BL378" si="563">-BK371*$D$344^2/12</f>
        <v>-44.78760317705823</v>
      </c>
      <c r="BM378" s="1459">
        <f t="shared" ref="BM378" si="564">BM371*$D$344^2/12</f>
        <v>44.78760317705823</v>
      </c>
      <c r="BN378" s="1458">
        <f t="shared" ref="BN378" si="565">-BM371*$D$344^2/12</f>
        <v>-44.78760317705823</v>
      </c>
      <c r="BO378" s="1459">
        <f t="shared" ref="BO378" si="566">BO371*$D$344^2/12</f>
        <v>44.78760317705823</v>
      </c>
      <c r="BP378" s="1458">
        <f t="shared" ref="BP378" si="567">-BO371*$D$344^2/12</f>
        <v>-44.78760317705823</v>
      </c>
      <c r="BQ378" s="1459">
        <f t="shared" ref="BQ378" si="568">BQ371*$D$344^2/12</f>
        <v>44.78760317705823</v>
      </c>
      <c r="BR378" s="1458">
        <f t="shared" ref="BR378" si="569">-BQ371*$D$344^2/12</f>
        <v>-44.78760317705823</v>
      </c>
      <c r="BS378" s="1459">
        <f t="shared" ref="BS378" si="570">BS371*$D$344^2/12</f>
        <v>44.78760317705823</v>
      </c>
      <c r="BT378" s="1458">
        <f t="shared" ref="BT378" si="571">-BS371*$D$344^2/12</f>
        <v>-44.78760317705823</v>
      </c>
      <c r="BU378" s="1459">
        <f t="shared" ref="BU378" si="572">BU371*$D$344^2/12</f>
        <v>44.78760317705823</v>
      </c>
      <c r="BV378" s="1458">
        <f t="shared" ref="BV378" si="573">-BU371*$D$344^2/12</f>
        <v>-44.78760317705823</v>
      </c>
      <c r="BW378" s="1459">
        <f t="shared" ref="BW378" si="574">BW371*$D$344^2/12</f>
        <v>44.78760317705823</v>
      </c>
      <c r="BX378" s="1458">
        <f t="shared" ref="BX378" si="575">-BW371*$D$344^2/12</f>
        <v>-44.78760317705823</v>
      </c>
      <c r="BY378" s="1459">
        <f t="shared" ref="BY378" si="576">BY371*$D$344^2/12</f>
        <v>44.78760317705823</v>
      </c>
      <c r="BZ378" s="1458">
        <f t="shared" ref="BZ378" si="577">-BY371*$D$344^2/12</f>
        <v>-44.78760317705823</v>
      </c>
      <c r="CA378" s="1459">
        <f t="shared" ref="CA378" si="578">CA371*$D$344^2/12</f>
        <v>44.78760317705823</v>
      </c>
      <c r="CB378" s="1458">
        <f t="shared" ref="CB378" si="579">-CA371*$D$344^2/12</f>
        <v>-44.78760317705823</v>
      </c>
      <c r="CC378" s="1459">
        <f t="shared" ref="CC378" si="580">CC371*$D$344^2/12</f>
        <v>44.78760317705823</v>
      </c>
      <c r="CD378" s="1458">
        <f t="shared" ref="CD378" si="581">-CC371*$D$344^2/12</f>
        <v>-44.78760317705823</v>
      </c>
    </row>
    <row r="379" spans="1:87">
      <c r="A379" s="421" t="s">
        <v>1448</v>
      </c>
      <c r="B379" s="366" t="s">
        <v>1449</v>
      </c>
      <c r="C379" s="1459">
        <f>(D371-C371)*$D$344^2/30</f>
        <v>6.0960904324329244</v>
      </c>
      <c r="D379" s="1458">
        <f>-(D371-C371)*$D$344^2/20</f>
        <v>-9.1441356486493852</v>
      </c>
      <c r="E379" s="1459">
        <f>(F371-E371)*$D$344^2/30</f>
        <v>6.0960904324329244</v>
      </c>
      <c r="F379" s="1458">
        <f>-(F371-E371)*$D$344^2/20</f>
        <v>-9.1441356486493852</v>
      </c>
      <c r="G379" s="1459">
        <f>(H371-G371)*$D$344^2/30</f>
        <v>6.0960904324329244</v>
      </c>
      <c r="H379" s="1458">
        <f>-(H371-G371)*$D$344^2/20</f>
        <v>-9.1441356486493852</v>
      </c>
      <c r="I379" s="1459">
        <f t="shared" ref="I379" si="582">(J371-I371)*$D$344^2/30</f>
        <v>6.0960904324329244</v>
      </c>
      <c r="J379" s="1458">
        <f t="shared" ref="J379" si="583">-(J371-I371)*$D$344^2/20</f>
        <v>-9.1441356486493852</v>
      </c>
      <c r="K379" s="1459">
        <f t="shared" ref="K379" si="584">(L371-K371)*$D$344^2/30</f>
        <v>6.0960904324329244</v>
      </c>
      <c r="L379" s="1458">
        <f t="shared" ref="L379" si="585">-(L371-K371)*$D$344^2/20</f>
        <v>-9.1441356486493852</v>
      </c>
      <c r="M379" s="1459">
        <f t="shared" ref="M379" si="586">(N371-M371)*$D$344^2/30</f>
        <v>6.0960904324329244</v>
      </c>
      <c r="N379" s="1458">
        <f t="shared" ref="N379" si="587">-(N371-M371)*$D$344^2/20</f>
        <v>-9.1441356486493852</v>
      </c>
      <c r="O379" s="1459">
        <f t="shared" ref="O379" si="588">(P371-O371)*$D$344^2/30</f>
        <v>6.0960904324329244</v>
      </c>
      <c r="P379" s="1458">
        <f t="shared" ref="P379" si="589">-(P371-O371)*$D$344^2/20</f>
        <v>-9.1441356486493852</v>
      </c>
      <c r="Q379" s="1459">
        <f t="shared" ref="Q379" si="590">(R371-Q371)*$D$344^2/30</f>
        <v>6.0960904324329244</v>
      </c>
      <c r="R379" s="1458">
        <f t="shared" ref="R379" si="591">-(R371-Q371)*$D$344^2/20</f>
        <v>-9.1441356486493852</v>
      </c>
      <c r="S379" s="1459">
        <f t="shared" ref="S379" si="592">(T371-S371)*$D$344^2/30</f>
        <v>6.0960904324329244</v>
      </c>
      <c r="T379" s="1458">
        <f t="shared" ref="T379" si="593">-(T371-S371)*$D$344^2/20</f>
        <v>-9.1441356486493852</v>
      </c>
      <c r="U379" s="1459">
        <f t="shared" ref="U379" si="594">(V371-U371)*$D$344^2/30</f>
        <v>6.0960904324329244</v>
      </c>
      <c r="V379" s="1458">
        <f t="shared" ref="V379" si="595">-(V371-U371)*$D$344^2/20</f>
        <v>-9.1441356486493852</v>
      </c>
      <c r="W379" s="1459">
        <f t="shared" ref="W379" si="596">(X371-W371)*$D$344^2/30</f>
        <v>6.0960904324329244</v>
      </c>
      <c r="X379" s="1458">
        <f t="shared" ref="X379" si="597">-(X371-W371)*$D$344^2/20</f>
        <v>-9.1441356486493852</v>
      </c>
      <c r="Y379" s="1459">
        <f t="shared" ref="Y379" si="598">(Z371-Y371)*$D$344^2/30</f>
        <v>6.0960904324329244</v>
      </c>
      <c r="Z379" s="1458">
        <f t="shared" ref="Z379" si="599">-(Z371-Y371)*$D$344^2/20</f>
        <v>-9.1441356486493852</v>
      </c>
      <c r="AA379" s="1459">
        <f t="shared" ref="AA379" si="600">(AB371-AA371)*$D$344^2/30</f>
        <v>6.0960904324329244</v>
      </c>
      <c r="AB379" s="1458">
        <f t="shared" ref="AB379" si="601">-(AB371-AA371)*$D$344^2/20</f>
        <v>-9.1441356486493852</v>
      </c>
      <c r="AC379" s="1459">
        <f t="shared" ref="AC379" si="602">(AD371-AC371)*$D$344^2/30</f>
        <v>6.0960904324329244</v>
      </c>
      <c r="AD379" s="1458">
        <f t="shared" ref="AD379" si="603">-(AD371-AC371)*$D$344^2/20</f>
        <v>-9.1441356486493852</v>
      </c>
      <c r="AE379" s="1459">
        <f t="shared" ref="AE379" si="604">(AF371-AE371)*$D$344^2/30</f>
        <v>6.0960904324329244</v>
      </c>
      <c r="AF379" s="1458">
        <f t="shared" ref="AF379" si="605">-(AF371-AE371)*$D$344^2/20</f>
        <v>-9.1441356486493852</v>
      </c>
      <c r="AG379" s="1459">
        <f t="shared" ref="AG379" si="606">(AH371-AG371)*$D$344^2/30</f>
        <v>6.0960904324329244</v>
      </c>
      <c r="AH379" s="1458">
        <f t="shared" ref="AH379" si="607">-(AH371-AG371)*$D$344^2/20</f>
        <v>-9.1441356486493852</v>
      </c>
      <c r="AI379" s="1459">
        <f t="shared" ref="AI379" si="608">(AJ371-AI371)*$D$344^2/30</f>
        <v>6.0960904324329244</v>
      </c>
      <c r="AJ379" s="1458">
        <f t="shared" ref="AJ379" si="609">-(AJ371-AI371)*$D$344^2/20</f>
        <v>-9.1441356486493852</v>
      </c>
      <c r="AK379" s="1459">
        <f t="shared" ref="AK379" si="610">(AL371-AK371)*$D$344^2/30</f>
        <v>6.0960904324329244</v>
      </c>
      <c r="AL379" s="1458">
        <f t="shared" ref="AL379" si="611">-(AL371-AK371)*$D$344^2/20</f>
        <v>-9.1441356486493852</v>
      </c>
      <c r="AM379" s="1459">
        <f t="shared" ref="AM379" si="612">(AN371-AM371)*$D$344^2/30</f>
        <v>6.0960904324329244</v>
      </c>
      <c r="AN379" s="1458">
        <f t="shared" ref="AN379" si="613">-(AN371-AM371)*$D$344^2/20</f>
        <v>-9.1441356486493852</v>
      </c>
      <c r="AO379" s="1459">
        <f t="shared" ref="AO379" si="614">(AP371-AO371)*$D$344^2/30</f>
        <v>6.0960904324329244</v>
      </c>
      <c r="AP379" s="1458">
        <f t="shared" ref="AP379" si="615">-(AP371-AO371)*$D$344^2/20</f>
        <v>-9.1441356486493852</v>
      </c>
      <c r="AQ379" s="1459">
        <f t="shared" ref="AQ379" si="616">(AR371-AQ371)*$D$344^2/30</f>
        <v>6.0960904324329244</v>
      </c>
      <c r="AR379" s="1458">
        <f t="shared" ref="AR379" si="617">-(AR371-AQ371)*$D$344^2/20</f>
        <v>-9.1441356486493852</v>
      </c>
      <c r="AS379" s="1459">
        <f t="shared" ref="AS379" si="618">(AT371-AS371)*$D$344^2/30</f>
        <v>6.0960904324329244</v>
      </c>
      <c r="AT379" s="1458">
        <f t="shared" ref="AT379" si="619">-(AT371-AS371)*$D$344^2/20</f>
        <v>-9.1441356486493852</v>
      </c>
      <c r="AU379" s="1459">
        <f t="shared" ref="AU379" si="620">(AV371-AU371)*$D$344^2/30</f>
        <v>6.0960904324329244</v>
      </c>
      <c r="AV379" s="1458">
        <f t="shared" ref="AV379" si="621">-(AV371-AU371)*$D$344^2/20</f>
        <v>-9.1441356486493852</v>
      </c>
      <c r="AW379" s="1459">
        <f t="shared" ref="AW379" si="622">(AX371-AW371)*$D$344^2/30</f>
        <v>6.0960904324329244</v>
      </c>
      <c r="AX379" s="1458">
        <f t="shared" ref="AX379" si="623">-(AX371-AW371)*$D$344^2/20</f>
        <v>-9.1441356486493852</v>
      </c>
      <c r="AY379" s="1459">
        <f t="shared" ref="AY379" si="624">(AZ371-AY371)*$D$344^2/30</f>
        <v>6.0960904324329244</v>
      </c>
      <c r="AZ379" s="1458">
        <f t="shared" ref="AZ379" si="625">-(AZ371-AY371)*$D$344^2/20</f>
        <v>-9.1441356486493852</v>
      </c>
      <c r="BA379" s="1459">
        <f t="shared" ref="BA379" si="626">(BB371-BA371)*$D$344^2/30</f>
        <v>6.0960904324329244</v>
      </c>
      <c r="BB379" s="1458">
        <f t="shared" ref="BB379" si="627">-(BB371-BA371)*$D$344^2/20</f>
        <v>-9.1441356486493852</v>
      </c>
      <c r="BC379" s="1459">
        <f t="shared" ref="BC379" si="628">(BD371-BC371)*$D$344^2/30</f>
        <v>6.0960904324329244</v>
      </c>
      <c r="BD379" s="1458">
        <f t="shared" ref="BD379" si="629">-(BD371-BC371)*$D$344^2/20</f>
        <v>-9.1441356486493852</v>
      </c>
      <c r="BE379" s="1459">
        <f t="shared" ref="BE379" si="630">(BF371-BE371)*$D$344^2/30</f>
        <v>6.0960904324329244</v>
      </c>
      <c r="BF379" s="1458">
        <f t="shared" ref="BF379" si="631">-(BF371-BE371)*$D$344^2/20</f>
        <v>-9.1441356486493852</v>
      </c>
      <c r="BG379" s="1459">
        <f t="shared" ref="BG379" si="632">(BH371-BG371)*$D$344^2/30</f>
        <v>6.0960904324329244</v>
      </c>
      <c r="BH379" s="1458">
        <f t="shared" ref="BH379" si="633">-(BH371-BG371)*$D$344^2/20</f>
        <v>-9.1441356486493852</v>
      </c>
      <c r="BI379" s="1459">
        <f t="shared" ref="BI379" si="634">(BJ371-BI371)*$D$344^2/30</f>
        <v>6.0960904324329244</v>
      </c>
      <c r="BJ379" s="1458">
        <f t="shared" ref="BJ379" si="635">-(BJ371-BI371)*$D$344^2/20</f>
        <v>-9.1441356486493852</v>
      </c>
      <c r="BK379" s="1459">
        <f t="shared" ref="BK379" si="636">(BL371-BK371)*$D$344^2/30</f>
        <v>6.0960904324329244</v>
      </c>
      <c r="BL379" s="1458">
        <f t="shared" ref="BL379" si="637">-(BL371-BK371)*$D$344^2/20</f>
        <v>-9.1441356486493852</v>
      </c>
      <c r="BM379" s="1459">
        <f t="shared" ref="BM379" si="638">(BN371-BM371)*$D$344^2/30</f>
        <v>6.0960904324329244</v>
      </c>
      <c r="BN379" s="1458">
        <f t="shared" ref="BN379" si="639">-(BN371-BM371)*$D$344^2/20</f>
        <v>-9.1441356486493852</v>
      </c>
      <c r="BO379" s="1459">
        <f t="shared" ref="BO379" si="640">(BP371-BO371)*$D$344^2/30</f>
        <v>6.0960904324329244</v>
      </c>
      <c r="BP379" s="1458">
        <f t="shared" ref="BP379" si="641">-(BP371-BO371)*$D$344^2/20</f>
        <v>-9.1441356486493852</v>
      </c>
      <c r="BQ379" s="1459">
        <f t="shared" ref="BQ379" si="642">(BR371-BQ371)*$D$344^2/30</f>
        <v>6.0960904324329244</v>
      </c>
      <c r="BR379" s="1458">
        <f t="shared" ref="BR379" si="643">-(BR371-BQ371)*$D$344^2/20</f>
        <v>-9.1441356486493852</v>
      </c>
      <c r="BS379" s="1459">
        <f t="shared" ref="BS379" si="644">(BT371-BS371)*$D$344^2/30</f>
        <v>6.0960904324329244</v>
      </c>
      <c r="BT379" s="1458">
        <f t="shared" ref="BT379" si="645">-(BT371-BS371)*$D$344^2/20</f>
        <v>-9.1441356486493852</v>
      </c>
      <c r="BU379" s="1459">
        <f t="shared" ref="BU379" si="646">(BV371-BU371)*$D$344^2/30</f>
        <v>6.0960904324329244</v>
      </c>
      <c r="BV379" s="1458">
        <f t="shared" ref="BV379" si="647">-(BV371-BU371)*$D$344^2/20</f>
        <v>-9.1441356486493852</v>
      </c>
      <c r="BW379" s="1459">
        <f t="shared" ref="BW379" si="648">(BX371-BW371)*$D$344^2/30</f>
        <v>6.0960904324329244</v>
      </c>
      <c r="BX379" s="1458">
        <f t="shared" ref="BX379" si="649">-(BX371-BW371)*$D$344^2/20</f>
        <v>-9.1441356486493852</v>
      </c>
      <c r="BY379" s="1459">
        <f t="shared" ref="BY379" si="650">(BZ371-BY371)*$D$344^2/30</f>
        <v>6.0960904324329244</v>
      </c>
      <c r="BZ379" s="1458">
        <f t="shared" ref="BZ379" si="651">-(BZ371-BY371)*$D$344^2/20</f>
        <v>-9.1441356486493852</v>
      </c>
      <c r="CA379" s="1459">
        <f t="shared" ref="CA379" si="652">(CB371-CA371)*$D$344^2/30</f>
        <v>6.0960904324329244</v>
      </c>
      <c r="CB379" s="1458">
        <f t="shared" ref="CB379" si="653">-(CB371-CA371)*$D$344^2/20</f>
        <v>-9.1441356486493852</v>
      </c>
      <c r="CC379" s="1459">
        <f t="shared" ref="CC379" si="654">(CD371-CC371)*$D$344^2/30</f>
        <v>6.0960904324329244</v>
      </c>
      <c r="CD379" s="1458">
        <f t="shared" ref="CD379" si="655">-(CD371-CC371)*$D$344^2/20</f>
        <v>-9.1441356486493852</v>
      </c>
    </row>
    <row r="380" spans="1:87" ht="15.75">
      <c r="A380" s="369" t="s">
        <v>1450</v>
      </c>
      <c r="B380" s="366" t="s">
        <v>1464</v>
      </c>
      <c r="C380" s="1459">
        <f>C378+C379</f>
        <v>50.883693609491154</v>
      </c>
      <c r="D380" s="1458" t="str">
        <f>IF($D$341=C363,-C380,"")</f>
        <v/>
      </c>
      <c r="E380" s="1459"/>
      <c r="F380" s="1458">
        <f>IF($D$341=E363,-$C$380,"")</f>
        <v>-50.883693609491154</v>
      </c>
      <c r="G380" s="1459"/>
      <c r="H380" s="1458" t="str">
        <f t="shared" ref="H380" si="656">IF($D$341=G363,-$C$380,"")</f>
        <v/>
      </c>
      <c r="I380" s="1459"/>
      <c r="J380" s="1458" t="str">
        <f t="shared" ref="J380" si="657">IF($D$341=I363,-$C$380,"")</f>
        <v/>
      </c>
      <c r="K380" s="1459"/>
      <c r="L380" s="1458" t="str">
        <f t="shared" ref="L380" si="658">IF($D$341=K363,-$C$380,"")</f>
        <v/>
      </c>
      <c r="M380" s="1459"/>
      <c r="N380" s="1458" t="str">
        <f t="shared" ref="N380" si="659">IF($D$341=M363,-$C$380,"")</f>
        <v/>
      </c>
      <c r="O380" s="1459"/>
      <c r="P380" s="1458" t="str">
        <f t="shared" ref="P380" si="660">IF($D$341=O363,-$C$380,"")</f>
        <v/>
      </c>
      <c r="Q380" s="1459"/>
      <c r="R380" s="1458" t="str">
        <f t="shared" ref="R380" si="661">IF($D$341=Q363,-$C$380,"")</f>
        <v/>
      </c>
      <c r="S380" s="1459"/>
      <c r="T380" s="1458" t="str">
        <f t="shared" ref="T380" si="662">IF($D$341=S363,-$C$380,"")</f>
        <v/>
      </c>
      <c r="U380" s="1459"/>
      <c r="V380" s="1458" t="str">
        <f t="shared" ref="V380" si="663">IF($D$341=U363,-$C$380,"")</f>
        <v/>
      </c>
      <c r="W380" s="1459"/>
      <c r="X380" s="1458" t="str">
        <f t="shared" ref="X380" si="664">IF($D$341=W363,-$C$380,"")</f>
        <v/>
      </c>
      <c r="Y380" s="1459"/>
      <c r="Z380" s="1458" t="str">
        <f t="shared" ref="Z380" si="665">IF($D$341=Y363,-$C$380,"")</f>
        <v/>
      </c>
      <c r="AA380" s="1459"/>
      <c r="AB380" s="1458" t="str">
        <f t="shared" ref="AB380" si="666">IF($D$341=AA363,-$C$380,"")</f>
        <v/>
      </c>
      <c r="AC380" s="1459"/>
      <c r="AD380" s="1458" t="str">
        <f t="shared" ref="AD380" si="667">IF($D$341=AC363,-$C$380,"")</f>
        <v/>
      </c>
      <c r="AE380" s="1459"/>
      <c r="AF380" s="1458" t="str">
        <f t="shared" ref="AF380" si="668">IF($D$341=AE363,-$C$380,"")</f>
        <v/>
      </c>
      <c r="AG380" s="1459"/>
      <c r="AH380" s="1458" t="str">
        <f t="shared" ref="AH380" si="669">IF($D$341=AG363,-$C$380,"")</f>
        <v/>
      </c>
      <c r="AI380" s="1459"/>
      <c r="AJ380" s="1458" t="str">
        <f t="shared" ref="AJ380" si="670">IF($D$341=AI363,-$C$380,"")</f>
        <v/>
      </c>
      <c r="AK380" s="1459"/>
      <c r="AL380" s="1458" t="str">
        <f t="shared" ref="AL380" si="671">IF($D$341=AK363,-$C$380,"")</f>
        <v/>
      </c>
      <c r="AM380" s="1459"/>
      <c r="AN380" s="1458" t="str">
        <f t="shared" ref="AN380" si="672">IF($D$341=AM363,-$C$380,"")</f>
        <v/>
      </c>
      <c r="AO380" s="1459"/>
      <c r="AP380" s="1458" t="str">
        <f t="shared" ref="AP380" si="673">IF($D$341=AO363,-$C$380,"")</f>
        <v/>
      </c>
      <c r="AQ380" s="1459"/>
      <c r="AR380" s="1458" t="str">
        <f t="shared" ref="AR380" si="674">IF($D$341=AQ363,-$C$380,"")</f>
        <v/>
      </c>
      <c r="AS380" s="1459"/>
      <c r="AT380" s="1458" t="str">
        <f t="shared" ref="AT380" si="675">IF($D$341=AS363,-$C$380,"")</f>
        <v/>
      </c>
      <c r="AU380" s="1459"/>
      <c r="AV380" s="1458" t="str">
        <f t="shared" ref="AV380" si="676">IF($D$341=AU363,-$C$380,"")</f>
        <v/>
      </c>
      <c r="AW380" s="1459"/>
      <c r="AX380" s="1458" t="str">
        <f t="shared" ref="AX380" si="677">IF($D$341=AW363,-$C$380,"")</f>
        <v/>
      </c>
      <c r="AY380" s="1459"/>
      <c r="AZ380" s="1458" t="str">
        <f t="shared" ref="AZ380" si="678">IF($D$341=AY363,-$C$380,"")</f>
        <v/>
      </c>
      <c r="BA380" s="1459"/>
      <c r="BB380" s="1458" t="str">
        <f t="shared" ref="BB380" si="679">IF($D$341=BA363,-$C$380,"")</f>
        <v/>
      </c>
      <c r="BC380" s="1459"/>
      <c r="BD380" s="1458" t="str">
        <f t="shared" ref="BD380" si="680">IF($D$341=BC363,-$C$380,"")</f>
        <v/>
      </c>
      <c r="BE380" s="1459"/>
      <c r="BF380" s="1458" t="str">
        <f t="shared" ref="BF380" si="681">IF($D$341=BE363,-$C$380,"")</f>
        <v/>
      </c>
      <c r="BG380" s="1459"/>
      <c r="BH380" s="1458" t="str">
        <f t="shared" ref="BH380" si="682">IF($D$341=BG363,-$C$380,"")</f>
        <v/>
      </c>
      <c r="BI380" s="1459"/>
      <c r="BJ380" s="1458" t="str">
        <f t="shared" ref="BJ380" si="683">IF($D$341=BI363,-$C$380,"")</f>
        <v/>
      </c>
      <c r="BK380" s="1459"/>
      <c r="BL380" s="1458" t="str">
        <f t="shared" ref="BL380" si="684">IF($D$341=BK363,-$C$380,"")</f>
        <v/>
      </c>
      <c r="BM380" s="1459"/>
      <c r="BN380" s="1458" t="str">
        <f t="shared" ref="BN380" si="685">IF($D$341=BM363,-$C$380,"")</f>
        <v/>
      </c>
      <c r="BO380" s="1459"/>
      <c r="BP380" s="1458" t="str">
        <f t="shared" ref="BP380" si="686">IF($D$341=BO363,-$C$380,"")</f>
        <v/>
      </c>
      <c r="BQ380" s="1459"/>
      <c r="BR380" s="1458" t="str">
        <f t="shared" ref="BR380" si="687">IF($D$341=BQ363,-$C$380,"")</f>
        <v/>
      </c>
      <c r="BS380" s="1459"/>
      <c r="BT380" s="1458" t="str">
        <f t="shared" ref="BT380" si="688">IF($D$341=BS363,-$C$380,"")</f>
        <v/>
      </c>
      <c r="BU380" s="1459"/>
      <c r="BV380" s="1458" t="str">
        <f t="shared" ref="BV380" si="689">IF($D$341=BU363,-$C$380,"")</f>
        <v/>
      </c>
      <c r="BW380" s="1459"/>
      <c r="BX380" s="1458" t="str">
        <f t="shared" ref="BX380" si="690">IF($D$341=BW363,-$C$380,"")</f>
        <v/>
      </c>
      <c r="BY380" s="1459"/>
      <c r="BZ380" s="1458" t="str">
        <f t="shared" ref="BZ380" si="691">IF($D$341=BY363,-$C$380,"")</f>
        <v/>
      </c>
      <c r="CA380" s="1459"/>
      <c r="CB380" s="1458" t="str">
        <f t="shared" ref="CB380" si="692">IF($D$341=CA363,-$C$380,"")</f>
        <v/>
      </c>
      <c r="CC380" s="1459"/>
      <c r="CD380" s="1458" t="str">
        <f t="shared" ref="CD380" si="693">IF($D$341=CC363,-$C$380,"")</f>
        <v/>
      </c>
    </row>
    <row r="381" spans="1:87">
      <c r="A381" s="1419"/>
      <c r="B381" s="60" t="s">
        <v>1465</v>
      </c>
      <c r="C381" s="1467">
        <f>D378+D379</f>
        <v>-53.931738825707612</v>
      </c>
      <c r="D381" s="60" t="str">
        <f>IF($D$341=C363,-C381,"")</f>
        <v/>
      </c>
      <c r="E381" s="1467"/>
      <c r="F381" s="60">
        <f>IF($D$341=E363,-$C$381,"")</f>
        <v>53.931738825707612</v>
      </c>
      <c r="G381" s="1467"/>
      <c r="H381" s="60" t="str">
        <f t="shared" ref="H381" si="694">IF($D$341=G363,-$C$381,"")</f>
        <v/>
      </c>
      <c r="I381" s="1467"/>
      <c r="J381" s="60" t="str">
        <f t="shared" ref="J381" si="695">IF($D$341=I363,-$C$381,"")</f>
        <v/>
      </c>
      <c r="K381" s="1467"/>
      <c r="L381" s="60" t="str">
        <f t="shared" ref="L381" si="696">IF($D$341=K363,-$C$381,"")</f>
        <v/>
      </c>
      <c r="M381" s="1467"/>
      <c r="N381" s="60" t="str">
        <f t="shared" ref="N381" si="697">IF($D$341=M363,-$C$381,"")</f>
        <v/>
      </c>
      <c r="O381" s="1467"/>
      <c r="P381" s="60" t="str">
        <f t="shared" ref="P381" si="698">IF($D$341=O363,-$C$381,"")</f>
        <v/>
      </c>
      <c r="Q381" s="1467"/>
      <c r="R381" s="60" t="str">
        <f t="shared" ref="R381" si="699">IF($D$341=Q363,-$C$381,"")</f>
        <v/>
      </c>
      <c r="S381" s="1467"/>
      <c r="T381" s="60" t="str">
        <f t="shared" ref="T381" si="700">IF($D$341=S363,-$C$381,"")</f>
        <v/>
      </c>
      <c r="U381" s="1467"/>
      <c r="V381" s="60" t="str">
        <f t="shared" ref="V381" si="701">IF($D$341=U363,-$C$381,"")</f>
        <v/>
      </c>
      <c r="W381" s="1467"/>
      <c r="X381" s="60" t="str">
        <f t="shared" ref="X381" si="702">IF($D$341=W363,-$C$381,"")</f>
        <v/>
      </c>
      <c r="Y381" s="1467"/>
      <c r="Z381" s="60" t="str">
        <f t="shared" ref="Z381" si="703">IF($D$341=Y363,-$C$381,"")</f>
        <v/>
      </c>
      <c r="AA381" s="1467"/>
      <c r="AB381" s="60" t="str">
        <f t="shared" ref="AB381" si="704">IF($D$341=AA363,-$C$381,"")</f>
        <v/>
      </c>
      <c r="AC381" s="1467"/>
      <c r="AD381" s="60" t="str">
        <f t="shared" ref="AD381" si="705">IF($D$341=AC363,-$C$381,"")</f>
        <v/>
      </c>
      <c r="AE381" s="1467"/>
      <c r="AF381" s="60" t="str">
        <f t="shared" ref="AF381" si="706">IF($D$341=AE363,-$C$381,"")</f>
        <v/>
      </c>
      <c r="AG381" s="1467"/>
      <c r="AH381" s="60" t="str">
        <f t="shared" ref="AH381" si="707">IF($D$341=AG363,-$C$381,"")</f>
        <v/>
      </c>
      <c r="AI381" s="1467"/>
      <c r="AJ381" s="60" t="str">
        <f t="shared" ref="AJ381" si="708">IF($D$341=AI363,-$C$381,"")</f>
        <v/>
      </c>
      <c r="AK381" s="1467"/>
      <c r="AL381" s="60" t="str">
        <f t="shared" ref="AL381" si="709">IF($D$341=AK363,-$C$381,"")</f>
        <v/>
      </c>
      <c r="AM381" s="1467"/>
      <c r="AN381" s="60" t="str">
        <f t="shared" ref="AN381" si="710">IF($D$341=AM363,-$C$381,"")</f>
        <v/>
      </c>
      <c r="AO381" s="1467"/>
      <c r="AP381" s="60" t="str">
        <f t="shared" ref="AP381" si="711">IF($D$341=AO363,-$C$381,"")</f>
        <v/>
      </c>
      <c r="AQ381" s="1467"/>
      <c r="AR381" s="60" t="str">
        <f t="shared" ref="AR381" si="712">IF($D$341=AQ363,-$C$381,"")</f>
        <v/>
      </c>
      <c r="AS381" s="1467"/>
      <c r="AT381" s="60" t="str">
        <f t="shared" ref="AT381" si="713">IF($D$341=AS363,-$C$381,"")</f>
        <v/>
      </c>
      <c r="AU381" s="1467"/>
      <c r="AV381" s="60" t="str">
        <f t="shared" ref="AV381" si="714">IF($D$341=AU363,-$C$381,"")</f>
        <v/>
      </c>
      <c r="AW381" s="1467"/>
      <c r="AX381" s="60" t="str">
        <f t="shared" ref="AX381" si="715">IF($D$341=AW363,-$C$381,"")</f>
        <v/>
      </c>
      <c r="AY381" s="1467"/>
      <c r="AZ381" s="60" t="str">
        <f t="shared" ref="AZ381" si="716">IF($D$341=AY363,-$C$381,"")</f>
        <v/>
      </c>
      <c r="BA381" s="1467"/>
      <c r="BB381" s="60" t="str">
        <f t="shared" ref="BB381" si="717">IF($D$341=BA363,-$C$381,"")</f>
        <v/>
      </c>
      <c r="BC381" s="1467"/>
      <c r="BD381" s="60" t="str">
        <f t="shared" ref="BD381" si="718">IF($D$341=BC363,-$C$381,"")</f>
        <v/>
      </c>
      <c r="BE381" s="1467"/>
      <c r="BF381" s="60" t="str">
        <f t="shared" ref="BF381" si="719">IF($D$341=BE363,-$C$381,"")</f>
        <v/>
      </c>
      <c r="BG381" s="1467"/>
      <c r="BH381" s="60" t="str">
        <f t="shared" ref="BH381" si="720">IF($D$341=BG363,-$C$381,"")</f>
        <v/>
      </c>
      <c r="BI381" s="1467"/>
      <c r="BJ381" s="60" t="str">
        <f t="shared" ref="BJ381" si="721">IF($D$341=BI363,-$C$381,"")</f>
        <v/>
      </c>
      <c r="BK381" s="1467"/>
      <c r="BL381" s="60" t="str">
        <f t="shared" ref="BL381" si="722">IF($D$341=BK363,-$C$381,"")</f>
        <v/>
      </c>
      <c r="BM381" s="1467"/>
      <c r="BN381" s="60" t="str">
        <f t="shared" ref="BN381" si="723">IF($D$341=BM363,-$C$381,"")</f>
        <v/>
      </c>
      <c r="BO381" s="1467"/>
      <c r="BP381" s="60" t="str">
        <f t="shared" ref="BP381" si="724">IF($D$341=BO363,-$C$381,"")</f>
        <v/>
      </c>
      <c r="BQ381" s="1467"/>
      <c r="BR381" s="60" t="str">
        <f t="shared" ref="BR381" si="725">IF($D$341=BQ363,-$C$381,"")</f>
        <v/>
      </c>
      <c r="BS381" s="1467"/>
      <c r="BT381" s="60" t="str">
        <f t="shared" ref="BT381" si="726">IF($D$341=BS363,-$C$381,"")</f>
        <v/>
      </c>
      <c r="BU381" s="1467"/>
      <c r="BV381" s="60" t="str">
        <f t="shared" ref="BV381" si="727">IF($D$341=BU363,-$C$381,"")</f>
        <v/>
      </c>
      <c r="BW381" s="1467"/>
      <c r="BX381" s="60" t="str">
        <f t="shared" ref="BX381" si="728">IF($D$341=BW363,-$C$381,"")</f>
        <v/>
      </c>
      <c r="BY381" s="1467"/>
      <c r="BZ381" s="60" t="str">
        <f t="shared" ref="BZ381" si="729">IF($D$341=BY363,-$C$381,"")</f>
        <v/>
      </c>
      <c r="CA381" s="1467"/>
      <c r="CB381" s="60" t="str">
        <f t="shared" ref="CB381" si="730">IF($D$341=CA363,-$C$381,"")</f>
        <v/>
      </c>
      <c r="CC381" s="1467"/>
      <c r="CD381" s="60" t="str">
        <f t="shared" ref="CD381" si="731">IF($D$341=CC363,-$C$381,"")</f>
        <v/>
      </c>
    </row>
    <row r="382" spans="1:87">
      <c r="A382" s="363" t="s">
        <v>1445</v>
      </c>
      <c r="C382" s="3166">
        <f>$D$345^3/C364</f>
        <v>9.290322580645162E-2</v>
      </c>
      <c r="D382" s="3167"/>
      <c r="E382" s="3157">
        <f t="shared" ref="E382" si="732">$D$345^3/E364</f>
        <v>9.290322580645162E-2</v>
      </c>
      <c r="F382" s="3158"/>
      <c r="G382" s="3157">
        <f t="shared" ref="G382" si="733">$D$345^3/G364</f>
        <v>9.290322580645162E-2</v>
      </c>
      <c r="H382" s="3158"/>
      <c r="I382" s="3157">
        <f t="shared" ref="I382" si="734">$D$345^3/I364</f>
        <v>9.290322580645162E-2</v>
      </c>
      <c r="J382" s="3158"/>
      <c r="K382" s="3157">
        <f t="shared" ref="K382" si="735">$D$345^3/K364</f>
        <v>9.290322580645162E-2</v>
      </c>
      <c r="L382" s="3158"/>
      <c r="M382" s="3157">
        <f t="shared" ref="M382" si="736">$D$345^3/M364</f>
        <v>9.290322580645162E-2</v>
      </c>
      <c r="N382" s="3158"/>
      <c r="O382" s="3157">
        <f t="shared" ref="O382" si="737">$D$345^3/O364</f>
        <v>9.290322580645162E-2</v>
      </c>
      <c r="P382" s="3158"/>
      <c r="Q382" s="3157">
        <f t="shared" ref="Q382" si="738">$D$345^3/Q364</f>
        <v>9.290322580645162E-2</v>
      </c>
      <c r="R382" s="3158"/>
      <c r="S382" s="3157">
        <f t="shared" ref="S382" si="739">$D$345^3/S364</f>
        <v>9.290322580645162E-2</v>
      </c>
      <c r="T382" s="3158"/>
      <c r="U382" s="3157">
        <f t="shared" ref="U382" si="740">$D$345^3/U364</f>
        <v>9.290322580645162E-2</v>
      </c>
      <c r="V382" s="3158"/>
      <c r="W382" s="3157">
        <f t="shared" ref="W382" si="741">$D$345^3/W364</f>
        <v>9.290322580645162E-2</v>
      </c>
      <c r="X382" s="3158"/>
      <c r="Y382" s="3157">
        <f t="shared" ref="Y382" si="742">$D$345^3/Y364</f>
        <v>9.290322580645162E-2</v>
      </c>
      <c r="Z382" s="3158"/>
      <c r="AA382" s="3157">
        <f t="shared" ref="AA382" si="743">$D$345^3/AA364</f>
        <v>9.290322580645162E-2</v>
      </c>
      <c r="AB382" s="3158"/>
      <c r="AC382" s="3157">
        <f t="shared" ref="AC382" si="744">$D$345^3/AC364</f>
        <v>9.290322580645162E-2</v>
      </c>
      <c r="AD382" s="3158"/>
      <c r="AE382" s="3157">
        <f t="shared" ref="AE382" si="745">$D$345^3/AE364</f>
        <v>9.290322580645162E-2</v>
      </c>
      <c r="AF382" s="3158"/>
      <c r="AG382" s="3157">
        <f t="shared" ref="AG382" si="746">$D$345^3/AG364</f>
        <v>9.290322580645162E-2</v>
      </c>
      <c r="AH382" s="3158"/>
      <c r="AI382" s="3157">
        <f t="shared" ref="AI382" si="747">$D$345^3/AI364</f>
        <v>9.290322580645162E-2</v>
      </c>
      <c r="AJ382" s="3158"/>
      <c r="AK382" s="3157">
        <f t="shared" ref="AK382" si="748">$D$345^3/AK364</f>
        <v>9.290322580645162E-2</v>
      </c>
      <c r="AL382" s="3158"/>
      <c r="AM382" s="3157">
        <f t="shared" ref="AM382" si="749">$D$345^3/AM364</f>
        <v>9.290322580645162E-2</v>
      </c>
      <c r="AN382" s="3158"/>
      <c r="AO382" s="3157">
        <f t="shared" ref="AO382" si="750">$D$345^3/AO364</f>
        <v>9.290322580645162E-2</v>
      </c>
      <c r="AP382" s="3158"/>
      <c r="AQ382" s="3157">
        <f t="shared" ref="AQ382" si="751">$D$345^3/AQ364</f>
        <v>9.290322580645162E-2</v>
      </c>
      <c r="AR382" s="3158"/>
      <c r="AS382" s="3157">
        <f t="shared" ref="AS382" si="752">$D$345^3/AS364</f>
        <v>9.290322580645162E-2</v>
      </c>
      <c r="AT382" s="3158"/>
      <c r="AU382" s="3157">
        <f t="shared" ref="AU382" si="753">$D$345^3/AU364</f>
        <v>9.290322580645162E-2</v>
      </c>
      <c r="AV382" s="3158"/>
      <c r="AW382" s="3157">
        <f t="shared" ref="AW382" si="754">$D$345^3/AW364</f>
        <v>9.290322580645162E-2</v>
      </c>
      <c r="AX382" s="3158"/>
      <c r="AY382" s="3157">
        <f t="shared" ref="AY382" si="755">$D$345^3/AY364</f>
        <v>9.290322580645162E-2</v>
      </c>
      <c r="AZ382" s="3158"/>
      <c r="BA382" s="3157">
        <f t="shared" ref="BA382" si="756">$D$345^3/BA364</f>
        <v>9.290322580645162E-2</v>
      </c>
      <c r="BB382" s="3158"/>
      <c r="BC382" s="3157">
        <f t="shared" ref="BC382" si="757">$D$345^3/BC364</f>
        <v>9.290322580645162E-2</v>
      </c>
      <c r="BD382" s="3158"/>
      <c r="BE382" s="3157">
        <f t="shared" ref="BE382" si="758">$D$345^3/BE364</f>
        <v>9.290322580645162E-2</v>
      </c>
      <c r="BF382" s="3158"/>
      <c r="BG382" s="3157">
        <f t="shared" ref="BG382" si="759">$D$345^3/BG364</f>
        <v>9.290322580645162E-2</v>
      </c>
      <c r="BH382" s="3158"/>
      <c r="BI382" s="3157">
        <f t="shared" ref="BI382" si="760">$D$345^3/BI364</f>
        <v>9.290322580645162E-2</v>
      </c>
      <c r="BJ382" s="3158"/>
      <c r="BK382" s="3157">
        <f t="shared" ref="BK382" si="761">$D$345^3/BK364</f>
        <v>9.290322580645162E-2</v>
      </c>
      <c r="BL382" s="3158"/>
      <c r="BM382" s="3157">
        <f t="shared" ref="BM382" si="762">$D$345^3/BM364</f>
        <v>9.290322580645162E-2</v>
      </c>
      <c r="BN382" s="3158"/>
      <c r="BO382" s="3157">
        <f t="shared" ref="BO382" si="763">$D$345^3/BO364</f>
        <v>9.290322580645162E-2</v>
      </c>
      <c r="BP382" s="3158"/>
      <c r="BQ382" s="3157">
        <f t="shared" ref="BQ382" si="764">$D$345^3/BQ364</f>
        <v>9.290322580645162E-2</v>
      </c>
      <c r="BR382" s="3158"/>
      <c r="BS382" s="3157">
        <f t="shared" ref="BS382" si="765">$D$345^3/BS364</f>
        <v>9.290322580645162E-2</v>
      </c>
      <c r="BT382" s="3158"/>
      <c r="BU382" s="3157">
        <f t="shared" ref="BU382" si="766">$D$345^3/BU364</f>
        <v>9.290322580645162E-2</v>
      </c>
      <c r="BV382" s="3158"/>
      <c r="BW382" s="3157">
        <f t="shared" ref="BW382" si="767">$D$345^3/BW364</f>
        <v>9.290322580645162E-2</v>
      </c>
      <c r="BX382" s="3158"/>
      <c r="BY382" s="3157">
        <f t="shared" ref="BY382" si="768">$D$345^3/BY364</f>
        <v>9.290322580645162E-2</v>
      </c>
      <c r="BZ382" s="3158"/>
      <c r="CA382" s="3157">
        <f t="shared" ref="CA382" si="769">$D$345^3/CA364</f>
        <v>9.290322580645162E-2</v>
      </c>
      <c r="CB382" s="3158"/>
      <c r="CC382" s="3157">
        <f t="shared" ref="CC382" si="770">$D$345^3/CC364</f>
        <v>9.290322580645162E-2</v>
      </c>
      <c r="CD382" s="3158"/>
      <c r="CE382" s="3167"/>
      <c r="CF382" s="3167"/>
      <c r="CG382" s="3167"/>
      <c r="CH382" s="3167"/>
      <c r="CI382" s="16"/>
    </row>
    <row r="383" spans="1:87">
      <c r="A383" s="1102" t="s">
        <v>1446</v>
      </c>
      <c r="C383" s="3151">
        <f>$D$346^3/C364</f>
        <v>0.14752688172043008</v>
      </c>
      <c r="D383" s="3153"/>
      <c r="E383" s="3151">
        <f t="shared" ref="E383" si="771">$D$346^3/E364</f>
        <v>0.14752688172043008</v>
      </c>
      <c r="F383" s="3152"/>
      <c r="G383" s="3151">
        <f t="shared" ref="G383" si="772">$D$346^3/G364</f>
        <v>0.14752688172043008</v>
      </c>
      <c r="H383" s="3152"/>
      <c r="I383" s="3151">
        <f t="shared" ref="I383" si="773">$D$346^3/I364</f>
        <v>0.14752688172043008</v>
      </c>
      <c r="J383" s="3152"/>
      <c r="K383" s="3151">
        <f t="shared" ref="K383" si="774">$D$346^3/K364</f>
        <v>0.14752688172043008</v>
      </c>
      <c r="L383" s="3152"/>
      <c r="M383" s="3151">
        <f t="shared" ref="M383" si="775">$D$346^3/M364</f>
        <v>0.14752688172043008</v>
      </c>
      <c r="N383" s="3152"/>
      <c r="O383" s="3151">
        <f t="shared" ref="O383" si="776">$D$346^3/O364</f>
        <v>0.14752688172043008</v>
      </c>
      <c r="P383" s="3152"/>
      <c r="Q383" s="3151">
        <f t="shared" ref="Q383" si="777">$D$346^3/Q364</f>
        <v>0.14752688172043008</v>
      </c>
      <c r="R383" s="3152"/>
      <c r="S383" s="3151">
        <f t="shared" ref="S383" si="778">$D$346^3/S364</f>
        <v>0.14752688172043008</v>
      </c>
      <c r="T383" s="3152"/>
      <c r="U383" s="3151">
        <f t="shared" ref="U383" si="779">$D$346^3/U364</f>
        <v>0.14752688172043008</v>
      </c>
      <c r="V383" s="3152"/>
      <c r="W383" s="3151">
        <f t="shared" ref="W383" si="780">$D$346^3/W364</f>
        <v>0.14752688172043008</v>
      </c>
      <c r="X383" s="3152"/>
      <c r="Y383" s="3151">
        <f t="shared" ref="Y383" si="781">$D$346^3/Y364</f>
        <v>0.14752688172043008</v>
      </c>
      <c r="Z383" s="3152"/>
      <c r="AA383" s="3151">
        <f t="shared" ref="AA383" si="782">$D$346^3/AA364</f>
        <v>0.14752688172043008</v>
      </c>
      <c r="AB383" s="3152"/>
      <c r="AC383" s="3151">
        <f t="shared" ref="AC383" si="783">$D$346^3/AC364</f>
        <v>0.14752688172043008</v>
      </c>
      <c r="AD383" s="3152"/>
      <c r="AE383" s="3151">
        <f t="shared" ref="AE383" si="784">$D$346^3/AE364</f>
        <v>0.14752688172043008</v>
      </c>
      <c r="AF383" s="3152"/>
      <c r="AG383" s="3151">
        <f t="shared" ref="AG383" si="785">$D$346^3/AG364</f>
        <v>0.14752688172043008</v>
      </c>
      <c r="AH383" s="3152"/>
      <c r="AI383" s="3151">
        <f t="shared" ref="AI383" si="786">$D$346^3/AI364</f>
        <v>0.14752688172043008</v>
      </c>
      <c r="AJ383" s="3152"/>
      <c r="AK383" s="3151">
        <f t="shared" ref="AK383" si="787">$D$346^3/AK364</f>
        <v>0.14752688172043008</v>
      </c>
      <c r="AL383" s="3152"/>
      <c r="AM383" s="3151">
        <f t="shared" ref="AM383" si="788">$D$346^3/AM364</f>
        <v>0.14752688172043008</v>
      </c>
      <c r="AN383" s="3152"/>
      <c r="AO383" s="3151">
        <f t="shared" ref="AO383" si="789">$D$346^3/AO364</f>
        <v>0.14752688172043008</v>
      </c>
      <c r="AP383" s="3152"/>
      <c r="AQ383" s="3151">
        <f t="shared" ref="AQ383" si="790">$D$346^3/AQ364</f>
        <v>0.14752688172043008</v>
      </c>
      <c r="AR383" s="3152"/>
      <c r="AS383" s="3151">
        <f t="shared" ref="AS383" si="791">$D$346^3/AS364</f>
        <v>0.14752688172043008</v>
      </c>
      <c r="AT383" s="3152"/>
      <c r="AU383" s="3151">
        <f t="shared" ref="AU383" si="792">$D$346^3/AU364</f>
        <v>0.14752688172043008</v>
      </c>
      <c r="AV383" s="3152"/>
      <c r="AW383" s="3151">
        <f t="shared" ref="AW383" si="793">$D$346^3/AW364</f>
        <v>0.14752688172043008</v>
      </c>
      <c r="AX383" s="3152"/>
      <c r="AY383" s="3151">
        <f t="shared" ref="AY383" si="794">$D$346^3/AY364</f>
        <v>0.14752688172043008</v>
      </c>
      <c r="AZ383" s="3152"/>
      <c r="BA383" s="3151">
        <f t="shared" ref="BA383" si="795">$D$346^3/BA364</f>
        <v>0.14752688172043008</v>
      </c>
      <c r="BB383" s="3152"/>
      <c r="BC383" s="3151">
        <f t="shared" ref="BC383" si="796">$D$346^3/BC364</f>
        <v>0.14752688172043008</v>
      </c>
      <c r="BD383" s="3152"/>
      <c r="BE383" s="3151">
        <f t="shared" ref="BE383" si="797">$D$346^3/BE364</f>
        <v>0.14752688172043008</v>
      </c>
      <c r="BF383" s="3152"/>
      <c r="BG383" s="3151">
        <f t="shared" ref="BG383" si="798">$D$346^3/BG364</f>
        <v>0.14752688172043008</v>
      </c>
      <c r="BH383" s="3152"/>
      <c r="BI383" s="3151">
        <f t="shared" ref="BI383" si="799">$D$346^3/BI364</f>
        <v>0.14752688172043008</v>
      </c>
      <c r="BJ383" s="3152"/>
      <c r="BK383" s="3151">
        <f t="shared" ref="BK383" si="800">$D$346^3/BK364</f>
        <v>0.14752688172043008</v>
      </c>
      <c r="BL383" s="3152"/>
      <c r="BM383" s="3151">
        <f t="shared" ref="BM383" si="801">$D$346^3/BM364</f>
        <v>0.14752688172043008</v>
      </c>
      <c r="BN383" s="3152"/>
      <c r="BO383" s="3151">
        <f t="shared" ref="BO383" si="802">$D$346^3/BO364</f>
        <v>0.14752688172043008</v>
      </c>
      <c r="BP383" s="3152"/>
      <c r="BQ383" s="3151">
        <f t="shared" ref="BQ383" si="803">$D$346^3/BQ364</f>
        <v>0.14752688172043008</v>
      </c>
      <c r="BR383" s="3152"/>
      <c r="BS383" s="3151">
        <f t="shared" ref="BS383" si="804">$D$346^3/BS364</f>
        <v>0.14752688172043008</v>
      </c>
      <c r="BT383" s="3152"/>
      <c r="BU383" s="3151">
        <f t="shared" ref="BU383" si="805">$D$346^3/BU364</f>
        <v>0.14752688172043008</v>
      </c>
      <c r="BV383" s="3152"/>
      <c r="BW383" s="3151">
        <f t="shared" ref="BW383" si="806">$D$346^3/BW364</f>
        <v>0.14752688172043008</v>
      </c>
      <c r="BX383" s="3152"/>
      <c r="BY383" s="3151">
        <f t="shared" ref="BY383" si="807">$D$346^3/BY364</f>
        <v>0.14752688172043008</v>
      </c>
      <c r="BZ383" s="3152"/>
      <c r="CA383" s="3151">
        <f t="shared" ref="CA383" si="808">$D$346^3/CA364</f>
        <v>0.14752688172043008</v>
      </c>
      <c r="CB383" s="3152"/>
      <c r="CC383" s="3151">
        <f t="shared" ref="CC383" si="809">$D$346^3/CC364</f>
        <v>0.14752688172043008</v>
      </c>
      <c r="CD383" s="3152"/>
    </row>
    <row r="384" spans="1:87">
      <c r="A384" s="363" t="s">
        <v>1451</v>
      </c>
      <c r="C384" s="1483">
        <f>D347^3/D344</f>
        <v>8.8163265306122438E-2</v>
      </c>
      <c r="D384" s="1468">
        <f>D348^3/D344</f>
        <v>3.719387755102041E-2</v>
      </c>
      <c r="E384" s="1437"/>
      <c r="F384" s="1433">
        <f>IF($D$341&gt;=E363,$D$348,$D$347)^3/$D$344</f>
        <v>3.719387755102041E-2</v>
      </c>
      <c r="G384" s="1437"/>
      <c r="H384" s="1433">
        <f t="shared" ref="H384" si="810">IF($D$341&gt;=G363,$D$348,$D$347)^3/$D$344</f>
        <v>8.8163265306122438E-2</v>
      </c>
      <c r="I384" s="1437"/>
      <c r="J384" s="1433">
        <f t="shared" ref="J384" si="811">IF($D$341&gt;=I363,$D$348,$D$347)^3/$D$344</f>
        <v>8.8163265306122438E-2</v>
      </c>
      <c r="K384" s="1437"/>
      <c r="L384" s="1433">
        <f t="shared" ref="L384" si="812">IF($D$341&gt;=K363,$D$348,$D$347)^3/$D$344</f>
        <v>8.8163265306122438E-2</v>
      </c>
      <c r="M384" s="1437"/>
      <c r="N384" s="1433">
        <f t="shared" ref="N384" si="813">IF($D$341&gt;=M363,$D$348,$D$347)^3/$D$344</f>
        <v>8.8163265306122438E-2</v>
      </c>
      <c r="O384" s="1437"/>
      <c r="P384" s="1433">
        <f t="shared" ref="P384" si="814">IF($D$341&gt;=O363,$D$348,$D$347)^3/$D$344</f>
        <v>8.8163265306122438E-2</v>
      </c>
      <c r="Q384" s="1437"/>
      <c r="R384" s="1433">
        <f t="shared" ref="R384" si="815">IF($D$341&gt;=Q363,$D$348,$D$347)^3/$D$344</f>
        <v>8.8163265306122438E-2</v>
      </c>
      <c r="S384" s="1437"/>
      <c r="T384" s="1433">
        <f t="shared" ref="T384" si="816">IF($D$341&gt;=S363,$D$348,$D$347)^3/$D$344</f>
        <v>8.8163265306122438E-2</v>
      </c>
      <c r="U384" s="1437"/>
      <c r="V384" s="1433">
        <f t="shared" ref="V384" si="817">IF($D$341&gt;=U363,$D$348,$D$347)^3/$D$344</f>
        <v>8.8163265306122438E-2</v>
      </c>
      <c r="W384" s="1437"/>
      <c r="X384" s="1433">
        <f t="shared" ref="X384" si="818">IF($D$341&gt;=W363,$D$348,$D$347)^3/$D$344</f>
        <v>8.8163265306122438E-2</v>
      </c>
      <c r="Y384" s="1437"/>
      <c r="Z384" s="1433">
        <f t="shared" ref="Z384" si="819">IF($D$341&gt;=Y363,$D$348,$D$347)^3/$D$344</f>
        <v>8.8163265306122438E-2</v>
      </c>
      <c r="AA384" s="1437"/>
      <c r="AB384" s="1433">
        <f t="shared" ref="AB384" si="820">IF($D$341&gt;=AA363,$D$348,$D$347)^3/$D$344</f>
        <v>8.8163265306122438E-2</v>
      </c>
      <c r="AC384" s="1437"/>
      <c r="AD384" s="1433">
        <f t="shared" ref="AD384" si="821">IF($D$341&gt;=AC363,$D$348,$D$347)^3/$D$344</f>
        <v>8.8163265306122438E-2</v>
      </c>
      <c r="AE384" s="1437"/>
      <c r="AF384" s="1433">
        <f t="shared" ref="AF384" si="822">IF($D$341&gt;=AE363,$D$348,$D$347)^3/$D$344</f>
        <v>8.8163265306122438E-2</v>
      </c>
      <c r="AG384" s="1437"/>
      <c r="AH384" s="1433">
        <f t="shared" ref="AH384" si="823">IF($D$341&gt;=AG363,$D$348,$D$347)^3/$D$344</f>
        <v>8.8163265306122438E-2</v>
      </c>
      <c r="AI384" s="1437"/>
      <c r="AJ384" s="1433">
        <f t="shared" ref="AJ384" si="824">IF($D$341&gt;=AI363,$D$348,$D$347)^3/$D$344</f>
        <v>8.8163265306122438E-2</v>
      </c>
      <c r="AK384" s="1437"/>
      <c r="AL384" s="1433">
        <f t="shared" ref="AL384" si="825">IF($D$341&gt;=AK363,$D$348,$D$347)^3/$D$344</f>
        <v>8.8163265306122438E-2</v>
      </c>
      <c r="AM384" s="1437"/>
      <c r="AN384" s="1433">
        <f t="shared" ref="AN384" si="826">IF($D$341&gt;=AM363,$D$348,$D$347)^3/$D$344</f>
        <v>8.8163265306122438E-2</v>
      </c>
      <c r="AO384" s="1437"/>
      <c r="AP384" s="1433">
        <f t="shared" ref="AP384" si="827">IF($D$341&gt;=AO363,$D$348,$D$347)^3/$D$344</f>
        <v>8.8163265306122438E-2</v>
      </c>
      <c r="AQ384" s="1437"/>
      <c r="AR384" s="1433">
        <f t="shared" ref="AR384" si="828">IF($D$341&gt;=AQ363,$D$348,$D$347)^3/$D$344</f>
        <v>8.8163265306122438E-2</v>
      </c>
      <c r="AS384" s="1437"/>
      <c r="AT384" s="1433">
        <f t="shared" ref="AT384" si="829">IF($D$341&gt;=AS363,$D$348,$D$347)^3/$D$344</f>
        <v>8.8163265306122438E-2</v>
      </c>
      <c r="AU384" s="1437"/>
      <c r="AV384" s="1433">
        <f t="shared" ref="AV384" si="830">IF($D$341&gt;=AU363,$D$348,$D$347)^3/$D$344</f>
        <v>8.8163265306122438E-2</v>
      </c>
      <c r="AW384" s="1437"/>
      <c r="AX384" s="1433">
        <f t="shared" ref="AX384" si="831">IF($D$341&gt;=AW363,$D$348,$D$347)^3/$D$344</f>
        <v>8.8163265306122438E-2</v>
      </c>
      <c r="AY384" s="1437"/>
      <c r="AZ384" s="1433">
        <f t="shared" ref="AZ384" si="832">IF($D$341&gt;=AY363,$D$348,$D$347)^3/$D$344</f>
        <v>8.8163265306122438E-2</v>
      </c>
      <c r="BA384" s="1437"/>
      <c r="BB384" s="1433">
        <f t="shared" ref="BB384" si="833">IF($D$341&gt;=BA363,$D$348,$D$347)^3/$D$344</f>
        <v>8.8163265306122438E-2</v>
      </c>
      <c r="BC384" s="1437"/>
      <c r="BD384" s="1433">
        <f t="shared" ref="BD384" si="834">IF($D$341&gt;=BC363,$D$348,$D$347)^3/$D$344</f>
        <v>8.8163265306122438E-2</v>
      </c>
      <c r="BE384" s="1437"/>
      <c r="BF384" s="1433">
        <f t="shared" ref="BF384" si="835">IF($D$341&gt;=BE363,$D$348,$D$347)^3/$D$344</f>
        <v>8.8163265306122438E-2</v>
      </c>
      <c r="BG384" s="1437"/>
      <c r="BH384" s="1433">
        <f t="shared" ref="BH384" si="836">IF($D$341&gt;=BG363,$D$348,$D$347)^3/$D$344</f>
        <v>8.8163265306122438E-2</v>
      </c>
      <c r="BI384" s="1437"/>
      <c r="BJ384" s="1433">
        <f t="shared" ref="BJ384" si="837">IF($D$341&gt;=BI363,$D$348,$D$347)^3/$D$344</f>
        <v>8.8163265306122438E-2</v>
      </c>
      <c r="BK384" s="1437"/>
      <c r="BL384" s="1433">
        <f t="shared" ref="BL384" si="838">IF($D$341&gt;=BK363,$D$348,$D$347)^3/$D$344</f>
        <v>8.8163265306122438E-2</v>
      </c>
      <c r="BM384" s="1437"/>
      <c r="BN384" s="1433">
        <f t="shared" ref="BN384" si="839">IF($D$341&gt;=BM363,$D$348,$D$347)^3/$D$344</f>
        <v>8.8163265306122438E-2</v>
      </c>
      <c r="BO384" s="1437"/>
      <c r="BP384" s="1433">
        <f t="shared" ref="BP384" si="840">IF($D$341&gt;=BO363,$D$348,$D$347)^3/$D$344</f>
        <v>8.8163265306122438E-2</v>
      </c>
      <c r="BQ384" s="1437"/>
      <c r="BR384" s="1433">
        <f t="shared" ref="BR384" si="841">IF($D$341&gt;=BQ363,$D$348,$D$347)^3/$D$344</f>
        <v>8.8163265306122438E-2</v>
      </c>
      <c r="BS384" s="1437"/>
      <c r="BT384" s="1433">
        <f t="shared" ref="BT384" si="842">IF($D$341&gt;=BS363,$D$348,$D$347)^3/$D$344</f>
        <v>8.8163265306122438E-2</v>
      </c>
      <c r="BU384" s="1437"/>
      <c r="BV384" s="1433">
        <f t="shared" ref="BV384" si="843">IF($D$341&gt;=BU363,$D$348,$D$347)^3/$D$344</f>
        <v>8.8163265306122438E-2</v>
      </c>
      <c r="BW384" s="1437"/>
      <c r="BX384" s="1433">
        <f t="shared" ref="BX384" si="844">IF($D$341&gt;=BW363,$D$348,$D$347)^3/$D$344</f>
        <v>8.8163265306122438E-2</v>
      </c>
      <c r="BY384" s="1437"/>
      <c r="BZ384" s="1433">
        <f t="shared" ref="BZ384" si="845">IF($D$341&gt;=BY363,$D$348,$D$347)^3/$D$344</f>
        <v>8.8163265306122438E-2</v>
      </c>
      <c r="CA384" s="1437"/>
      <c r="CB384" s="1433">
        <f t="shared" ref="CB384" si="846">IF($D$341&gt;=CA363,$D$348,$D$347)^3/$D$344</f>
        <v>8.8163265306122438E-2</v>
      </c>
      <c r="CC384" s="1437"/>
      <c r="CD384" s="1433">
        <f t="shared" ref="CD384" si="847">IF($D$341&gt;=CC363,$D$348,$D$347)^3/$D$344</f>
        <v>8.8163265306122438E-2</v>
      </c>
    </row>
    <row r="385" spans="1:82">
      <c r="C385" s="1418"/>
      <c r="D385" s="16"/>
      <c r="E385" s="1418"/>
      <c r="F385" s="58"/>
      <c r="G385" s="1482"/>
      <c r="H385" s="58"/>
      <c r="I385" s="1482"/>
      <c r="J385" s="58"/>
      <c r="K385" s="1482"/>
      <c r="L385" s="58"/>
      <c r="M385" s="1482"/>
      <c r="N385" s="58"/>
      <c r="O385" s="1482"/>
      <c r="P385" s="58"/>
      <c r="Q385" s="1482"/>
      <c r="R385" s="58"/>
      <c r="S385" s="1482"/>
      <c r="T385" s="58"/>
      <c r="U385" s="1482"/>
      <c r="V385" s="58"/>
      <c r="W385" s="1482"/>
      <c r="X385" s="58"/>
      <c r="Y385" s="1482"/>
      <c r="Z385" s="58"/>
      <c r="AA385" s="1482"/>
      <c r="AB385" s="58"/>
      <c r="AC385" s="1482"/>
      <c r="AD385" s="58"/>
      <c r="AE385" s="1482"/>
      <c r="AF385" s="58"/>
      <c r="AG385" s="1482"/>
      <c r="AH385" s="58"/>
      <c r="AI385" s="1482"/>
      <c r="AJ385" s="58"/>
      <c r="AK385" s="1482"/>
      <c r="AL385" s="58"/>
      <c r="AM385" s="1482"/>
      <c r="AN385" s="58"/>
      <c r="AO385" s="1482"/>
      <c r="AP385" s="58"/>
      <c r="AQ385" s="1482"/>
      <c r="AR385" s="58"/>
      <c r="AS385" s="1482"/>
      <c r="AT385" s="58"/>
      <c r="AU385" s="1482"/>
      <c r="AV385" s="58"/>
      <c r="AW385" s="1482"/>
      <c r="AX385" s="58"/>
      <c r="AY385" s="1482"/>
      <c r="AZ385" s="58"/>
      <c r="BA385" s="1482"/>
      <c r="BB385" s="58"/>
      <c r="BC385" s="1482"/>
      <c r="BD385" s="58"/>
      <c r="BE385" s="1482"/>
      <c r="BF385" s="58"/>
      <c r="BG385" s="1482"/>
      <c r="BH385" s="58"/>
      <c r="BI385" s="1482"/>
      <c r="BJ385" s="58"/>
      <c r="BK385" s="1482"/>
      <c r="BL385" s="58"/>
      <c r="BM385" s="1482"/>
      <c r="BN385" s="58"/>
      <c r="BO385" s="1482"/>
      <c r="BP385" s="58"/>
      <c r="BQ385" s="1482"/>
      <c r="BR385" s="58"/>
      <c r="BS385" s="1482"/>
      <c r="BT385" s="58"/>
      <c r="BU385" s="1482"/>
      <c r="BV385" s="58"/>
      <c r="BW385" s="1482"/>
      <c r="BX385" s="58"/>
      <c r="BY385" s="1482"/>
      <c r="BZ385" s="58"/>
      <c r="CA385" s="1482"/>
      <c r="CB385" s="58"/>
      <c r="CC385" s="1482"/>
      <c r="CD385" s="58"/>
    </row>
    <row r="386" spans="1:82">
      <c r="A386" s="363" t="s">
        <v>1452</v>
      </c>
      <c r="C386" s="1378">
        <f>C382/(C384+C382)</f>
        <v>0.51308900523560219</v>
      </c>
      <c r="D386" s="1469">
        <f>IF($D$341&gt;C363,C382/(C382+E382+D384),C382/(C382+$C$384))</f>
        <v>0.41660577881102623</v>
      </c>
      <c r="E386" s="1378">
        <f>E382/(C382+D384+E382)</f>
        <v>0.41660577881102623</v>
      </c>
      <c r="F386" s="1434">
        <f>IF($D$341&gt;E363,E382/(E382+G382+F384),E382/(E382+$C$384))</f>
        <v>0.51308900523560219</v>
      </c>
      <c r="G386" s="1378">
        <f t="shared" ref="G386" si="848">G382/(E382+F384+G382)</f>
        <v>0.41660577881102623</v>
      </c>
      <c r="H386" s="1434">
        <f>IF($D$341&gt;G363,G382/(G382+I382+H384),G382/(G382+$C$384))</f>
        <v>0.51308900523560219</v>
      </c>
      <c r="I386" s="1378">
        <f t="shared" ref="I386" si="849">I382/(G382+H384+I382)</f>
        <v>0.33910034602076128</v>
      </c>
      <c r="J386" s="1434">
        <f>IF($D$341&gt;I363,I382/(I382+K382+J384),I382/(I382+$C$384))</f>
        <v>0.51308900523560219</v>
      </c>
      <c r="K386" s="1378">
        <f t="shared" ref="K386" si="850">K382/(I382+J384+K382)</f>
        <v>0.33910034602076128</v>
      </c>
      <c r="L386" s="1434">
        <f>IF($D$341&gt;K363,K382/(K382+M382+L384),K382/(K382+$C$384))</f>
        <v>0.51308900523560219</v>
      </c>
      <c r="M386" s="1378">
        <f t="shared" ref="M386" si="851">M382/(K382+L384+M382)</f>
        <v>0.33910034602076128</v>
      </c>
      <c r="N386" s="1434">
        <f>IF($D$341&gt;M363,M382/(M382+O382+N384),M382/(M382+$C$384))</f>
        <v>0.51308900523560219</v>
      </c>
      <c r="O386" s="1378">
        <f t="shared" ref="O386" si="852">O382/(M382+N384+O382)</f>
        <v>0.33910034602076128</v>
      </c>
      <c r="P386" s="1434">
        <f>IF($D$341&gt;O363,O382/(O382+Q382+P384),O382/(O382+$C$384))</f>
        <v>0.51308900523560219</v>
      </c>
      <c r="Q386" s="1378">
        <f t="shared" ref="Q386" si="853">Q382/(O382+P384+Q382)</f>
        <v>0.33910034602076128</v>
      </c>
      <c r="R386" s="1434">
        <f>IF($D$341&gt;Q363,Q382/(Q382+S382+R384),Q382/(Q382+$C$384))</f>
        <v>0.51308900523560219</v>
      </c>
      <c r="S386" s="1378">
        <f t="shared" ref="S386" si="854">S382/(Q382+R384+S382)</f>
        <v>0.33910034602076128</v>
      </c>
      <c r="T386" s="1434">
        <f>IF($D$341&gt;S363,S382/(S382+U382+T384),S382/(S382+$C$384))</f>
        <v>0.51308900523560219</v>
      </c>
      <c r="U386" s="1378">
        <f t="shared" ref="U386" si="855">U382/(S382+T384+U382)</f>
        <v>0.33910034602076128</v>
      </c>
      <c r="V386" s="1434">
        <f>IF($D$341&gt;U363,U382/(U382+W382+V384),U382/(U382+$C$384))</f>
        <v>0.51308900523560219</v>
      </c>
      <c r="W386" s="1378">
        <f t="shared" ref="W386" si="856">W382/(U382+V384+W382)</f>
        <v>0.33910034602076128</v>
      </c>
      <c r="X386" s="1434">
        <f>IF($D$341&gt;W363,W382/(W382+Y382+X384),W382/(W382+$C$384))</f>
        <v>0.51308900523560219</v>
      </c>
      <c r="Y386" s="1378">
        <f t="shared" ref="Y386" si="857">Y382/(W382+X384+Y382)</f>
        <v>0.33910034602076128</v>
      </c>
      <c r="Z386" s="1434">
        <f>IF($D$341&gt;Y363,Y382/(Y382+AA382+Z384),Y382/(Y382+$C$384))</f>
        <v>0.51308900523560219</v>
      </c>
      <c r="AA386" s="1378">
        <f t="shared" ref="AA386" si="858">AA382/(Y382+Z384+AA382)</f>
        <v>0.33910034602076128</v>
      </c>
      <c r="AB386" s="1434">
        <f>IF($D$341&gt;AA363,AA382/(AA382+AC382+AB384),AA382/(AA382+$C$384))</f>
        <v>0.51308900523560219</v>
      </c>
      <c r="AC386" s="1378">
        <f t="shared" ref="AC386" si="859">AC382/(AA382+AB384+AC382)</f>
        <v>0.33910034602076128</v>
      </c>
      <c r="AD386" s="1434">
        <f>IF($D$341&gt;AC363,AC382/(AC382+AE382+AD384),AC382/(AC382+$C$384))</f>
        <v>0.51308900523560219</v>
      </c>
      <c r="AE386" s="1378">
        <f t="shared" ref="AE386" si="860">AE382/(AC382+AD384+AE382)</f>
        <v>0.33910034602076128</v>
      </c>
      <c r="AF386" s="1434">
        <f>IF($D$341&gt;AE363,AE382/(AE382+AG382+AF384),AE382/(AE382+$C$384))</f>
        <v>0.51308900523560219</v>
      </c>
      <c r="AG386" s="1378">
        <f t="shared" ref="AG386" si="861">AG382/(AE382+AF384+AG382)</f>
        <v>0.33910034602076128</v>
      </c>
      <c r="AH386" s="1434">
        <f>IF($D$341&gt;AG363,AG382/(AG382+AI382+AH384),AG382/(AG382+$C$384))</f>
        <v>0.51308900523560219</v>
      </c>
      <c r="AI386" s="1378">
        <f t="shared" ref="AI386" si="862">AI382/(AG382+AH384+AI382)</f>
        <v>0.33910034602076128</v>
      </c>
      <c r="AJ386" s="1434">
        <f>IF($D$341&gt;AI363,AI382/(AI382+AK382+AJ384),AI382/(AI382+$C$384))</f>
        <v>0.51308900523560219</v>
      </c>
      <c r="AK386" s="1378">
        <f t="shared" ref="AK386" si="863">AK382/(AI382+AJ384+AK382)</f>
        <v>0.33910034602076128</v>
      </c>
      <c r="AL386" s="1434">
        <f>IF($D$341&gt;AK363,AK382/(AK382+AM382+AL384),AK382/(AK382+$C$384))</f>
        <v>0.51308900523560219</v>
      </c>
      <c r="AM386" s="1378">
        <f t="shared" ref="AM386" si="864">AM382/(AK382+AL384+AM382)</f>
        <v>0.33910034602076128</v>
      </c>
      <c r="AN386" s="1434">
        <f>IF($D$341&gt;AM363,AM382/(AM382+AO382+AN384),AM382/(AM382+$C$384))</f>
        <v>0.51308900523560219</v>
      </c>
      <c r="AO386" s="1378">
        <f t="shared" ref="AO386" si="865">AO382/(AM382+AN384+AO382)</f>
        <v>0.33910034602076128</v>
      </c>
      <c r="AP386" s="1434">
        <f>IF($D$341&gt;AO363,AO382/(AO382+AQ382+AP384),AO382/(AO382+$C$384))</f>
        <v>0.51308900523560219</v>
      </c>
      <c r="AQ386" s="1378">
        <f t="shared" ref="AQ386" si="866">AQ382/(AO382+AP384+AQ382)</f>
        <v>0.33910034602076128</v>
      </c>
      <c r="AR386" s="1434">
        <f>IF($D$341&gt;AQ363,AQ382/(AQ382+AS382+AR384),AQ382/(AQ382+$C$384))</f>
        <v>0.51308900523560219</v>
      </c>
      <c r="AS386" s="1378">
        <f t="shared" ref="AS386" si="867">AS382/(AQ382+AR384+AS382)</f>
        <v>0.33910034602076128</v>
      </c>
      <c r="AT386" s="1434">
        <f>IF($D$341&gt;AS363,AS382/(AS382+AU382+AT384),AS382/(AS382+$C$384))</f>
        <v>0.51308900523560219</v>
      </c>
      <c r="AU386" s="1378">
        <f t="shared" ref="AU386" si="868">AU382/(AS382+AT384+AU382)</f>
        <v>0.33910034602076128</v>
      </c>
      <c r="AV386" s="1434">
        <f>IF($D$341&gt;AU363,AU382/(AU382+AW382+AV384),AU382/(AU382+$C$384))</f>
        <v>0.51308900523560219</v>
      </c>
      <c r="AW386" s="1378">
        <f t="shared" ref="AW386" si="869">AW382/(AU382+AV384+AW382)</f>
        <v>0.33910034602076128</v>
      </c>
      <c r="AX386" s="1434">
        <f>IF($D$341&gt;AW363,AW382/(AW382+AY382+AX384),AW382/(AW382+$C$384))</f>
        <v>0.51308900523560219</v>
      </c>
      <c r="AY386" s="1378">
        <f t="shared" ref="AY386" si="870">AY382/(AW382+AX384+AY382)</f>
        <v>0.33910034602076128</v>
      </c>
      <c r="AZ386" s="1434">
        <f>IF($D$341&gt;AY363,AY382/(AY382+BA382+AZ384),AY382/(AY382+$C$384))</f>
        <v>0.51308900523560219</v>
      </c>
      <c r="BA386" s="1378">
        <f t="shared" ref="BA386" si="871">BA382/(AY382+AZ384+BA382)</f>
        <v>0.33910034602076128</v>
      </c>
      <c r="BB386" s="1434">
        <f>IF($D$341&gt;BA363,BA382/(BA382+BC382+BB384),BA382/(BA382+$C$384))</f>
        <v>0.51308900523560219</v>
      </c>
      <c r="BC386" s="1378">
        <f t="shared" ref="BC386" si="872">BC382/(BA382+BB384+BC382)</f>
        <v>0.33910034602076128</v>
      </c>
      <c r="BD386" s="1434">
        <f>IF($D$341&gt;BC363,BC382/(BC382+BE382+BD384),BC382/(BC382+$C$384))</f>
        <v>0.51308900523560219</v>
      </c>
      <c r="BE386" s="1378">
        <f t="shared" ref="BE386" si="873">BE382/(BC382+BD384+BE382)</f>
        <v>0.33910034602076128</v>
      </c>
      <c r="BF386" s="1434">
        <f>IF($D$341&gt;BE363,BE382/(BE382+BG382+BF384),BE382/(BE382+$C$384))</f>
        <v>0.51308900523560219</v>
      </c>
      <c r="BG386" s="1378">
        <f t="shared" ref="BG386" si="874">BG382/(BE382+BF384+BG382)</f>
        <v>0.33910034602076128</v>
      </c>
      <c r="BH386" s="1434">
        <f>IF($D$341&gt;BG363,BG382/(BG382+BI382+BH384),BG382/(BG382+$C$384))</f>
        <v>0.51308900523560219</v>
      </c>
      <c r="BI386" s="1378">
        <f t="shared" ref="BI386" si="875">BI382/(BG382+BH384+BI382)</f>
        <v>0.33910034602076128</v>
      </c>
      <c r="BJ386" s="1434">
        <f>IF($D$341&gt;BI363,BI382/(BI382+BK382+BJ384),BI382/(BI382+$C$384))</f>
        <v>0.51308900523560219</v>
      </c>
      <c r="BK386" s="1378">
        <f t="shared" ref="BK386" si="876">BK382/(BI382+BJ384+BK382)</f>
        <v>0.33910034602076128</v>
      </c>
      <c r="BL386" s="1434">
        <f>IF($D$341&gt;BK363,BK382/(BK382+BM382+BL384),BK382/(BK382+$C$384))</f>
        <v>0.51308900523560219</v>
      </c>
      <c r="BM386" s="1378">
        <f t="shared" ref="BM386" si="877">BM382/(BK382+BL384+BM382)</f>
        <v>0.33910034602076128</v>
      </c>
      <c r="BN386" s="1434">
        <f>IF($D$341&gt;BM363,BM382/(BM382+BO382+BN384),BM382/(BM382+$C$384))</f>
        <v>0.51308900523560219</v>
      </c>
      <c r="BO386" s="1378">
        <f t="shared" ref="BO386" si="878">BO382/(BM382+BN384+BO382)</f>
        <v>0.33910034602076128</v>
      </c>
      <c r="BP386" s="1434">
        <f>IF($D$341&gt;BO363,BO382/(BO382+BQ382+BP384),BO382/(BO382+$C$384))</f>
        <v>0.51308900523560219</v>
      </c>
      <c r="BQ386" s="1378">
        <f t="shared" ref="BQ386" si="879">BQ382/(BO382+BP384+BQ382)</f>
        <v>0.33910034602076128</v>
      </c>
      <c r="BR386" s="1434">
        <f>IF($D$341&gt;BQ363,BQ382/(BQ382+BS382+BR384),BQ382/(BQ382+$C$384))</f>
        <v>0.51308900523560219</v>
      </c>
      <c r="BS386" s="1378">
        <f t="shared" ref="BS386" si="880">BS382/(BQ382+BR384+BS382)</f>
        <v>0.33910034602076128</v>
      </c>
      <c r="BT386" s="1434">
        <f>IF($D$341&gt;BS363,BS382/(BS382+BU382+BT384),BS382/(BS382+$C$384))</f>
        <v>0.51308900523560219</v>
      </c>
      <c r="BU386" s="1378">
        <f t="shared" ref="BU386" si="881">BU382/(BS382+BT384+BU382)</f>
        <v>0.33910034602076128</v>
      </c>
      <c r="BV386" s="1434">
        <f>IF($D$341&gt;BU363,BU382/(BU382+BW382+BV384),BU382/(BU382+$C$384))</f>
        <v>0.51308900523560219</v>
      </c>
      <c r="BW386" s="1378">
        <f t="shared" ref="BW386" si="882">BW382/(BU382+BV384+BW382)</f>
        <v>0.33910034602076128</v>
      </c>
      <c r="BX386" s="1434">
        <f>IF($D$341&gt;BW363,BW382/(BW382+BY382+BX384),BW382/(BW382+$C$384))</f>
        <v>0.51308900523560219</v>
      </c>
      <c r="BY386" s="1378">
        <f t="shared" ref="BY386" si="883">BY382/(BW382+BX384+BY382)</f>
        <v>0.33910034602076128</v>
      </c>
      <c r="BZ386" s="1434">
        <f>IF($D$341&gt;BY363,BY382/(BY382+CA382+BZ384),BY382/(BY382+$C$384))</f>
        <v>0.51308900523560219</v>
      </c>
      <c r="CA386" s="1378">
        <f t="shared" ref="CA386" si="884">CA382/(BY382+BZ384+CA382)</f>
        <v>0.33910034602076128</v>
      </c>
      <c r="CB386" s="1434">
        <f>IF($D$341&gt;CA363,CA382/(CA382+CC382+CB384),CA382/(CA382+$C$384))</f>
        <v>0.51308900523560219</v>
      </c>
      <c r="CC386" s="1378">
        <f t="shared" ref="CC386" si="885">CC382/(CA382+CB384+CC382)</f>
        <v>0.33910034602076128</v>
      </c>
      <c r="CD386" s="1434">
        <f>IF($D$341&gt;CC363,CC382/(CC382+CE382+CD384),CC382/(CC382+$C$384))</f>
        <v>0.51308900523560219</v>
      </c>
    </row>
    <row r="387" spans="1:82">
      <c r="A387" s="1102" t="s">
        <v>1456</v>
      </c>
      <c r="C387" s="1378">
        <f>C384/(C384+C382)</f>
        <v>0.48691099476439786</v>
      </c>
      <c r="D387" s="1440">
        <f>IF($D$341&gt;C363,D384/(C382+E382+D384),$C$384/(C382+$C$384))</f>
        <v>0.16678844237794752</v>
      </c>
      <c r="E387" s="1418"/>
      <c r="F387" s="1377">
        <f>IF($D$341&gt;E363,F384/(E382+G382+F384),$C$384/(E382+$C$384))</f>
        <v>0.48691099476439786</v>
      </c>
      <c r="G387" s="1482"/>
      <c r="H387" s="1377">
        <f>IF($D$341&gt;G363,H384/(G382+I382+H384),$C$384/(G382+$C$384))</f>
        <v>0.48691099476439786</v>
      </c>
      <c r="I387" s="1482"/>
      <c r="J387" s="1377">
        <f>IF($D$341&gt;I363,J384/(I382+K382+J384),$C$384/(I382+$C$384))</f>
        <v>0.48691099476439786</v>
      </c>
      <c r="K387" s="1482"/>
      <c r="L387" s="1377">
        <f>IF($D$341&gt;K363,L384/(K382+M382+L384),$C$384/(K382+$C$384))</f>
        <v>0.48691099476439786</v>
      </c>
      <c r="M387" s="1482"/>
      <c r="N387" s="1377">
        <f>IF($D$341&gt;M363,N384/(M382+O382+N384),$C$384/(M382+$C$384))</f>
        <v>0.48691099476439786</v>
      </c>
      <c r="O387" s="1482"/>
      <c r="P387" s="1377">
        <f>IF($D$341&gt;O363,P384/(O382+Q382+P384),$C$384/(O382+$C$384))</f>
        <v>0.48691099476439786</v>
      </c>
      <c r="Q387" s="1482"/>
      <c r="R387" s="1377">
        <f>IF($D$341&gt;Q363,R384/(Q382+S382+R384),$C$384/(Q382+$C$384))</f>
        <v>0.48691099476439786</v>
      </c>
      <c r="S387" s="1482"/>
      <c r="T387" s="1377">
        <f>IF($D$341&gt;S363,T384/(S382+U382+T384),$C$384/(S382+$C$384))</f>
        <v>0.48691099476439786</v>
      </c>
      <c r="U387" s="1482"/>
      <c r="V387" s="1377">
        <f>IF($D$341&gt;U363,V384/(U382+W382+V384),$C$384/(U382+$C$384))</f>
        <v>0.48691099476439786</v>
      </c>
      <c r="W387" s="1482"/>
      <c r="X387" s="1377">
        <f>IF($D$341&gt;W363,X384/(W382+Y382+X384),$C$384/(W382+$C$384))</f>
        <v>0.48691099476439786</v>
      </c>
      <c r="Y387" s="1482"/>
      <c r="Z387" s="1377">
        <f>IF($D$341&gt;Y363,Z384/(Y382+AA382+Z384),$C$384/(Y382+$C$384))</f>
        <v>0.48691099476439786</v>
      </c>
      <c r="AA387" s="1482"/>
      <c r="AB387" s="1377">
        <f>IF($D$341&gt;AA363,AB384/(AA382+AC382+AB384),$C$384/(AA382+$C$384))</f>
        <v>0.48691099476439786</v>
      </c>
      <c r="AC387" s="1482"/>
      <c r="AD387" s="1377">
        <f>IF($D$341&gt;AC363,AD384/(AC382+AE382+AD384),$C$384/(AC382+$C$384))</f>
        <v>0.48691099476439786</v>
      </c>
      <c r="AE387" s="1482"/>
      <c r="AF387" s="1377">
        <f>IF($D$341&gt;AE363,AF384/(AE382+AG382+AF384),$C$384/(AE382+$C$384))</f>
        <v>0.48691099476439786</v>
      </c>
      <c r="AG387" s="1482"/>
      <c r="AH387" s="1377">
        <f>IF($D$341&gt;AG363,AH384/(AG382+AI382+AH384),$C$384/(AG382+$C$384))</f>
        <v>0.48691099476439786</v>
      </c>
      <c r="AI387" s="1482"/>
      <c r="AJ387" s="1377">
        <f>IF($D$341&gt;AI363,AJ384/(AI382+AK382+AJ384),$C$384/(AI382+$C$384))</f>
        <v>0.48691099476439786</v>
      </c>
      <c r="AK387" s="1482"/>
      <c r="AL387" s="1377">
        <f>IF($D$341&gt;AK363,AL384/(AK382+AM382+AL384),$C$384/(AK382+$C$384))</f>
        <v>0.48691099476439786</v>
      </c>
      <c r="AM387" s="1482"/>
      <c r="AN387" s="1377">
        <f>IF($D$341&gt;AM363,AN384/(AM382+AO382+AN384),$C$384/(AM382+$C$384))</f>
        <v>0.48691099476439786</v>
      </c>
      <c r="AO387" s="1482"/>
      <c r="AP387" s="1377">
        <f>IF($D$341&gt;AO363,AP384/(AO382+AQ382+AP384),$C$384/(AO382+$C$384))</f>
        <v>0.48691099476439786</v>
      </c>
      <c r="AQ387" s="1482"/>
      <c r="AR387" s="1377">
        <f>IF($D$341&gt;AQ363,AR384/(AQ382+AS382+AR384),$C$384/(AQ382+$C$384))</f>
        <v>0.48691099476439786</v>
      </c>
      <c r="AS387" s="1482"/>
      <c r="AT387" s="1377">
        <f>IF($D$341&gt;AS363,AT384/(AS382+AU382+AT384),$C$384/(AS382+$C$384))</f>
        <v>0.48691099476439786</v>
      </c>
      <c r="AU387" s="1482"/>
      <c r="AV387" s="1377">
        <f>IF($D$341&gt;AU363,AV384/(AU382+AW382+AV384),$C$384/(AU382+$C$384))</f>
        <v>0.48691099476439786</v>
      </c>
      <c r="AW387" s="1482"/>
      <c r="AX387" s="1377">
        <f>IF($D$341&gt;AW363,AX384/(AW382+AY382+AX384),$C$384/(AW382+$C$384))</f>
        <v>0.48691099476439786</v>
      </c>
      <c r="AY387" s="1482"/>
      <c r="AZ387" s="1377">
        <f>IF($D$341&gt;AY363,AZ384/(AY382+BA382+AZ384),$C$384/(AY382+$C$384))</f>
        <v>0.48691099476439786</v>
      </c>
      <c r="BA387" s="1482"/>
      <c r="BB387" s="1377">
        <f>IF($D$341&gt;BA363,BB384/(BA382+BC382+BB384),$C$384/(BA382+$C$384))</f>
        <v>0.48691099476439786</v>
      </c>
      <c r="BC387" s="1482"/>
      <c r="BD387" s="1377">
        <f>IF($D$341&gt;BC363,BD384/(BC382+BE382+BD384),$C$384/(BC382+$C$384))</f>
        <v>0.48691099476439786</v>
      </c>
      <c r="BE387" s="1482"/>
      <c r="BF387" s="1377">
        <f>IF($D$341&gt;BE363,BF384/(BE382+BG382+BF384),$C$384/(BE382+$C$384))</f>
        <v>0.48691099476439786</v>
      </c>
      <c r="BG387" s="1482"/>
      <c r="BH387" s="1377">
        <f>IF($D$341&gt;BG363,BH384/(BG382+BI382+BH384),$C$384/(BG382+$C$384))</f>
        <v>0.48691099476439786</v>
      </c>
      <c r="BI387" s="1482"/>
      <c r="BJ387" s="1377">
        <f>IF($D$341&gt;BI363,BJ384/(BI382+BK382+BJ384),$C$384/(BI382+$C$384))</f>
        <v>0.48691099476439786</v>
      </c>
      <c r="BK387" s="1482"/>
      <c r="BL387" s="1377">
        <f>IF($D$341&gt;BK363,BL384/(BK382+BM382+BL384),$C$384/(BK382+$C$384))</f>
        <v>0.48691099476439786</v>
      </c>
      <c r="BM387" s="1482"/>
      <c r="BN387" s="1377">
        <f>IF($D$341&gt;BM363,BN384/(BM382+BO382+BN384),$C$384/(BM382+$C$384))</f>
        <v>0.48691099476439786</v>
      </c>
      <c r="BO387" s="1482"/>
      <c r="BP387" s="1377">
        <f>IF($D$341&gt;BO363,BP384/(BO382+BQ382+BP384),$C$384/(BO382+$C$384))</f>
        <v>0.48691099476439786</v>
      </c>
      <c r="BQ387" s="1482"/>
      <c r="BR387" s="1377">
        <f>IF($D$341&gt;BQ363,BR384/(BQ382+BS382+BR384),$C$384/(BQ382+$C$384))</f>
        <v>0.48691099476439786</v>
      </c>
      <c r="BS387" s="1482"/>
      <c r="BT387" s="1377">
        <f>IF($D$341&gt;BS363,BT384/(BS382+BU382+BT384),$C$384/(BS382+$C$384))</f>
        <v>0.48691099476439786</v>
      </c>
      <c r="BU387" s="1482"/>
      <c r="BV387" s="1377">
        <f>IF($D$341&gt;BU363,BV384/(BU382+BW382+BV384),$C$384/(BU382+$C$384))</f>
        <v>0.48691099476439786</v>
      </c>
      <c r="BW387" s="1482"/>
      <c r="BX387" s="1377">
        <f>IF($D$341&gt;BW363,BX384/(BW382+BY382+BX384),$C$384/(BW382+$C$384))</f>
        <v>0.48691099476439786</v>
      </c>
      <c r="BY387" s="1482"/>
      <c r="BZ387" s="1377">
        <f>IF($D$341&gt;BY363,BZ384/(BY382+CA382+BZ384),$C$384/(BY382+$C$384))</f>
        <v>0.48691099476439786</v>
      </c>
      <c r="CA387" s="1482"/>
      <c r="CB387" s="1377">
        <f>IF($D$341&gt;CA363,CB384/(CA382+CC382+CB384),$C$384/(CA382+$C$384))</f>
        <v>0.48691099476439786</v>
      </c>
      <c r="CC387" s="1482"/>
      <c r="CD387" s="1377">
        <f>IF($D$341&gt;CC363,CD384/(CC382+CE382+CD384),$C$384/(CC382+$C$384))</f>
        <v>0.48691099476439786</v>
      </c>
    </row>
    <row r="388" spans="1:82">
      <c r="A388" s="1102" t="s">
        <v>1457</v>
      </c>
      <c r="C388" s="1378">
        <f>C384/(C384+C383)</f>
        <v>0.37406428065993824</v>
      </c>
      <c r="D388" s="1440">
        <f>IF($D$341&gt;C363,D384/(C383+E383+D384),$C$384/(C383+$C$384))</f>
        <v>0.11194625021259173</v>
      </c>
      <c r="E388" s="1378"/>
      <c r="F388" s="1377">
        <f>IF($D$341&gt;E363,F384/(E383+G383+F384),$C$384/(E383+$C$384))</f>
        <v>0.37406428065993824</v>
      </c>
      <c r="G388" s="1378"/>
      <c r="H388" s="1377">
        <f>IF($D$341&gt;G363,H384/(G383+I383+H384),$C$384/(G383+$C$384))</f>
        <v>0.37406428065993824</v>
      </c>
      <c r="I388" s="1378"/>
      <c r="J388" s="1377">
        <f>IF($D$341&gt;I363,J384/(I383+K383+J384),$C$384/(I383+$C$384))</f>
        <v>0.37406428065993824</v>
      </c>
      <c r="K388" s="1378"/>
      <c r="L388" s="1377">
        <f>IF($D$341&gt;K363,L384/(K383+M383+L384),$C$384/(K383+$C$384))</f>
        <v>0.37406428065993824</v>
      </c>
      <c r="M388" s="1378"/>
      <c r="N388" s="1377">
        <f>IF($D$341&gt;M363,N384/(M383+O383+N384),$C$384/(M383+$C$384))</f>
        <v>0.37406428065993824</v>
      </c>
      <c r="O388" s="1378"/>
      <c r="P388" s="1377">
        <f>IF($D$341&gt;O363,P384/(O383+Q383+P384),$C$384/(O383+$C$384))</f>
        <v>0.37406428065993824</v>
      </c>
      <c r="Q388" s="1378"/>
      <c r="R388" s="1377">
        <f>IF($D$341&gt;Q363,R384/(Q383+S383+R384),$C$384/(Q383+$C$384))</f>
        <v>0.37406428065993824</v>
      </c>
      <c r="S388" s="1378"/>
      <c r="T388" s="1377">
        <f>IF($D$341&gt;S363,T384/(S383+U383+T384),$C$384/(S383+$C$384))</f>
        <v>0.37406428065993824</v>
      </c>
      <c r="U388" s="1378"/>
      <c r="V388" s="1377">
        <f>IF($D$341&gt;U363,V384/(U383+W383+V384),$C$384/(U383+$C$384))</f>
        <v>0.37406428065993824</v>
      </c>
      <c r="W388" s="1378"/>
      <c r="X388" s="1377">
        <f>IF($D$341&gt;W363,X384/(W383+Y383+X384),$C$384/(W383+$C$384))</f>
        <v>0.37406428065993824</v>
      </c>
      <c r="Y388" s="1378"/>
      <c r="Z388" s="1377">
        <f>IF($D$341&gt;Y363,Z384/(Y383+AA383+Z384),$C$384/(Y383+$C$384))</f>
        <v>0.37406428065993824</v>
      </c>
      <c r="AA388" s="1378"/>
      <c r="AB388" s="1377">
        <f>IF($D$341&gt;AA363,AB384/(AA383+AC383+AB384),$C$384/(AA383+$C$384))</f>
        <v>0.37406428065993824</v>
      </c>
      <c r="AC388" s="1378"/>
      <c r="AD388" s="1377">
        <f>IF($D$341&gt;AC363,AD384/(AC383+AE383+AD384),$C$384/(AC383+$C$384))</f>
        <v>0.37406428065993824</v>
      </c>
      <c r="AE388" s="1378"/>
      <c r="AF388" s="1377">
        <f>IF($D$341&gt;AE363,AF384/(AE383+AG383+AF384),$C$384/(AE383+$C$384))</f>
        <v>0.37406428065993824</v>
      </c>
      <c r="AG388" s="1378"/>
      <c r="AH388" s="1377">
        <f>IF($D$341&gt;AG363,AH384/(AG383+AI383+AH384),$C$384/(AG383+$C$384))</f>
        <v>0.37406428065993824</v>
      </c>
      <c r="AI388" s="1378"/>
      <c r="AJ388" s="1377">
        <f>IF($D$341&gt;AI363,AJ384/(AI383+AK383+AJ384),$C$384/(AI383+$C$384))</f>
        <v>0.37406428065993824</v>
      </c>
      <c r="AK388" s="1378"/>
      <c r="AL388" s="1377">
        <f>IF($D$341&gt;AK363,AL384/(AK383+AM383+AL384),$C$384/(AK383+$C$384))</f>
        <v>0.37406428065993824</v>
      </c>
      <c r="AM388" s="1378"/>
      <c r="AN388" s="1377">
        <f>IF($D$341&gt;AM363,AN384/(AM383+AO383+AN384),$C$384/(AM383+$C$384))</f>
        <v>0.37406428065993824</v>
      </c>
      <c r="AO388" s="1378"/>
      <c r="AP388" s="1377">
        <f>IF($D$341&gt;AO363,AP384/(AO383+AQ383+AP384),$C$384/(AO383+$C$384))</f>
        <v>0.37406428065993824</v>
      </c>
      <c r="AQ388" s="1378"/>
      <c r="AR388" s="1377">
        <f>IF($D$341&gt;AQ363,AR384/(AQ383+AS383+AR384),$C$384/(AQ383+$C$384))</f>
        <v>0.37406428065993824</v>
      </c>
      <c r="AS388" s="1378"/>
      <c r="AT388" s="1377">
        <f>IF($D$341&gt;AS363,AT384/(AS383+AU383+AT384),$C$384/(AS383+$C$384))</f>
        <v>0.37406428065993824</v>
      </c>
      <c r="AU388" s="1378"/>
      <c r="AV388" s="1377">
        <f>IF($D$341&gt;AU363,AV384/(AU383+AW383+AV384),$C$384/(AU383+$C$384))</f>
        <v>0.37406428065993824</v>
      </c>
      <c r="AW388" s="1378"/>
      <c r="AX388" s="1377">
        <f>IF($D$341&gt;AW363,AX384/(AW383+AY383+AX384),$C$384/(AW383+$C$384))</f>
        <v>0.37406428065993824</v>
      </c>
      <c r="AY388" s="1378"/>
      <c r="AZ388" s="1377">
        <f>IF($D$341&gt;AY363,AZ384/(AY383+BA383+AZ384),$C$384/(AY383+$C$384))</f>
        <v>0.37406428065993824</v>
      </c>
      <c r="BA388" s="1378"/>
      <c r="BB388" s="1377">
        <f>IF($D$341&gt;BA363,BB384/(BA383+BC383+BB384),$C$384/(BA383+$C$384))</f>
        <v>0.37406428065993824</v>
      </c>
      <c r="BC388" s="1378"/>
      <c r="BD388" s="1377">
        <f>IF($D$341&gt;BC363,BD384/(BC383+BE383+BD384),$C$384/(BC383+$C$384))</f>
        <v>0.37406428065993824</v>
      </c>
      <c r="BE388" s="1378"/>
      <c r="BF388" s="1377">
        <f>IF($D$341&gt;BE363,BF384/(BE383+BG383+BF384),$C$384/(BE383+$C$384))</f>
        <v>0.37406428065993824</v>
      </c>
      <c r="BG388" s="1378"/>
      <c r="BH388" s="1377">
        <f>IF($D$341&gt;BG363,BH384/(BG383+BI383+BH384),$C$384/(BG383+$C$384))</f>
        <v>0.37406428065993824</v>
      </c>
      <c r="BI388" s="1378"/>
      <c r="BJ388" s="1377">
        <f>IF($D$341&gt;BI363,BJ384/(BI383+BK383+BJ384),$C$384/(BI383+$C$384))</f>
        <v>0.37406428065993824</v>
      </c>
      <c r="BK388" s="1378"/>
      <c r="BL388" s="1377">
        <f>IF($D$341&gt;BK363,BL384/(BK383+BM383+BL384),$C$384/(BK383+$C$384))</f>
        <v>0.37406428065993824</v>
      </c>
      <c r="BM388" s="1378"/>
      <c r="BN388" s="1377">
        <f>IF($D$341&gt;BM363,BN384/(BM383+BO383+BN384),$C$384/(BM383+$C$384))</f>
        <v>0.37406428065993824</v>
      </c>
      <c r="BO388" s="1378"/>
      <c r="BP388" s="1377">
        <f>IF($D$341&gt;BO363,BP384/(BO383+BQ383+BP384),$C$384/(BO383+$C$384))</f>
        <v>0.37406428065993824</v>
      </c>
      <c r="BQ388" s="1378"/>
      <c r="BR388" s="1377">
        <f>IF($D$341&gt;BQ363,BR384/(BQ383+BS383+BR384),$C$384/(BQ383+$C$384))</f>
        <v>0.37406428065993824</v>
      </c>
      <c r="BS388" s="1378"/>
      <c r="BT388" s="1377">
        <f>IF($D$341&gt;BS363,BT384/(BS383+BU383+BT384),$C$384/(BS383+$C$384))</f>
        <v>0.37406428065993824</v>
      </c>
      <c r="BU388" s="1378"/>
      <c r="BV388" s="1377">
        <f>IF($D$341&gt;BU363,BV384/(BU383+BW383+BV384),$C$384/(BU383+$C$384))</f>
        <v>0.37406428065993824</v>
      </c>
      <c r="BW388" s="1378"/>
      <c r="BX388" s="1377">
        <f>IF($D$341&gt;BW363,BX384/(BW383+BY383+BX384),$C$384/(BW383+$C$384))</f>
        <v>0.37406428065993824</v>
      </c>
      <c r="BY388" s="1378"/>
      <c r="BZ388" s="1377">
        <f>IF($D$341&gt;BY363,BZ384/(BY383+CA383+BZ384),$C$384/(BY383+$C$384))</f>
        <v>0.37406428065993824</v>
      </c>
      <c r="CA388" s="1378"/>
      <c r="CB388" s="1377">
        <f>IF($D$341&gt;CA363,CB384/(CA383+CC383+CB384),$C$384/(CA383+$C$384))</f>
        <v>0.37406428065993824</v>
      </c>
      <c r="CC388" s="1378"/>
      <c r="CD388" s="1377">
        <f>IF($D$341&gt;CC363,CD384/(CC383+CE383+CD384),$C$384/(CC383+$C$384))</f>
        <v>0.37406428065993824</v>
      </c>
    </row>
    <row r="389" spans="1:82">
      <c r="A389" s="364" t="s">
        <v>1455</v>
      </c>
      <c r="B389" s="60"/>
      <c r="C389" s="1435">
        <f>C383/(C384+C383)</f>
        <v>0.62593571934006187</v>
      </c>
      <c r="D389" s="1470">
        <f>IF($D$341&gt;C363,C383/(C383+D384+E383),C383/(C383+$C$384))</f>
        <v>0.44402687489370418</v>
      </c>
      <c r="E389" s="1435">
        <f>E383/(C383+D384+E383)</f>
        <v>0.44402687489370418</v>
      </c>
      <c r="F389" s="1436">
        <f>IF($D$341&gt;E363,E383/(E383+F384+G383),E383/(E383+$C$384))</f>
        <v>0.62593571934006187</v>
      </c>
      <c r="G389" s="1435">
        <f t="shared" ref="G389" si="886">G383/(E383+F384+G383)</f>
        <v>0.44402687489370418</v>
      </c>
      <c r="H389" s="1436">
        <f>IF($D$341&gt;G363,G383/(G383+H384+I383),G383/(G383+$C$384))</f>
        <v>0.62593571934006187</v>
      </c>
      <c r="I389" s="1435">
        <f t="shared" ref="I389" si="887">I383/(G383+H384+I383)</f>
        <v>0.38496953593843053</v>
      </c>
      <c r="J389" s="1436">
        <f>IF($D$341&gt;I363,I383/(I383+J384+K383),I383/(I383+$C$384))</f>
        <v>0.62593571934006187</v>
      </c>
      <c r="K389" s="1435">
        <f t="shared" ref="K389" si="888">K383/(I383+J384+K383)</f>
        <v>0.38496953593843053</v>
      </c>
      <c r="L389" s="1436">
        <f>IF($D$341&gt;K363,K383/(K383+L384+M383),K383/(K383+$C$384))</f>
        <v>0.62593571934006187</v>
      </c>
      <c r="M389" s="1435">
        <f t="shared" ref="M389" si="889">M383/(K383+L384+M383)</f>
        <v>0.38496953593843053</v>
      </c>
      <c r="N389" s="1436">
        <f>IF($D$341&gt;M363,M383/(M383+N384+O383),M383/(M383+$C$384))</f>
        <v>0.62593571934006187</v>
      </c>
      <c r="O389" s="1435">
        <f t="shared" ref="O389" si="890">O383/(M383+N384+O383)</f>
        <v>0.38496953593843053</v>
      </c>
      <c r="P389" s="1436">
        <f>IF($D$341&gt;O363,O383/(O383+P384+Q383),O383/(O383+$C$384))</f>
        <v>0.62593571934006187</v>
      </c>
      <c r="Q389" s="1435">
        <f t="shared" ref="Q389" si="891">Q383/(O383+P384+Q383)</f>
        <v>0.38496953593843053</v>
      </c>
      <c r="R389" s="1436">
        <f>IF($D$341&gt;Q363,Q383/(Q383+R384+S383),Q383/(Q383+$C$384))</f>
        <v>0.62593571934006187</v>
      </c>
      <c r="S389" s="1435">
        <f t="shared" ref="S389" si="892">S383/(Q383+R384+S383)</f>
        <v>0.38496953593843053</v>
      </c>
      <c r="T389" s="1436">
        <f>IF($D$341&gt;S363,S383/(S383+T384+U383),S383/(S383+$C$384))</f>
        <v>0.62593571934006187</v>
      </c>
      <c r="U389" s="1435">
        <f t="shared" ref="U389" si="893">U383/(S383+T384+U383)</f>
        <v>0.38496953593843053</v>
      </c>
      <c r="V389" s="1436">
        <f>IF($D$341&gt;U363,U383/(U383+V384+W383),U383/(U383+$C$384))</f>
        <v>0.62593571934006187</v>
      </c>
      <c r="W389" s="1435">
        <f t="shared" ref="W389" si="894">W383/(U383+V384+W383)</f>
        <v>0.38496953593843053</v>
      </c>
      <c r="X389" s="1436">
        <f>IF($D$341&gt;W363,W383/(W383+X384+Y383),W383/(W383+$C$384))</f>
        <v>0.62593571934006187</v>
      </c>
      <c r="Y389" s="1435">
        <f t="shared" ref="Y389" si="895">Y383/(W383+X384+Y383)</f>
        <v>0.38496953593843053</v>
      </c>
      <c r="Z389" s="1436">
        <f>IF($D$341&gt;Y363,Y383/(Y383+Z384+AA383),Y383/(Y383+$C$384))</f>
        <v>0.62593571934006187</v>
      </c>
      <c r="AA389" s="1435">
        <f t="shared" ref="AA389" si="896">AA383/(Y383+Z384+AA383)</f>
        <v>0.38496953593843053</v>
      </c>
      <c r="AB389" s="1436">
        <f>IF($D$341&gt;AA363,AA383/(AA383+AB384+AC383),AA383/(AA383+$C$384))</f>
        <v>0.62593571934006187</v>
      </c>
      <c r="AC389" s="1435">
        <f t="shared" ref="AC389" si="897">AC383/(AA383+AB384+AC383)</f>
        <v>0.38496953593843053</v>
      </c>
      <c r="AD389" s="1436">
        <f>IF($D$341&gt;AC363,AC383/(AC383+AD384+AE383),AC383/(AC383+$C$384))</f>
        <v>0.62593571934006187</v>
      </c>
      <c r="AE389" s="1435">
        <f t="shared" ref="AE389" si="898">AE383/(AC383+AD384+AE383)</f>
        <v>0.38496953593843053</v>
      </c>
      <c r="AF389" s="1436">
        <f>IF($D$341&gt;AE363,AE383/(AE383+AF384+AG383),AE383/(AE383+$C$384))</f>
        <v>0.62593571934006187</v>
      </c>
      <c r="AG389" s="1435">
        <f t="shared" ref="AG389" si="899">AG383/(AE383+AF384+AG383)</f>
        <v>0.38496953593843053</v>
      </c>
      <c r="AH389" s="1436">
        <f>IF($D$341&gt;AG363,AG383/(AG383+AH384+AI383),AG383/(AG383+$C$384))</f>
        <v>0.62593571934006187</v>
      </c>
      <c r="AI389" s="1435">
        <f t="shared" ref="AI389" si="900">AI383/(AG383+AH384+AI383)</f>
        <v>0.38496953593843053</v>
      </c>
      <c r="AJ389" s="1436">
        <f>IF($D$341&gt;AI363,AI383/(AI383+AJ384+AK383),AI383/(AI383+$C$384))</f>
        <v>0.62593571934006187</v>
      </c>
      <c r="AK389" s="1435">
        <f t="shared" ref="AK389" si="901">AK383/(AI383+AJ384+AK383)</f>
        <v>0.38496953593843053</v>
      </c>
      <c r="AL389" s="1436">
        <f>IF($D$341&gt;AK363,AK383/(AK383+AL384+AM383),AK383/(AK383+$C$384))</f>
        <v>0.62593571934006187</v>
      </c>
      <c r="AM389" s="1435">
        <f t="shared" ref="AM389" si="902">AM383/(AK383+AL384+AM383)</f>
        <v>0.38496953593843053</v>
      </c>
      <c r="AN389" s="1436">
        <f>IF($D$341&gt;AM363,AM383/(AM383+AN384+AO383),AM383/(AM383+$C$384))</f>
        <v>0.62593571934006187</v>
      </c>
      <c r="AO389" s="1435">
        <f t="shared" ref="AO389" si="903">AO383/(AM383+AN384+AO383)</f>
        <v>0.38496953593843053</v>
      </c>
      <c r="AP389" s="1436">
        <f>IF($D$341&gt;AO363,AO383/(AO383+AP384+AQ383),AO383/(AO383+$C$384))</f>
        <v>0.62593571934006187</v>
      </c>
      <c r="AQ389" s="1435">
        <f t="shared" ref="AQ389" si="904">AQ383/(AO383+AP384+AQ383)</f>
        <v>0.38496953593843053</v>
      </c>
      <c r="AR389" s="1436">
        <f>IF($D$341&gt;AQ363,AQ383/(AQ383+AR384+AS383),AQ383/(AQ383+$C$384))</f>
        <v>0.62593571934006187</v>
      </c>
      <c r="AS389" s="1435">
        <f t="shared" ref="AS389" si="905">AS383/(AQ383+AR384+AS383)</f>
        <v>0.38496953593843053</v>
      </c>
      <c r="AT389" s="1436">
        <f>IF($D$341&gt;AS363,AS383/(AS383+AT384+AU383),AS383/(AS383+$C$384))</f>
        <v>0.62593571934006187</v>
      </c>
      <c r="AU389" s="1435">
        <f t="shared" ref="AU389" si="906">AU383/(AS383+AT384+AU383)</f>
        <v>0.38496953593843053</v>
      </c>
      <c r="AV389" s="1436">
        <f>IF($D$341&gt;AU363,AU383/(AU383+AV384+AW383),AU383/(AU383+$C$384))</f>
        <v>0.62593571934006187</v>
      </c>
      <c r="AW389" s="1435">
        <f t="shared" ref="AW389" si="907">AW383/(AU383+AV384+AW383)</f>
        <v>0.38496953593843053</v>
      </c>
      <c r="AX389" s="1436">
        <f>IF($D$341&gt;AW363,AW383/(AW383+AX384+AY383),AW383/(AW383+$C$384))</f>
        <v>0.62593571934006187</v>
      </c>
      <c r="AY389" s="1435">
        <f t="shared" ref="AY389" si="908">AY383/(AW383+AX384+AY383)</f>
        <v>0.38496953593843053</v>
      </c>
      <c r="AZ389" s="1436">
        <f>IF($D$341&gt;AY363,AY383/(AY383+AZ384+BA383),AY383/(AY383+$C$384))</f>
        <v>0.62593571934006187</v>
      </c>
      <c r="BA389" s="1435">
        <f t="shared" ref="BA389" si="909">BA383/(AY383+AZ384+BA383)</f>
        <v>0.38496953593843053</v>
      </c>
      <c r="BB389" s="1436">
        <f>IF($D$341&gt;BA363,BA383/(BA383+BB384+BC383),BA383/(BA383+$C$384))</f>
        <v>0.62593571934006187</v>
      </c>
      <c r="BC389" s="1435">
        <f t="shared" ref="BC389" si="910">BC383/(BA383+BB384+BC383)</f>
        <v>0.38496953593843053</v>
      </c>
      <c r="BD389" s="1436">
        <f>IF($D$341&gt;BC363,BC383/(BC383+BD384+BE383),BC383/(BC383+$C$384))</f>
        <v>0.62593571934006187</v>
      </c>
      <c r="BE389" s="1435">
        <f t="shared" ref="BE389" si="911">BE383/(BC383+BD384+BE383)</f>
        <v>0.38496953593843053</v>
      </c>
      <c r="BF389" s="1436">
        <f>IF($D$341&gt;BE363,BE383/(BE383+BF384+BG383),BE383/(BE383+$C$384))</f>
        <v>0.62593571934006187</v>
      </c>
      <c r="BG389" s="1435">
        <f t="shared" ref="BG389" si="912">BG383/(BE383+BF384+BG383)</f>
        <v>0.38496953593843053</v>
      </c>
      <c r="BH389" s="1436">
        <f>IF($D$341&gt;BG363,BG383/(BG383+BH384+BI383),BG383/(BG383+$C$384))</f>
        <v>0.62593571934006187</v>
      </c>
      <c r="BI389" s="1435">
        <f t="shared" ref="BI389" si="913">BI383/(BG383+BH384+BI383)</f>
        <v>0.38496953593843053</v>
      </c>
      <c r="BJ389" s="1436">
        <f>IF($D$341&gt;BI363,BI383/(BI383+BJ384+BK383),BI383/(BI383+$C$384))</f>
        <v>0.62593571934006187</v>
      </c>
      <c r="BK389" s="1435">
        <f t="shared" ref="BK389" si="914">BK383/(BI383+BJ384+BK383)</f>
        <v>0.38496953593843053</v>
      </c>
      <c r="BL389" s="1436">
        <f>IF($D$341&gt;BK363,BK383/(BK383+BL384+BM383),BK383/(BK383+$C$384))</f>
        <v>0.62593571934006187</v>
      </c>
      <c r="BM389" s="1435">
        <f t="shared" ref="BM389" si="915">BM383/(BK383+BL384+BM383)</f>
        <v>0.38496953593843053</v>
      </c>
      <c r="BN389" s="1436">
        <f>IF($D$341&gt;BM363,BM383/(BM383+BN384+BO383),BM383/(BM383+$C$384))</f>
        <v>0.62593571934006187</v>
      </c>
      <c r="BO389" s="1435">
        <f t="shared" ref="BO389" si="916">BO383/(BM383+BN384+BO383)</f>
        <v>0.38496953593843053</v>
      </c>
      <c r="BP389" s="1436">
        <f>IF($D$341&gt;BO363,BO383/(BO383+BP384+BQ383),BO383/(BO383+$C$384))</f>
        <v>0.62593571934006187</v>
      </c>
      <c r="BQ389" s="1435">
        <f t="shared" ref="BQ389" si="917">BQ383/(BO383+BP384+BQ383)</f>
        <v>0.38496953593843053</v>
      </c>
      <c r="BR389" s="1436">
        <f>IF($D$341&gt;BQ363,BQ383/(BQ383+BR384+BS383),BQ383/(BQ383+$C$384))</f>
        <v>0.62593571934006187</v>
      </c>
      <c r="BS389" s="1435">
        <f t="shared" ref="BS389" si="918">BS383/(BQ383+BR384+BS383)</f>
        <v>0.38496953593843053</v>
      </c>
      <c r="BT389" s="1436">
        <f>IF($D$341&gt;BS363,BS383/(BS383+BT384+BU383),BS383/(BS383+$C$384))</f>
        <v>0.62593571934006187</v>
      </c>
      <c r="BU389" s="1435">
        <f t="shared" ref="BU389" si="919">BU383/(BS383+BT384+BU383)</f>
        <v>0.38496953593843053</v>
      </c>
      <c r="BV389" s="1436">
        <f>IF($D$341&gt;BU363,BU383/(BU383+BV384+BW383),BU383/(BU383+$C$384))</f>
        <v>0.62593571934006187</v>
      </c>
      <c r="BW389" s="1435">
        <f t="shared" ref="BW389" si="920">BW383/(BU383+BV384+BW383)</f>
        <v>0.38496953593843053</v>
      </c>
      <c r="BX389" s="1436">
        <f>IF($D$341&gt;BW363,BW383/(BW383+BX384+BY383),BW383/(BW383+$C$384))</f>
        <v>0.62593571934006187</v>
      </c>
      <c r="BY389" s="1435">
        <f t="shared" ref="BY389" si="921">BY383/(BW383+BX384+BY383)</f>
        <v>0.38496953593843053</v>
      </c>
      <c r="BZ389" s="1436">
        <f>IF($D$341&gt;BY363,BY383/(BY383+BZ384+CA383),BY383/(BY383+$C$384))</f>
        <v>0.62593571934006187</v>
      </c>
      <c r="CA389" s="1435">
        <f t="shared" ref="CA389" si="922">CA383/(BY383+BZ384+CA383)</f>
        <v>0.38496953593843053</v>
      </c>
      <c r="CB389" s="1436">
        <f>IF($D$341&gt;CA363,CA383/(CA383+CB384+CC383),CA383/(CA383+$C$384))</f>
        <v>0.62593571934006187</v>
      </c>
      <c r="CC389" s="1435">
        <f t="shared" ref="CC389" si="923">CC383/(CA383+CB384+CC383)</f>
        <v>0.38496953593843053</v>
      </c>
      <c r="CD389" s="1436">
        <f>IF($D$341&gt;CC363,CC383/(CC383+CD384+CE383),CC383/(CC383+$C$384))</f>
        <v>0.62593571934006187</v>
      </c>
    </row>
    <row r="391" spans="1:82">
      <c r="D391" s="115"/>
      <c r="F391" s="115"/>
    </row>
  </sheetData>
  <sheetProtection selectLockedCells="1"/>
  <mergeCells count="317">
    <mergeCell ref="L316:L318"/>
    <mergeCell ref="M317:N317"/>
    <mergeCell ref="L315:N315"/>
    <mergeCell ref="M316:N316"/>
    <mergeCell ref="L236:P236"/>
    <mergeCell ref="L237:L239"/>
    <mergeCell ref="M237:P237"/>
    <mergeCell ref="M238:N238"/>
    <mergeCell ref="O238:P238"/>
    <mergeCell ref="L290:P290"/>
    <mergeCell ref="L291:L293"/>
    <mergeCell ref="M291:P291"/>
    <mergeCell ref="M292:N292"/>
    <mergeCell ref="O292:P292"/>
    <mergeCell ref="BM370:BN370"/>
    <mergeCell ref="BO370:BP370"/>
    <mergeCell ref="BQ370:BR370"/>
    <mergeCell ref="BM382:BN382"/>
    <mergeCell ref="BO382:BP382"/>
    <mergeCell ref="CA382:CB382"/>
    <mergeCell ref="CC382:CD382"/>
    <mergeCell ref="BA368:BB368"/>
    <mergeCell ref="BC368:BD368"/>
    <mergeCell ref="BE368:BF368"/>
    <mergeCell ref="BG368:BH368"/>
    <mergeCell ref="BI368:BJ368"/>
    <mergeCell ref="BK368:BL368"/>
    <mergeCell ref="BI370:BJ370"/>
    <mergeCell ref="BK370:BL370"/>
    <mergeCell ref="BQ382:BR382"/>
    <mergeCell ref="BS382:BT382"/>
    <mergeCell ref="BU382:BV382"/>
    <mergeCell ref="BA382:BB382"/>
    <mergeCell ref="BC382:BD382"/>
    <mergeCell ref="BE382:BF382"/>
    <mergeCell ref="A232:A233"/>
    <mergeCell ref="B232:B233"/>
    <mergeCell ref="C232:C233"/>
    <mergeCell ref="D232:D233"/>
    <mergeCell ref="E232:I232"/>
    <mergeCell ref="CE382:CF382"/>
    <mergeCell ref="CG382:CH382"/>
    <mergeCell ref="BM368:BN368"/>
    <mergeCell ref="BO368:BP368"/>
    <mergeCell ref="BQ368:BR368"/>
    <mergeCell ref="BS368:BT368"/>
    <mergeCell ref="BU368:BV368"/>
    <mergeCell ref="BW368:BX368"/>
    <mergeCell ref="BY368:BZ368"/>
    <mergeCell ref="CA368:CB368"/>
    <mergeCell ref="CC368:CD368"/>
    <mergeCell ref="BU370:BV370"/>
    <mergeCell ref="BW370:BX370"/>
    <mergeCell ref="BY370:BZ370"/>
    <mergeCell ref="CA370:CB370"/>
    <mergeCell ref="CC370:CD370"/>
    <mergeCell ref="BW382:BX382"/>
    <mergeCell ref="BY382:BZ382"/>
    <mergeCell ref="BS370:BT370"/>
    <mergeCell ref="AI365:AJ365"/>
    <mergeCell ref="AK365:AL365"/>
    <mergeCell ref="AM365:AN365"/>
    <mergeCell ref="AO365:AP365"/>
    <mergeCell ref="AQ365:AR365"/>
    <mergeCell ref="W366:X366"/>
    <mergeCell ref="AI366:AJ366"/>
    <mergeCell ref="AK366:AL366"/>
    <mergeCell ref="A182:A183"/>
    <mergeCell ref="B182:B183"/>
    <mergeCell ref="C182:C183"/>
    <mergeCell ref="D182:D183"/>
    <mergeCell ref="E182:I182"/>
    <mergeCell ref="A317:A318"/>
    <mergeCell ref="B317:B318"/>
    <mergeCell ref="C317:C318"/>
    <mergeCell ref="D317:D318"/>
    <mergeCell ref="E317:I317"/>
    <mergeCell ref="A284:A285"/>
    <mergeCell ref="B284:B285"/>
    <mergeCell ref="C284:C285"/>
    <mergeCell ref="D284:D285"/>
    <mergeCell ref="E284:I284"/>
    <mergeCell ref="F203:G203"/>
    <mergeCell ref="BC364:BD364"/>
    <mergeCell ref="BE364:BF364"/>
    <mergeCell ref="BG364:BH364"/>
    <mergeCell ref="AO364:AP364"/>
    <mergeCell ref="AQ364:AR364"/>
    <mergeCell ref="AS364:AT364"/>
    <mergeCell ref="AU364:AV364"/>
    <mergeCell ref="AW364:AX364"/>
    <mergeCell ref="Q364:R364"/>
    <mergeCell ref="S364:T364"/>
    <mergeCell ref="AE364:AF364"/>
    <mergeCell ref="AG364:AH364"/>
    <mergeCell ref="AI364:AJ364"/>
    <mergeCell ref="AK364:AL364"/>
    <mergeCell ref="AM364:AN364"/>
    <mergeCell ref="U364:V364"/>
    <mergeCell ref="W364:X364"/>
    <mergeCell ref="Y364:Z364"/>
    <mergeCell ref="AA364:AB364"/>
    <mergeCell ref="AC364:AD364"/>
    <mergeCell ref="AY364:AZ364"/>
    <mergeCell ref="BA364:BB364"/>
    <mergeCell ref="K364:L364"/>
    <mergeCell ref="M364:N364"/>
    <mergeCell ref="O364:P364"/>
    <mergeCell ref="O370:P370"/>
    <mergeCell ref="K368:L368"/>
    <mergeCell ref="M368:N368"/>
    <mergeCell ref="O368:P368"/>
    <mergeCell ref="K366:L366"/>
    <mergeCell ref="M366:N366"/>
    <mergeCell ref="O366:P366"/>
    <mergeCell ref="K365:L365"/>
    <mergeCell ref="M365:N365"/>
    <mergeCell ref="O365:P365"/>
    <mergeCell ref="K370:L370"/>
    <mergeCell ref="M370:N370"/>
    <mergeCell ref="E364:F364"/>
    <mergeCell ref="C370:D370"/>
    <mergeCell ref="G364:H364"/>
    <mergeCell ref="I364:J364"/>
    <mergeCell ref="E365:F365"/>
    <mergeCell ref="G365:H365"/>
    <mergeCell ref="I365:J365"/>
    <mergeCell ref="E382:F382"/>
    <mergeCell ref="G382:H382"/>
    <mergeCell ref="I382:J382"/>
    <mergeCell ref="E366:F366"/>
    <mergeCell ref="G366:H366"/>
    <mergeCell ref="I366:J366"/>
    <mergeCell ref="E370:F370"/>
    <mergeCell ref="G370:H370"/>
    <mergeCell ref="I370:J370"/>
    <mergeCell ref="E368:F368"/>
    <mergeCell ref="G368:H368"/>
    <mergeCell ref="I368:J368"/>
    <mergeCell ref="C364:D364"/>
    <mergeCell ref="C365:D365"/>
    <mergeCell ref="C366:D366"/>
    <mergeCell ref="C368:D368"/>
    <mergeCell ref="C382:D382"/>
    <mergeCell ref="CC364:CD364"/>
    <mergeCell ref="BS364:BT364"/>
    <mergeCell ref="BU364:BV364"/>
    <mergeCell ref="BW364:BX364"/>
    <mergeCell ref="BY364:BZ364"/>
    <mergeCell ref="CA364:CB364"/>
    <mergeCell ref="BI364:BJ364"/>
    <mergeCell ref="BK364:BL364"/>
    <mergeCell ref="BM364:BN364"/>
    <mergeCell ref="BO364:BP364"/>
    <mergeCell ref="BQ364:BR364"/>
    <mergeCell ref="Q368:R368"/>
    <mergeCell ref="S368:T368"/>
    <mergeCell ref="U368:V368"/>
    <mergeCell ref="W368:X368"/>
    <mergeCell ref="Y368:Z368"/>
    <mergeCell ref="Q366:R366"/>
    <mergeCell ref="S366:T366"/>
    <mergeCell ref="U366:V366"/>
    <mergeCell ref="Q370:R370"/>
    <mergeCell ref="S370:T370"/>
    <mergeCell ref="U370:V370"/>
    <mergeCell ref="W370:X370"/>
    <mergeCell ref="Y370:Z370"/>
    <mergeCell ref="Q365:R365"/>
    <mergeCell ref="S365:T365"/>
    <mergeCell ref="U365:V365"/>
    <mergeCell ref="W365:X365"/>
    <mergeCell ref="Y365:Z365"/>
    <mergeCell ref="AA365:AB365"/>
    <mergeCell ref="AC365:AD365"/>
    <mergeCell ref="AE365:AF365"/>
    <mergeCell ref="AG365:AH365"/>
    <mergeCell ref="BW365:BX365"/>
    <mergeCell ref="BY365:BZ365"/>
    <mergeCell ref="CA365:CB365"/>
    <mergeCell ref="CC365:CD365"/>
    <mergeCell ref="Y366:Z366"/>
    <mergeCell ref="AA366:AB366"/>
    <mergeCell ref="AC366:AD366"/>
    <mergeCell ref="AE366:AF366"/>
    <mergeCell ref="AG366:AH366"/>
    <mergeCell ref="BW366:BX366"/>
    <mergeCell ref="BY366:BZ366"/>
    <mergeCell ref="CA366:CB366"/>
    <mergeCell ref="CC366:CD366"/>
    <mergeCell ref="BM365:BN365"/>
    <mergeCell ref="BO365:BP365"/>
    <mergeCell ref="BQ365:BR365"/>
    <mergeCell ref="BS365:BT365"/>
    <mergeCell ref="BU365:BV365"/>
    <mergeCell ref="BC365:BD365"/>
    <mergeCell ref="BE365:BF365"/>
    <mergeCell ref="BG365:BH365"/>
    <mergeCell ref="BI365:BJ365"/>
    <mergeCell ref="BK365:BL365"/>
    <mergeCell ref="AS365:AT365"/>
    <mergeCell ref="BQ366:BR366"/>
    <mergeCell ref="BS366:BT366"/>
    <mergeCell ref="BU366:BV366"/>
    <mergeCell ref="BC366:BD366"/>
    <mergeCell ref="BE366:BF366"/>
    <mergeCell ref="BG366:BH366"/>
    <mergeCell ref="BM366:BN366"/>
    <mergeCell ref="BO366:BP366"/>
    <mergeCell ref="AU365:AV365"/>
    <mergeCell ref="AW365:AX365"/>
    <mergeCell ref="AY365:AZ365"/>
    <mergeCell ref="BA365:BB365"/>
    <mergeCell ref="AS382:AT382"/>
    <mergeCell ref="AU382:AV382"/>
    <mergeCell ref="BG382:BH382"/>
    <mergeCell ref="BI382:BJ382"/>
    <mergeCell ref="BK382:BL382"/>
    <mergeCell ref="BI366:BJ366"/>
    <mergeCell ref="BK366:BL366"/>
    <mergeCell ref="AS366:AT366"/>
    <mergeCell ref="AU366:AV366"/>
    <mergeCell ref="AY370:AZ370"/>
    <mergeCell ref="BA370:BB370"/>
    <mergeCell ref="BC370:BD370"/>
    <mergeCell ref="BE370:BF370"/>
    <mergeCell ref="BG370:BH370"/>
    <mergeCell ref="AY366:AZ366"/>
    <mergeCell ref="BA366:BB366"/>
    <mergeCell ref="AW382:AX382"/>
    <mergeCell ref="AY382:AZ382"/>
    <mergeCell ref="AS368:AT368"/>
    <mergeCell ref="AU368:AV368"/>
    <mergeCell ref="AW368:AX368"/>
    <mergeCell ref="AY368:AZ368"/>
    <mergeCell ref="AS370:AT370"/>
    <mergeCell ref="AU370:AV370"/>
    <mergeCell ref="AG383:AH383"/>
    <mergeCell ref="AI383:AJ383"/>
    <mergeCell ref="AK383:AL383"/>
    <mergeCell ref="AM383:AN383"/>
    <mergeCell ref="K382:L382"/>
    <mergeCell ref="M382:N382"/>
    <mergeCell ref="O382:P382"/>
    <mergeCell ref="Q382:R382"/>
    <mergeCell ref="S382:T382"/>
    <mergeCell ref="U382:V382"/>
    <mergeCell ref="U383:V383"/>
    <mergeCell ref="W383:X383"/>
    <mergeCell ref="Y383:Z383"/>
    <mergeCell ref="AA383:AB383"/>
    <mergeCell ref="AC383:AD383"/>
    <mergeCell ref="AE383:AF383"/>
    <mergeCell ref="AM382:AN382"/>
    <mergeCell ref="AE382:AF382"/>
    <mergeCell ref="AG382:AH382"/>
    <mergeCell ref="AI382:AJ382"/>
    <mergeCell ref="AK382:AL382"/>
    <mergeCell ref="W382:X382"/>
    <mergeCell ref="Y382:Z382"/>
    <mergeCell ref="AO382:AP382"/>
    <mergeCell ref="AQ382:AR382"/>
    <mergeCell ref="AO370:AP370"/>
    <mergeCell ref="AA368:AB368"/>
    <mergeCell ref="AC368:AD368"/>
    <mergeCell ref="AE368:AF368"/>
    <mergeCell ref="AG368:AH368"/>
    <mergeCell ref="AI368:AJ368"/>
    <mergeCell ref="AA370:AB370"/>
    <mergeCell ref="AC370:AD370"/>
    <mergeCell ref="AA382:AB382"/>
    <mergeCell ref="AC382:AD382"/>
    <mergeCell ref="AW370:AX370"/>
    <mergeCell ref="AE370:AF370"/>
    <mergeCell ref="AG370:AH370"/>
    <mergeCell ref="AI370:AJ370"/>
    <mergeCell ref="AW366:AX366"/>
    <mergeCell ref="AM366:AN366"/>
    <mergeCell ref="AO366:AP366"/>
    <mergeCell ref="AQ366:AR366"/>
    <mergeCell ref="AK370:AL370"/>
    <mergeCell ref="AM370:AN370"/>
    <mergeCell ref="AQ370:AR370"/>
    <mergeCell ref="AK368:AL368"/>
    <mergeCell ref="AM368:AN368"/>
    <mergeCell ref="AO368:AP368"/>
    <mergeCell ref="AQ368:AR368"/>
    <mergeCell ref="C383:D383"/>
    <mergeCell ref="E383:F383"/>
    <mergeCell ref="G383:H383"/>
    <mergeCell ref="I383:J383"/>
    <mergeCell ref="K383:L383"/>
    <mergeCell ref="M383:N383"/>
    <mergeCell ref="O383:P383"/>
    <mergeCell ref="Q383:R383"/>
    <mergeCell ref="S383:T383"/>
    <mergeCell ref="AY383:AZ383"/>
    <mergeCell ref="BA383:BB383"/>
    <mergeCell ref="BC383:BD383"/>
    <mergeCell ref="BE383:BF383"/>
    <mergeCell ref="BG383:BH383"/>
    <mergeCell ref="AO383:AP383"/>
    <mergeCell ref="AQ383:AR383"/>
    <mergeCell ref="AS383:AT383"/>
    <mergeCell ref="AU383:AV383"/>
    <mergeCell ref="AW383:AX383"/>
    <mergeCell ref="CC383:CD383"/>
    <mergeCell ref="BS383:BT383"/>
    <mergeCell ref="BU383:BV383"/>
    <mergeCell ref="BW383:BX383"/>
    <mergeCell ref="BY383:BZ383"/>
    <mergeCell ref="CA383:CB383"/>
    <mergeCell ref="BI383:BJ383"/>
    <mergeCell ref="BK383:BL383"/>
    <mergeCell ref="BM383:BN383"/>
    <mergeCell ref="BO383:BP383"/>
    <mergeCell ref="BQ383:BR383"/>
  </mergeCells>
  <phoneticPr fontId="13" type="noConversion"/>
  <printOptions horizontalCentered="1"/>
  <pageMargins left="0.75" right="0.75" top="1" bottom="1" header="0.5" footer="0.5"/>
  <pageSetup paperSize="9" orientation="portrait" horizontalDpi="4294967293" verticalDpi="300" r:id="rId1"/>
  <headerFooter alignWithMargins="0">
    <oddFooter>&amp;C&amp;F       &amp;A   &amp;P of &amp;N</oddFooter>
  </headerFooter>
  <rowBreaks count="6" manualBreakCount="6">
    <brk id="44" max="9" man="1"/>
    <brk id="95" max="9" man="1"/>
    <brk id="148" max="9" man="1"/>
    <brk id="192" max="9" man="1"/>
    <brk id="242" max="9" man="1"/>
    <brk id="294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4"/>
  <dimension ref="A1:FF288"/>
  <sheetViews>
    <sheetView workbookViewId="0">
      <selection activeCell="E29" sqref="E29"/>
    </sheetView>
  </sheetViews>
  <sheetFormatPr defaultRowHeight="12.75"/>
  <sheetData>
    <row r="1" spans="1:82" ht="15.75">
      <c r="A1" s="1493" t="s">
        <v>1469</v>
      </c>
      <c r="B1" s="1494"/>
      <c r="C1" s="1494"/>
      <c r="D1" s="1494"/>
      <c r="E1" s="144"/>
      <c r="I1" s="144" t="s">
        <v>1430</v>
      </c>
    </row>
    <row r="2" spans="1:82">
      <c r="M2" s="187" t="s">
        <v>742</v>
      </c>
      <c r="Q2" s="191" t="s">
        <v>743</v>
      </c>
    </row>
    <row r="3" spans="1:82">
      <c r="A3" s="187" t="s">
        <v>1415</v>
      </c>
      <c r="C3" s="1489">
        <f>Barrel!C12</f>
        <v>2</v>
      </c>
      <c r="I3" t="s">
        <v>1431</v>
      </c>
      <c r="Q3" s="17" t="s">
        <v>1432</v>
      </c>
    </row>
    <row r="4" spans="1:82">
      <c r="A4" s="46"/>
      <c r="B4" s="46"/>
      <c r="C4" s="46"/>
      <c r="D4" s="46"/>
      <c r="E4" s="46"/>
      <c r="F4" s="224"/>
      <c r="G4" s="307"/>
      <c r="I4" t="s">
        <v>1433</v>
      </c>
      <c r="M4" t="s">
        <v>1434</v>
      </c>
      <c r="N4" s="33"/>
      <c r="O4" s="187"/>
    </row>
    <row r="5" spans="1:82" ht="13.5" thickBot="1">
      <c r="A5" s="46"/>
      <c r="B5" s="46"/>
      <c r="C5" s="46"/>
      <c r="D5" s="46"/>
      <c r="E5" s="46"/>
      <c r="F5" s="224"/>
      <c r="G5" s="46"/>
      <c r="K5" s="1426"/>
    </row>
    <row r="6" spans="1:82" ht="13.5" thickBot="1">
      <c r="A6" s="46"/>
      <c r="B6" s="46"/>
      <c r="C6" s="46"/>
      <c r="D6" s="46"/>
      <c r="E6" s="46"/>
      <c r="F6" s="143"/>
      <c r="G6" s="46"/>
      <c r="J6" s="1505" t="s">
        <v>1485</v>
      </c>
      <c r="K6" s="1426"/>
    </row>
    <row r="7" spans="1:82">
      <c r="A7" s="46"/>
      <c r="B7" s="46"/>
      <c r="C7" s="46"/>
      <c r="D7" s="46"/>
      <c r="E7" s="46"/>
      <c r="F7" s="143"/>
      <c r="G7" s="46"/>
    </row>
    <row r="10" spans="1:82">
      <c r="A10" s="1501"/>
      <c r="B10" s="1502" t="s">
        <v>1389</v>
      </c>
      <c r="C10" s="3186">
        <f>IF($C$3&gt;=Barrel!C363,Barrel!C363,"")</f>
        <v>1</v>
      </c>
      <c r="D10" s="3187"/>
      <c r="E10" s="3186">
        <f>IF($C$3&gt;=Barrel!E363,Barrel!E363,"")</f>
        <v>2</v>
      </c>
      <c r="F10" s="3187"/>
      <c r="G10" s="3186" t="str">
        <f>IF($C$3&gt;=Barrel!G363,Barrel!G363,"")</f>
        <v/>
      </c>
      <c r="H10" s="3187"/>
      <c r="I10" s="3186" t="str">
        <f>IF($C$3&gt;=Barrel!I363,Barrel!I363,"")</f>
        <v/>
      </c>
      <c r="J10" s="3187"/>
      <c r="K10" s="3186" t="str">
        <f>IF($C$3&gt;=Barrel!K363,Barrel!K363,"")</f>
        <v/>
      </c>
      <c r="L10" s="3187"/>
      <c r="M10" s="3186" t="str">
        <f>IF($C$3&gt;=Barrel!M363,Barrel!M363,"")</f>
        <v/>
      </c>
      <c r="N10" s="3187"/>
      <c r="O10" s="3186" t="str">
        <f>IF($C$3&gt;=Barrel!O363,Barrel!O363,"")</f>
        <v/>
      </c>
      <c r="P10" s="3187"/>
      <c r="Q10" s="3186" t="str">
        <f>IF($C$3&gt;=Barrel!Q363,Barrel!Q363,"")</f>
        <v/>
      </c>
      <c r="R10" s="3187"/>
      <c r="S10" s="3186" t="str">
        <f>IF($C$3&gt;=Barrel!S363,Barrel!S363,"")</f>
        <v/>
      </c>
      <c r="T10" s="3187"/>
      <c r="U10" s="3186" t="str">
        <f>IF($C$3&gt;=Barrel!U363,Barrel!U363,"")</f>
        <v/>
      </c>
      <c r="V10" s="3187"/>
      <c r="W10" s="3186" t="str">
        <f>IF($C$3&gt;=Barrel!W363,Barrel!W363,"")</f>
        <v/>
      </c>
      <c r="X10" s="3187"/>
      <c r="Y10" s="3186" t="str">
        <f>IF($C$3&gt;=Barrel!Y363,Barrel!Y363,"")</f>
        <v/>
      </c>
      <c r="Z10" s="3187"/>
      <c r="AA10" s="3186" t="str">
        <f>IF($C$3&gt;=Barrel!AA363,Barrel!AA363,"")</f>
        <v/>
      </c>
      <c r="AB10" s="3187"/>
      <c r="AC10" s="3186" t="str">
        <f>IF($C$3&gt;=Barrel!AC363,Barrel!AC363,"")</f>
        <v/>
      </c>
      <c r="AD10" s="3187"/>
      <c r="AE10" s="3186" t="str">
        <f>IF($C$3&gt;=Barrel!AE363,Barrel!AE363,"")</f>
        <v/>
      </c>
      <c r="AF10" s="3187"/>
      <c r="AG10" s="3186" t="str">
        <f>IF($C$3&gt;=Barrel!AG363,Barrel!AG363,"")</f>
        <v/>
      </c>
      <c r="AH10" s="3187"/>
      <c r="AI10" s="3186" t="str">
        <f>IF($C$3&gt;=Barrel!AI363,Barrel!AI363,"")</f>
        <v/>
      </c>
      <c r="AJ10" s="3187"/>
      <c r="AK10" s="3186" t="str">
        <f>IF($C$3&gt;=Barrel!AK363,Barrel!AK363,"")</f>
        <v/>
      </c>
      <c r="AL10" s="3187"/>
      <c r="AM10" s="3186" t="str">
        <f>IF($C$3&gt;=Barrel!AM363,Barrel!AM363,"")</f>
        <v/>
      </c>
      <c r="AN10" s="3187"/>
      <c r="AO10" s="3186" t="str">
        <f>IF($C$3&gt;=Barrel!AO363,Barrel!AO363,"")</f>
        <v/>
      </c>
      <c r="AP10" s="3187"/>
      <c r="AQ10" s="3186" t="str">
        <f>IF($C$3&gt;=Barrel!AQ363,Barrel!AQ363,"")</f>
        <v/>
      </c>
      <c r="AR10" s="3187"/>
      <c r="AS10" s="3186" t="str">
        <f>IF($C$3&gt;=Barrel!AS363,Barrel!AS363,"")</f>
        <v/>
      </c>
      <c r="AT10" s="3187"/>
      <c r="AU10" s="3186" t="str">
        <f>IF($C$3&gt;=Barrel!AU363,Barrel!AU363,"")</f>
        <v/>
      </c>
      <c r="AV10" s="3187"/>
      <c r="AW10" s="3186" t="str">
        <f>IF($C$3&gt;=Barrel!AW363,Barrel!AW363,"")</f>
        <v/>
      </c>
      <c r="AX10" s="3187"/>
      <c r="AY10" s="3186" t="str">
        <f>IF($C$3&gt;=Barrel!AY363,Barrel!AY363,"")</f>
        <v/>
      </c>
      <c r="AZ10" s="3187"/>
      <c r="BA10" s="3186" t="str">
        <f>IF($C$3&gt;=Barrel!BA363,Barrel!BA363,"")</f>
        <v/>
      </c>
      <c r="BB10" s="3187"/>
      <c r="BC10" s="3186" t="str">
        <f>IF($C$3&gt;=Barrel!BC363,Barrel!BC363,"")</f>
        <v/>
      </c>
      <c r="BD10" s="3187"/>
      <c r="BE10" s="3186" t="str">
        <f>IF($C$3&gt;=Barrel!BE363,Barrel!BE363,"")</f>
        <v/>
      </c>
      <c r="BF10" s="3187"/>
      <c r="BG10" s="3186" t="str">
        <f>IF($C$3&gt;=Barrel!BG363,Barrel!BG363,"")</f>
        <v/>
      </c>
      <c r="BH10" s="3187"/>
      <c r="BI10" s="3186" t="str">
        <f>IF($C$3&gt;=Barrel!BI363,Barrel!BI363,"")</f>
        <v/>
      </c>
      <c r="BJ10" s="3187"/>
      <c r="BK10" s="3186" t="str">
        <f>IF($C$3&gt;=Barrel!BK363,Barrel!BK363,"")</f>
        <v/>
      </c>
      <c r="BL10" s="3187"/>
      <c r="BM10" s="3186" t="str">
        <f>IF($C$3&gt;=Barrel!BM363,Barrel!BM363,"")</f>
        <v/>
      </c>
      <c r="BN10" s="3187"/>
      <c r="BO10" s="3186" t="str">
        <f>IF($C$3&gt;=Barrel!BO363,Barrel!BO363,"")</f>
        <v/>
      </c>
      <c r="BP10" s="3187"/>
      <c r="BQ10" s="3186" t="str">
        <f>IF($C$3&gt;=Barrel!BQ363,Barrel!BQ363,"")</f>
        <v/>
      </c>
      <c r="BR10" s="3187"/>
      <c r="BS10" s="3186" t="str">
        <f>IF($C$3&gt;=Barrel!BS363,Barrel!BS363,"")</f>
        <v/>
      </c>
      <c r="BT10" s="3187"/>
      <c r="BU10" s="3186" t="str">
        <f>IF($C$3&gt;=Barrel!BU363,Barrel!BU363,"")</f>
        <v/>
      </c>
      <c r="BV10" s="3187"/>
      <c r="BW10" s="3186" t="str">
        <f>IF($C$3&gt;=Barrel!BW363,Barrel!BW363,"")</f>
        <v/>
      </c>
      <c r="BX10" s="3187"/>
      <c r="BY10" s="3186" t="str">
        <f>IF($C$3&gt;=Barrel!BY363,Barrel!BY363,"")</f>
        <v/>
      </c>
      <c r="BZ10" s="3187"/>
      <c r="CA10" s="3186" t="str">
        <f>IF($C$3&gt;=Barrel!CA363,Barrel!CA363,"")</f>
        <v/>
      </c>
      <c r="CB10" s="3187"/>
      <c r="CC10" s="3186" t="str">
        <f>IF($C$3&gt;=Barrel!CC363,Barrel!CC363,"")</f>
        <v/>
      </c>
      <c r="CD10" s="3187"/>
    </row>
    <row r="11" spans="1:82">
      <c r="A11" s="1379"/>
      <c r="B11" s="268" t="s">
        <v>1390</v>
      </c>
      <c r="C11" s="3184">
        <f>IF(C10="","",Barrel!C364)</f>
        <v>2.3249999999999997</v>
      </c>
      <c r="D11" s="3185"/>
      <c r="E11" s="3184">
        <f>IF(E10="","",Barrel!E364)</f>
        <v>2.3249999999999997</v>
      </c>
      <c r="F11" s="3185"/>
      <c r="G11" s="3188" t="str">
        <f>IF(G10="","",Barrel!G364)</f>
        <v/>
      </c>
      <c r="H11" s="3185"/>
      <c r="I11" s="3184" t="str">
        <f>IF(I10="","",Barrel!I364)</f>
        <v/>
      </c>
      <c r="J11" s="3185"/>
      <c r="K11" s="3184" t="str">
        <f>IF(K10="","",Barrel!K364)</f>
        <v/>
      </c>
      <c r="L11" s="3185"/>
      <c r="M11" s="3184" t="str">
        <f>IF(M10="","",Barrel!M364)</f>
        <v/>
      </c>
      <c r="N11" s="3185"/>
      <c r="O11" s="3184" t="str">
        <f>IF(O10="","",Barrel!O364)</f>
        <v/>
      </c>
      <c r="P11" s="3185"/>
      <c r="Q11" s="3184" t="str">
        <f>IF(Q10="","",Barrel!Q364)</f>
        <v/>
      </c>
      <c r="R11" s="3185"/>
      <c r="S11" s="3184" t="str">
        <f>IF(S10="","",Barrel!S364)</f>
        <v/>
      </c>
      <c r="T11" s="3185"/>
      <c r="U11" s="3184" t="str">
        <f>IF(U10="","",Barrel!U364)</f>
        <v/>
      </c>
      <c r="V11" s="3185"/>
      <c r="W11" s="3184" t="str">
        <f>IF(W10="","",Barrel!W364)</f>
        <v/>
      </c>
      <c r="X11" s="3185"/>
      <c r="Y11" s="3184" t="str">
        <f>IF(Y10="","",Barrel!Y364)</f>
        <v/>
      </c>
      <c r="Z11" s="3185"/>
      <c r="AA11" s="3184" t="str">
        <f>IF(AA10="","",Barrel!AA364)</f>
        <v/>
      </c>
      <c r="AB11" s="3185"/>
      <c r="AC11" s="3184" t="str">
        <f>IF(AC10="","",Barrel!AC364)</f>
        <v/>
      </c>
      <c r="AD11" s="3185"/>
      <c r="AE11" s="3184" t="str">
        <f>IF(AE10="","",Barrel!AE364)</f>
        <v/>
      </c>
      <c r="AF11" s="3185"/>
      <c r="AG11" s="3184" t="str">
        <f>IF(AG10="","",Barrel!AG364)</f>
        <v/>
      </c>
      <c r="AH11" s="3185"/>
      <c r="AI11" s="3184" t="str">
        <f>IF(AI10="","",Barrel!AI364)</f>
        <v/>
      </c>
      <c r="AJ11" s="3185"/>
      <c r="AK11" s="3184" t="str">
        <f>IF(AK10="","",Barrel!AK364)</f>
        <v/>
      </c>
      <c r="AL11" s="3185"/>
      <c r="AM11" s="3184" t="str">
        <f>IF(AM10="","",Barrel!AM364)</f>
        <v/>
      </c>
      <c r="AN11" s="3185"/>
      <c r="AO11" s="3184" t="str">
        <f>IF(AO10="","",Barrel!AO364)</f>
        <v/>
      </c>
      <c r="AP11" s="3185"/>
      <c r="AQ11" s="3184" t="str">
        <f>IF(AQ10="","",Barrel!AQ364)</f>
        <v/>
      </c>
      <c r="AR11" s="3185"/>
      <c r="AS11" s="3184" t="str">
        <f>IF(AS10="","",Barrel!AS364)</f>
        <v/>
      </c>
      <c r="AT11" s="3185"/>
      <c r="AU11" s="3184" t="str">
        <f>IF(AU10="","",Barrel!AU364)</f>
        <v/>
      </c>
      <c r="AV11" s="3185"/>
      <c r="AW11" s="3184" t="str">
        <f>IF(AW10="","",Barrel!AW364)</f>
        <v/>
      </c>
      <c r="AX11" s="3185"/>
      <c r="AY11" s="3184" t="str">
        <f>IF(AY10="","",Barrel!AY364)</f>
        <v/>
      </c>
      <c r="AZ11" s="3185"/>
      <c r="BA11" s="3184" t="str">
        <f>IF(BA10="","",Barrel!BA364)</f>
        <v/>
      </c>
      <c r="BB11" s="3185"/>
      <c r="BC11" s="3184" t="str">
        <f>IF(BC10="","",Barrel!BC364)</f>
        <v/>
      </c>
      <c r="BD11" s="3185"/>
      <c r="BE11" s="3184" t="str">
        <f>IF(BE10="","",Barrel!BE364)</f>
        <v/>
      </c>
      <c r="BF11" s="3185"/>
      <c r="BG11" s="3184" t="str">
        <f>IF(BG10="","",Barrel!BG364)</f>
        <v/>
      </c>
      <c r="BH11" s="3185"/>
      <c r="BI11" s="3184" t="str">
        <f>IF(BI10="","",Barrel!BI364)</f>
        <v/>
      </c>
      <c r="BJ11" s="3185"/>
      <c r="BK11" s="3184" t="str">
        <f>IF(BK10="","",Barrel!BK364)</f>
        <v/>
      </c>
      <c r="BL11" s="3185"/>
      <c r="BM11" s="3184" t="str">
        <f>IF(BM10="","",Barrel!BM364)</f>
        <v/>
      </c>
      <c r="BN11" s="3185"/>
      <c r="BO11" s="3184" t="str">
        <f>IF(BO10="","",Barrel!BO364)</f>
        <v/>
      </c>
      <c r="BP11" s="3185"/>
      <c r="BQ11" s="3184" t="str">
        <f>IF(BQ10="","",Barrel!BQ364)</f>
        <v/>
      </c>
      <c r="BR11" s="3185"/>
      <c r="BS11" s="3184" t="str">
        <f>IF(BS10="","",Barrel!BS364)</f>
        <v/>
      </c>
      <c r="BT11" s="3185"/>
      <c r="BU11" s="3184" t="str">
        <f>IF(BU10="","",Barrel!BU364)</f>
        <v/>
      </c>
      <c r="BV11" s="3185"/>
      <c r="BW11" s="3184" t="str">
        <f>IF(BW10="","",Barrel!BW364)</f>
        <v/>
      </c>
      <c r="BX11" s="3185"/>
      <c r="BY11" s="3184" t="str">
        <f>IF(BY10="","",Barrel!BY364)</f>
        <v/>
      </c>
      <c r="BZ11" s="3185"/>
      <c r="CA11" s="3184" t="str">
        <f>IF(CA10="","",Barrel!CA364)</f>
        <v/>
      </c>
      <c r="CB11" s="3185"/>
      <c r="CC11" s="3184" t="str">
        <f>IF(CC10="","",Barrel!CC364)</f>
        <v/>
      </c>
      <c r="CD11" s="3185"/>
    </row>
    <row r="12" spans="1:82">
      <c r="A12" s="1379"/>
      <c r="B12" s="259" t="s">
        <v>1443</v>
      </c>
      <c r="C12" s="3181">
        <f>Barrel!C365</f>
        <v>129.428</v>
      </c>
      <c r="D12" s="3182"/>
      <c r="E12" s="3181">
        <f>Barrel!E365</f>
        <v>129.428</v>
      </c>
      <c r="F12" s="3182"/>
      <c r="G12" s="3183">
        <f>Barrel!G365</f>
        <v>129.428</v>
      </c>
      <c r="H12" s="3182"/>
      <c r="I12" s="3181">
        <f>Barrel!I365</f>
        <v>129.428</v>
      </c>
      <c r="J12" s="3182"/>
      <c r="K12" s="3181">
        <f>Barrel!K365</f>
        <v>129.428</v>
      </c>
      <c r="L12" s="3182"/>
      <c r="M12" s="3181">
        <f>Barrel!M365</f>
        <v>129.428</v>
      </c>
      <c r="N12" s="3182"/>
      <c r="O12" s="3181">
        <f>Barrel!O365</f>
        <v>129.428</v>
      </c>
      <c r="P12" s="3182"/>
      <c r="Q12" s="3181">
        <f>Barrel!Q365</f>
        <v>129.428</v>
      </c>
      <c r="R12" s="3182"/>
      <c r="S12" s="3181">
        <f>Barrel!S365</f>
        <v>129.428</v>
      </c>
      <c r="T12" s="3182"/>
      <c r="U12" s="3181">
        <f>Barrel!U365</f>
        <v>129.428</v>
      </c>
      <c r="V12" s="3182"/>
      <c r="W12" s="3181">
        <f>Barrel!W365</f>
        <v>129.428</v>
      </c>
      <c r="X12" s="3182"/>
      <c r="Y12" s="3181">
        <f>Barrel!Y365</f>
        <v>129.428</v>
      </c>
      <c r="Z12" s="3182"/>
      <c r="AA12" s="3181">
        <f>Barrel!AA365</f>
        <v>129.428</v>
      </c>
      <c r="AB12" s="3182"/>
      <c r="AC12" s="3181">
        <f>Barrel!AC365</f>
        <v>129.428</v>
      </c>
      <c r="AD12" s="3182"/>
      <c r="AE12" s="3181">
        <f>Barrel!AE365</f>
        <v>129.428</v>
      </c>
      <c r="AF12" s="3182"/>
      <c r="AG12" s="3181">
        <f>Barrel!AG365</f>
        <v>129.428</v>
      </c>
      <c r="AH12" s="3182"/>
      <c r="AI12" s="3181">
        <f>Barrel!AI365</f>
        <v>129.428</v>
      </c>
      <c r="AJ12" s="3182"/>
      <c r="AK12" s="3181">
        <f>Barrel!AK365</f>
        <v>129.428</v>
      </c>
      <c r="AL12" s="3182"/>
      <c r="AM12" s="3181">
        <f>Barrel!AM365</f>
        <v>129.428</v>
      </c>
      <c r="AN12" s="3182"/>
      <c r="AO12" s="3181">
        <f>Barrel!AO365</f>
        <v>129.428</v>
      </c>
      <c r="AP12" s="3182"/>
      <c r="AQ12" s="3181">
        <f>Barrel!AQ365</f>
        <v>129.428</v>
      </c>
      <c r="AR12" s="3182"/>
      <c r="AS12" s="3181">
        <f>Barrel!AS365</f>
        <v>129.428</v>
      </c>
      <c r="AT12" s="3182"/>
      <c r="AU12" s="3181">
        <f>Barrel!AU365</f>
        <v>129.428</v>
      </c>
      <c r="AV12" s="3182"/>
      <c r="AW12" s="3181">
        <f>Barrel!AW365</f>
        <v>129.428</v>
      </c>
      <c r="AX12" s="3182"/>
      <c r="AY12" s="3181">
        <f>Barrel!AY365</f>
        <v>129.428</v>
      </c>
      <c r="AZ12" s="3182"/>
      <c r="BA12" s="3181">
        <f>Barrel!BA365</f>
        <v>129.428</v>
      </c>
      <c r="BB12" s="3182"/>
      <c r="BC12" s="3181">
        <f>Barrel!BC365</f>
        <v>129.428</v>
      </c>
      <c r="BD12" s="3182"/>
      <c r="BE12" s="3181">
        <f>Barrel!BE365</f>
        <v>129.428</v>
      </c>
      <c r="BF12" s="3182"/>
      <c r="BG12" s="3181">
        <f>Barrel!BG365</f>
        <v>129.428</v>
      </c>
      <c r="BH12" s="3182"/>
      <c r="BI12" s="3181">
        <f>Barrel!BI365</f>
        <v>129.428</v>
      </c>
      <c r="BJ12" s="3182"/>
      <c r="BK12" s="3181">
        <f>Barrel!BK365</f>
        <v>129.428</v>
      </c>
      <c r="BL12" s="3182"/>
      <c r="BM12" s="3181">
        <f>Barrel!BM365</f>
        <v>129.428</v>
      </c>
      <c r="BN12" s="3182"/>
      <c r="BO12" s="3181">
        <f>Barrel!BO365</f>
        <v>129.428</v>
      </c>
      <c r="BP12" s="3182"/>
      <c r="BQ12" s="3181">
        <f>Barrel!BQ365</f>
        <v>129.428</v>
      </c>
      <c r="BR12" s="3182"/>
      <c r="BS12" s="3181">
        <f>Barrel!BS365</f>
        <v>129.428</v>
      </c>
      <c r="BT12" s="3182"/>
      <c r="BU12" s="3181">
        <f>Barrel!BU365</f>
        <v>129.428</v>
      </c>
      <c r="BV12" s="3182"/>
      <c r="BW12" s="3181">
        <f>Barrel!BW365</f>
        <v>129.428</v>
      </c>
      <c r="BX12" s="3182"/>
      <c r="BY12" s="3181">
        <f>Barrel!BY365</f>
        <v>129.428</v>
      </c>
      <c r="BZ12" s="3182"/>
      <c r="CA12" s="3181">
        <f>Barrel!CA365</f>
        <v>129.428</v>
      </c>
      <c r="CB12" s="3182"/>
      <c r="CC12" s="3181">
        <f>Barrel!CC365</f>
        <v>129.428</v>
      </c>
      <c r="CD12" s="3182"/>
    </row>
    <row r="13" spans="1:82">
      <c r="A13" s="1379"/>
      <c r="B13" s="268" t="s">
        <v>1425</v>
      </c>
      <c r="C13" s="3181">
        <f>Barrel!C366</f>
        <v>0</v>
      </c>
      <c r="D13" s="3182"/>
      <c r="E13" s="3181">
        <f>Barrel!E366</f>
        <v>0</v>
      </c>
      <c r="F13" s="3182"/>
      <c r="G13" s="3183">
        <f>Barrel!G366</f>
        <v>0</v>
      </c>
      <c r="H13" s="3182"/>
      <c r="I13" s="3181">
        <f>Barrel!I366</f>
        <v>0</v>
      </c>
      <c r="J13" s="3182"/>
      <c r="K13" s="3181">
        <f>Barrel!K366</f>
        <v>0</v>
      </c>
      <c r="L13" s="3182"/>
      <c r="M13" s="3181">
        <f>Barrel!M366</f>
        <v>0</v>
      </c>
      <c r="N13" s="3182"/>
      <c r="O13" s="3181">
        <f>Barrel!O366</f>
        <v>0</v>
      </c>
      <c r="P13" s="3182"/>
      <c r="Q13" s="3181">
        <f>Barrel!Q366</f>
        <v>0</v>
      </c>
      <c r="R13" s="3182"/>
      <c r="S13" s="3181">
        <f>Barrel!S366</f>
        <v>0</v>
      </c>
      <c r="T13" s="3182"/>
      <c r="U13" s="3181">
        <f>Barrel!U366</f>
        <v>0</v>
      </c>
      <c r="V13" s="3182"/>
      <c r="W13" s="3181">
        <f>Barrel!W366</f>
        <v>0</v>
      </c>
      <c r="X13" s="3182"/>
      <c r="Y13" s="3181">
        <f>Barrel!Y366</f>
        <v>0</v>
      </c>
      <c r="Z13" s="3182"/>
      <c r="AA13" s="3181">
        <f>Barrel!AA366</f>
        <v>0</v>
      </c>
      <c r="AB13" s="3182"/>
      <c r="AC13" s="3181">
        <f>Barrel!AC366</f>
        <v>0</v>
      </c>
      <c r="AD13" s="3182"/>
      <c r="AE13" s="3181">
        <f>Barrel!AE366</f>
        <v>0</v>
      </c>
      <c r="AF13" s="3182"/>
      <c r="AG13" s="3181">
        <f>Barrel!AG366</f>
        <v>0</v>
      </c>
      <c r="AH13" s="3182"/>
      <c r="AI13" s="3181">
        <f>Barrel!AI366</f>
        <v>0</v>
      </c>
      <c r="AJ13" s="3182"/>
      <c r="AK13" s="3181">
        <f>Barrel!AK366</f>
        <v>0</v>
      </c>
      <c r="AL13" s="3182"/>
      <c r="AM13" s="3181">
        <f>Barrel!AM366</f>
        <v>0</v>
      </c>
      <c r="AN13" s="3182"/>
      <c r="AO13" s="3181">
        <f>Barrel!AO366</f>
        <v>0</v>
      </c>
      <c r="AP13" s="3182"/>
      <c r="AQ13" s="3181">
        <f>Barrel!AQ366</f>
        <v>0</v>
      </c>
      <c r="AR13" s="3182"/>
      <c r="AS13" s="3181">
        <f>Barrel!AS366</f>
        <v>0</v>
      </c>
      <c r="AT13" s="3182"/>
      <c r="AU13" s="3181">
        <f>Barrel!AU366</f>
        <v>0</v>
      </c>
      <c r="AV13" s="3182"/>
      <c r="AW13" s="3181">
        <f>Barrel!AW366</f>
        <v>0</v>
      </c>
      <c r="AX13" s="3182"/>
      <c r="AY13" s="3181">
        <f>Barrel!AY366</f>
        <v>0</v>
      </c>
      <c r="AZ13" s="3182"/>
      <c r="BA13" s="3181">
        <f>Barrel!BA366</f>
        <v>0</v>
      </c>
      <c r="BB13" s="3182"/>
      <c r="BC13" s="3181">
        <f>Barrel!BC366</f>
        <v>0</v>
      </c>
      <c r="BD13" s="3182"/>
      <c r="BE13" s="3181">
        <f>Barrel!BE366</f>
        <v>0</v>
      </c>
      <c r="BF13" s="3182"/>
      <c r="BG13" s="3181">
        <f>Barrel!BG366</f>
        <v>0</v>
      </c>
      <c r="BH13" s="3182"/>
      <c r="BI13" s="3181">
        <f>Barrel!BI366</f>
        <v>0</v>
      </c>
      <c r="BJ13" s="3182"/>
      <c r="BK13" s="3181">
        <f>Barrel!BK366</f>
        <v>0</v>
      </c>
      <c r="BL13" s="3182"/>
      <c r="BM13" s="3181">
        <f>Barrel!BM366</f>
        <v>0</v>
      </c>
      <c r="BN13" s="3182"/>
      <c r="BO13" s="3181">
        <f>Barrel!BO366</f>
        <v>0</v>
      </c>
      <c r="BP13" s="3182"/>
      <c r="BQ13" s="3181">
        <f>Barrel!BQ366</f>
        <v>0</v>
      </c>
      <c r="BR13" s="3182"/>
      <c r="BS13" s="3181">
        <f>Barrel!BS366</f>
        <v>0</v>
      </c>
      <c r="BT13" s="3182"/>
      <c r="BU13" s="3181">
        <f>Barrel!BU366</f>
        <v>0</v>
      </c>
      <c r="BV13" s="3182"/>
      <c r="BW13" s="3181">
        <f>Barrel!BW366</f>
        <v>0</v>
      </c>
      <c r="BX13" s="3182"/>
      <c r="BY13" s="3181">
        <f>Barrel!BY366</f>
        <v>0</v>
      </c>
      <c r="BZ13" s="3182"/>
      <c r="CA13" s="3181">
        <f>Barrel!CA366</f>
        <v>0</v>
      </c>
      <c r="CB13" s="3182"/>
      <c r="CC13" s="3181">
        <f>Barrel!CC366</f>
        <v>0</v>
      </c>
      <c r="CD13" s="3182"/>
    </row>
    <row r="14" spans="1:82">
      <c r="A14" s="1379"/>
      <c r="B14" s="268" t="s">
        <v>1426</v>
      </c>
      <c r="C14" s="1431">
        <f>Barrel!C367</f>
        <v>0.5</v>
      </c>
      <c r="D14" s="1500">
        <f>Barrel!D367</f>
        <v>1.8249999999999997</v>
      </c>
      <c r="E14" s="1431">
        <f>Barrel!E367</f>
        <v>0.5</v>
      </c>
      <c r="F14" s="1432">
        <f>Barrel!F367</f>
        <v>1.8249999999999997</v>
      </c>
      <c r="G14" s="1431">
        <f>Barrel!G367</f>
        <v>0.5</v>
      </c>
      <c r="H14" s="1432">
        <f>Barrel!H367</f>
        <v>1.8249999999999997</v>
      </c>
      <c r="I14" s="1431">
        <f>Barrel!I367</f>
        <v>0.5</v>
      </c>
      <c r="J14" s="1432">
        <f>Barrel!J367</f>
        <v>1.8249999999999997</v>
      </c>
      <c r="K14" s="1431">
        <f>Barrel!K367</f>
        <v>0.5</v>
      </c>
      <c r="L14" s="1432">
        <f>Barrel!L367</f>
        <v>1.8249999999999997</v>
      </c>
      <c r="M14" s="1431">
        <f>Barrel!M367</f>
        <v>0.5</v>
      </c>
      <c r="N14" s="1432">
        <f>Barrel!N367</f>
        <v>1.8249999999999997</v>
      </c>
      <c r="O14" s="1431">
        <f>Barrel!O367</f>
        <v>0.5</v>
      </c>
      <c r="P14" s="1432">
        <f>Barrel!P367</f>
        <v>1.8249999999999997</v>
      </c>
      <c r="Q14" s="1431">
        <f>Barrel!Q367</f>
        <v>0.5</v>
      </c>
      <c r="R14" s="1432">
        <f>Barrel!R367</f>
        <v>1.8249999999999997</v>
      </c>
      <c r="S14" s="1431">
        <f>Barrel!S367</f>
        <v>0.5</v>
      </c>
      <c r="T14" s="1432">
        <f>Barrel!T367</f>
        <v>1.8249999999999997</v>
      </c>
      <c r="U14" s="1431">
        <f>Barrel!U367</f>
        <v>0.5</v>
      </c>
      <c r="V14" s="1432">
        <f>Barrel!V367</f>
        <v>1.8249999999999997</v>
      </c>
      <c r="W14" s="1431">
        <f>Barrel!W367</f>
        <v>0.5</v>
      </c>
      <c r="X14" s="1432">
        <f>Barrel!X367</f>
        <v>1.8249999999999997</v>
      </c>
      <c r="Y14" s="1431">
        <f>Barrel!Y367</f>
        <v>0.5</v>
      </c>
      <c r="Z14" s="1432">
        <f>Barrel!Z367</f>
        <v>1.8249999999999997</v>
      </c>
      <c r="AA14" s="1431">
        <f>Barrel!AA367</f>
        <v>0.5</v>
      </c>
      <c r="AB14" s="1432">
        <f>Barrel!AB367</f>
        <v>1.8249999999999997</v>
      </c>
      <c r="AC14" s="1431">
        <f>Barrel!AC367</f>
        <v>0.5</v>
      </c>
      <c r="AD14" s="1432">
        <f>Barrel!AD367</f>
        <v>1.8249999999999997</v>
      </c>
      <c r="AE14" s="1431">
        <f>Barrel!AE367</f>
        <v>0.5</v>
      </c>
      <c r="AF14" s="1432">
        <f>Barrel!AF367</f>
        <v>1.8249999999999997</v>
      </c>
      <c r="AG14" s="1431">
        <f>Barrel!AG367</f>
        <v>0.5</v>
      </c>
      <c r="AH14" s="1432">
        <f>Barrel!AH367</f>
        <v>1.8249999999999997</v>
      </c>
      <c r="AI14" s="1431">
        <f>Barrel!AI367</f>
        <v>0.5</v>
      </c>
      <c r="AJ14" s="1432">
        <f>Barrel!AJ367</f>
        <v>1.8249999999999997</v>
      </c>
      <c r="AK14" s="1431">
        <f>Barrel!AK367</f>
        <v>0.5</v>
      </c>
      <c r="AL14" s="1432">
        <f>Barrel!AL367</f>
        <v>1.8249999999999997</v>
      </c>
      <c r="AM14" s="1431">
        <f>Barrel!AM367</f>
        <v>0.5</v>
      </c>
      <c r="AN14" s="1432">
        <f>Barrel!AN367</f>
        <v>1.8249999999999997</v>
      </c>
      <c r="AO14" s="1431">
        <f>Barrel!AO367</f>
        <v>0.5</v>
      </c>
      <c r="AP14" s="1432">
        <f>Barrel!AP367</f>
        <v>1.8249999999999997</v>
      </c>
      <c r="AQ14" s="1431">
        <f>Barrel!AQ367</f>
        <v>0.5</v>
      </c>
      <c r="AR14" s="1432">
        <f>Barrel!AR367</f>
        <v>1.8249999999999997</v>
      </c>
      <c r="AS14" s="1431">
        <f>Barrel!AS367</f>
        <v>0.5</v>
      </c>
      <c r="AT14" s="1432">
        <f>Barrel!AT367</f>
        <v>1.8249999999999997</v>
      </c>
      <c r="AU14" s="1431">
        <f>Barrel!AU367</f>
        <v>0.5</v>
      </c>
      <c r="AV14" s="1432">
        <f>Barrel!AV367</f>
        <v>1.8249999999999997</v>
      </c>
      <c r="AW14" s="1431">
        <f>Barrel!AW367</f>
        <v>0.5</v>
      </c>
      <c r="AX14" s="1432">
        <f>Barrel!AX367</f>
        <v>1.8249999999999997</v>
      </c>
      <c r="AY14" s="1431">
        <f>Barrel!AY367</f>
        <v>0.5</v>
      </c>
      <c r="AZ14" s="1432">
        <f>Barrel!AZ367</f>
        <v>1.8249999999999997</v>
      </c>
      <c r="BA14" s="1431">
        <f>Barrel!BA367</f>
        <v>0.5</v>
      </c>
      <c r="BB14" s="1432">
        <f>Barrel!BB367</f>
        <v>1.8249999999999997</v>
      </c>
      <c r="BC14" s="1431">
        <f>Barrel!BC367</f>
        <v>0.5</v>
      </c>
      <c r="BD14" s="1432">
        <f>Barrel!BD367</f>
        <v>1.8249999999999997</v>
      </c>
      <c r="BE14" s="1431">
        <f>Barrel!BE367</f>
        <v>0.5</v>
      </c>
      <c r="BF14" s="1432">
        <f>Barrel!BF367</f>
        <v>1.8249999999999997</v>
      </c>
      <c r="BG14" s="1431">
        <f>Barrel!BG367</f>
        <v>0.5</v>
      </c>
      <c r="BH14" s="1432">
        <f>Barrel!BH367</f>
        <v>1.8249999999999997</v>
      </c>
      <c r="BI14" s="1431">
        <f>Barrel!BI367</f>
        <v>0.5</v>
      </c>
      <c r="BJ14" s="1432">
        <f>Barrel!BJ367</f>
        <v>1.8249999999999997</v>
      </c>
      <c r="BK14" s="1431">
        <f>Barrel!BK367</f>
        <v>0.5</v>
      </c>
      <c r="BL14" s="1432">
        <f>Barrel!BL367</f>
        <v>1.8249999999999997</v>
      </c>
      <c r="BM14" s="1431">
        <f>Barrel!BM367</f>
        <v>0.5</v>
      </c>
      <c r="BN14" s="1432">
        <f>Barrel!BN367</f>
        <v>1.8249999999999997</v>
      </c>
      <c r="BO14" s="1431">
        <f>Barrel!BO367</f>
        <v>0.5</v>
      </c>
      <c r="BP14" s="1432">
        <f>Barrel!BP367</f>
        <v>1.8249999999999997</v>
      </c>
      <c r="BQ14" s="1431">
        <f>Barrel!BQ367</f>
        <v>0.5</v>
      </c>
      <c r="BR14" s="1432">
        <f>Barrel!BR367</f>
        <v>1.8249999999999997</v>
      </c>
      <c r="BS14" s="1431">
        <f>Barrel!BS367</f>
        <v>0.5</v>
      </c>
      <c r="BT14" s="1432">
        <f>Barrel!BT367</f>
        <v>1.8249999999999997</v>
      </c>
      <c r="BU14" s="1431">
        <f>Barrel!BU367</f>
        <v>0.5</v>
      </c>
      <c r="BV14" s="1432">
        <f>Barrel!BV367</f>
        <v>1.8249999999999997</v>
      </c>
      <c r="BW14" s="1431">
        <f>Barrel!BW367</f>
        <v>0.5</v>
      </c>
      <c r="BX14" s="1432">
        <f>Barrel!BX367</f>
        <v>1.8249999999999997</v>
      </c>
      <c r="BY14" s="1431">
        <f>Barrel!BY367</f>
        <v>0.5</v>
      </c>
      <c r="BZ14" s="1432">
        <f>Barrel!BZ367</f>
        <v>1.8249999999999997</v>
      </c>
      <c r="CA14" s="1431">
        <f>Barrel!CA367</f>
        <v>0.5</v>
      </c>
      <c r="CB14" s="1432">
        <f>Barrel!CB367</f>
        <v>1.8249999999999997</v>
      </c>
      <c r="CC14" s="1431">
        <f>Barrel!CC367</f>
        <v>0.5</v>
      </c>
      <c r="CD14" s="1432">
        <f>Barrel!CD367</f>
        <v>1.8249999999999997</v>
      </c>
    </row>
    <row r="15" spans="1:82">
      <c r="A15" s="1379"/>
      <c r="B15" s="268" t="s">
        <v>1427</v>
      </c>
      <c r="C15" s="3181">
        <f>Barrel!C368</f>
        <v>0</v>
      </c>
      <c r="D15" s="3182"/>
      <c r="E15" s="3181">
        <f>Barrel!E368</f>
        <v>0</v>
      </c>
      <c r="F15" s="3182"/>
      <c r="G15" s="3181">
        <f>Barrel!G368</f>
        <v>0</v>
      </c>
      <c r="H15" s="3182"/>
      <c r="I15" s="3181">
        <f>Barrel!I368</f>
        <v>0</v>
      </c>
      <c r="J15" s="3182"/>
      <c r="K15" s="3181">
        <f>Barrel!K368</f>
        <v>0</v>
      </c>
      <c r="L15" s="3182"/>
      <c r="M15" s="3181">
        <f>Barrel!M368</f>
        <v>0</v>
      </c>
      <c r="N15" s="3182"/>
      <c r="O15" s="3181">
        <f>Barrel!O368</f>
        <v>0</v>
      </c>
      <c r="P15" s="3182"/>
      <c r="Q15" s="3181">
        <f>Barrel!Q368</f>
        <v>0</v>
      </c>
      <c r="R15" s="3182"/>
      <c r="S15" s="3181">
        <f>Barrel!S368</f>
        <v>0</v>
      </c>
      <c r="T15" s="3182"/>
      <c r="U15" s="3181">
        <f>Barrel!U368</f>
        <v>0</v>
      </c>
      <c r="V15" s="3182"/>
      <c r="W15" s="3181">
        <f>Barrel!W368</f>
        <v>0</v>
      </c>
      <c r="X15" s="3182"/>
      <c r="Y15" s="3181">
        <f>Barrel!Y368</f>
        <v>0</v>
      </c>
      <c r="Z15" s="3182"/>
      <c r="AA15" s="3181">
        <f>Barrel!AA368</f>
        <v>0</v>
      </c>
      <c r="AB15" s="3182"/>
      <c r="AC15" s="3181">
        <f>Barrel!AC368</f>
        <v>0</v>
      </c>
      <c r="AD15" s="3182"/>
      <c r="AE15" s="3181">
        <f>Barrel!AE368</f>
        <v>0</v>
      </c>
      <c r="AF15" s="3182"/>
      <c r="AG15" s="3181">
        <f>Barrel!AG368</f>
        <v>0</v>
      </c>
      <c r="AH15" s="3182"/>
      <c r="AI15" s="3181">
        <f>Barrel!AI368</f>
        <v>0</v>
      </c>
      <c r="AJ15" s="3182"/>
      <c r="AK15" s="3181">
        <f>Barrel!AK368</f>
        <v>0</v>
      </c>
      <c r="AL15" s="3182"/>
      <c r="AM15" s="3181">
        <f>Barrel!AM368</f>
        <v>0</v>
      </c>
      <c r="AN15" s="3182"/>
      <c r="AO15" s="3181">
        <f>Barrel!AO368</f>
        <v>0</v>
      </c>
      <c r="AP15" s="3182"/>
      <c r="AQ15" s="3181">
        <f>Barrel!AQ368</f>
        <v>0</v>
      </c>
      <c r="AR15" s="3182"/>
      <c r="AS15" s="3181">
        <f>Barrel!AS368</f>
        <v>0</v>
      </c>
      <c r="AT15" s="3182"/>
      <c r="AU15" s="3181">
        <f>Barrel!AU368</f>
        <v>0</v>
      </c>
      <c r="AV15" s="3182"/>
      <c r="AW15" s="3181">
        <f>Barrel!AW368</f>
        <v>0</v>
      </c>
      <c r="AX15" s="3182"/>
      <c r="AY15" s="3181">
        <f>Barrel!AY368</f>
        <v>0</v>
      </c>
      <c r="AZ15" s="3182"/>
      <c r="BA15" s="3181">
        <f>Barrel!BA368</f>
        <v>0</v>
      </c>
      <c r="BB15" s="3182"/>
      <c r="BC15" s="3181">
        <f>Barrel!BC368</f>
        <v>0</v>
      </c>
      <c r="BD15" s="3182"/>
      <c r="BE15" s="3181">
        <f>Barrel!BE368</f>
        <v>0</v>
      </c>
      <c r="BF15" s="3182"/>
      <c r="BG15" s="3181">
        <f>Barrel!BG368</f>
        <v>0</v>
      </c>
      <c r="BH15" s="3182"/>
      <c r="BI15" s="3181">
        <f>Barrel!BI368</f>
        <v>0</v>
      </c>
      <c r="BJ15" s="3182"/>
      <c r="BK15" s="3181">
        <f>Barrel!BK368</f>
        <v>0</v>
      </c>
      <c r="BL15" s="3182"/>
      <c r="BM15" s="3181">
        <f>Barrel!BM368</f>
        <v>0</v>
      </c>
      <c r="BN15" s="3182"/>
      <c r="BO15" s="3181">
        <f>Barrel!BO368</f>
        <v>0</v>
      </c>
      <c r="BP15" s="3182"/>
      <c r="BQ15" s="3181">
        <f>Barrel!BQ368</f>
        <v>0</v>
      </c>
      <c r="BR15" s="3182"/>
      <c r="BS15" s="3181">
        <f>Barrel!BS368</f>
        <v>0</v>
      </c>
      <c r="BT15" s="3182"/>
      <c r="BU15" s="3181">
        <f>Barrel!BU368</f>
        <v>0</v>
      </c>
      <c r="BV15" s="3182"/>
      <c r="BW15" s="3181">
        <f>Barrel!BW368</f>
        <v>0</v>
      </c>
      <c r="BX15" s="3182"/>
      <c r="BY15" s="3181">
        <f>Barrel!BY368</f>
        <v>0</v>
      </c>
      <c r="BZ15" s="3182"/>
      <c r="CA15" s="3181">
        <f>Barrel!CA368</f>
        <v>0</v>
      </c>
      <c r="CB15" s="3182"/>
      <c r="CC15" s="3181">
        <f>Barrel!CC368</f>
        <v>0</v>
      </c>
      <c r="CD15" s="3182"/>
    </row>
    <row r="16" spans="1:82">
      <c r="A16" s="1419"/>
      <c r="B16" s="278" t="s">
        <v>1426</v>
      </c>
      <c r="C16" s="1498">
        <f>Barrel!C369</f>
        <v>2</v>
      </c>
      <c r="D16" s="1499">
        <f>Barrel!D369</f>
        <v>0.32499999999999973</v>
      </c>
      <c r="E16" s="1498">
        <f>Barrel!E369</f>
        <v>2</v>
      </c>
      <c r="F16" s="1499">
        <f>Barrel!F369</f>
        <v>0.32499999999999973</v>
      </c>
      <c r="G16" s="1498">
        <f>Barrel!G369</f>
        <v>2</v>
      </c>
      <c r="H16" s="1499">
        <f>Barrel!H369</f>
        <v>0.32499999999999973</v>
      </c>
      <c r="I16" s="1498">
        <f>Barrel!I369</f>
        <v>2</v>
      </c>
      <c r="J16" s="1499">
        <f>Barrel!J369</f>
        <v>0.32499999999999973</v>
      </c>
      <c r="K16" s="1498">
        <f>Barrel!K369</f>
        <v>2</v>
      </c>
      <c r="L16" s="1499">
        <f>Barrel!L369</f>
        <v>0.32499999999999973</v>
      </c>
      <c r="M16" s="1498">
        <f>Barrel!M369</f>
        <v>2</v>
      </c>
      <c r="N16" s="1499">
        <f>Barrel!N369</f>
        <v>0.32499999999999973</v>
      </c>
      <c r="O16" s="1498">
        <f>Barrel!O369</f>
        <v>2</v>
      </c>
      <c r="P16" s="1499">
        <f>Barrel!P369</f>
        <v>0.32499999999999973</v>
      </c>
      <c r="Q16" s="1498">
        <f>Barrel!Q369</f>
        <v>2</v>
      </c>
      <c r="R16" s="1499">
        <f>Barrel!R369</f>
        <v>0.32499999999999973</v>
      </c>
      <c r="S16" s="1498">
        <f>Barrel!S369</f>
        <v>2</v>
      </c>
      <c r="T16" s="1499">
        <f>Barrel!T369</f>
        <v>0.32499999999999973</v>
      </c>
      <c r="U16" s="1498">
        <f>Barrel!U369</f>
        <v>2</v>
      </c>
      <c r="V16" s="1499">
        <f>Barrel!V369</f>
        <v>0.32499999999999973</v>
      </c>
      <c r="W16" s="1498">
        <f>Barrel!W369</f>
        <v>2</v>
      </c>
      <c r="X16" s="1499">
        <f>Barrel!X369</f>
        <v>0.32499999999999973</v>
      </c>
      <c r="Y16" s="1498">
        <f>Barrel!Y369</f>
        <v>2</v>
      </c>
      <c r="Z16" s="1499">
        <f>Barrel!Z369</f>
        <v>0.32499999999999973</v>
      </c>
      <c r="AA16" s="1498">
        <f>Barrel!AA369</f>
        <v>2</v>
      </c>
      <c r="AB16" s="1499">
        <f>Barrel!AB369</f>
        <v>0.32499999999999973</v>
      </c>
      <c r="AC16" s="1498">
        <f>Barrel!AC369</f>
        <v>2</v>
      </c>
      <c r="AD16" s="1499">
        <f>Barrel!AD369</f>
        <v>0.32499999999999973</v>
      </c>
      <c r="AE16" s="1498">
        <f>Barrel!AE369</f>
        <v>2</v>
      </c>
      <c r="AF16" s="1499">
        <f>Barrel!AF369</f>
        <v>0.32499999999999973</v>
      </c>
      <c r="AG16" s="1498">
        <f>Barrel!AG369</f>
        <v>2</v>
      </c>
      <c r="AH16" s="1499">
        <f>Barrel!AH369</f>
        <v>0.32499999999999973</v>
      </c>
      <c r="AI16" s="1498">
        <f>Barrel!AI369</f>
        <v>2</v>
      </c>
      <c r="AJ16" s="1499">
        <f>Barrel!AJ369</f>
        <v>0.32499999999999973</v>
      </c>
      <c r="AK16" s="1498">
        <f>Barrel!AK369</f>
        <v>2</v>
      </c>
      <c r="AL16" s="1499">
        <f>Barrel!AL369</f>
        <v>0.32499999999999973</v>
      </c>
      <c r="AM16" s="1498">
        <f>Barrel!AM369</f>
        <v>2</v>
      </c>
      <c r="AN16" s="1499">
        <f>Barrel!AN369</f>
        <v>0.32499999999999973</v>
      </c>
      <c r="AO16" s="1498">
        <f>Barrel!AO369</f>
        <v>2</v>
      </c>
      <c r="AP16" s="1499">
        <f>Barrel!AP369</f>
        <v>0.32499999999999973</v>
      </c>
      <c r="AQ16" s="1498">
        <f>Barrel!AQ369</f>
        <v>2</v>
      </c>
      <c r="AR16" s="1499">
        <f>Barrel!AR369</f>
        <v>0.32499999999999973</v>
      </c>
      <c r="AS16" s="1498">
        <f>Barrel!AS369</f>
        <v>2</v>
      </c>
      <c r="AT16" s="1499">
        <f>Barrel!AT369</f>
        <v>0.32499999999999973</v>
      </c>
      <c r="AU16" s="1498">
        <f>Barrel!AU369</f>
        <v>2</v>
      </c>
      <c r="AV16" s="1499">
        <f>Barrel!AV369</f>
        <v>0.32499999999999973</v>
      </c>
      <c r="AW16" s="1498">
        <f>Barrel!AW369</f>
        <v>2</v>
      </c>
      <c r="AX16" s="1499">
        <f>Barrel!AX369</f>
        <v>0.32499999999999973</v>
      </c>
      <c r="AY16" s="1498">
        <f>Barrel!AY369</f>
        <v>2</v>
      </c>
      <c r="AZ16" s="1499">
        <f>Barrel!AZ369</f>
        <v>0.32499999999999973</v>
      </c>
      <c r="BA16" s="1498">
        <f>Barrel!BA369</f>
        <v>2</v>
      </c>
      <c r="BB16" s="1499">
        <f>Barrel!BB369</f>
        <v>0.32499999999999973</v>
      </c>
      <c r="BC16" s="1498">
        <f>Barrel!BC369</f>
        <v>2</v>
      </c>
      <c r="BD16" s="1499">
        <f>Barrel!BD369</f>
        <v>0.32499999999999973</v>
      </c>
      <c r="BE16" s="1498">
        <f>Barrel!BE369</f>
        <v>2</v>
      </c>
      <c r="BF16" s="1499">
        <f>Barrel!BF369</f>
        <v>0.32499999999999973</v>
      </c>
      <c r="BG16" s="1498">
        <f>Barrel!BG369</f>
        <v>2</v>
      </c>
      <c r="BH16" s="1499">
        <f>Barrel!BH369</f>
        <v>0.32499999999999973</v>
      </c>
      <c r="BI16" s="1498">
        <f>Barrel!BI369</f>
        <v>2</v>
      </c>
      <c r="BJ16" s="1499">
        <f>Barrel!BJ369</f>
        <v>0.32499999999999973</v>
      </c>
      <c r="BK16" s="1498">
        <f>Barrel!BK369</f>
        <v>2</v>
      </c>
      <c r="BL16" s="1499">
        <f>Barrel!BL369</f>
        <v>0.32499999999999973</v>
      </c>
      <c r="BM16" s="1498">
        <f>Barrel!BM369</f>
        <v>2</v>
      </c>
      <c r="BN16" s="1499">
        <f>Barrel!BN369</f>
        <v>0.32499999999999973</v>
      </c>
      <c r="BO16" s="1498">
        <f>Barrel!BO369</f>
        <v>2</v>
      </c>
      <c r="BP16" s="1499">
        <f>Barrel!BP369</f>
        <v>0.32499999999999973</v>
      </c>
      <c r="BQ16" s="1498">
        <f>Barrel!BQ369</f>
        <v>2</v>
      </c>
      <c r="BR16" s="1499">
        <f>Barrel!BR369</f>
        <v>0.32499999999999973</v>
      </c>
      <c r="BS16" s="1498">
        <f>Barrel!BS369</f>
        <v>2</v>
      </c>
      <c r="BT16" s="1499">
        <f>Barrel!BT369</f>
        <v>0.32499999999999973</v>
      </c>
      <c r="BU16" s="1498">
        <f>Barrel!BU369</f>
        <v>2</v>
      </c>
      <c r="BV16" s="1499">
        <f>Barrel!BV369</f>
        <v>0.32499999999999973</v>
      </c>
      <c r="BW16" s="1498">
        <f>Barrel!BW369</f>
        <v>2</v>
      </c>
      <c r="BX16" s="1499">
        <f>Barrel!BX369</f>
        <v>0.32499999999999973</v>
      </c>
      <c r="BY16" s="1498">
        <f>Barrel!BY369</f>
        <v>2</v>
      </c>
      <c r="BZ16" s="1499">
        <f>Barrel!BZ369</f>
        <v>0.32499999999999973</v>
      </c>
      <c r="CA16" s="1498">
        <f>Barrel!CA369</f>
        <v>2</v>
      </c>
      <c r="CB16" s="1499">
        <f>Barrel!CB369</f>
        <v>0.32499999999999973</v>
      </c>
      <c r="CC16" s="1498">
        <f>Barrel!CC369</f>
        <v>2</v>
      </c>
      <c r="CD16" s="1499">
        <f>Barrel!CD369</f>
        <v>0.32499999999999973</v>
      </c>
    </row>
    <row r="17" spans="1:161" ht="15.75">
      <c r="A17" s="545"/>
      <c r="B17" s="419" t="s">
        <v>1461</v>
      </c>
      <c r="C17" s="1431">
        <f>IF($C$3&gt;=Barrel!C363,Barrel!C376,"")</f>
        <v>-58.303269374999985</v>
      </c>
      <c r="D17" s="1432">
        <f>IF($C$3&gt;=Barrel!C363,Barrel!D376,"")</f>
        <v>58.303269374999985</v>
      </c>
      <c r="E17" s="1431">
        <f>IF($C$3&gt;=Barrel!E363,Barrel!E376,"")</f>
        <v>-58.303269374999985</v>
      </c>
      <c r="F17" s="1432">
        <f>IF($C$3&gt;=Barrel!E363,Barrel!F376,"")</f>
        <v>58.303269374999985</v>
      </c>
      <c r="G17" s="1431" t="str">
        <f>IF($C$3&gt;=Barrel!G363,Barrel!G376,"")</f>
        <v/>
      </c>
      <c r="H17" s="1432" t="str">
        <f>IF($C$3&gt;=Barrel!G363,Barrel!H376,"")</f>
        <v/>
      </c>
      <c r="I17" s="1431" t="str">
        <f>IF($C$3&gt;=Barrel!I363,Barrel!I376,"")</f>
        <v/>
      </c>
      <c r="J17" s="1432" t="str">
        <f>IF($C$3&gt;=Barrel!I363,Barrel!J376,"")</f>
        <v/>
      </c>
      <c r="K17" s="1431" t="str">
        <f>IF($C$3&gt;=Barrel!K363,Barrel!K376,"")</f>
        <v/>
      </c>
      <c r="L17" s="1432" t="str">
        <f>IF($C$3&gt;=Barrel!K363,Barrel!L376,"")</f>
        <v/>
      </c>
      <c r="M17" s="1431" t="str">
        <f>IF($C$3&gt;=Barrel!M363,Barrel!M376,"")</f>
        <v/>
      </c>
      <c r="N17" s="1432" t="str">
        <f>IF($C$3&gt;=Barrel!M363,Barrel!N376,"")</f>
        <v/>
      </c>
      <c r="O17" s="1431" t="str">
        <f>IF($C$3&gt;=Barrel!O363,Barrel!O376,"")</f>
        <v/>
      </c>
      <c r="P17" s="1432" t="str">
        <f>IF($C$3&gt;=Barrel!O363,Barrel!P376,"")</f>
        <v/>
      </c>
      <c r="Q17" s="1431" t="str">
        <f>IF($C$3&gt;=Barrel!Q363,Barrel!Q376,"")</f>
        <v/>
      </c>
      <c r="R17" s="1432" t="str">
        <f>IF($C$3&gt;=Barrel!Q363,Barrel!R376,"")</f>
        <v/>
      </c>
      <c r="S17" s="1431" t="str">
        <f>IF($C$3&gt;=Barrel!S363,Barrel!S376,"")</f>
        <v/>
      </c>
      <c r="T17" s="1432" t="str">
        <f>IF($C$3&gt;=Barrel!S363,Barrel!T376,"")</f>
        <v/>
      </c>
      <c r="U17" s="1431" t="str">
        <f>IF($C$3&gt;=Barrel!U363,Barrel!U376,"")</f>
        <v/>
      </c>
      <c r="V17" s="1432" t="str">
        <f>IF($C$3&gt;=Barrel!U363,Barrel!V376,"")</f>
        <v/>
      </c>
      <c r="W17" s="1431" t="str">
        <f>IF($C$3&gt;=Barrel!W363,Barrel!W376,"")</f>
        <v/>
      </c>
      <c r="X17" s="1432" t="str">
        <f>IF($C$3&gt;=Barrel!W363,Barrel!X376,"")</f>
        <v/>
      </c>
      <c r="Y17" s="1431" t="str">
        <f>IF($C$3&gt;=Barrel!Y363,Barrel!Y376,"")</f>
        <v/>
      </c>
      <c r="Z17" s="1432" t="str">
        <f>IF($C$3&gt;=Barrel!Y363,Barrel!Z376,"")</f>
        <v/>
      </c>
      <c r="AA17" s="1431" t="str">
        <f>IF($C$3&gt;=Barrel!AA363,Barrel!AA376,"")</f>
        <v/>
      </c>
      <c r="AB17" s="1432" t="str">
        <f>IF($C$3&gt;=Barrel!AA363,Barrel!AB376,"")</f>
        <v/>
      </c>
      <c r="AC17" s="1431" t="str">
        <f>IF($C$3&gt;=Barrel!AC363,Barrel!AC376,"")</f>
        <v/>
      </c>
      <c r="AD17" s="1432" t="str">
        <f>IF($C$3&gt;=Barrel!AC363,Barrel!AD376,"")</f>
        <v/>
      </c>
      <c r="AE17" s="1431" t="str">
        <f>IF($C$3&gt;=Barrel!AE363,Barrel!AE376,"")</f>
        <v/>
      </c>
      <c r="AF17" s="1432" t="str">
        <f>IF($C$3&gt;=Barrel!AE363,Barrel!AF376,"")</f>
        <v/>
      </c>
      <c r="AG17" s="1431" t="str">
        <f>IF($C$3&gt;=Barrel!AG363,Barrel!AG376,"")</f>
        <v/>
      </c>
      <c r="AH17" s="1432" t="str">
        <f>IF($C$3&gt;=Barrel!AG363,Barrel!AH376,"")</f>
        <v/>
      </c>
      <c r="AI17" s="1431" t="str">
        <f>IF($C$3&gt;=Barrel!AI363,Barrel!AI376,"")</f>
        <v/>
      </c>
      <c r="AJ17" s="1432" t="str">
        <f>IF($C$3&gt;=Barrel!AI363,Barrel!AJ376,"")</f>
        <v/>
      </c>
      <c r="AK17" s="1431" t="str">
        <f>IF($C$3&gt;=Barrel!AK363,Barrel!AK376,"")</f>
        <v/>
      </c>
      <c r="AL17" s="1432" t="str">
        <f>IF($C$3&gt;=Barrel!AK363,Barrel!AL376,"")</f>
        <v/>
      </c>
      <c r="AM17" s="1431" t="str">
        <f>IF($C$3&gt;=Barrel!AM363,Barrel!AM376,"")</f>
        <v/>
      </c>
      <c r="AN17" s="1432" t="str">
        <f>IF($C$3&gt;=Barrel!AM363,Barrel!AN376,"")</f>
        <v/>
      </c>
      <c r="AO17" s="1431" t="str">
        <f>IF($C$3&gt;=Barrel!AO363,Barrel!AO376,"")</f>
        <v/>
      </c>
      <c r="AP17" s="1432" t="str">
        <f>IF($C$3&gt;=Barrel!AO363,Barrel!AP376,"")</f>
        <v/>
      </c>
      <c r="AQ17" s="1431" t="str">
        <f>IF($C$3&gt;=Barrel!AQ363,Barrel!AQ376,"")</f>
        <v/>
      </c>
      <c r="AR17" s="1432" t="str">
        <f>IF($C$3&gt;=Barrel!AQ363,Barrel!AR376,"")</f>
        <v/>
      </c>
      <c r="AS17" s="1431" t="str">
        <f>IF($C$3&gt;=Barrel!AS363,Barrel!AS376,"")</f>
        <v/>
      </c>
      <c r="AT17" s="1432" t="str">
        <f>IF($C$3&gt;=Barrel!AS363,Barrel!AT376,"")</f>
        <v/>
      </c>
      <c r="AU17" s="1431" t="str">
        <f>IF($C$3&gt;=Barrel!AU363,Barrel!AU376,"")</f>
        <v/>
      </c>
      <c r="AV17" s="1432" t="str">
        <f>IF($C$3&gt;=Barrel!AU363,Barrel!AV376,"")</f>
        <v/>
      </c>
      <c r="AW17" s="1431" t="str">
        <f>IF($C$3&gt;=Barrel!AW363,Barrel!AW376,"")</f>
        <v/>
      </c>
      <c r="AX17" s="1432" t="str">
        <f>IF($C$3&gt;=Barrel!AW363,Barrel!AX376,"")</f>
        <v/>
      </c>
      <c r="AY17" s="1431" t="str">
        <f>IF($C$3&gt;=Barrel!AY363,Barrel!AY376,"")</f>
        <v/>
      </c>
      <c r="AZ17" s="1432" t="str">
        <f>IF($C$3&gt;=Barrel!AY363,Barrel!AZ376,"")</f>
        <v/>
      </c>
      <c r="BA17" s="1431" t="str">
        <f>IF($C$3&gt;=Barrel!BA363,Barrel!BA376,"")</f>
        <v/>
      </c>
      <c r="BB17" s="1432" t="str">
        <f>IF($C$3&gt;=Barrel!BA363,Barrel!BB376,"")</f>
        <v/>
      </c>
      <c r="BC17" s="1431" t="str">
        <f>IF($C$3&gt;=Barrel!BC363,Barrel!BC376,"")</f>
        <v/>
      </c>
      <c r="BD17" s="1432" t="str">
        <f>IF($C$3&gt;=Barrel!BC363,Barrel!BD376,"")</f>
        <v/>
      </c>
      <c r="BE17" s="1431" t="str">
        <f>IF($C$3&gt;=Barrel!BE363,Barrel!BE376,"")</f>
        <v/>
      </c>
      <c r="BF17" s="1432" t="str">
        <f>IF($C$3&gt;=Barrel!BE363,Barrel!BF376,"")</f>
        <v/>
      </c>
      <c r="BG17" s="1431" t="str">
        <f>IF($C$3&gt;=Barrel!BG363,Barrel!BG376,"")</f>
        <v/>
      </c>
      <c r="BH17" s="1432" t="str">
        <f>IF($C$3&gt;=Barrel!BG363,Barrel!BH376,"")</f>
        <v/>
      </c>
      <c r="BI17" s="1431" t="str">
        <f>IF($C$3&gt;=Barrel!BI363,Barrel!BI376,"")</f>
        <v/>
      </c>
      <c r="BJ17" s="1432" t="str">
        <f>IF($C$3&gt;=Barrel!BI363,Barrel!BJ376,"")</f>
        <v/>
      </c>
      <c r="BK17" s="1431" t="str">
        <f>IF($C$3&gt;=Barrel!BK363,Barrel!BK376,"")</f>
        <v/>
      </c>
      <c r="BL17" s="1432" t="str">
        <f>IF($C$3&gt;=Barrel!BK363,Barrel!BL376,"")</f>
        <v/>
      </c>
      <c r="BM17" s="1431" t="str">
        <f>IF($C$3&gt;=Barrel!BM363,Barrel!BM376,"")</f>
        <v/>
      </c>
      <c r="BN17" s="1432" t="str">
        <f>IF($C$3&gt;=Barrel!BM363,Barrel!BN376,"")</f>
        <v/>
      </c>
      <c r="BO17" s="1431" t="str">
        <f>IF($C$3&gt;=Barrel!BO363,Barrel!BO376,"")</f>
        <v/>
      </c>
      <c r="BP17" s="1432" t="str">
        <f>IF($C$3&gt;=Barrel!BO363,Barrel!BP376,"")</f>
        <v/>
      </c>
      <c r="BQ17" s="1431" t="str">
        <f>IF($C$3&gt;=Barrel!BQ363,Barrel!BQ376,"")</f>
        <v/>
      </c>
      <c r="BR17" s="1432" t="str">
        <f>IF($C$3&gt;=Barrel!BQ363,Barrel!BR376,"")</f>
        <v/>
      </c>
      <c r="BS17" s="1431" t="str">
        <f>IF($C$3&gt;=Barrel!BS363,Barrel!BS376,"")</f>
        <v/>
      </c>
      <c r="BT17" s="1432" t="str">
        <f>IF($C$3&gt;=Barrel!BS363,Barrel!BT376,"")</f>
        <v/>
      </c>
      <c r="BU17" s="1431" t="str">
        <f>IF($C$3&gt;=Barrel!BU363,Barrel!BU376,"")</f>
        <v/>
      </c>
      <c r="BV17" s="1432" t="str">
        <f>IF($C$3&gt;=Barrel!BU363,Barrel!BV376,"")</f>
        <v/>
      </c>
      <c r="BW17" s="1431" t="str">
        <f>IF($C$3&gt;=Barrel!BW363,Barrel!BW376,"")</f>
        <v/>
      </c>
      <c r="BX17" s="1432" t="str">
        <f>IF($C$3&gt;=Barrel!BW363,Barrel!BX376,"")</f>
        <v/>
      </c>
      <c r="BY17" s="1431" t="str">
        <f>IF($C$3&gt;=Barrel!BY363,Barrel!BY376,"")</f>
        <v/>
      </c>
      <c r="BZ17" s="1432" t="str">
        <f>IF($C$3&gt;=Barrel!BY363,Barrel!BZ376,"")</f>
        <v/>
      </c>
      <c r="CA17" s="1431" t="str">
        <f>IF($C$3&gt;=Barrel!CA363,Barrel!CA376,"")</f>
        <v/>
      </c>
      <c r="CB17" s="1432" t="str">
        <f>IF($C$3&gt;=Barrel!CA363,Barrel!CB376,"")</f>
        <v/>
      </c>
      <c r="CC17" s="1431" t="str">
        <f>IF($C$3&gt;=Barrel!CC363,Barrel!CC376,"")</f>
        <v/>
      </c>
      <c r="CD17" s="1432" t="str">
        <f>IF($C$3&gt;=Barrel!CC363,Barrel!CD376,"")</f>
        <v/>
      </c>
    </row>
    <row r="18" spans="1:161" ht="15.75">
      <c r="A18" s="363"/>
      <c r="B18" s="259" t="s">
        <v>1454</v>
      </c>
      <c r="C18" s="1431">
        <f>IF($C$3&gt;=Barrel!C363,Barrel!C377,"")</f>
        <v>64.317413303571414</v>
      </c>
      <c r="D18" s="1432">
        <f>IF($C$3&gt;=Barrel!C363,Barrel!D377,"")</f>
        <v>-64.317413303571414</v>
      </c>
      <c r="E18" s="1431">
        <f>IF($C$3&gt;=Barrel!E363,Barrel!E377,"")</f>
        <v>64.317413303571414</v>
      </c>
      <c r="F18" s="1432">
        <f>IF($C$3&gt;=Barrel!E363,Barrel!F377,"")</f>
        <v>-64.317413303571414</v>
      </c>
      <c r="G18" s="1431" t="str">
        <f>IF($C$3&gt;=Barrel!G363,Barrel!G377,"")</f>
        <v/>
      </c>
      <c r="H18" s="1432" t="str">
        <f>IF($C$3&gt;=Barrel!G363,Barrel!H377,"")</f>
        <v/>
      </c>
      <c r="I18" s="1431" t="str">
        <f>IF($C$3&gt;=Barrel!I363,Barrel!I377,"")</f>
        <v/>
      </c>
      <c r="J18" s="1432" t="str">
        <f>IF($C$3&gt;=Barrel!I363,Barrel!J377,"")</f>
        <v/>
      </c>
      <c r="K18" s="1431" t="str">
        <f>IF($C$3&gt;=Barrel!K363,Barrel!K377,"")</f>
        <v/>
      </c>
      <c r="L18" s="1432" t="str">
        <f>IF($C$3&gt;=Barrel!K363,Barrel!L377,"")</f>
        <v/>
      </c>
      <c r="M18" s="1431" t="str">
        <f>IF($C$3&gt;=Barrel!M363,Barrel!M377,"")</f>
        <v/>
      </c>
      <c r="N18" s="1432" t="str">
        <f>IF($C$3&gt;=Barrel!M363,Barrel!N377,"")</f>
        <v/>
      </c>
      <c r="O18" s="1431" t="str">
        <f>IF($C$3&gt;=Barrel!O363,Barrel!O377,"")</f>
        <v/>
      </c>
      <c r="P18" s="1432" t="str">
        <f>IF($C$3&gt;=Barrel!O363,Barrel!P377,"")</f>
        <v/>
      </c>
      <c r="Q18" s="1431" t="str">
        <f>IF($C$3&gt;=Barrel!Q363,Barrel!Q377,"")</f>
        <v/>
      </c>
      <c r="R18" s="1432" t="str">
        <f>IF($C$3&gt;=Barrel!Q363,Barrel!R377,"")</f>
        <v/>
      </c>
      <c r="S18" s="1431" t="str">
        <f>IF($C$3&gt;=Barrel!S363,Barrel!S377,"")</f>
        <v/>
      </c>
      <c r="T18" s="1432" t="str">
        <f>IF($C$3&gt;=Barrel!S363,Barrel!T377,"")</f>
        <v/>
      </c>
      <c r="U18" s="1431" t="str">
        <f>IF($C$3&gt;=Barrel!U363,Barrel!U377,"")</f>
        <v/>
      </c>
      <c r="V18" s="1432" t="str">
        <f>IF($C$3&gt;=Barrel!U363,Barrel!V377,"")</f>
        <v/>
      </c>
      <c r="W18" s="1431" t="str">
        <f>IF($C$3&gt;=Barrel!W363,Barrel!W377,"")</f>
        <v/>
      </c>
      <c r="X18" s="1432" t="str">
        <f>IF($C$3&gt;=Barrel!W363,Barrel!X377,"")</f>
        <v/>
      </c>
      <c r="Y18" s="1431" t="str">
        <f>IF($C$3&gt;=Barrel!Y363,Barrel!Y377,"")</f>
        <v/>
      </c>
      <c r="Z18" s="1432" t="str">
        <f>IF($C$3&gt;=Barrel!Y363,Barrel!Z377,"")</f>
        <v/>
      </c>
      <c r="AA18" s="1431" t="str">
        <f>IF($C$3&gt;=Barrel!AA363,Barrel!AA377,"")</f>
        <v/>
      </c>
      <c r="AB18" s="1432" t="str">
        <f>IF($C$3&gt;=Barrel!AA363,Barrel!AB377,"")</f>
        <v/>
      </c>
      <c r="AC18" s="1431" t="str">
        <f>IF($C$3&gt;=Barrel!AC363,Barrel!AC377,"")</f>
        <v/>
      </c>
      <c r="AD18" s="1432" t="str">
        <f>IF($C$3&gt;=Barrel!AC363,Barrel!AD377,"")</f>
        <v/>
      </c>
      <c r="AE18" s="1431" t="str">
        <f>IF($C$3&gt;=Barrel!AE363,Barrel!AE377,"")</f>
        <v/>
      </c>
      <c r="AF18" s="1432" t="str">
        <f>IF($C$3&gt;=Barrel!AE363,Barrel!AF377,"")</f>
        <v/>
      </c>
      <c r="AG18" s="1431" t="str">
        <f>IF($C$3&gt;=Barrel!AG363,Barrel!AG377,"")</f>
        <v/>
      </c>
      <c r="AH18" s="1432" t="str">
        <f>IF($C$3&gt;=Barrel!AG363,Barrel!AH377,"")</f>
        <v/>
      </c>
      <c r="AI18" s="1431" t="str">
        <f>IF($C$3&gt;=Barrel!AI363,Barrel!AI377,"")</f>
        <v/>
      </c>
      <c r="AJ18" s="1432" t="str">
        <f>IF($C$3&gt;=Barrel!AI363,Barrel!AJ377,"")</f>
        <v/>
      </c>
      <c r="AK18" s="1431" t="str">
        <f>IF($C$3&gt;=Barrel!AK363,Barrel!AK377,"")</f>
        <v/>
      </c>
      <c r="AL18" s="1432" t="str">
        <f>IF($C$3&gt;=Barrel!AK363,Barrel!AL377,"")</f>
        <v/>
      </c>
      <c r="AM18" s="1431" t="str">
        <f>IF($C$3&gt;=Barrel!AM363,Barrel!AM377,"")</f>
        <v/>
      </c>
      <c r="AN18" s="1432" t="str">
        <f>IF($C$3&gt;=Barrel!AM363,Barrel!AN377,"")</f>
        <v/>
      </c>
      <c r="AO18" s="1431" t="str">
        <f>IF($C$3&gt;=Barrel!AO363,Barrel!AO377,"")</f>
        <v/>
      </c>
      <c r="AP18" s="1432" t="str">
        <f>IF($C$3&gt;=Barrel!AO363,Barrel!AP377,"")</f>
        <v/>
      </c>
      <c r="AQ18" s="1431" t="str">
        <f>IF($C$3&gt;=Barrel!AQ363,Barrel!AQ377,"")</f>
        <v/>
      </c>
      <c r="AR18" s="1432" t="str">
        <f>IF($C$3&gt;=Barrel!AQ363,Barrel!AR377,"")</f>
        <v/>
      </c>
      <c r="AS18" s="1431" t="str">
        <f>IF($C$3&gt;=Barrel!AS363,Barrel!AS377,"")</f>
        <v/>
      </c>
      <c r="AT18" s="1432" t="str">
        <f>IF($C$3&gt;=Barrel!AS363,Barrel!AT377,"")</f>
        <v/>
      </c>
      <c r="AU18" s="1431" t="str">
        <f>IF($C$3&gt;=Barrel!AU363,Barrel!AU377,"")</f>
        <v/>
      </c>
      <c r="AV18" s="1432" t="str">
        <f>IF($C$3&gt;=Barrel!AU363,Barrel!AV377,"")</f>
        <v/>
      </c>
      <c r="AW18" s="1431" t="str">
        <f>IF($C$3&gt;=Barrel!AW363,Barrel!AW377,"")</f>
        <v/>
      </c>
      <c r="AX18" s="1432" t="str">
        <f>IF($C$3&gt;=Barrel!AW363,Barrel!AX377,"")</f>
        <v/>
      </c>
      <c r="AY18" s="1431" t="str">
        <f>IF($C$3&gt;=Barrel!AY363,Barrel!AY377,"")</f>
        <v/>
      </c>
      <c r="AZ18" s="1432" t="str">
        <f>IF($C$3&gt;=Barrel!AY363,Barrel!AZ377,"")</f>
        <v/>
      </c>
      <c r="BA18" s="1431" t="str">
        <f>IF($C$3&gt;=Barrel!BA363,Barrel!BA377,"")</f>
        <v/>
      </c>
      <c r="BB18" s="1432" t="str">
        <f>IF($C$3&gt;=Barrel!BA363,Barrel!BB377,"")</f>
        <v/>
      </c>
      <c r="BC18" s="1431" t="str">
        <f>IF($C$3&gt;=Barrel!BC363,Barrel!BC377,"")</f>
        <v/>
      </c>
      <c r="BD18" s="1432" t="str">
        <f>IF($C$3&gt;=Barrel!BC363,Barrel!BD377,"")</f>
        <v/>
      </c>
      <c r="BE18" s="1431" t="str">
        <f>IF($C$3&gt;=Barrel!BE363,Barrel!BE377,"")</f>
        <v/>
      </c>
      <c r="BF18" s="1432" t="str">
        <f>IF($C$3&gt;=Barrel!BE363,Barrel!BF377,"")</f>
        <v/>
      </c>
      <c r="BG18" s="1431" t="str">
        <f>IF($C$3&gt;=Barrel!BG363,Barrel!BG377,"")</f>
        <v/>
      </c>
      <c r="BH18" s="1432" t="str">
        <f>IF($C$3&gt;=Barrel!BG363,Barrel!BH377,"")</f>
        <v/>
      </c>
      <c r="BI18" s="1431" t="str">
        <f>IF($C$3&gt;=Barrel!BI363,Barrel!BI377,"")</f>
        <v/>
      </c>
      <c r="BJ18" s="1432" t="str">
        <f>IF($C$3&gt;=Barrel!BI363,Barrel!BJ377,"")</f>
        <v/>
      </c>
      <c r="BK18" s="1431" t="str">
        <f>IF($C$3&gt;=Barrel!BK363,Barrel!BK377,"")</f>
        <v/>
      </c>
      <c r="BL18" s="1432" t="str">
        <f>IF($C$3&gt;=Barrel!BK363,Barrel!BL377,"")</f>
        <v/>
      </c>
      <c r="BM18" s="1431" t="str">
        <f>IF($C$3&gt;=Barrel!BM363,Barrel!BM377,"")</f>
        <v/>
      </c>
      <c r="BN18" s="1432" t="str">
        <f>IF($C$3&gt;=Barrel!BM363,Barrel!BN377,"")</f>
        <v/>
      </c>
      <c r="BO18" s="1431" t="str">
        <f>IF($C$3&gt;=Barrel!BO363,Barrel!BO377,"")</f>
        <v/>
      </c>
      <c r="BP18" s="1432" t="str">
        <f>IF($C$3&gt;=Barrel!BO363,Barrel!BP377,"")</f>
        <v/>
      </c>
      <c r="BQ18" s="1431" t="str">
        <f>IF($C$3&gt;=Barrel!BQ363,Barrel!BQ377,"")</f>
        <v/>
      </c>
      <c r="BR18" s="1432" t="str">
        <f>IF($C$3&gt;=Barrel!BQ363,Barrel!BR377,"")</f>
        <v/>
      </c>
      <c r="BS18" s="1431" t="str">
        <f>IF($C$3&gt;=Barrel!BS363,Barrel!BS377,"")</f>
        <v/>
      </c>
      <c r="BT18" s="1432" t="str">
        <f>IF($C$3&gt;=Barrel!BS363,Barrel!BT377,"")</f>
        <v/>
      </c>
      <c r="BU18" s="1431" t="str">
        <f>IF($C$3&gt;=Barrel!BU363,Barrel!BU377,"")</f>
        <v/>
      </c>
      <c r="BV18" s="1432" t="str">
        <f>IF($C$3&gt;=Barrel!BU363,Barrel!BV377,"")</f>
        <v/>
      </c>
      <c r="BW18" s="1431" t="str">
        <f>IF($C$3&gt;=Barrel!BW363,Barrel!BW377,"")</f>
        <v/>
      </c>
      <c r="BX18" s="1432" t="str">
        <f>IF($C$3&gt;=Barrel!BW363,Barrel!BX377,"")</f>
        <v/>
      </c>
      <c r="BY18" s="1431" t="str">
        <f>IF($C$3&gt;=Barrel!BY363,Barrel!BY377,"")</f>
        <v/>
      </c>
      <c r="BZ18" s="1432" t="str">
        <f>IF($C$3&gt;=Barrel!BY363,Barrel!BZ377,"")</f>
        <v/>
      </c>
      <c r="CA18" s="1431" t="str">
        <f>IF($C$3&gt;=Barrel!CA363,Barrel!CA377,"")</f>
        <v/>
      </c>
      <c r="CB18" s="1432" t="str">
        <f>IF($C$3&gt;=Barrel!CA363,Barrel!CB377,"")</f>
        <v/>
      </c>
      <c r="CC18" s="1431" t="str">
        <f>IF($C$3&gt;=Barrel!CC363,Barrel!CC377,"")</f>
        <v/>
      </c>
      <c r="CD18" s="1432" t="str">
        <f>IF($C$3&gt;=Barrel!CC363,Barrel!CD377,"")</f>
        <v/>
      </c>
    </row>
    <row r="19" spans="1:161" ht="15.75">
      <c r="A19" s="364"/>
      <c r="B19" s="262" t="s">
        <v>1462</v>
      </c>
      <c r="C19" s="1431">
        <f>IF($C$3&gt;=Barrel!C363,Barrel!C380,"")</f>
        <v>50.883693609491154</v>
      </c>
      <c r="D19" s="1471">
        <f>IF($C$3&gt;=Barrel!C363,Barrel!C381,"")</f>
        <v>-53.931738825707612</v>
      </c>
      <c r="E19" s="1431">
        <f>IF($C$3&gt;=Barrel!E363,Barrel!F380,"")</f>
        <v>-50.883693609491154</v>
      </c>
      <c r="F19" s="1471">
        <f>IF($C$3&gt;=Barrel!E363,Barrel!F381,"")</f>
        <v>53.931738825707612</v>
      </c>
      <c r="G19" s="1431" t="str">
        <f>IF($C$3&gt;=Barrel!G363,Barrel!H380,"")</f>
        <v/>
      </c>
      <c r="H19" s="1471" t="str">
        <f>IF($C$3&gt;=Barrel!G363,Barrel!H381,"")</f>
        <v/>
      </c>
      <c r="I19" s="1431" t="str">
        <f>IF($C$3&gt;=Barrel!I363,Barrel!J380,"")</f>
        <v/>
      </c>
      <c r="J19" s="1471" t="str">
        <f>IF($C$3&gt;=Barrel!I363,Barrel!J381,"")</f>
        <v/>
      </c>
      <c r="K19" s="1431" t="str">
        <f>IF($C$3&gt;=Barrel!K363,Barrel!L380,"")</f>
        <v/>
      </c>
      <c r="L19" s="1471" t="str">
        <f>IF($C$3&gt;=Barrel!K363,Barrel!L381,"")</f>
        <v/>
      </c>
      <c r="M19" s="1431" t="str">
        <f>IF($C$3&gt;=Barrel!M363,Barrel!N380,"")</f>
        <v/>
      </c>
      <c r="N19" s="1471" t="str">
        <f>IF($C$3&gt;=Barrel!M363,Barrel!N381,"")</f>
        <v/>
      </c>
      <c r="O19" s="1431" t="str">
        <f>IF($C$3&gt;=Barrel!O363,Barrel!P380,"")</f>
        <v/>
      </c>
      <c r="P19" s="1471" t="str">
        <f>IF($C$3&gt;=Barrel!O363,Barrel!P381,"")</f>
        <v/>
      </c>
      <c r="Q19" s="1431" t="str">
        <f>IF($C$3&gt;=Barrel!Q363,Barrel!R380,"")</f>
        <v/>
      </c>
      <c r="R19" s="1471" t="str">
        <f>IF($C$3&gt;=Barrel!Q363,Barrel!R381,"")</f>
        <v/>
      </c>
      <c r="S19" s="1431" t="str">
        <f>IF($C$3&gt;=Barrel!S363,Barrel!T380,"")</f>
        <v/>
      </c>
      <c r="T19" s="1471" t="str">
        <f>IF($C$3&gt;=Barrel!S363,Barrel!T381,"")</f>
        <v/>
      </c>
      <c r="U19" s="1431" t="str">
        <f>IF($C$3&gt;=Barrel!U363,Barrel!V380,"")</f>
        <v/>
      </c>
      <c r="V19" s="1471" t="str">
        <f>IF($C$3&gt;=Barrel!U363,Barrel!V381,"")</f>
        <v/>
      </c>
      <c r="W19" s="1431" t="str">
        <f>IF($C$3&gt;=Barrel!W363,Barrel!X380,"")</f>
        <v/>
      </c>
      <c r="X19" s="1471" t="str">
        <f>IF($C$3&gt;=Barrel!W363,Barrel!X381,"")</f>
        <v/>
      </c>
      <c r="Y19" s="1431" t="str">
        <f>IF($C$3&gt;=Barrel!Y363,Barrel!Z380,"")</f>
        <v/>
      </c>
      <c r="Z19" s="1471" t="str">
        <f>IF($C$3&gt;=Barrel!Y363,Barrel!Z381,"")</f>
        <v/>
      </c>
      <c r="AA19" s="1431" t="str">
        <f>IF($C$3&gt;=Barrel!AA363,Barrel!AB380,"")</f>
        <v/>
      </c>
      <c r="AB19" s="1471" t="str">
        <f>IF($C$3&gt;=Barrel!AA363,Barrel!AB381,"")</f>
        <v/>
      </c>
      <c r="AC19" s="1431" t="str">
        <f>IF($C$3&gt;=Barrel!AC363,Barrel!AD380,"")</f>
        <v/>
      </c>
      <c r="AD19" s="1471" t="str">
        <f>IF($C$3&gt;=Barrel!AC363,Barrel!AD381,"")</f>
        <v/>
      </c>
      <c r="AE19" s="1431" t="str">
        <f>IF($C$3&gt;=Barrel!AE363,Barrel!AF380,"")</f>
        <v/>
      </c>
      <c r="AF19" s="1471" t="str">
        <f>IF($C$3&gt;=Barrel!AE363,Barrel!AF381,"")</f>
        <v/>
      </c>
      <c r="AG19" s="1431" t="str">
        <f>IF($C$3&gt;=Barrel!AG363,Barrel!AH380,"")</f>
        <v/>
      </c>
      <c r="AH19" s="1471" t="str">
        <f>IF($C$3&gt;=Barrel!AG363,Barrel!AH381,"")</f>
        <v/>
      </c>
      <c r="AI19" s="1431" t="str">
        <f>IF($C$3&gt;=Barrel!AI363,Barrel!AJ380,"")</f>
        <v/>
      </c>
      <c r="AJ19" s="1471" t="str">
        <f>IF($C$3&gt;=Barrel!AI363,Barrel!AJ381,"")</f>
        <v/>
      </c>
      <c r="AK19" s="1431" t="str">
        <f>IF($C$3&gt;=Barrel!AK363,Barrel!AL380,"")</f>
        <v/>
      </c>
      <c r="AL19" s="1471" t="str">
        <f>IF($C$3&gt;=Barrel!AK363,Barrel!AL381,"")</f>
        <v/>
      </c>
      <c r="AM19" s="1431" t="str">
        <f>IF($C$3&gt;=Barrel!AM363,Barrel!AN380,"")</f>
        <v/>
      </c>
      <c r="AN19" s="1471" t="str">
        <f>IF($C$3&gt;=Barrel!AM363,Barrel!AN381,"")</f>
        <v/>
      </c>
      <c r="AO19" s="1431" t="str">
        <f>IF($C$3&gt;=Barrel!AO363,Barrel!AP380,"")</f>
        <v/>
      </c>
      <c r="AP19" s="1471" t="str">
        <f>IF($C$3&gt;=Barrel!AO363,Barrel!AP381,"")</f>
        <v/>
      </c>
      <c r="AQ19" s="1431" t="str">
        <f>IF($C$3&gt;=Barrel!AQ363,Barrel!AR380,"")</f>
        <v/>
      </c>
      <c r="AR19" s="1471" t="str">
        <f>IF($C$3&gt;=Barrel!AQ363,Barrel!AR381,"")</f>
        <v/>
      </c>
      <c r="AS19" s="1431" t="str">
        <f>IF($C$3&gt;=Barrel!AS363,Barrel!AT380,"")</f>
        <v/>
      </c>
      <c r="AT19" s="1471" t="str">
        <f>IF($C$3&gt;=Barrel!AS363,Barrel!AT381,"")</f>
        <v/>
      </c>
      <c r="AU19" s="1431" t="str">
        <f>IF($C$3&gt;=Barrel!AU363,Barrel!AV380,"")</f>
        <v/>
      </c>
      <c r="AV19" s="1471" t="str">
        <f>IF($C$3&gt;=Barrel!AU363,Barrel!AV381,"")</f>
        <v/>
      </c>
      <c r="AW19" s="1431" t="str">
        <f>IF($C$3&gt;=Barrel!AW363,Barrel!AX380,"")</f>
        <v/>
      </c>
      <c r="AX19" s="1471" t="str">
        <f>IF($C$3&gt;=Barrel!AW363,Barrel!AX381,"")</f>
        <v/>
      </c>
      <c r="AY19" s="1431" t="str">
        <f>IF($C$3&gt;=Barrel!AY363,Barrel!AZ380,"")</f>
        <v/>
      </c>
      <c r="AZ19" s="1471" t="str">
        <f>IF($C$3&gt;=Barrel!AY363,Barrel!AZ381,"")</f>
        <v/>
      </c>
      <c r="BA19" s="1431" t="str">
        <f>IF($C$3&gt;=Barrel!BA363,Barrel!BB380,"")</f>
        <v/>
      </c>
      <c r="BB19" s="1471" t="str">
        <f>IF($C$3&gt;=Barrel!BA363,Barrel!BB381,"")</f>
        <v/>
      </c>
      <c r="BC19" s="1431" t="str">
        <f>IF($C$3&gt;=Barrel!BC363,Barrel!BD380,"")</f>
        <v/>
      </c>
      <c r="BD19" s="1471" t="str">
        <f>IF($C$3&gt;=Barrel!BC363,Barrel!BD381,"")</f>
        <v/>
      </c>
      <c r="BE19" s="1431" t="str">
        <f>IF($C$3&gt;=Barrel!BE363,Barrel!BF380,"")</f>
        <v/>
      </c>
      <c r="BF19" s="1471" t="str">
        <f>IF($C$3&gt;=Barrel!BE363,Barrel!BF381,"")</f>
        <v/>
      </c>
      <c r="BG19" s="1431" t="str">
        <f>IF($C$3&gt;=Barrel!BG363,Barrel!BH380,"")</f>
        <v/>
      </c>
      <c r="BH19" s="1471" t="str">
        <f>IF($C$3&gt;=Barrel!BG363,Barrel!BH381,"")</f>
        <v/>
      </c>
      <c r="BI19" s="1431" t="str">
        <f>IF($C$3&gt;=Barrel!BI363,Barrel!BJ380,"")</f>
        <v/>
      </c>
      <c r="BJ19" s="1471" t="str">
        <f>IF($C$3&gt;=Barrel!BI363,Barrel!BJ381,"")</f>
        <v/>
      </c>
      <c r="BK19" s="1431" t="str">
        <f>IF($C$3&gt;=Barrel!BK363,Barrel!BL380,"")</f>
        <v/>
      </c>
      <c r="BL19" s="1471" t="str">
        <f>IF($C$3&gt;=Barrel!BK363,Barrel!BL381,"")</f>
        <v/>
      </c>
      <c r="BM19" s="1431" t="str">
        <f>IF($C$3&gt;=Barrel!BM363,Barrel!BN380,"")</f>
        <v/>
      </c>
      <c r="BN19" s="1471" t="str">
        <f>IF($C$3&gt;=Barrel!BM363,Barrel!BN381,"")</f>
        <v/>
      </c>
      <c r="BO19" s="1431" t="str">
        <f>IF($C$3&gt;=Barrel!BO363,Barrel!BP380,"")</f>
        <v/>
      </c>
      <c r="BP19" s="1471" t="str">
        <f>IF($C$3&gt;=Barrel!BO363,Barrel!BP381,"")</f>
        <v/>
      </c>
      <c r="BQ19" s="1431" t="str">
        <f>IF($C$3&gt;=Barrel!BQ363,Barrel!BR380,"")</f>
        <v/>
      </c>
      <c r="BR19" s="1471" t="str">
        <f>IF($C$3&gt;=Barrel!BQ363,Barrel!BR381,"")</f>
        <v/>
      </c>
      <c r="BS19" s="1431" t="str">
        <f>IF($C$3&gt;=Barrel!BS363,Barrel!BT380,"")</f>
        <v/>
      </c>
      <c r="BT19" s="1471" t="str">
        <f>IF($C$3&gt;=Barrel!BS363,Barrel!BT381,"")</f>
        <v/>
      </c>
      <c r="BU19" s="1431" t="str">
        <f>IF($C$3&gt;=Barrel!BU363,Barrel!BV380,"")</f>
        <v/>
      </c>
      <c r="BV19" s="1471" t="str">
        <f>IF($C$3&gt;=Barrel!BU363,Barrel!BV381,"")</f>
        <v/>
      </c>
      <c r="BW19" s="1431" t="str">
        <f>IF($C$3&gt;=Barrel!BW363,Barrel!BX380,"")</f>
        <v/>
      </c>
      <c r="BX19" s="1471" t="str">
        <f>IF($C$3&gt;=Barrel!BW363,Barrel!BX381,"")</f>
        <v/>
      </c>
      <c r="BY19" s="1431" t="str">
        <f>IF($C$3&gt;=Barrel!BY363,Barrel!BZ380,"")</f>
        <v/>
      </c>
      <c r="BZ19" s="1471" t="str">
        <f>IF($C$3&gt;=Barrel!BY363,Barrel!BZ381,"")</f>
        <v/>
      </c>
      <c r="CA19" s="1431" t="str">
        <f>IF($C$3&gt;=Barrel!CA363,Barrel!CB380,"")</f>
        <v/>
      </c>
      <c r="CB19" s="1471" t="str">
        <f>IF($C$3&gt;=Barrel!CA363,Barrel!CB381,"")</f>
        <v/>
      </c>
      <c r="CC19" s="1431" t="str">
        <f>IF($C$3&gt;=Barrel!CC363,Barrel!CD380,"")</f>
        <v/>
      </c>
      <c r="CD19" s="1471" t="str">
        <f>IF($C$3&gt;=Barrel!CC363,Barrel!CD381,"")</f>
        <v/>
      </c>
    </row>
    <row r="20" spans="1:161">
      <c r="A20" s="363"/>
      <c r="B20" s="259" t="s">
        <v>1452</v>
      </c>
      <c r="C20" s="1474">
        <f>IF($C$3&gt;=Barrel!C363,Barrel!C386,"")</f>
        <v>0.51308900523560219</v>
      </c>
      <c r="D20" s="1475">
        <f>IF($C$3&gt;=Barrel!C363,Barrel!D386,"")</f>
        <v>0.41660577881102623</v>
      </c>
      <c r="E20" s="1474">
        <f>IF($C$3&gt;=Barrel!E363,Barrel!E386,"")</f>
        <v>0.41660577881102623</v>
      </c>
      <c r="F20" s="1475">
        <f>IF($C$3&gt;=Barrel!E363,Barrel!F386,"")</f>
        <v>0.51308900523560219</v>
      </c>
      <c r="G20" s="1474" t="str">
        <f>IF($C$3&gt;=Barrel!G363,Barrel!G386,"")</f>
        <v/>
      </c>
      <c r="H20" s="1475" t="str">
        <f>IF($C$3&gt;=Barrel!G363,Barrel!H386,"")</f>
        <v/>
      </c>
      <c r="I20" s="1474" t="str">
        <f>IF($C$3&gt;=Barrel!I363,Barrel!I386,"")</f>
        <v/>
      </c>
      <c r="J20" s="1475" t="str">
        <f>IF($C$3&gt;=Barrel!I363,Barrel!J386,"")</f>
        <v/>
      </c>
      <c r="K20" s="1474" t="str">
        <f>IF($C$3&gt;=Barrel!K363,Barrel!K386,"")</f>
        <v/>
      </c>
      <c r="L20" s="1475" t="str">
        <f>IF($C$3&gt;=Barrel!K363,Barrel!L386,"")</f>
        <v/>
      </c>
      <c r="M20" s="1474" t="str">
        <f>IF($C$3&gt;=Barrel!M363,Barrel!M386,"")</f>
        <v/>
      </c>
      <c r="N20" s="1475" t="str">
        <f>IF($C$3&gt;=Barrel!M363,Barrel!N386,"")</f>
        <v/>
      </c>
      <c r="O20" s="1474" t="str">
        <f>IF($C$3&gt;=Barrel!O363,Barrel!O386,"")</f>
        <v/>
      </c>
      <c r="P20" s="1475" t="str">
        <f>IF($C$3&gt;=Barrel!O363,Barrel!P386,"")</f>
        <v/>
      </c>
      <c r="Q20" s="1474" t="str">
        <f>IF($C$3&gt;=Barrel!Q363,Barrel!Q386,"")</f>
        <v/>
      </c>
      <c r="R20" s="1475" t="str">
        <f>IF($C$3&gt;=Barrel!Q363,Barrel!R386,"")</f>
        <v/>
      </c>
      <c r="S20" s="1474" t="str">
        <f>IF($C$3&gt;=Barrel!S363,Barrel!S386,"")</f>
        <v/>
      </c>
      <c r="T20" s="1475" t="str">
        <f>IF($C$3&gt;=Barrel!S363,Barrel!T386,"")</f>
        <v/>
      </c>
      <c r="U20" s="1474" t="str">
        <f>IF($C$3&gt;=Barrel!U363,Barrel!U386,"")</f>
        <v/>
      </c>
      <c r="V20" s="1475" t="str">
        <f>IF($C$3&gt;=Barrel!U363,Barrel!V386,"")</f>
        <v/>
      </c>
      <c r="W20" s="1474" t="str">
        <f>IF($C$3&gt;=Barrel!W363,Barrel!W386,"")</f>
        <v/>
      </c>
      <c r="X20" s="1475" t="str">
        <f>IF($C$3&gt;=Barrel!W363,Barrel!X386,"")</f>
        <v/>
      </c>
      <c r="Y20" s="1474" t="str">
        <f>IF($C$3&gt;=Barrel!Y363,Barrel!Y386,"")</f>
        <v/>
      </c>
      <c r="Z20" s="1475" t="str">
        <f>IF($C$3&gt;=Barrel!Y363,Barrel!Z386,"")</f>
        <v/>
      </c>
      <c r="AA20" s="1474" t="str">
        <f>IF($C$3&gt;=Barrel!AA363,Barrel!AA386,"")</f>
        <v/>
      </c>
      <c r="AB20" s="1475" t="str">
        <f>IF($C$3&gt;=Barrel!AA363,Barrel!AB386,"")</f>
        <v/>
      </c>
      <c r="AC20" s="1474" t="str">
        <f>IF($C$3&gt;=Barrel!AC363,Barrel!AC386,"")</f>
        <v/>
      </c>
      <c r="AD20" s="1475" t="str">
        <f>IF($C$3&gt;=Barrel!AC363,Barrel!AD386,"")</f>
        <v/>
      </c>
      <c r="AE20" s="1474" t="str">
        <f>IF($C$3&gt;=Barrel!AE363,Barrel!AE386,"")</f>
        <v/>
      </c>
      <c r="AF20" s="1475" t="str">
        <f>IF($C$3&gt;=Barrel!AE363,Barrel!AF386,"")</f>
        <v/>
      </c>
      <c r="AG20" s="1474" t="str">
        <f>IF($C$3&gt;=Barrel!AG363,Barrel!AG386,"")</f>
        <v/>
      </c>
      <c r="AH20" s="1475" t="str">
        <f>IF($C$3&gt;=Barrel!AG363,Barrel!AH386,"")</f>
        <v/>
      </c>
      <c r="AI20" s="1474" t="str">
        <f>IF($C$3&gt;=Barrel!AI363,Barrel!AI386,"")</f>
        <v/>
      </c>
      <c r="AJ20" s="1475" t="str">
        <f>IF($C$3&gt;=Barrel!AI363,Barrel!AJ386,"")</f>
        <v/>
      </c>
      <c r="AK20" s="1474" t="str">
        <f>IF($C$3&gt;=Barrel!AK363,Barrel!AK386,"")</f>
        <v/>
      </c>
      <c r="AL20" s="1475" t="str">
        <f>IF($C$3&gt;=Barrel!AK363,Barrel!AL386,"")</f>
        <v/>
      </c>
      <c r="AM20" s="1474" t="str">
        <f>IF($C$3&gt;=Barrel!AM363,Barrel!AM386,"")</f>
        <v/>
      </c>
      <c r="AN20" s="1475" t="str">
        <f>IF($C$3&gt;=Barrel!AM363,Barrel!AN386,"")</f>
        <v/>
      </c>
      <c r="AO20" s="1474" t="str">
        <f>IF($C$3&gt;=Barrel!AO363,Barrel!AO386,"")</f>
        <v/>
      </c>
      <c r="AP20" s="1475" t="str">
        <f>IF($C$3&gt;=Barrel!AO363,Barrel!AP386,"")</f>
        <v/>
      </c>
      <c r="AQ20" s="1474" t="str">
        <f>IF($C$3&gt;=Barrel!AQ363,Barrel!AQ386,"")</f>
        <v/>
      </c>
      <c r="AR20" s="1475" t="str">
        <f>IF($C$3&gt;=Barrel!AQ363,Barrel!AR386,"")</f>
        <v/>
      </c>
      <c r="AS20" s="1474" t="str">
        <f>IF($C$3&gt;=Barrel!AS363,Barrel!AS386,"")</f>
        <v/>
      </c>
      <c r="AT20" s="1475" t="str">
        <f>IF($C$3&gt;=Barrel!AS363,Barrel!AT386,"")</f>
        <v/>
      </c>
      <c r="AU20" s="1474" t="str">
        <f>IF($C$3&gt;=Barrel!AU363,Barrel!AU386,"")</f>
        <v/>
      </c>
      <c r="AV20" s="1475" t="str">
        <f>IF($C$3&gt;=Barrel!AU363,Barrel!AV386,"")</f>
        <v/>
      </c>
      <c r="AW20" s="1474" t="str">
        <f>IF($C$3&gt;=Barrel!AW363,Barrel!AW386,"")</f>
        <v/>
      </c>
      <c r="AX20" s="1475" t="str">
        <f>IF($C$3&gt;=Barrel!AW363,Barrel!AX386,"")</f>
        <v/>
      </c>
      <c r="AY20" s="1474" t="str">
        <f>IF($C$3&gt;=Barrel!AY363,Barrel!AY386,"")</f>
        <v/>
      </c>
      <c r="AZ20" s="1475" t="str">
        <f>IF($C$3&gt;=Barrel!AY363,Barrel!AZ386,"")</f>
        <v/>
      </c>
      <c r="BA20" s="1474" t="str">
        <f>IF($C$3&gt;=Barrel!BA363,Barrel!BA386,"")</f>
        <v/>
      </c>
      <c r="BB20" s="1475" t="str">
        <f>IF($C$3&gt;=Barrel!BA363,Barrel!BB386,"")</f>
        <v/>
      </c>
      <c r="BC20" s="1474" t="str">
        <f>IF($C$3&gt;=Barrel!BC363,Barrel!BC386,"")</f>
        <v/>
      </c>
      <c r="BD20" s="1475" t="str">
        <f>IF($C$3&gt;=Barrel!BC363,Barrel!BD386,"")</f>
        <v/>
      </c>
      <c r="BE20" s="1474" t="str">
        <f>IF($C$3&gt;=Barrel!BE363,Barrel!BE386,"")</f>
        <v/>
      </c>
      <c r="BF20" s="1475" t="str">
        <f>IF($C$3&gt;=Barrel!BE363,Barrel!BF386,"")</f>
        <v/>
      </c>
      <c r="BG20" s="1474" t="str">
        <f>IF($C$3&gt;=Barrel!BG363,Barrel!BG386,"")</f>
        <v/>
      </c>
      <c r="BH20" s="1475" t="str">
        <f>IF($C$3&gt;=Barrel!BG363,Barrel!BH386,"")</f>
        <v/>
      </c>
      <c r="BI20" s="1474" t="str">
        <f>IF($C$3&gt;=Barrel!BI363,Barrel!BI386,"")</f>
        <v/>
      </c>
      <c r="BJ20" s="1475" t="str">
        <f>IF($C$3&gt;=Barrel!BI363,Barrel!BJ386,"")</f>
        <v/>
      </c>
      <c r="BK20" s="1474" t="str">
        <f>IF($C$3&gt;=Barrel!BK363,Barrel!BK386,"")</f>
        <v/>
      </c>
      <c r="BL20" s="1475" t="str">
        <f>IF($C$3&gt;=Barrel!BK363,Barrel!BL386,"")</f>
        <v/>
      </c>
      <c r="BM20" s="1474" t="str">
        <f>IF($C$3&gt;=Barrel!BM363,Barrel!BM386,"")</f>
        <v/>
      </c>
      <c r="BN20" s="1475" t="str">
        <f>IF($C$3&gt;=Barrel!BM363,Barrel!BN386,"")</f>
        <v/>
      </c>
      <c r="BO20" s="1474" t="str">
        <f>IF($C$3&gt;=Barrel!BO363,Barrel!BO386,"")</f>
        <v/>
      </c>
      <c r="BP20" s="1475" t="str">
        <f>IF($C$3&gt;=Barrel!BO363,Barrel!BP386,"")</f>
        <v/>
      </c>
      <c r="BQ20" s="1474" t="str">
        <f>IF($C$3&gt;=Barrel!BQ363,Barrel!BQ386,"")</f>
        <v/>
      </c>
      <c r="BR20" s="1475" t="str">
        <f>IF($C$3&gt;=Barrel!BQ363,Barrel!BR386,"")</f>
        <v/>
      </c>
      <c r="BS20" s="1474" t="str">
        <f>IF($C$3&gt;=Barrel!BS363,Barrel!BS386,"")</f>
        <v/>
      </c>
      <c r="BT20" s="1475" t="str">
        <f>IF($C$3&gt;=Barrel!BS363,Barrel!BT386,"")</f>
        <v/>
      </c>
      <c r="BU20" s="1474" t="str">
        <f>IF($C$3&gt;=Barrel!BU363,Barrel!BU386,"")</f>
        <v/>
      </c>
      <c r="BV20" s="1475" t="str">
        <f>IF($C$3&gt;=Barrel!BU363,Barrel!BV386,"")</f>
        <v/>
      </c>
      <c r="BW20" s="1474" t="str">
        <f>IF($C$3&gt;=Barrel!BW363,Barrel!BW386,"")</f>
        <v/>
      </c>
      <c r="BX20" s="1475" t="str">
        <f>IF($C$3&gt;=Barrel!BW363,Barrel!BX386,"")</f>
        <v/>
      </c>
      <c r="BY20" s="1474" t="str">
        <f>IF($C$3&gt;=Barrel!BY363,Barrel!BY386,"")</f>
        <v/>
      </c>
      <c r="BZ20" s="1475" t="str">
        <f>IF($C$3&gt;=Barrel!BY363,Barrel!BZ386,"")</f>
        <v/>
      </c>
      <c r="CA20" s="1474" t="str">
        <f>IF($C$3&gt;=Barrel!CA363,Barrel!CA386,"")</f>
        <v/>
      </c>
      <c r="CB20" s="1475" t="str">
        <f>IF($C$3&gt;=Barrel!CA363,Barrel!CB386,"")</f>
        <v/>
      </c>
      <c r="CC20" s="1474" t="str">
        <f>IF($C$3&gt;=Barrel!CC363,Barrel!CC386,"")</f>
        <v/>
      </c>
      <c r="CD20" s="1475" t="str">
        <f>IF($C$3&gt;=Barrel!CC363,Barrel!CD386,"")</f>
        <v/>
      </c>
    </row>
    <row r="21" spans="1:161">
      <c r="A21" s="1102"/>
      <c r="B21" s="268" t="s">
        <v>1456</v>
      </c>
      <c r="C21" s="1378">
        <f>IF($C$3&gt;=Barrel!C363,Barrel!C387,"")</f>
        <v>0.48691099476439786</v>
      </c>
      <c r="D21" s="1476">
        <f>IF($C$3&gt;=Barrel!C363,Barrel!D387,"")</f>
        <v>0.16678844237794752</v>
      </c>
      <c r="E21" s="1378"/>
      <c r="F21" s="1476">
        <f>IF($C$3&gt;=Barrel!E363,Barrel!F387,"")</f>
        <v>0.48691099476439786</v>
      </c>
      <c r="G21" s="1378"/>
      <c r="H21" s="1476" t="str">
        <f>IF($C$3&gt;=Barrel!G363,Barrel!H387,"")</f>
        <v/>
      </c>
      <c r="I21" s="1378"/>
      <c r="J21" s="1476" t="str">
        <f>IF($C$3&gt;=Barrel!I363,Barrel!J387,"")</f>
        <v/>
      </c>
      <c r="K21" s="1378"/>
      <c r="L21" s="1476" t="str">
        <f>IF($C$3&gt;=Barrel!K363,Barrel!L387,"")</f>
        <v/>
      </c>
      <c r="M21" s="1378"/>
      <c r="N21" s="1476" t="str">
        <f>IF($C$3&gt;=Barrel!M363,Barrel!N387,"")</f>
        <v/>
      </c>
      <c r="O21" s="1378"/>
      <c r="P21" s="1476" t="str">
        <f>IF($C$3&gt;=Barrel!O363,Barrel!P387,"")</f>
        <v/>
      </c>
      <c r="Q21" s="1378"/>
      <c r="R21" s="1476" t="str">
        <f>IF($C$3&gt;=Barrel!Q363,Barrel!R387,"")</f>
        <v/>
      </c>
      <c r="S21" s="1378"/>
      <c r="T21" s="1476" t="str">
        <f>IF($C$3&gt;=Barrel!S363,Barrel!T387,"")</f>
        <v/>
      </c>
      <c r="U21" s="1378"/>
      <c r="V21" s="1476" t="str">
        <f>IF($C$3&gt;=Barrel!U363,Barrel!V387,"")</f>
        <v/>
      </c>
      <c r="W21" s="1378"/>
      <c r="X21" s="1476" t="str">
        <f>IF($C$3&gt;=Barrel!W363,Barrel!X387,"")</f>
        <v/>
      </c>
      <c r="Y21" s="1378"/>
      <c r="Z21" s="1476" t="str">
        <f>IF($C$3&gt;=Barrel!Y363,Barrel!Z387,"")</f>
        <v/>
      </c>
      <c r="AA21" s="1378"/>
      <c r="AB21" s="1476" t="str">
        <f>IF($C$3&gt;=Barrel!AA363,Barrel!AB387,"")</f>
        <v/>
      </c>
      <c r="AC21" s="1378"/>
      <c r="AD21" s="1476" t="str">
        <f>IF($C$3&gt;=Barrel!AC363,Barrel!AD387,"")</f>
        <v/>
      </c>
      <c r="AE21" s="1378"/>
      <c r="AF21" s="1476" t="str">
        <f>IF($C$3&gt;=Barrel!AE363,Barrel!AF387,"")</f>
        <v/>
      </c>
      <c r="AG21" s="1378"/>
      <c r="AH21" s="1476" t="str">
        <f>IF($C$3&gt;=Barrel!AG363,Barrel!AH387,"")</f>
        <v/>
      </c>
      <c r="AI21" s="1378"/>
      <c r="AJ21" s="1476" t="str">
        <f>IF($C$3&gt;=Barrel!AI363,Barrel!AJ387,"")</f>
        <v/>
      </c>
      <c r="AK21" s="1378"/>
      <c r="AL21" s="1476" t="str">
        <f>IF($C$3&gt;=Barrel!AK363,Barrel!AL387,"")</f>
        <v/>
      </c>
      <c r="AM21" s="1378"/>
      <c r="AN21" s="1476" t="str">
        <f>IF($C$3&gt;=Barrel!AM363,Barrel!AN387,"")</f>
        <v/>
      </c>
      <c r="AO21" s="1378"/>
      <c r="AP21" s="1476" t="str">
        <f>IF($C$3&gt;=Barrel!AO363,Barrel!AP387,"")</f>
        <v/>
      </c>
      <c r="AQ21" s="1378"/>
      <c r="AR21" s="1476" t="str">
        <f>IF($C$3&gt;=Barrel!AQ363,Barrel!AR387,"")</f>
        <v/>
      </c>
      <c r="AS21" s="1378"/>
      <c r="AT21" s="1476" t="str">
        <f>IF($C$3&gt;=Barrel!AS363,Barrel!AT387,"")</f>
        <v/>
      </c>
      <c r="AU21" s="1378"/>
      <c r="AV21" s="1476" t="str">
        <f>IF($C$3&gt;=Barrel!AU363,Barrel!AV387,"")</f>
        <v/>
      </c>
      <c r="AW21" s="1378"/>
      <c r="AX21" s="1476" t="str">
        <f>IF($C$3&gt;=Barrel!AW363,Barrel!AX387,"")</f>
        <v/>
      </c>
      <c r="AY21" s="1378"/>
      <c r="AZ21" s="1476" t="str">
        <f>IF($C$3&gt;=Barrel!AY363,Barrel!AZ387,"")</f>
        <v/>
      </c>
      <c r="BA21" s="1378"/>
      <c r="BB21" s="1476" t="str">
        <f>IF($C$3&gt;=Barrel!BA363,Barrel!BB387,"")</f>
        <v/>
      </c>
      <c r="BC21" s="1378"/>
      <c r="BD21" s="1476" t="str">
        <f>IF($C$3&gt;=Barrel!BC363,Barrel!BD387,"")</f>
        <v/>
      </c>
      <c r="BE21" s="1378"/>
      <c r="BF21" s="1476" t="str">
        <f>IF($C$3&gt;=Barrel!BE363,Barrel!BF387,"")</f>
        <v/>
      </c>
      <c r="BG21" s="1378"/>
      <c r="BH21" s="1476" t="str">
        <f>IF($C$3&gt;=Barrel!BG363,Barrel!BH387,"")</f>
        <v/>
      </c>
      <c r="BI21" s="1378"/>
      <c r="BJ21" s="1476" t="str">
        <f>IF($C$3&gt;=Barrel!BI363,Barrel!BJ387,"")</f>
        <v/>
      </c>
      <c r="BK21" s="1378"/>
      <c r="BL21" s="1476" t="str">
        <f>IF($C$3&gt;=Barrel!BK363,Barrel!BL387,"")</f>
        <v/>
      </c>
      <c r="BM21" s="1378"/>
      <c r="BN21" s="1476" t="str">
        <f>IF($C$3&gt;=Barrel!BM363,Barrel!BN387,"")</f>
        <v/>
      </c>
      <c r="BO21" s="1378"/>
      <c r="BP21" s="1476" t="str">
        <f>IF($C$3&gt;=Barrel!BO363,Barrel!BP387,"")</f>
        <v/>
      </c>
      <c r="BQ21" s="1378"/>
      <c r="BR21" s="1476" t="str">
        <f>IF($C$3&gt;=Barrel!BQ363,Barrel!BR387,"")</f>
        <v/>
      </c>
      <c r="BS21" s="1378"/>
      <c r="BT21" s="1476" t="str">
        <f>IF($C$3&gt;=Barrel!BS363,Barrel!BT387,"")</f>
        <v/>
      </c>
      <c r="BU21" s="1378"/>
      <c r="BV21" s="1476" t="str">
        <f>IF($C$3&gt;=Barrel!BU363,Barrel!BV387,"")</f>
        <v/>
      </c>
      <c r="BW21" s="1378"/>
      <c r="BX21" s="1476" t="str">
        <f>IF($C$3&gt;=Barrel!BW363,Barrel!BX387,"")</f>
        <v/>
      </c>
      <c r="BY21" s="1378"/>
      <c r="BZ21" s="1476" t="str">
        <f>IF($C$3&gt;=Barrel!BY363,Barrel!BZ387,"")</f>
        <v/>
      </c>
      <c r="CA21" s="1378"/>
      <c r="CB21" s="1476" t="str">
        <f>IF($C$3&gt;=Barrel!CA363,Barrel!CB387,"")</f>
        <v/>
      </c>
      <c r="CC21" s="1378"/>
      <c r="CD21" s="1476" t="str">
        <f>IF($C$3&gt;=Barrel!CC363,Barrel!CD387,"")</f>
        <v/>
      </c>
    </row>
    <row r="22" spans="1:161">
      <c r="A22" s="1102"/>
      <c r="B22" s="268" t="s">
        <v>1457</v>
      </c>
      <c r="C22" s="1378">
        <f>IF($C$3&gt;=Barrel!C363,Barrel!C388,"")</f>
        <v>0.37406428065993824</v>
      </c>
      <c r="D22" s="1476">
        <f>IF($C$3&gt;=Barrel!C363,Barrel!D388,"")</f>
        <v>0.11194625021259173</v>
      </c>
      <c r="E22" s="1378"/>
      <c r="F22" s="1476">
        <f>IF($C$3&gt;=Barrel!E363,Barrel!F388,"")</f>
        <v>0.37406428065993824</v>
      </c>
      <c r="G22" s="1378"/>
      <c r="H22" s="1476" t="str">
        <f>IF($C$3&gt;=Barrel!G363,Barrel!H388,"")</f>
        <v/>
      </c>
      <c r="I22" s="1378"/>
      <c r="J22" s="1476" t="str">
        <f>IF($C$3&gt;=Barrel!I363,Barrel!J388,"")</f>
        <v/>
      </c>
      <c r="K22" s="1378"/>
      <c r="L22" s="1476" t="str">
        <f>IF($C$3&gt;=Barrel!K363,Barrel!L388,"")</f>
        <v/>
      </c>
      <c r="M22" s="1378"/>
      <c r="N22" s="1476" t="str">
        <f>IF($C$3&gt;=Barrel!M363,Barrel!N388,"")</f>
        <v/>
      </c>
      <c r="O22" s="1378"/>
      <c r="P22" s="1476" t="str">
        <f>IF($C$3&gt;=Barrel!O363,Barrel!P388,"")</f>
        <v/>
      </c>
      <c r="Q22" s="1378"/>
      <c r="R22" s="1476" t="str">
        <f>IF($C$3&gt;=Barrel!Q363,Barrel!R388,"")</f>
        <v/>
      </c>
      <c r="S22" s="1378"/>
      <c r="T22" s="1476" t="str">
        <f>IF($C$3&gt;=Barrel!S363,Barrel!T388,"")</f>
        <v/>
      </c>
      <c r="U22" s="1378"/>
      <c r="V22" s="1476" t="str">
        <f>IF($C$3&gt;=Barrel!U363,Barrel!V388,"")</f>
        <v/>
      </c>
      <c r="W22" s="1378"/>
      <c r="X22" s="1476" t="str">
        <f>IF($C$3&gt;=Barrel!W363,Barrel!X388,"")</f>
        <v/>
      </c>
      <c r="Y22" s="1378"/>
      <c r="Z22" s="1476" t="str">
        <f>IF($C$3&gt;=Barrel!Y363,Barrel!Z388,"")</f>
        <v/>
      </c>
      <c r="AA22" s="1378"/>
      <c r="AB22" s="1476" t="str">
        <f>IF($C$3&gt;=Barrel!AA363,Barrel!AB388,"")</f>
        <v/>
      </c>
      <c r="AC22" s="1378"/>
      <c r="AD22" s="1476" t="str">
        <f>IF($C$3&gt;=Barrel!AC363,Barrel!AD388,"")</f>
        <v/>
      </c>
      <c r="AE22" s="1378"/>
      <c r="AF22" s="1476" t="str">
        <f>IF($C$3&gt;=Barrel!AE363,Barrel!AF388,"")</f>
        <v/>
      </c>
      <c r="AG22" s="1378"/>
      <c r="AH22" s="1476" t="str">
        <f>IF($C$3&gt;=Barrel!AG363,Barrel!AH388,"")</f>
        <v/>
      </c>
      <c r="AI22" s="1378"/>
      <c r="AJ22" s="1476" t="str">
        <f>IF($C$3&gt;=Barrel!AI363,Barrel!AJ388,"")</f>
        <v/>
      </c>
      <c r="AK22" s="1378"/>
      <c r="AL22" s="1476" t="str">
        <f>IF($C$3&gt;=Barrel!AK363,Barrel!AL388,"")</f>
        <v/>
      </c>
      <c r="AM22" s="1378"/>
      <c r="AN22" s="1476" t="str">
        <f>IF($C$3&gt;=Barrel!AM363,Barrel!AN388,"")</f>
        <v/>
      </c>
      <c r="AO22" s="1378"/>
      <c r="AP22" s="1476" t="str">
        <f>IF($C$3&gt;=Barrel!AO363,Barrel!AP388,"")</f>
        <v/>
      </c>
      <c r="AQ22" s="1378"/>
      <c r="AR22" s="1476" t="str">
        <f>IF($C$3&gt;=Barrel!AQ363,Barrel!AR388,"")</f>
        <v/>
      </c>
      <c r="AS22" s="1378"/>
      <c r="AT22" s="1476" t="str">
        <f>IF($C$3&gt;=Barrel!AS363,Barrel!AT388,"")</f>
        <v/>
      </c>
      <c r="AU22" s="1378"/>
      <c r="AV22" s="1476" t="str">
        <f>IF($C$3&gt;=Barrel!AU363,Barrel!AV388,"")</f>
        <v/>
      </c>
      <c r="AW22" s="1378"/>
      <c r="AX22" s="1476" t="str">
        <f>IF($C$3&gt;=Barrel!AW363,Barrel!AX388,"")</f>
        <v/>
      </c>
      <c r="AY22" s="1378"/>
      <c r="AZ22" s="1476" t="str">
        <f>IF($C$3&gt;=Barrel!AY363,Barrel!AZ388,"")</f>
        <v/>
      </c>
      <c r="BA22" s="1378"/>
      <c r="BB22" s="1476" t="str">
        <f>IF($C$3&gt;=Barrel!BA363,Barrel!BB388,"")</f>
        <v/>
      </c>
      <c r="BC22" s="1378"/>
      <c r="BD22" s="1476" t="str">
        <f>IF($C$3&gt;=Barrel!BC363,Barrel!BD388,"")</f>
        <v/>
      </c>
      <c r="BE22" s="1378"/>
      <c r="BF22" s="1476" t="str">
        <f>IF($C$3&gt;=Barrel!BE363,Barrel!BF388,"")</f>
        <v/>
      </c>
      <c r="BG22" s="1378"/>
      <c r="BH22" s="1476" t="str">
        <f>IF($C$3&gt;=Barrel!BG363,Barrel!BH388,"")</f>
        <v/>
      </c>
      <c r="BI22" s="1378"/>
      <c r="BJ22" s="1476" t="str">
        <f>IF($C$3&gt;=Barrel!BI363,Barrel!BJ388,"")</f>
        <v/>
      </c>
      <c r="BK22" s="1378"/>
      <c r="BL22" s="1476" t="str">
        <f>IF($C$3&gt;=Barrel!BK363,Barrel!BL388,"")</f>
        <v/>
      </c>
      <c r="BM22" s="1378"/>
      <c r="BN22" s="1476" t="str">
        <f>IF($C$3&gt;=Barrel!BM363,Barrel!BN388,"")</f>
        <v/>
      </c>
      <c r="BO22" s="1378"/>
      <c r="BP22" s="1476" t="str">
        <f>IF($C$3&gt;=Barrel!BO363,Barrel!BP388,"")</f>
        <v/>
      </c>
      <c r="BQ22" s="1378"/>
      <c r="BR22" s="1476" t="str">
        <f>IF($C$3&gt;=Barrel!BQ363,Barrel!BR388,"")</f>
        <v/>
      </c>
      <c r="BS22" s="1378"/>
      <c r="BT22" s="1476" t="str">
        <f>IF($C$3&gt;=Barrel!BS363,Barrel!BT388,"")</f>
        <v/>
      </c>
      <c r="BU22" s="1378"/>
      <c r="BV22" s="1476" t="str">
        <f>IF($C$3&gt;=Barrel!BU363,Barrel!BV388,"")</f>
        <v/>
      </c>
      <c r="BW22" s="1378"/>
      <c r="BX22" s="1476" t="str">
        <f>IF($C$3&gt;=Barrel!BW363,Barrel!BX388,"")</f>
        <v/>
      </c>
      <c r="BY22" s="1378"/>
      <c r="BZ22" s="1476" t="str">
        <f>IF($C$3&gt;=Barrel!BY363,Barrel!BZ388,"")</f>
        <v/>
      </c>
      <c r="CA22" s="1378"/>
      <c r="CB22" s="1476" t="str">
        <f>IF($C$3&gt;=Barrel!CA363,Barrel!CB388,"")</f>
        <v/>
      </c>
      <c r="CC22" s="1378"/>
      <c r="CD22" s="1476" t="str">
        <f>IF($C$3&gt;=Barrel!CC363,Barrel!CD388,"")</f>
        <v/>
      </c>
    </row>
    <row r="23" spans="1:161">
      <c r="A23" s="364"/>
      <c r="B23" s="262" t="s">
        <v>1455</v>
      </c>
      <c r="C23" s="1435">
        <f>IF($C$3&gt;=Barrel!C363,Barrel!C389,"")</f>
        <v>0.62593571934006187</v>
      </c>
      <c r="D23" s="1477">
        <f>IF($C$3&gt;=Barrel!C363,Barrel!D389,"")</f>
        <v>0.44402687489370418</v>
      </c>
      <c r="E23" s="1435">
        <f>IF($C$3&gt;=Barrel!E363,Barrel!E389,"")</f>
        <v>0.44402687489370418</v>
      </c>
      <c r="F23" s="1477">
        <f>IF($C$3&gt;=Barrel!E363,Barrel!F389,"")</f>
        <v>0.62593571934006187</v>
      </c>
      <c r="G23" s="1435" t="str">
        <f>IF($C$3&gt;=Barrel!G363,Barrel!G389,"")</f>
        <v/>
      </c>
      <c r="H23" s="1477" t="str">
        <f>IF($C$3&gt;=Barrel!G363,Barrel!H389,"")</f>
        <v/>
      </c>
      <c r="I23" s="1435" t="str">
        <f>IF($C$3&gt;=Barrel!I363,Barrel!I389,"")</f>
        <v/>
      </c>
      <c r="J23" s="1477" t="str">
        <f>IF($C$3&gt;=Barrel!I363,Barrel!J389,"")</f>
        <v/>
      </c>
      <c r="K23" s="1435" t="str">
        <f>IF($C$3&gt;=Barrel!K363,Barrel!K389,"")</f>
        <v/>
      </c>
      <c r="L23" s="1477" t="str">
        <f>IF($C$3&gt;=Barrel!K363,Barrel!L389,"")</f>
        <v/>
      </c>
      <c r="M23" s="1435" t="str">
        <f>IF($C$3&gt;=Barrel!M363,Barrel!M389,"")</f>
        <v/>
      </c>
      <c r="N23" s="1477" t="str">
        <f>IF($C$3&gt;=Barrel!M363,Barrel!N389,"")</f>
        <v/>
      </c>
      <c r="O23" s="1435" t="str">
        <f>IF($C$3&gt;=Barrel!O363,Barrel!O389,"")</f>
        <v/>
      </c>
      <c r="P23" s="1477" t="str">
        <f>IF($C$3&gt;=Barrel!O363,Barrel!P389,"")</f>
        <v/>
      </c>
      <c r="Q23" s="1435" t="str">
        <f>IF($C$3&gt;=Barrel!Q363,Barrel!Q389,"")</f>
        <v/>
      </c>
      <c r="R23" s="1477" t="str">
        <f>IF($C$3&gt;=Barrel!Q363,Barrel!R389,"")</f>
        <v/>
      </c>
      <c r="S23" s="1435" t="str">
        <f>IF($C$3&gt;=Barrel!S363,Barrel!S389,"")</f>
        <v/>
      </c>
      <c r="T23" s="1477" t="str">
        <f>IF($C$3&gt;=Barrel!S363,Barrel!T389,"")</f>
        <v/>
      </c>
      <c r="U23" s="1435" t="str">
        <f>IF($C$3&gt;=Barrel!U363,Barrel!U389,"")</f>
        <v/>
      </c>
      <c r="V23" s="1477" t="str">
        <f>IF($C$3&gt;=Barrel!U363,Barrel!V389,"")</f>
        <v/>
      </c>
      <c r="W23" s="1435" t="str">
        <f>IF($C$3&gt;=Barrel!W363,Barrel!W389,"")</f>
        <v/>
      </c>
      <c r="X23" s="1477" t="str">
        <f>IF($C$3&gt;=Barrel!W363,Barrel!X389,"")</f>
        <v/>
      </c>
      <c r="Y23" s="1435" t="str">
        <f>IF($C$3&gt;=Barrel!Y363,Barrel!Y389,"")</f>
        <v/>
      </c>
      <c r="Z23" s="1477" t="str">
        <f>IF($C$3&gt;=Barrel!Y363,Barrel!Z389,"")</f>
        <v/>
      </c>
      <c r="AA23" s="1435" t="str">
        <f>IF($C$3&gt;=Barrel!AA363,Barrel!AA389,"")</f>
        <v/>
      </c>
      <c r="AB23" s="1477" t="str">
        <f>IF($C$3&gt;=Barrel!AA363,Barrel!AB389,"")</f>
        <v/>
      </c>
      <c r="AC23" s="1435" t="str">
        <f>IF($C$3&gt;=Barrel!AC363,Barrel!AC389,"")</f>
        <v/>
      </c>
      <c r="AD23" s="1477" t="str">
        <f>IF($C$3&gt;=Barrel!AC363,Barrel!AD389,"")</f>
        <v/>
      </c>
      <c r="AE23" s="1435" t="str">
        <f>IF($C$3&gt;=Barrel!AE363,Barrel!AE389,"")</f>
        <v/>
      </c>
      <c r="AF23" s="1477" t="str">
        <f>IF($C$3&gt;=Barrel!AE363,Barrel!AF389,"")</f>
        <v/>
      </c>
      <c r="AG23" s="1435" t="str">
        <f>IF($C$3&gt;=Barrel!AG363,Barrel!AG389,"")</f>
        <v/>
      </c>
      <c r="AH23" s="1477" t="str">
        <f>IF($C$3&gt;=Barrel!AG363,Barrel!AH389,"")</f>
        <v/>
      </c>
      <c r="AI23" s="1435" t="str">
        <f>IF($C$3&gt;=Barrel!AI363,Barrel!AI389,"")</f>
        <v/>
      </c>
      <c r="AJ23" s="1477" t="str">
        <f>IF($C$3&gt;=Barrel!AI363,Barrel!AJ389,"")</f>
        <v/>
      </c>
      <c r="AK23" s="1435" t="str">
        <f>IF($C$3&gt;=Barrel!AK363,Barrel!AK389,"")</f>
        <v/>
      </c>
      <c r="AL23" s="1477" t="str">
        <f>IF($C$3&gt;=Barrel!AK363,Barrel!AL389,"")</f>
        <v/>
      </c>
      <c r="AM23" s="1435" t="str">
        <f>IF($C$3&gt;=Barrel!AM363,Barrel!AM389,"")</f>
        <v/>
      </c>
      <c r="AN23" s="1477" t="str">
        <f>IF($C$3&gt;=Barrel!AM363,Barrel!AN389,"")</f>
        <v/>
      </c>
      <c r="AO23" s="1435" t="str">
        <f>IF($C$3&gt;=Barrel!AO363,Barrel!AO389,"")</f>
        <v/>
      </c>
      <c r="AP23" s="1477" t="str">
        <f>IF($C$3&gt;=Barrel!AO363,Barrel!AP389,"")</f>
        <v/>
      </c>
      <c r="AQ23" s="1435" t="str">
        <f>IF($C$3&gt;=Barrel!AQ363,Barrel!AQ389,"")</f>
        <v/>
      </c>
      <c r="AR23" s="1477" t="str">
        <f>IF($C$3&gt;=Barrel!AQ363,Barrel!AR389,"")</f>
        <v/>
      </c>
      <c r="AS23" s="1435" t="str">
        <f>IF($C$3&gt;=Barrel!AS363,Barrel!AS389,"")</f>
        <v/>
      </c>
      <c r="AT23" s="1477" t="str">
        <f>IF($C$3&gt;=Barrel!AS363,Barrel!AT389,"")</f>
        <v/>
      </c>
      <c r="AU23" s="1435" t="str">
        <f>IF($C$3&gt;=Barrel!AU363,Barrel!AU389,"")</f>
        <v/>
      </c>
      <c r="AV23" s="1477" t="str">
        <f>IF($C$3&gt;=Barrel!AU363,Barrel!AV389,"")</f>
        <v/>
      </c>
      <c r="AW23" s="1435" t="str">
        <f>IF($C$3&gt;=Barrel!AW363,Barrel!AW389,"")</f>
        <v/>
      </c>
      <c r="AX23" s="1477" t="str">
        <f>IF($C$3&gt;=Barrel!AW363,Barrel!AX389,"")</f>
        <v/>
      </c>
      <c r="AY23" s="1435" t="str">
        <f>IF($C$3&gt;=Barrel!AY363,Barrel!AY389,"")</f>
        <v/>
      </c>
      <c r="AZ23" s="1477" t="str">
        <f>IF($C$3&gt;=Barrel!AY363,Barrel!AZ389,"")</f>
        <v/>
      </c>
      <c r="BA23" s="1435" t="str">
        <f>IF($C$3&gt;=Barrel!BA363,Barrel!BA389,"")</f>
        <v/>
      </c>
      <c r="BB23" s="1477" t="str">
        <f>IF($C$3&gt;=Barrel!BA363,Barrel!BB389,"")</f>
        <v/>
      </c>
      <c r="BC23" s="1435" t="str">
        <f>IF($C$3&gt;=Barrel!BC363,Barrel!BC389,"")</f>
        <v/>
      </c>
      <c r="BD23" s="1477" t="str">
        <f>IF($C$3&gt;=Barrel!BC363,Barrel!BD389,"")</f>
        <v/>
      </c>
      <c r="BE23" s="1435" t="str">
        <f>IF($C$3&gt;=Barrel!BE363,Barrel!BE389,"")</f>
        <v/>
      </c>
      <c r="BF23" s="1477" t="str">
        <f>IF($C$3&gt;=Barrel!BE363,Barrel!BF389,"")</f>
        <v/>
      </c>
      <c r="BG23" s="1435" t="str">
        <f>IF($C$3&gt;=Barrel!BG363,Barrel!BG389,"")</f>
        <v/>
      </c>
      <c r="BH23" s="1477" t="str">
        <f>IF($C$3&gt;=Barrel!BG363,Barrel!BH389,"")</f>
        <v/>
      </c>
      <c r="BI23" s="1435" t="str">
        <f>IF($C$3&gt;=Barrel!BI363,Barrel!BI389,"")</f>
        <v/>
      </c>
      <c r="BJ23" s="1477" t="str">
        <f>IF($C$3&gt;=Barrel!BI363,Barrel!BJ389,"")</f>
        <v/>
      </c>
      <c r="BK23" s="1435" t="str">
        <f>IF($C$3&gt;=Barrel!BK363,Barrel!BK389,"")</f>
        <v/>
      </c>
      <c r="BL23" s="1477" t="str">
        <f>IF($C$3&gt;=Barrel!BK363,Barrel!BL389,"")</f>
        <v/>
      </c>
      <c r="BM23" s="1435" t="str">
        <f>IF($C$3&gt;=Barrel!BM363,Barrel!BM389,"")</f>
        <v/>
      </c>
      <c r="BN23" s="1477" t="str">
        <f>IF($C$3&gt;=Barrel!BM363,Barrel!BN389,"")</f>
        <v/>
      </c>
      <c r="BO23" s="1435" t="str">
        <f>IF($C$3&gt;=Barrel!BO363,Barrel!BO389,"")</f>
        <v/>
      </c>
      <c r="BP23" s="1477" t="str">
        <f>IF($C$3&gt;=Barrel!BO363,Barrel!BP389,"")</f>
        <v/>
      </c>
      <c r="BQ23" s="1435" t="str">
        <f>IF($C$3&gt;=Barrel!BQ363,Barrel!BQ389,"")</f>
        <v/>
      </c>
      <c r="BR23" s="1477" t="str">
        <f>IF($C$3&gt;=Barrel!BQ363,Barrel!BR389,"")</f>
        <v/>
      </c>
      <c r="BS23" s="1435" t="str">
        <f>IF($C$3&gt;=Barrel!BS363,Barrel!BS389,"")</f>
        <v/>
      </c>
      <c r="BT23" s="1477" t="str">
        <f>IF($C$3&gt;=Barrel!BS363,Barrel!BT389,"")</f>
        <v/>
      </c>
      <c r="BU23" s="1435" t="str">
        <f>IF($C$3&gt;=Barrel!BU363,Barrel!BU389,"")</f>
        <v/>
      </c>
      <c r="BV23" s="1477" t="str">
        <f>IF($C$3&gt;=Barrel!BU363,Barrel!BV389,"")</f>
        <v/>
      </c>
      <c r="BW23" s="1435" t="str">
        <f>IF($C$3&gt;=Barrel!BW363,Barrel!BW389,"")</f>
        <v/>
      </c>
      <c r="BX23" s="1477" t="str">
        <f>IF($C$3&gt;=Barrel!BW363,Barrel!BX389,"")</f>
        <v/>
      </c>
      <c r="BY23" s="1435" t="str">
        <f>IF($C$3&gt;=Barrel!BY363,Barrel!BY389,"")</f>
        <v/>
      </c>
      <c r="BZ23" s="1477" t="str">
        <f>IF($C$3&gt;=Barrel!BY363,Barrel!BZ389,"")</f>
        <v/>
      </c>
      <c r="CA23" s="1435" t="str">
        <f>IF($C$3&gt;=Barrel!CA363,Barrel!CA389,"")</f>
        <v/>
      </c>
      <c r="CB23" s="1477" t="str">
        <f>IF($C$3&gt;=Barrel!CA363,Barrel!CB389,"")</f>
        <v/>
      </c>
      <c r="CC23" s="1435" t="str">
        <f>IF($C$3&gt;=Barrel!CC363,Barrel!CC389,"")</f>
        <v/>
      </c>
      <c r="CD23" s="1477" t="str">
        <f>IF($C$3&gt;=Barrel!CC363,Barrel!CD389,"")</f>
        <v/>
      </c>
    </row>
    <row r="24" spans="1:161">
      <c r="C24" s="1439"/>
      <c r="D24" s="1469"/>
      <c r="E24" s="1439"/>
      <c r="F24" s="1469"/>
      <c r="G24" s="1439"/>
      <c r="H24" s="1469"/>
      <c r="I24" s="1469"/>
      <c r="J24" s="1469"/>
      <c r="K24" s="1469"/>
      <c r="L24" s="1469"/>
      <c r="M24" s="1469"/>
      <c r="N24" s="1469"/>
      <c r="O24" s="1469"/>
      <c r="P24" s="1469"/>
      <c r="Q24" s="1469"/>
      <c r="R24" s="1469"/>
      <c r="S24" s="1469"/>
      <c r="T24" s="1469"/>
      <c r="U24" s="1469"/>
      <c r="V24" s="1469"/>
      <c r="W24" s="1469"/>
      <c r="X24" s="1469"/>
      <c r="Y24" s="1469"/>
      <c r="Z24" s="1469"/>
      <c r="AA24" s="1469"/>
      <c r="AB24" s="1469"/>
      <c r="AC24" s="1469"/>
      <c r="AD24" s="1469"/>
      <c r="AE24" s="1469"/>
      <c r="AF24" s="1469"/>
      <c r="AG24" s="1469"/>
      <c r="AH24" s="1469"/>
      <c r="AI24" s="1469"/>
      <c r="AJ24" s="1469"/>
      <c r="AK24" s="1469"/>
      <c r="AL24" s="1469"/>
      <c r="AM24" s="1469"/>
      <c r="AN24" s="1469"/>
      <c r="AO24" s="1469"/>
      <c r="AP24" s="1469"/>
      <c r="AQ24" s="1469"/>
      <c r="AR24" s="1469"/>
      <c r="AS24" s="1469"/>
      <c r="AT24" s="1469"/>
      <c r="AU24" s="1469"/>
      <c r="AV24" s="1469"/>
      <c r="AW24" s="1469"/>
      <c r="AX24" s="1469"/>
      <c r="AY24" s="1469"/>
      <c r="AZ24" s="1469"/>
      <c r="BA24" s="1469"/>
      <c r="BB24" s="1469"/>
      <c r="BC24" s="1469"/>
      <c r="BD24" s="1469"/>
      <c r="BE24" s="1469"/>
      <c r="BF24" s="1469"/>
      <c r="BG24" s="1469"/>
      <c r="BH24" s="1469"/>
      <c r="BI24" s="1469"/>
      <c r="BJ24" s="1469"/>
      <c r="BK24" s="1469"/>
      <c r="BL24" s="1469"/>
      <c r="BM24" s="1469"/>
      <c r="BN24" s="1469"/>
      <c r="BO24" s="1469"/>
      <c r="BP24" s="1469"/>
      <c r="BQ24" s="1469"/>
      <c r="BR24" s="1469"/>
      <c r="BS24" s="1469"/>
      <c r="BT24" s="1469"/>
      <c r="BU24" s="1469"/>
      <c r="BV24" s="1469"/>
      <c r="BW24" s="1469"/>
      <c r="BX24" s="1469"/>
      <c r="BY24" s="1469"/>
      <c r="BZ24" s="1469"/>
      <c r="CA24" s="1469"/>
      <c r="CB24" s="1469"/>
      <c r="CC24" s="1469"/>
      <c r="CD24" s="1469"/>
    </row>
    <row r="25" spans="1:161">
      <c r="C25" s="1472"/>
      <c r="D25" s="1473"/>
      <c r="E25" s="1472"/>
      <c r="F25" s="1473"/>
      <c r="G25" s="1472"/>
      <c r="H25" s="1473"/>
      <c r="I25" s="1473"/>
      <c r="J25" s="1473"/>
      <c r="K25" s="1473"/>
      <c r="L25" s="1473"/>
      <c r="M25" s="1473"/>
      <c r="N25" s="1473"/>
      <c r="O25" s="1473"/>
      <c r="P25" s="1473"/>
      <c r="Q25" s="1473"/>
      <c r="R25" s="1473"/>
      <c r="S25" s="1473"/>
      <c r="T25" s="1473"/>
      <c r="U25" s="1473"/>
      <c r="V25" s="1473"/>
      <c r="W25" s="1473"/>
      <c r="X25" s="1473"/>
      <c r="Y25" s="1473"/>
      <c r="Z25" s="1473"/>
      <c r="AA25" s="1473"/>
      <c r="AB25" s="1473"/>
      <c r="AC25" s="1473"/>
      <c r="AD25" s="1473"/>
      <c r="AE25" s="1473"/>
      <c r="AF25" s="1473"/>
      <c r="AG25" s="1473"/>
      <c r="AH25" s="1473"/>
      <c r="AI25" s="1473"/>
      <c r="AJ25" s="1473"/>
      <c r="AK25" s="1473"/>
      <c r="AL25" s="1473"/>
      <c r="AM25" s="1473"/>
      <c r="AN25" s="1473"/>
      <c r="AO25" s="1473"/>
      <c r="AP25" s="1473"/>
      <c r="AQ25" s="1473"/>
      <c r="AR25" s="1473"/>
      <c r="AS25" s="1473"/>
      <c r="AT25" s="1473"/>
      <c r="AU25" s="1473"/>
      <c r="AV25" s="1473"/>
      <c r="AW25" s="1473"/>
      <c r="AX25" s="1473"/>
      <c r="AY25" s="1473"/>
      <c r="AZ25" s="1473"/>
      <c r="BA25" s="1473"/>
      <c r="BB25" s="1473"/>
      <c r="BC25" s="1473"/>
      <c r="BD25" s="1473"/>
      <c r="BE25" s="1473"/>
      <c r="BF25" s="1473"/>
      <c r="BG25" s="1473"/>
      <c r="BH25" s="1473"/>
      <c r="BI25" s="1473"/>
      <c r="BJ25" s="1473"/>
      <c r="BK25" s="1473"/>
      <c r="BL25" s="1473"/>
      <c r="BM25" s="1473"/>
      <c r="BN25" s="1473"/>
      <c r="BO25" s="1473"/>
      <c r="BP25" s="1473"/>
      <c r="BQ25" s="1473"/>
      <c r="BR25" s="1473"/>
      <c r="BS25" s="1473"/>
      <c r="BT25" s="1473"/>
      <c r="BU25" s="1473"/>
      <c r="BV25" s="1473"/>
      <c r="BW25" s="1473"/>
      <c r="BX25" s="1473"/>
      <c r="BY25" s="1473"/>
      <c r="BZ25" s="1473"/>
      <c r="CA25" s="1473"/>
      <c r="CB25" s="1473"/>
      <c r="CC25" s="1473"/>
      <c r="CD25" s="1473"/>
    </row>
    <row r="26" spans="1:161">
      <c r="D26" s="115"/>
      <c r="F26" s="115"/>
      <c r="H26" s="115"/>
    </row>
    <row r="27" spans="1:161">
      <c r="A27" s="709" t="s">
        <v>1459</v>
      </c>
      <c r="B27" s="1438"/>
      <c r="C27" s="1438"/>
      <c r="G27" s="115"/>
      <c r="H27" s="115"/>
      <c r="I27" s="115"/>
    </row>
    <row r="29" spans="1:161">
      <c r="B29" s="2" t="s">
        <v>1463</v>
      </c>
      <c r="C29" s="1401">
        <v>1</v>
      </c>
      <c r="D29" s="1401"/>
      <c r="E29" s="1401">
        <v>2</v>
      </c>
      <c r="F29" s="1401"/>
      <c r="G29" s="1401">
        <v>3</v>
      </c>
      <c r="H29" s="1401"/>
      <c r="I29" s="1401">
        <v>4</v>
      </c>
      <c r="J29" s="848"/>
      <c r="K29" s="1401">
        <v>5</v>
      </c>
      <c r="L29" s="1401"/>
      <c r="M29" s="1401">
        <v>6</v>
      </c>
      <c r="N29" s="1401"/>
      <c r="O29" s="1401">
        <v>7</v>
      </c>
      <c r="P29" s="1401"/>
      <c r="Q29" s="1401">
        <v>8</v>
      </c>
      <c r="R29" s="1401"/>
      <c r="S29" s="1401">
        <v>9</v>
      </c>
      <c r="T29" s="848"/>
      <c r="U29" s="1401">
        <v>10</v>
      </c>
      <c r="V29" s="1401"/>
      <c r="W29" s="1401">
        <v>11</v>
      </c>
      <c r="X29" s="1401"/>
      <c r="Y29" s="1401">
        <v>12</v>
      </c>
      <c r="Z29" s="1401"/>
      <c r="AA29" s="1401">
        <v>13</v>
      </c>
      <c r="AB29" s="1401"/>
      <c r="AC29" s="1401">
        <v>14</v>
      </c>
      <c r="AD29" s="1401"/>
      <c r="AE29" s="1401">
        <v>15</v>
      </c>
      <c r="AF29" s="1401"/>
      <c r="AG29" s="1401">
        <v>16</v>
      </c>
      <c r="AH29" s="1401"/>
      <c r="AI29" s="1401">
        <v>17</v>
      </c>
      <c r="AJ29" s="1401"/>
      <c r="AK29" s="1401">
        <v>18</v>
      </c>
      <c r="AL29" s="1401"/>
      <c r="AM29" s="1401">
        <v>19</v>
      </c>
      <c r="AN29" s="1401"/>
      <c r="AO29" s="1401">
        <v>20</v>
      </c>
      <c r="AP29" s="1401"/>
      <c r="AQ29" s="1401">
        <v>21</v>
      </c>
      <c r="AR29" s="1401"/>
      <c r="AS29" s="1401">
        <v>22</v>
      </c>
      <c r="AT29" s="1401"/>
      <c r="AU29" s="1401">
        <v>23</v>
      </c>
      <c r="AV29" s="1401"/>
      <c r="AW29" s="1401">
        <v>24</v>
      </c>
      <c r="AX29" s="1401"/>
      <c r="AY29" s="1401">
        <v>25</v>
      </c>
      <c r="AZ29" s="1401"/>
      <c r="BA29" s="1401">
        <v>26</v>
      </c>
      <c r="BB29" s="1401"/>
      <c r="BC29" s="1401">
        <v>27</v>
      </c>
      <c r="BD29" s="1401"/>
      <c r="BE29" s="1401">
        <v>28</v>
      </c>
      <c r="BF29" s="1401"/>
      <c r="BG29" s="1401">
        <v>29</v>
      </c>
      <c r="BH29" s="1401"/>
      <c r="BI29" s="1401">
        <v>30</v>
      </c>
      <c r="BJ29" s="1401"/>
      <c r="BK29" s="1401">
        <v>31</v>
      </c>
      <c r="BL29" s="1401"/>
      <c r="BM29" s="1401">
        <v>32</v>
      </c>
      <c r="BN29" s="1401"/>
      <c r="BO29" s="1401">
        <v>33</v>
      </c>
      <c r="BP29" s="1401"/>
      <c r="BQ29" s="1401">
        <v>34</v>
      </c>
      <c r="BR29" s="1401"/>
      <c r="BS29" s="1401">
        <v>35</v>
      </c>
      <c r="BT29" s="1401"/>
      <c r="BU29" s="1401">
        <v>36</v>
      </c>
      <c r="BV29" s="1401"/>
      <c r="BW29" s="1401">
        <v>37</v>
      </c>
      <c r="BX29" s="1401"/>
      <c r="BY29" s="1401">
        <v>38</v>
      </c>
      <c r="BZ29" s="1401"/>
      <c r="CA29" s="1401">
        <v>39</v>
      </c>
      <c r="CB29" s="1401"/>
      <c r="CC29" s="1401">
        <v>40</v>
      </c>
      <c r="CD29" s="1401"/>
      <c r="CE29" s="848">
        <v>41</v>
      </c>
      <c r="CF29" s="848"/>
      <c r="CG29" s="848">
        <v>42</v>
      </c>
      <c r="CH29" s="848"/>
      <c r="CI29" s="848">
        <v>43</v>
      </c>
      <c r="CJ29" s="848"/>
      <c r="CK29" s="848">
        <v>44</v>
      </c>
      <c r="CL29" s="848"/>
      <c r="CM29" s="848">
        <v>45</v>
      </c>
      <c r="CN29" s="848"/>
      <c r="CO29" s="848">
        <v>46</v>
      </c>
      <c r="CP29" s="848"/>
      <c r="CQ29" s="848">
        <v>47</v>
      </c>
      <c r="CR29" s="848"/>
      <c r="CS29" s="848">
        <v>48</v>
      </c>
      <c r="CT29" s="848"/>
      <c r="CU29" s="848">
        <v>49</v>
      </c>
      <c r="CV29" s="848"/>
      <c r="CW29" s="848">
        <v>50</v>
      </c>
      <c r="CX29" s="848"/>
      <c r="CY29" s="848">
        <v>51</v>
      </c>
      <c r="CZ29" s="848"/>
      <c r="DA29" s="848">
        <v>52</v>
      </c>
      <c r="DB29" s="848"/>
      <c r="DC29" s="848">
        <v>53</v>
      </c>
      <c r="DD29" s="848"/>
      <c r="DE29" s="848">
        <v>54</v>
      </c>
      <c r="DF29" s="848"/>
      <c r="DG29" s="848">
        <v>55</v>
      </c>
      <c r="DH29" s="848"/>
      <c r="DI29" s="848">
        <v>56</v>
      </c>
      <c r="DJ29" s="848"/>
      <c r="DK29" s="848">
        <v>57</v>
      </c>
      <c r="DL29" s="848"/>
      <c r="DM29" s="848">
        <v>58</v>
      </c>
      <c r="DN29" s="848"/>
      <c r="DO29" s="848">
        <v>59</v>
      </c>
      <c r="DP29" s="848"/>
      <c r="DQ29" s="848">
        <v>60</v>
      </c>
      <c r="DR29" s="848"/>
      <c r="DS29" s="848">
        <v>61</v>
      </c>
      <c r="DT29" s="848"/>
      <c r="DU29" s="848">
        <v>62</v>
      </c>
      <c r="DV29" s="848"/>
      <c r="DW29" s="848">
        <v>63</v>
      </c>
      <c r="DX29" s="848"/>
      <c r="DY29" s="848">
        <v>64</v>
      </c>
      <c r="DZ29" s="848"/>
      <c r="EA29" s="848">
        <v>65</v>
      </c>
      <c r="EB29" s="848"/>
      <c r="EC29" s="848">
        <v>66</v>
      </c>
      <c r="ED29" s="848"/>
      <c r="EE29" s="848">
        <v>67</v>
      </c>
      <c r="EF29" s="848"/>
      <c r="EG29" s="848">
        <v>68</v>
      </c>
      <c r="EH29" s="848"/>
      <c r="EI29" s="848">
        <v>69</v>
      </c>
      <c r="EJ29" s="848"/>
      <c r="EK29" s="848">
        <v>70</v>
      </c>
      <c r="EL29" s="848"/>
      <c r="EM29" s="848">
        <v>71</v>
      </c>
      <c r="EN29" s="848"/>
      <c r="EO29" s="848">
        <v>72</v>
      </c>
      <c r="EP29" s="848"/>
      <c r="EQ29" s="848">
        <v>73</v>
      </c>
      <c r="ER29" s="848"/>
      <c r="ES29" s="848">
        <v>74</v>
      </c>
      <c r="ET29" s="848"/>
      <c r="EU29" s="848">
        <v>75</v>
      </c>
      <c r="EV29" s="848"/>
      <c r="EW29" s="848">
        <v>76</v>
      </c>
      <c r="EX29" s="848"/>
      <c r="EY29" s="848">
        <v>77</v>
      </c>
      <c r="EZ29" s="848"/>
      <c r="FA29" s="848">
        <v>78</v>
      </c>
      <c r="FB29" s="848"/>
      <c r="FC29" s="848">
        <v>79</v>
      </c>
      <c r="FD29" s="848"/>
      <c r="FE29" s="848">
        <v>80</v>
      </c>
    </row>
    <row r="31" spans="1:161">
      <c r="B31" s="17"/>
      <c r="C31" s="36"/>
      <c r="D31" s="33"/>
      <c r="E31" s="36"/>
      <c r="F31" s="33"/>
      <c r="G31" s="36"/>
      <c r="H31" s="33"/>
      <c r="I31" s="36"/>
      <c r="J31" s="33"/>
      <c r="K31" s="36"/>
      <c r="L31" s="33"/>
      <c r="M31" s="36"/>
      <c r="N31" s="33"/>
      <c r="O31" s="36"/>
      <c r="P31" s="33"/>
      <c r="Q31" s="36"/>
      <c r="R31" s="33"/>
      <c r="S31" s="36"/>
      <c r="T31" s="33"/>
      <c r="U31" s="36"/>
      <c r="V31" s="33"/>
      <c r="W31" s="36"/>
      <c r="X31" s="33"/>
      <c r="Y31" s="36"/>
      <c r="Z31" s="33"/>
      <c r="AA31" s="36"/>
      <c r="AB31" s="33"/>
      <c r="AC31" s="36"/>
      <c r="AD31" s="33"/>
      <c r="AE31" s="36"/>
      <c r="AF31" s="33"/>
      <c r="AG31" s="36"/>
      <c r="AH31" s="33"/>
      <c r="AI31" s="36"/>
      <c r="AJ31" s="33"/>
      <c r="AK31" s="36"/>
      <c r="AL31" s="33"/>
      <c r="AM31" s="36"/>
      <c r="AN31" s="33"/>
      <c r="AO31" s="36"/>
      <c r="AP31" s="33"/>
      <c r="AQ31" s="36"/>
      <c r="AR31" s="33"/>
      <c r="AS31" s="36"/>
      <c r="AT31" s="33"/>
      <c r="AU31" s="36"/>
      <c r="AV31" s="33"/>
      <c r="AW31" s="36"/>
      <c r="AX31" s="33"/>
      <c r="AY31" s="36"/>
      <c r="AZ31" s="33"/>
      <c r="BA31" s="36"/>
      <c r="BB31" s="33"/>
      <c r="BC31" s="36"/>
      <c r="BD31" s="33"/>
      <c r="BE31" s="36"/>
      <c r="BF31" s="33"/>
      <c r="BG31" s="36"/>
      <c r="BH31" s="33"/>
      <c r="BI31" s="36"/>
      <c r="BJ31" s="33"/>
      <c r="BK31" s="36"/>
      <c r="BL31" s="33"/>
      <c r="BM31" s="36"/>
      <c r="BN31" s="33"/>
      <c r="BO31" s="36"/>
      <c r="BP31" s="33"/>
      <c r="BQ31" s="36"/>
      <c r="BR31" s="33"/>
      <c r="BS31" s="36"/>
      <c r="BT31" s="33"/>
      <c r="BU31" s="36"/>
      <c r="BV31" s="33"/>
      <c r="BW31" s="36"/>
      <c r="BX31" s="33"/>
      <c r="BY31" s="36"/>
      <c r="BZ31" s="33"/>
      <c r="CA31" s="36"/>
      <c r="CB31" s="33"/>
      <c r="CC31" s="36"/>
      <c r="CD31" s="33"/>
    </row>
    <row r="32" spans="1:161">
      <c r="A32" s="1497" t="s">
        <v>1481</v>
      </c>
      <c r="B32" s="1497" t="s">
        <v>1438</v>
      </c>
      <c r="C32" s="1447">
        <f>C20</f>
        <v>0.51308900523560219</v>
      </c>
      <c r="D32" s="1478">
        <f t="shared" ref="D32:BO32" si="0">D20</f>
        <v>0.41660577881102623</v>
      </c>
      <c r="E32" s="1447">
        <f t="shared" si="0"/>
        <v>0.41660577881102623</v>
      </c>
      <c r="F32" s="1478">
        <f t="shared" si="0"/>
        <v>0.51308900523560219</v>
      </c>
      <c r="G32" s="1447" t="str">
        <f t="shared" si="0"/>
        <v/>
      </c>
      <c r="H32" s="1478" t="str">
        <f t="shared" si="0"/>
        <v/>
      </c>
      <c r="I32" s="1447" t="str">
        <f t="shared" si="0"/>
        <v/>
      </c>
      <c r="J32" s="1478" t="str">
        <f t="shared" si="0"/>
        <v/>
      </c>
      <c r="K32" s="1447" t="str">
        <f t="shared" si="0"/>
        <v/>
      </c>
      <c r="L32" s="1478" t="str">
        <f t="shared" si="0"/>
        <v/>
      </c>
      <c r="M32" s="1447" t="str">
        <f t="shared" si="0"/>
        <v/>
      </c>
      <c r="N32" s="1478" t="str">
        <f t="shared" si="0"/>
        <v/>
      </c>
      <c r="O32" s="1447" t="str">
        <f t="shared" si="0"/>
        <v/>
      </c>
      <c r="P32" s="1478" t="str">
        <f t="shared" si="0"/>
        <v/>
      </c>
      <c r="Q32" s="1447" t="str">
        <f t="shared" si="0"/>
        <v/>
      </c>
      <c r="R32" s="1478" t="str">
        <f t="shared" si="0"/>
        <v/>
      </c>
      <c r="S32" s="1447" t="str">
        <f t="shared" si="0"/>
        <v/>
      </c>
      <c r="T32" s="1478" t="str">
        <f t="shared" si="0"/>
        <v/>
      </c>
      <c r="U32" s="1447" t="str">
        <f t="shared" si="0"/>
        <v/>
      </c>
      <c r="V32" s="1478" t="str">
        <f t="shared" si="0"/>
        <v/>
      </c>
      <c r="W32" s="1447" t="str">
        <f t="shared" si="0"/>
        <v/>
      </c>
      <c r="X32" s="1478" t="str">
        <f t="shared" si="0"/>
        <v/>
      </c>
      <c r="Y32" s="1447" t="str">
        <f t="shared" si="0"/>
        <v/>
      </c>
      <c r="Z32" s="1478" t="str">
        <f t="shared" si="0"/>
        <v/>
      </c>
      <c r="AA32" s="1447" t="str">
        <f t="shared" si="0"/>
        <v/>
      </c>
      <c r="AB32" s="1478" t="str">
        <f t="shared" si="0"/>
        <v/>
      </c>
      <c r="AC32" s="1447" t="str">
        <f t="shared" si="0"/>
        <v/>
      </c>
      <c r="AD32" s="1478" t="str">
        <f t="shared" si="0"/>
        <v/>
      </c>
      <c r="AE32" s="1447" t="str">
        <f t="shared" si="0"/>
        <v/>
      </c>
      <c r="AF32" s="1478" t="str">
        <f t="shared" si="0"/>
        <v/>
      </c>
      <c r="AG32" s="1447" t="str">
        <f t="shared" si="0"/>
        <v/>
      </c>
      <c r="AH32" s="1478" t="str">
        <f t="shared" si="0"/>
        <v/>
      </c>
      <c r="AI32" s="1447" t="str">
        <f t="shared" si="0"/>
        <v/>
      </c>
      <c r="AJ32" s="1478" t="str">
        <f t="shared" si="0"/>
        <v/>
      </c>
      <c r="AK32" s="1447" t="str">
        <f t="shared" si="0"/>
        <v/>
      </c>
      <c r="AL32" s="1478" t="str">
        <f t="shared" si="0"/>
        <v/>
      </c>
      <c r="AM32" s="1447" t="str">
        <f t="shared" si="0"/>
        <v/>
      </c>
      <c r="AN32" s="1478" t="str">
        <f t="shared" si="0"/>
        <v/>
      </c>
      <c r="AO32" s="1447" t="str">
        <f t="shared" si="0"/>
        <v/>
      </c>
      <c r="AP32" s="1478" t="str">
        <f t="shared" si="0"/>
        <v/>
      </c>
      <c r="AQ32" s="1447" t="str">
        <f t="shared" si="0"/>
        <v/>
      </c>
      <c r="AR32" s="1478" t="str">
        <f t="shared" si="0"/>
        <v/>
      </c>
      <c r="AS32" s="1447" t="str">
        <f t="shared" si="0"/>
        <v/>
      </c>
      <c r="AT32" s="1478" t="str">
        <f t="shared" si="0"/>
        <v/>
      </c>
      <c r="AU32" s="1447" t="str">
        <f t="shared" si="0"/>
        <v/>
      </c>
      <c r="AV32" s="1478" t="str">
        <f t="shared" si="0"/>
        <v/>
      </c>
      <c r="AW32" s="1447" t="str">
        <f t="shared" si="0"/>
        <v/>
      </c>
      <c r="AX32" s="1478" t="str">
        <f t="shared" si="0"/>
        <v/>
      </c>
      <c r="AY32" s="1447" t="str">
        <f t="shared" si="0"/>
        <v/>
      </c>
      <c r="AZ32" s="1478" t="str">
        <f t="shared" si="0"/>
        <v/>
      </c>
      <c r="BA32" s="1447" t="str">
        <f t="shared" si="0"/>
        <v/>
      </c>
      <c r="BB32" s="1478" t="str">
        <f t="shared" si="0"/>
        <v/>
      </c>
      <c r="BC32" s="1447" t="str">
        <f t="shared" si="0"/>
        <v/>
      </c>
      <c r="BD32" s="1478" t="str">
        <f t="shared" si="0"/>
        <v/>
      </c>
      <c r="BE32" s="1447" t="str">
        <f t="shared" si="0"/>
        <v/>
      </c>
      <c r="BF32" s="1478" t="str">
        <f t="shared" si="0"/>
        <v/>
      </c>
      <c r="BG32" s="1447" t="str">
        <f t="shared" si="0"/>
        <v/>
      </c>
      <c r="BH32" s="1478" t="str">
        <f t="shared" si="0"/>
        <v/>
      </c>
      <c r="BI32" s="1447" t="str">
        <f t="shared" si="0"/>
        <v/>
      </c>
      <c r="BJ32" s="1478" t="str">
        <f t="shared" si="0"/>
        <v/>
      </c>
      <c r="BK32" s="1447" t="str">
        <f t="shared" si="0"/>
        <v/>
      </c>
      <c r="BL32" s="1478" t="str">
        <f t="shared" si="0"/>
        <v/>
      </c>
      <c r="BM32" s="1447" t="str">
        <f t="shared" si="0"/>
        <v/>
      </c>
      <c r="BN32" s="1478" t="str">
        <f t="shared" si="0"/>
        <v/>
      </c>
      <c r="BO32" s="1447" t="str">
        <f t="shared" si="0"/>
        <v/>
      </c>
      <c r="BP32" s="1478" t="str">
        <f t="shared" ref="BP32:CD32" si="1">BP20</f>
        <v/>
      </c>
      <c r="BQ32" s="1447" t="str">
        <f t="shared" si="1"/>
        <v/>
      </c>
      <c r="BR32" s="1478" t="str">
        <f t="shared" si="1"/>
        <v/>
      </c>
      <c r="BS32" s="1447" t="str">
        <f t="shared" si="1"/>
        <v/>
      </c>
      <c r="BT32" s="1478" t="str">
        <f t="shared" si="1"/>
        <v/>
      </c>
      <c r="BU32" s="1447" t="str">
        <f t="shared" si="1"/>
        <v/>
      </c>
      <c r="BV32" s="1478" t="str">
        <f t="shared" si="1"/>
        <v/>
      </c>
      <c r="BW32" s="1447" t="str">
        <f t="shared" si="1"/>
        <v/>
      </c>
      <c r="BX32" s="1478" t="str">
        <f t="shared" si="1"/>
        <v/>
      </c>
      <c r="BY32" s="1447" t="str">
        <f t="shared" si="1"/>
        <v/>
      </c>
      <c r="BZ32" s="1478" t="str">
        <f t="shared" si="1"/>
        <v/>
      </c>
      <c r="CA32" s="1447" t="str">
        <f t="shared" si="1"/>
        <v/>
      </c>
      <c r="CB32" s="1478" t="str">
        <f t="shared" si="1"/>
        <v/>
      </c>
      <c r="CC32" s="1447" t="str">
        <f t="shared" si="1"/>
        <v/>
      </c>
      <c r="CD32" s="1478" t="str">
        <f t="shared" si="1"/>
        <v/>
      </c>
    </row>
    <row r="33" spans="1:89">
      <c r="B33" s="17" t="s">
        <v>1388</v>
      </c>
      <c r="C33" s="1411">
        <v>-58.303269374999985</v>
      </c>
      <c r="D33" s="1412">
        <v>58.303269374999985</v>
      </c>
      <c r="E33" s="1413">
        <v>-58.303269374999985</v>
      </c>
      <c r="F33" s="1412">
        <v>58.303269374999985</v>
      </c>
      <c r="G33" s="1411"/>
      <c r="H33" s="1414"/>
      <c r="I33" s="1411"/>
      <c r="J33" s="1414"/>
      <c r="K33" s="1411"/>
      <c r="L33" s="1414"/>
      <c r="M33" s="1411"/>
      <c r="N33" s="1414"/>
      <c r="O33" s="1411"/>
      <c r="P33" s="1414"/>
      <c r="Q33" s="1411"/>
      <c r="R33" s="1414"/>
      <c r="S33" s="1411"/>
      <c r="T33" s="1414"/>
      <c r="U33" s="1411"/>
      <c r="V33" s="1414"/>
      <c r="W33" s="1411"/>
      <c r="X33" s="1414"/>
      <c r="Y33" s="1411"/>
      <c r="Z33" s="1414"/>
      <c r="AA33" s="1411"/>
      <c r="AB33" s="1414"/>
      <c r="AC33" s="1411"/>
      <c r="AD33" s="1414"/>
      <c r="AE33" s="1411"/>
      <c r="AF33" s="1414"/>
      <c r="AG33" s="1411"/>
      <c r="AH33" s="1414"/>
      <c r="AI33" s="1411"/>
      <c r="AJ33" s="1414"/>
      <c r="AK33" s="1411"/>
      <c r="AL33" s="1414"/>
      <c r="AM33" s="1411"/>
      <c r="AN33" s="1414"/>
      <c r="AO33" s="1411"/>
      <c r="AP33" s="1414"/>
      <c r="AQ33" s="1411"/>
      <c r="AR33" s="1414"/>
      <c r="AS33" s="1411"/>
      <c r="AT33" s="1414"/>
      <c r="AU33" s="1411"/>
      <c r="AV33" s="1414"/>
      <c r="AW33" s="1411"/>
      <c r="AX33" s="1414"/>
      <c r="AY33" s="1411"/>
      <c r="AZ33" s="1414"/>
      <c r="BA33" s="1411"/>
      <c r="BB33" s="1414"/>
      <c r="BC33" s="1411"/>
      <c r="BD33" s="1414"/>
      <c r="BE33" s="1411"/>
      <c r="BF33" s="1414"/>
      <c r="BG33" s="1411"/>
      <c r="BH33" s="1414"/>
      <c r="BI33" s="1411"/>
      <c r="BJ33" s="1414"/>
      <c r="BK33" s="1411"/>
      <c r="BL33" s="1414"/>
      <c r="BM33" s="1411"/>
      <c r="BN33" s="1414"/>
      <c r="BO33" s="1411"/>
      <c r="BP33" s="1414"/>
      <c r="BQ33" s="1411"/>
      <c r="BR33" s="1414"/>
      <c r="BS33" s="1411"/>
      <c r="BT33" s="1414"/>
      <c r="BU33" s="1411"/>
      <c r="BV33" s="1414"/>
      <c r="BW33" s="1411"/>
      <c r="BX33" s="1414"/>
      <c r="BY33" s="1411"/>
      <c r="BZ33" s="1414"/>
      <c r="CA33" s="1411"/>
      <c r="CB33" s="1414"/>
      <c r="CC33" s="1411"/>
      <c r="CD33" s="1414"/>
      <c r="CE33" s="848"/>
      <c r="CF33" s="848"/>
      <c r="CG33" s="848"/>
      <c r="CH33" s="848"/>
      <c r="CI33" s="848"/>
      <c r="CJ33" s="848"/>
      <c r="CK33" s="848"/>
    </row>
    <row r="34" spans="1:89">
      <c r="A34">
        <v>1</v>
      </c>
      <c r="B34" s="17" t="s">
        <v>1396</v>
      </c>
      <c r="C34" s="1411">
        <v>3.8069027487951081</v>
      </c>
      <c r="D34" s="1414">
        <v>0</v>
      </c>
      <c r="E34" s="1411">
        <v>0</v>
      </c>
      <c r="F34" s="1414">
        <v>-3.8069027487951081</v>
      </c>
      <c r="G34" s="1411"/>
      <c r="H34" s="1414"/>
      <c r="I34" s="1411"/>
      <c r="J34" s="1414"/>
      <c r="K34" s="1411"/>
      <c r="L34" s="1414"/>
      <c r="M34" s="1411"/>
      <c r="N34" s="1414"/>
      <c r="O34" s="1411"/>
      <c r="P34" s="1414"/>
      <c r="Q34" s="1411"/>
      <c r="R34" s="1414"/>
      <c r="S34" s="1411"/>
      <c r="T34" s="1414"/>
      <c r="U34" s="1411"/>
      <c r="V34" s="1414"/>
      <c r="W34" s="1411"/>
      <c r="X34" s="1414"/>
      <c r="Y34" s="1411"/>
      <c r="Z34" s="1414"/>
      <c r="AA34" s="1411"/>
      <c r="AB34" s="1414"/>
      <c r="AC34" s="1411"/>
      <c r="AD34" s="1414"/>
      <c r="AE34" s="1411"/>
      <c r="AF34" s="1414"/>
      <c r="AG34" s="1411"/>
      <c r="AH34" s="1414"/>
      <c r="AI34" s="1411"/>
      <c r="AJ34" s="1414"/>
      <c r="AK34" s="1411"/>
      <c r="AL34" s="1414"/>
      <c r="AM34" s="1411"/>
      <c r="AN34" s="1414"/>
      <c r="AO34" s="1411"/>
      <c r="AP34" s="1414"/>
      <c r="AQ34" s="1411"/>
      <c r="AR34" s="1414"/>
      <c r="AS34" s="1411"/>
      <c r="AT34" s="1414"/>
      <c r="AU34" s="1411"/>
      <c r="AV34" s="1414"/>
      <c r="AW34" s="1411"/>
      <c r="AX34" s="1414"/>
      <c r="AY34" s="1411"/>
      <c r="AZ34" s="1414"/>
      <c r="BA34" s="1411"/>
      <c r="BB34" s="1414"/>
      <c r="BC34" s="1411"/>
      <c r="BD34" s="1414"/>
      <c r="BE34" s="1411"/>
      <c r="BF34" s="1414"/>
      <c r="BG34" s="1411"/>
      <c r="BH34" s="1414"/>
      <c r="BI34" s="1411"/>
      <c r="BJ34" s="1414"/>
      <c r="BK34" s="1411"/>
      <c r="BL34" s="1414"/>
      <c r="BM34" s="1411"/>
      <c r="BN34" s="1414"/>
      <c r="BO34" s="1411"/>
      <c r="BP34" s="1414"/>
      <c r="BQ34" s="1411"/>
      <c r="BR34" s="1414"/>
      <c r="BS34" s="1411"/>
      <c r="BT34" s="1414"/>
      <c r="BU34" s="1411"/>
      <c r="BV34" s="1414"/>
      <c r="BW34" s="1411"/>
      <c r="BX34" s="1414"/>
      <c r="BY34" s="1411"/>
      <c r="BZ34" s="1414"/>
      <c r="CA34" s="1411"/>
      <c r="CB34" s="1414"/>
      <c r="CC34" s="1411"/>
      <c r="CD34" s="1414"/>
      <c r="CE34" s="848"/>
      <c r="CF34" s="848"/>
      <c r="CG34" s="848"/>
      <c r="CH34" s="848"/>
      <c r="CI34" s="848"/>
      <c r="CJ34" s="848"/>
      <c r="CK34" s="848"/>
    </row>
    <row r="35" spans="1:89">
      <c r="B35" s="54" t="s">
        <v>1395</v>
      </c>
      <c r="C35" s="1416">
        <v>0</v>
      </c>
      <c r="D35" s="1417">
        <v>1.9034513743975541</v>
      </c>
      <c r="E35" s="1416">
        <v>-1.9034513743975541</v>
      </c>
      <c r="F35" s="1417">
        <v>0</v>
      </c>
      <c r="G35" s="1416"/>
      <c r="H35" s="1417"/>
      <c r="I35" s="1416"/>
      <c r="J35" s="1417"/>
      <c r="K35" s="1416"/>
      <c r="L35" s="1417"/>
      <c r="M35" s="1411"/>
      <c r="N35" s="1414"/>
      <c r="O35" s="1411"/>
      <c r="P35" s="1414"/>
      <c r="Q35" s="1411"/>
      <c r="R35" s="1414"/>
      <c r="S35" s="1411"/>
      <c r="T35" s="1414"/>
      <c r="U35" s="1411"/>
      <c r="V35" s="1414"/>
      <c r="W35" s="1411"/>
      <c r="X35" s="1414"/>
      <c r="Y35" s="1411"/>
      <c r="Z35" s="1414"/>
      <c r="AA35" s="1411"/>
      <c r="AB35" s="1414"/>
      <c r="AC35" s="1411"/>
      <c r="AD35" s="1414"/>
      <c r="AE35" s="1411"/>
      <c r="AF35" s="1414"/>
      <c r="AG35" s="1411"/>
      <c r="AH35" s="1414"/>
      <c r="AI35" s="1411"/>
      <c r="AJ35" s="1414"/>
      <c r="AK35" s="1411"/>
      <c r="AL35" s="1414"/>
      <c r="AM35" s="1411"/>
      <c r="AN35" s="1414"/>
      <c r="AO35" s="1411"/>
      <c r="AP35" s="1414"/>
      <c r="AQ35" s="1411"/>
      <c r="AR35" s="1414"/>
      <c r="AS35" s="1411"/>
      <c r="AT35" s="1414"/>
      <c r="AU35" s="1411"/>
      <c r="AV35" s="1414"/>
      <c r="AW35" s="1411"/>
      <c r="AX35" s="1414"/>
      <c r="AY35" s="1411"/>
      <c r="AZ35" s="1414"/>
      <c r="BA35" s="1411"/>
      <c r="BB35" s="1414"/>
      <c r="BC35" s="1411"/>
      <c r="BD35" s="1414"/>
      <c r="BE35" s="1411"/>
      <c r="BF35" s="1414"/>
      <c r="BG35" s="1411"/>
      <c r="BH35" s="1414"/>
      <c r="BI35" s="1411"/>
      <c r="BJ35" s="1414"/>
      <c r="BK35" s="1411"/>
      <c r="BL35" s="1414"/>
      <c r="BM35" s="1411"/>
      <c r="BN35" s="1414"/>
      <c r="BO35" s="1411"/>
      <c r="BP35" s="1414"/>
      <c r="BQ35" s="1411"/>
      <c r="BR35" s="1414"/>
      <c r="BS35" s="1411"/>
      <c r="BT35" s="1414"/>
      <c r="BU35" s="1411"/>
      <c r="BV35" s="1414"/>
      <c r="BW35" s="1411"/>
      <c r="BX35" s="1414"/>
      <c r="BY35" s="1411"/>
      <c r="BZ35" s="1414"/>
      <c r="CA35" s="1411"/>
      <c r="CB35" s="1414"/>
      <c r="CC35" s="1411"/>
      <c r="CD35" s="1414"/>
      <c r="CE35" s="848"/>
      <c r="CF35" s="848"/>
      <c r="CG35" s="848"/>
      <c r="CH35" s="848"/>
      <c r="CI35" s="848"/>
      <c r="CJ35" s="848"/>
      <c r="CK35" s="848"/>
    </row>
    <row r="36" spans="1:89">
      <c r="A36" s="126">
        <f>+A34+1</f>
        <v>2</v>
      </c>
      <c r="B36" s="185" t="s">
        <v>1396</v>
      </c>
      <c r="C36" s="1506">
        <v>0.99665226588371603</v>
      </c>
      <c r="D36" s="1507">
        <v>0</v>
      </c>
      <c r="E36" s="1506">
        <v>0</v>
      </c>
      <c r="F36" s="1507">
        <v>-0.99665226588371603</v>
      </c>
      <c r="G36" s="1506"/>
      <c r="H36" s="1507"/>
      <c r="I36" s="1506"/>
      <c r="J36" s="1507"/>
      <c r="K36" s="1506"/>
      <c r="L36" s="1507"/>
      <c r="M36" s="1411"/>
      <c r="N36" s="1414"/>
      <c r="O36" s="1411"/>
      <c r="P36" s="1414"/>
      <c r="Q36" s="1411"/>
      <c r="R36" s="1414"/>
      <c r="S36" s="1411"/>
      <c r="T36" s="1414"/>
      <c r="U36" s="1411"/>
      <c r="V36" s="1414"/>
      <c r="W36" s="1411"/>
      <c r="X36" s="1414"/>
      <c r="Y36" s="1411"/>
      <c r="Z36" s="1414"/>
      <c r="AA36" s="1411"/>
      <c r="AB36" s="1414"/>
      <c r="AC36" s="1411"/>
      <c r="AD36" s="1414"/>
      <c r="AE36" s="1411"/>
      <c r="AF36" s="1414"/>
      <c r="AG36" s="1411"/>
      <c r="AH36" s="1414"/>
      <c r="AI36" s="1411"/>
      <c r="AJ36" s="1414"/>
      <c r="AK36" s="1411"/>
      <c r="AL36" s="1414"/>
      <c r="AM36" s="1411"/>
      <c r="AN36" s="1414"/>
      <c r="AO36" s="1411"/>
      <c r="AP36" s="1414"/>
      <c r="AQ36" s="1411"/>
      <c r="AR36" s="1414"/>
      <c r="AS36" s="1411"/>
      <c r="AT36" s="1414"/>
      <c r="AU36" s="1411"/>
      <c r="AV36" s="1414"/>
      <c r="AW36" s="1411"/>
      <c r="AX36" s="1414"/>
      <c r="AY36" s="1411"/>
      <c r="AZ36" s="1414"/>
      <c r="BA36" s="1411"/>
      <c r="BB36" s="1414"/>
      <c r="BC36" s="1411"/>
      <c r="BD36" s="1414"/>
      <c r="BE36" s="1411"/>
      <c r="BF36" s="1414"/>
      <c r="BG36" s="1411"/>
      <c r="BH36" s="1414"/>
      <c r="BI36" s="1411"/>
      <c r="BJ36" s="1414"/>
      <c r="BK36" s="1411"/>
      <c r="BL36" s="1414"/>
      <c r="BM36" s="1411"/>
      <c r="BN36" s="1414"/>
      <c r="BO36" s="1411"/>
      <c r="BP36" s="1414"/>
      <c r="BQ36" s="1411"/>
      <c r="BR36" s="1414"/>
      <c r="BS36" s="1411"/>
      <c r="BT36" s="1414"/>
      <c r="BU36" s="1411"/>
      <c r="BV36" s="1414"/>
      <c r="BW36" s="1411"/>
      <c r="BX36" s="1414"/>
      <c r="BY36" s="1411"/>
      <c r="BZ36" s="1414"/>
      <c r="CA36" s="1411"/>
      <c r="CB36" s="1414"/>
      <c r="CC36" s="1411"/>
      <c r="CD36" s="1414"/>
      <c r="CE36" s="848"/>
      <c r="CF36" s="848"/>
      <c r="CG36" s="848"/>
      <c r="CH36" s="848"/>
      <c r="CI36" s="848"/>
      <c r="CJ36" s="848"/>
      <c r="CK36" s="848"/>
    </row>
    <row r="37" spans="1:89">
      <c r="B37" s="54" t="s">
        <v>1395</v>
      </c>
      <c r="C37" s="1416">
        <v>0</v>
      </c>
      <c r="D37" s="1417">
        <v>0.49832613294185801</v>
      </c>
      <c r="E37" s="1416">
        <v>-0.49832613294185801</v>
      </c>
      <c r="F37" s="1417">
        <v>0</v>
      </c>
      <c r="G37" s="1416"/>
      <c r="H37" s="1417"/>
      <c r="I37" s="1416"/>
      <c r="J37" s="1417"/>
      <c r="K37" s="1416"/>
      <c r="L37" s="1417"/>
      <c r="M37" s="1411"/>
      <c r="N37" s="1414"/>
      <c r="O37" s="1411"/>
      <c r="P37" s="1414"/>
      <c r="Q37" s="1411"/>
      <c r="R37" s="1414"/>
      <c r="S37" s="1411"/>
      <c r="T37" s="1414"/>
      <c r="U37" s="1411"/>
      <c r="V37" s="1414"/>
      <c r="W37" s="1411"/>
      <c r="X37" s="1414"/>
      <c r="Y37" s="1411"/>
      <c r="Z37" s="1414"/>
      <c r="AA37" s="1411"/>
      <c r="AB37" s="1414"/>
      <c r="AC37" s="1411"/>
      <c r="AD37" s="1414"/>
      <c r="AE37" s="1411"/>
      <c r="AF37" s="1414"/>
      <c r="AG37" s="1411"/>
      <c r="AH37" s="1414"/>
      <c r="AI37" s="1411"/>
      <c r="AJ37" s="1414"/>
      <c r="AK37" s="1411"/>
      <c r="AL37" s="1414"/>
      <c r="AM37" s="1411"/>
      <c r="AN37" s="1414"/>
      <c r="AO37" s="1411"/>
      <c r="AP37" s="1414"/>
      <c r="AQ37" s="1411"/>
      <c r="AR37" s="1414"/>
      <c r="AS37" s="1411"/>
      <c r="AT37" s="1414"/>
      <c r="AU37" s="1411"/>
      <c r="AV37" s="1414"/>
      <c r="AW37" s="1411"/>
      <c r="AX37" s="1414"/>
      <c r="AY37" s="1411"/>
      <c r="AZ37" s="1414"/>
      <c r="BA37" s="1411"/>
      <c r="BB37" s="1414"/>
      <c r="BC37" s="1411"/>
      <c r="BD37" s="1414"/>
      <c r="BE37" s="1411"/>
      <c r="BF37" s="1414"/>
      <c r="BG37" s="1411"/>
      <c r="BH37" s="1414"/>
      <c r="BI37" s="1411"/>
      <c r="BJ37" s="1414"/>
      <c r="BK37" s="1411"/>
      <c r="BL37" s="1414"/>
      <c r="BM37" s="1411"/>
      <c r="BN37" s="1414"/>
      <c r="BO37" s="1411"/>
      <c r="BP37" s="1414"/>
      <c r="BQ37" s="1411"/>
      <c r="BR37" s="1414"/>
      <c r="BS37" s="1411"/>
      <c r="BT37" s="1414"/>
      <c r="BU37" s="1411"/>
      <c r="BV37" s="1414"/>
      <c r="BW37" s="1411"/>
      <c r="BX37" s="1414"/>
      <c r="BY37" s="1411"/>
      <c r="BZ37" s="1414"/>
      <c r="CA37" s="1411"/>
      <c r="CB37" s="1414"/>
      <c r="CC37" s="1411"/>
      <c r="CD37" s="1414"/>
      <c r="CE37" s="848"/>
      <c r="CF37" s="848"/>
      <c r="CG37" s="848"/>
      <c r="CH37" s="848"/>
      <c r="CI37" s="848"/>
      <c r="CJ37" s="848"/>
      <c r="CK37" s="848"/>
    </row>
    <row r="38" spans="1:89">
      <c r="A38">
        <f>+A36+1</f>
        <v>3</v>
      </c>
      <c r="B38" s="17" t="s">
        <v>1396</v>
      </c>
      <c r="C38" s="1416">
        <v>0.17334352023448385</v>
      </c>
      <c r="D38" s="1417">
        <v>0</v>
      </c>
      <c r="E38" s="1416">
        <v>0</v>
      </c>
      <c r="F38" s="1417">
        <v>-0.17334352023448385</v>
      </c>
      <c r="G38" s="1416"/>
      <c r="H38" s="1417"/>
      <c r="I38" s="1416"/>
      <c r="J38" s="1417"/>
      <c r="K38" s="1416"/>
      <c r="L38" s="1417"/>
      <c r="M38" s="1411"/>
      <c r="N38" s="1414"/>
      <c r="O38" s="1411"/>
      <c r="P38" s="1414"/>
      <c r="Q38" s="1411"/>
      <c r="R38" s="1414"/>
      <c r="S38" s="1411"/>
      <c r="T38" s="1414"/>
      <c r="U38" s="1411"/>
      <c r="V38" s="1414"/>
      <c r="W38" s="1411"/>
      <c r="X38" s="1414"/>
      <c r="Y38" s="1411"/>
      <c r="Z38" s="1414"/>
      <c r="AA38" s="1411"/>
      <c r="AB38" s="1414"/>
      <c r="AC38" s="1411"/>
      <c r="AD38" s="1414"/>
      <c r="AE38" s="1411"/>
      <c r="AF38" s="1414"/>
      <c r="AG38" s="1411"/>
      <c r="AH38" s="1414"/>
      <c r="AI38" s="1411"/>
      <c r="AJ38" s="1414"/>
      <c r="AK38" s="1411"/>
      <c r="AL38" s="1414"/>
      <c r="AM38" s="1411"/>
      <c r="AN38" s="1414"/>
      <c r="AO38" s="1411"/>
      <c r="AP38" s="1414"/>
      <c r="AQ38" s="1411"/>
      <c r="AR38" s="1414"/>
      <c r="AS38" s="1411"/>
      <c r="AT38" s="1414"/>
      <c r="AU38" s="1411"/>
      <c r="AV38" s="1414"/>
      <c r="AW38" s="1411"/>
      <c r="AX38" s="1414"/>
      <c r="AY38" s="1411"/>
      <c r="AZ38" s="1414"/>
      <c r="BA38" s="1411"/>
      <c r="BB38" s="1414"/>
      <c r="BC38" s="1411"/>
      <c r="BD38" s="1414"/>
      <c r="BE38" s="1411"/>
      <c r="BF38" s="1414"/>
      <c r="BG38" s="1411"/>
      <c r="BH38" s="1414"/>
      <c r="BI38" s="1411"/>
      <c r="BJ38" s="1414"/>
      <c r="BK38" s="1411"/>
      <c r="BL38" s="1414"/>
      <c r="BM38" s="1411"/>
      <c r="BN38" s="1414"/>
      <c r="BO38" s="1411"/>
      <c r="BP38" s="1414"/>
      <c r="BQ38" s="1411"/>
      <c r="BR38" s="1414"/>
      <c r="BS38" s="1411"/>
      <c r="BT38" s="1414"/>
      <c r="BU38" s="1411"/>
      <c r="BV38" s="1414"/>
      <c r="BW38" s="1411"/>
      <c r="BX38" s="1414"/>
      <c r="BY38" s="1411"/>
      <c r="BZ38" s="1414"/>
      <c r="CA38" s="1411"/>
      <c r="CB38" s="1414"/>
      <c r="CC38" s="1411"/>
      <c r="CD38" s="1414"/>
      <c r="CE38" s="848"/>
      <c r="CF38" s="848"/>
      <c r="CG38" s="848"/>
      <c r="CH38" s="848"/>
      <c r="CI38" s="848"/>
      <c r="CJ38" s="848"/>
      <c r="CK38" s="848"/>
    </row>
    <row r="39" spans="1:89">
      <c r="B39" s="54" t="s">
        <v>1395</v>
      </c>
      <c r="C39" s="1416">
        <v>0</v>
      </c>
      <c r="D39" s="1417">
        <v>8.6671760117241925E-2</v>
      </c>
      <c r="E39" s="1416">
        <v>-8.6671760117241925E-2</v>
      </c>
      <c r="F39" s="1417">
        <v>0</v>
      </c>
      <c r="G39" s="1416"/>
      <c r="H39" s="1417"/>
      <c r="I39" s="1416"/>
      <c r="J39" s="1417"/>
      <c r="K39" s="1416"/>
      <c r="L39" s="1417"/>
      <c r="M39" s="1411"/>
      <c r="N39" s="1414"/>
      <c r="O39" s="1411"/>
      <c r="P39" s="1414"/>
      <c r="Q39" s="1411"/>
      <c r="R39" s="1414"/>
      <c r="S39" s="1411"/>
      <c r="T39" s="1414"/>
      <c r="U39" s="1411"/>
      <c r="V39" s="1414"/>
      <c r="W39" s="1411"/>
      <c r="X39" s="1414"/>
      <c r="Y39" s="1411"/>
      <c r="Z39" s="1414"/>
      <c r="AA39" s="1411"/>
      <c r="AB39" s="1414"/>
      <c r="AC39" s="1411"/>
      <c r="AD39" s="1414"/>
      <c r="AE39" s="1411"/>
      <c r="AF39" s="1414"/>
      <c r="AG39" s="1411"/>
      <c r="AH39" s="1414"/>
      <c r="AI39" s="1411"/>
      <c r="AJ39" s="1414"/>
      <c r="AK39" s="1411"/>
      <c r="AL39" s="1414"/>
      <c r="AM39" s="1411"/>
      <c r="AN39" s="1414"/>
      <c r="AO39" s="1411"/>
      <c r="AP39" s="1414"/>
      <c r="AQ39" s="1411"/>
      <c r="AR39" s="1414"/>
      <c r="AS39" s="1411"/>
      <c r="AT39" s="1414"/>
      <c r="AU39" s="1411"/>
      <c r="AV39" s="1414"/>
      <c r="AW39" s="1411"/>
      <c r="AX39" s="1414"/>
      <c r="AY39" s="1411"/>
      <c r="AZ39" s="1414"/>
      <c r="BA39" s="1411"/>
      <c r="BB39" s="1414"/>
      <c r="BC39" s="1411"/>
      <c r="BD39" s="1414"/>
      <c r="BE39" s="1411"/>
      <c r="BF39" s="1414"/>
      <c r="BG39" s="1411"/>
      <c r="BH39" s="1414"/>
      <c r="BI39" s="1411"/>
      <c r="BJ39" s="1414"/>
      <c r="BK39" s="1411"/>
      <c r="BL39" s="1414"/>
      <c r="BM39" s="1411"/>
      <c r="BN39" s="1414"/>
      <c r="BO39" s="1411"/>
      <c r="BP39" s="1414"/>
      <c r="BQ39" s="1411"/>
      <c r="BR39" s="1414"/>
      <c r="BS39" s="1411"/>
      <c r="BT39" s="1414"/>
      <c r="BU39" s="1411"/>
      <c r="BV39" s="1414"/>
      <c r="BW39" s="1411"/>
      <c r="BX39" s="1414"/>
      <c r="BY39" s="1411"/>
      <c r="BZ39" s="1414"/>
      <c r="CA39" s="1411"/>
      <c r="CB39" s="1414"/>
      <c r="CC39" s="1411"/>
      <c r="CD39" s="1414"/>
      <c r="CE39" s="848"/>
      <c r="CF39" s="848"/>
      <c r="CG39" s="848"/>
      <c r="CH39" s="848"/>
      <c r="CI39" s="848"/>
      <c r="CJ39" s="848"/>
      <c r="CK39" s="848"/>
    </row>
    <row r="40" spans="1:89">
      <c r="A40">
        <f>+A38+1</f>
        <v>4</v>
      </c>
      <c r="B40" s="17" t="s">
        <v>1396</v>
      </c>
      <c r="C40" s="1416">
        <v>4.5381567016031084E-2</v>
      </c>
      <c r="D40" s="1417">
        <v>0</v>
      </c>
      <c r="E40" s="1416">
        <v>0</v>
      </c>
      <c r="F40" s="1417">
        <v>-4.5381567016031084E-2</v>
      </c>
      <c r="G40" s="1416"/>
      <c r="H40" s="1417"/>
      <c r="I40" s="1416"/>
      <c r="J40" s="1417"/>
      <c r="K40" s="1416"/>
      <c r="L40" s="1417"/>
      <c r="M40" s="1411"/>
      <c r="N40" s="1414"/>
      <c r="O40" s="1411"/>
      <c r="P40" s="1414"/>
      <c r="Q40" s="1411"/>
      <c r="R40" s="1414"/>
      <c r="S40" s="1411"/>
      <c r="T40" s="1414"/>
      <c r="U40" s="1411"/>
      <c r="V40" s="1414"/>
      <c r="W40" s="1411"/>
      <c r="X40" s="1414"/>
      <c r="Y40" s="1411"/>
      <c r="Z40" s="1414"/>
      <c r="AA40" s="1411"/>
      <c r="AB40" s="1414"/>
      <c r="AC40" s="1411"/>
      <c r="AD40" s="1414"/>
      <c r="AE40" s="1411"/>
      <c r="AF40" s="1414"/>
      <c r="AG40" s="1411"/>
      <c r="AH40" s="1414"/>
      <c r="AI40" s="1411"/>
      <c r="AJ40" s="1414"/>
      <c r="AK40" s="1411"/>
      <c r="AL40" s="1414"/>
      <c r="AM40" s="1411"/>
      <c r="AN40" s="1414"/>
      <c r="AO40" s="1411"/>
      <c r="AP40" s="1414"/>
      <c r="AQ40" s="1411"/>
      <c r="AR40" s="1414"/>
      <c r="AS40" s="1411"/>
      <c r="AT40" s="1414"/>
      <c r="AU40" s="1411"/>
      <c r="AV40" s="1414"/>
      <c r="AW40" s="1411"/>
      <c r="AX40" s="1414"/>
      <c r="AY40" s="1411"/>
      <c r="AZ40" s="1414"/>
      <c r="BA40" s="1411"/>
      <c r="BB40" s="1414"/>
      <c r="BC40" s="1411"/>
      <c r="BD40" s="1414"/>
      <c r="BE40" s="1411"/>
      <c r="BF40" s="1414"/>
      <c r="BG40" s="1411"/>
      <c r="BH40" s="1414"/>
      <c r="BI40" s="1411"/>
      <c r="BJ40" s="1414"/>
      <c r="BK40" s="1411"/>
      <c r="BL40" s="1414"/>
      <c r="BM40" s="1411"/>
      <c r="BN40" s="1414"/>
      <c r="BO40" s="1411"/>
      <c r="BP40" s="1414"/>
      <c r="BQ40" s="1411"/>
      <c r="BR40" s="1414"/>
      <c r="BS40" s="1411"/>
      <c r="BT40" s="1414"/>
      <c r="BU40" s="1411"/>
      <c r="BV40" s="1414"/>
      <c r="BW40" s="1411"/>
      <c r="BX40" s="1414"/>
      <c r="BY40" s="1411"/>
      <c r="BZ40" s="1414"/>
      <c r="CA40" s="1411"/>
      <c r="CB40" s="1414"/>
      <c r="CC40" s="1411"/>
      <c r="CD40" s="1414"/>
      <c r="CE40" s="848"/>
      <c r="CF40" s="848"/>
      <c r="CG40" s="848"/>
      <c r="CH40" s="848"/>
      <c r="CI40" s="848"/>
      <c r="CJ40" s="848"/>
      <c r="CK40" s="848"/>
    </row>
    <row r="41" spans="1:89">
      <c r="B41" s="54" t="s">
        <v>1395</v>
      </c>
      <c r="C41" s="1411">
        <v>0</v>
      </c>
      <c r="D41" s="1414">
        <v>2.2690783508015542E-2</v>
      </c>
      <c r="E41" s="1411">
        <v>-2.2690783508015542E-2</v>
      </c>
      <c r="F41" s="1414">
        <v>0</v>
      </c>
      <c r="G41" s="1411"/>
      <c r="H41" s="1414"/>
      <c r="I41" s="1411"/>
      <c r="J41" s="1414"/>
      <c r="K41" s="1411"/>
      <c r="L41" s="1414"/>
      <c r="M41" s="1411"/>
      <c r="N41" s="1414"/>
      <c r="O41" s="1411"/>
      <c r="P41" s="1414"/>
      <c r="Q41" s="1411"/>
      <c r="R41" s="1414"/>
      <c r="S41" s="1411"/>
      <c r="T41" s="1414"/>
      <c r="U41" s="1411"/>
      <c r="V41" s="1414"/>
      <c r="W41" s="1411"/>
      <c r="X41" s="1414"/>
      <c r="Y41" s="1411"/>
      <c r="Z41" s="1414"/>
      <c r="AA41" s="1411"/>
      <c r="AB41" s="1414"/>
      <c r="AC41" s="1411"/>
      <c r="AD41" s="1414"/>
      <c r="AE41" s="1411"/>
      <c r="AF41" s="1414"/>
      <c r="AG41" s="1411"/>
      <c r="AH41" s="1414"/>
      <c r="AI41" s="1411"/>
      <c r="AJ41" s="1414"/>
      <c r="AK41" s="1411"/>
      <c r="AL41" s="1414"/>
      <c r="AM41" s="1411"/>
      <c r="AN41" s="1414"/>
      <c r="AO41" s="1411"/>
      <c r="AP41" s="1414"/>
      <c r="AQ41" s="1411"/>
      <c r="AR41" s="1414"/>
      <c r="AS41" s="1411"/>
      <c r="AT41" s="1414"/>
      <c r="AU41" s="1411"/>
      <c r="AV41" s="1414"/>
      <c r="AW41" s="1411"/>
      <c r="AX41" s="1414"/>
      <c r="AY41" s="1411"/>
      <c r="AZ41" s="1414"/>
      <c r="BA41" s="1411"/>
      <c r="BB41" s="1414"/>
      <c r="BC41" s="1411"/>
      <c r="BD41" s="1414"/>
      <c r="BE41" s="1411"/>
      <c r="BF41" s="1414"/>
      <c r="BG41" s="1411"/>
      <c r="BH41" s="1414"/>
      <c r="BI41" s="1411"/>
      <c r="BJ41" s="1414"/>
      <c r="BK41" s="1411"/>
      <c r="BL41" s="1414"/>
      <c r="BM41" s="1411"/>
      <c r="BN41" s="1414"/>
      <c r="BO41" s="1411"/>
      <c r="BP41" s="1414"/>
      <c r="BQ41" s="1411"/>
      <c r="BR41" s="1414"/>
      <c r="BS41" s="1411"/>
      <c r="BT41" s="1414"/>
      <c r="BU41" s="1411"/>
      <c r="BV41" s="1414"/>
      <c r="BW41" s="1411"/>
      <c r="BX41" s="1414"/>
      <c r="BY41" s="1411"/>
      <c r="BZ41" s="1414"/>
      <c r="CA41" s="1411"/>
      <c r="CB41" s="1414"/>
      <c r="CC41" s="1411"/>
      <c r="CD41" s="1414"/>
      <c r="CE41" s="848"/>
      <c r="CF41" s="848"/>
      <c r="CG41" s="848"/>
      <c r="CH41" s="848"/>
      <c r="CI41" s="848"/>
      <c r="CJ41" s="848"/>
      <c r="CK41" s="848"/>
    </row>
    <row r="42" spans="1:89">
      <c r="A42">
        <f>+A40+1</f>
        <v>5</v>
      </c>
      <c r="B42" s="17" t="s">
        <v>1396</v>
      </c>
      <c r="C42" s="1411">
        <v>7.8930243271365837E-3</v>
      </c>
      <c r="D42" s="1414">
        <v>0</v>
      </c>
      <c r="E42" s="1411">
        <v>0</v>
      </c>
      <c r="F42" s="1414">
        <v>-7.8930243271365837E-3</v>
      </c>
      <c r="G42" s="1411"/>
      <c r="H42" s="1414"/>
      <c r="I42" s="1411"/>
      <c r="J42" s="1414"/>
      <c r="K42" s="1411"/>
      <c r="L42" s="1414"/>
      <c r="M42" s="1411"/>
      <c r="N42" s="1414"/>
      <c r="O42" s="1411"/>
      <c r="P42" s="1414"/>
      <c r="Q42" s="1411"/>
      <c r="R42" s="1414"/>
      <c r="S42" s="1411"/>
      <c r="T42" s="1414"/>
      <c r="U42" s="1411"/>
      <c r="V42" s="1414"/>
      <c r="W42" s="1411"/>
      <c r="X42" s="1414"/>
      <c r="Y42" s="1411"/>
      <c r="Z42" s="1414"/>
      <c r="AA42" s="1411"/>
      <c r="AB42" s="1414"/>
      <c r="AC42" s="1411"/>
      <c r="AD42" s="1414"/>
      <c r="AE42" s="1411"/>
      <c r="AF42" s="1414"/>
      <c r="AG42" s="1411"/>
      <c r="AH42" s="1414"/>
      <c r="AI42" s="1411"/>
      <c r="AJ42" s="1414"/>
      <c r="AK42" s="1411"/>
      <c r="AL42" s="1414"/>
      <c r="AM42" s="1411"/>
      <c r="AN42" s="1414"/>
      <c r="AO42" s="1411"/>
      <c r="AP42" s="1414"/>
      <c r="AQ42" s="1411"/>
      <c r="AR42" s="1414"/>
      <c r="AS42" s="1411"/>
      <c r="AT42" s="1414"/>
      <c r="AU42" s="1411"/>
      <c r="AV42" s="1414"/>
      <c r="AW42" s="1411"/>
      <c r="AX42" s="1414"/>
      <c r="AY42" s="1411"/>
      <c r="AZ42" s="1414"/>
      <c r="BA42" s="1411"/>
      <c r="BB42" s="1414"/>
      <c r="BC42" s="1411"/>
      <c r="BD42" s="1414"/>
      <c r="BE42" s="1411"/>
      <c r="BF42" s="1414"/>
      <c r="BG42" s="1411"/>
      <c r="BH42" s="1414"/>
      <c r="BI42" s="1411"/>
      <c r="BJ42" s="1414"/>
      <c r="BK42" s="1411"/>
      <c r="BL42" s="1414"/>
      <c r="BM42" s="1411"/>
      <c r="BN42" s="1414"/>
      <c r="BO42" s="1411"/>
      <c r="BP42" s="1414"/>
      <c r="BQ42" s="1411"/>
      <c r="BR42" s="1414"/>
      <c r="BS42" s="1411"/>
      <c r="BT42" s="1414"/>
      <c r="BU42" s="1411"/>
      <c r="BV42" s="1414"/>
      <c r="BW42" s="1411"/>
      <c r="BX42" s="1414"/>
      <c r="BY42" s="1411"/>
      <c r="BZ42" s="1414"/>
      <c r="CA42" s="1411"/>
      <c r="CB42" s="1414"/>
      <c r="CC42" s="1411"/>
      <c r="CD42" s="1414"/>
      <c r="CE42" s="848"/>
      <c r="CF42" s="848"/>
      <c r="CG42" s="848"/>
      <c r="CH42" s="848"/>
      <c r="CI42" s="848"/>
      <c r="CJ42" s="848"/>
      <c r="CK42" s="848"/>
    </row>
    <row r="43" spans="1:89">
      <c r="B43" s="54" t="s">
        <v>1395</v>
      </c>
      <c r="C43" s="1411">
        <v>0</v>
      </c>
      <c r="D43" s="1414">
        <v>3.9465121635682918E-3</v>
      </c>
      <c r="E43" s="1411">
        <v>-3.9465121635682918E-3</v>
      </c>
      <c r="F43" s="1414">
        <v>0</v>
      </c>
      <c r="G43" s="1411"/>
      <c r="H43" s="1414"/>
      <c r="I43" s="1411"/>
      <c r="J43" s="1414"/>
      <c r="K43" s="1411"/>
      <c r="L43" s="1414"/>
      <c r="M43" s="1411"/>
      <c r="N43" s="1414"/>
      <c r="O43" s="1411"/>
      <c r="P43" s="1414"/>
      <c r="Q43" s="1411"/>
      <c r="R43" s="1414"/>
      <c r="S43" s="1411"/>
      <c r="T43" s="1414"/>
      <c r="U43" s="1411"/>
      <c r="V43" s="1414"/>
      <c r="W43" s="1411"/>
      <c r="X43" s="1414"/>
      <c r="Y43" s="1411"/>
      <c r="Z43" s="1414"/>
      <c r="AA43" s="1411"/>
      <c r="AB43" s="1414"/>
      <c r="AC43" s="1411"/>
      <c r="AD43" s="1414"/>
      <c r="AE43" s="1411"/>
      <c r="AF43" s="1414"/>
      <c r="AG43" s="1411"/>
      <c r="AH43" s="1414"/>
      <c r="AI43" s="1411"/>
      <c r="AJ43" s="1414"/>
      <c r="AK43" s="1411"/>
      <c r="AL43" s="1414"/>
      <c r="AM43" s="1411"/>
      <c r="AN43" s="1414"/>
      <c r="AO43" s="1411"/>
      <c r="AP43" s="1414"/>
      <c r="AQ43" s="1411"/>
      <c r="AR43" s="1414"/>
      <c r="AS43" s="1411"/>
      <c r="AT43" s="1414"/>
      <c r="AU43" s="1411"/>
      <c r="AV43" s="1414"/>
      <c r="AW43" s="1411"/>
      <c r="AX43" s="1414"/>
      <c r="AY43" s="1411"/>
      <c r="AZ43" s="1414"/>
      <c r="BA43" s="1411"/>
      <c r="BB43" s="1414"/>
      <c r="BC43" s="1411"/>
      <c r="BD43" s="1414"/>
      <c r="BE43" s="1411"/>
      <c r="BF43" s="1414"/>
      <c r="BG43" s="1411"/>
      <c r="BH43" s="1414"/>
      <c r="BI43" s="1411"/>
      <c r="BJ43" s="1414"/>
      <c r="BK43" s="1411"/>
      <c r="BL43" s="1414"/>
      <c r="BM43" s="1411"/>
      <c r="BN43" s="1414"/>
      <c r="BO43" s="1411"/>
      <c r="BP43" s="1414"/>
      <c r="BQ43" s="1411"/>
      <c r="BR43" s="1414"/>
      <c r="BS43" s="1411"/>
      <c r="BT43" s="1414"/>
      <c r="BU43" s="1411"/>
      <c r="BV43" s="1414"/>
      <c r="BW43" s="1411"/>
      <c r="BX43" s="1414"/>
      <c r="BY43" s="1411"/>
      <c r="BZ43" s="1414"/>
      <c r="CA43" s="1411"/>
      <c r="CB43" s="1414"/>
      <c r="CC43" s="1411"/>
      <c r="CD43" s="1414"/>
      <c r="CE43" s="848"/>
      <c r="CF43" s="848"/>
      <c r="CG43" s="848"/>
      <c r="CH43" s="848"/>
      <c r="CI43" s="848"/>
      <c r="CJ43" s="848"/>
      <c r="CK43" s="848"/>
    </row>
    <row r="44" spans="1:89">
      <c r="A44">
        <f>+A42+1</f>
        <v>6</v>
      </c>
      <c r="B44" s="17" t="s">
        <v>1396</v>
      </c>
      <c r="C44" s="1411">
        <v>2.0664043973294996E-3</v>
      </c>
      <c r="D44" s="1414">
        <v>0</v>
      </c>
      <c r="E44" s="1411">
        <v>0</v>
      </c>
      <c r="F44" s="1414">
        <v>-2.0664043973294996E-3</v>
      </c>
      <c r="G44" s="1411"/>
      <c r="H44" s="1414"/>
      <c r="I44" s="1411"/>
      <c r="J44" s="1414"/>
      <c r="K44" s="1411"/>
      <c r="L44" s="1414"/>
      <c r="M44" s="1411"/>
      <c r="N44" s="1414"/>
      <c r="O44" s="1411"/>
      <c r="P44" s="1414"/>
      <c r="Q44" s="1411"/>
      <c r="R44" s="1414"/>
      <c r="S44" s="1411"/>
      <c r="T44" s="1414"/>
      <c r="U44" s="1411"/>
      <c r="V44" s="1414"/>
      <c r="W44" s="1411"/>
      <c r="X44" s="1414"/>
      <c r="Y44" s="1411"/>
      <c r="Z44" s="1414"/>
      <c r="AA44" s="1411"/>
      <c r="AB44" s="1414"/>
      <c r="AC44" s="1411"/>
      <c r="AD44" s="1414"/>
      <c r="AE44" s="1411"/>
      <c r="AF44" s="1414"/>
      <c r="AG44" s="1411"/>
      <c r="AH44" s="1414"/>
      <c r="AI44" s="1411"/>
      <c r="AJ44" s="1414"/>
      <c r="AK44" s="1411"/>
      <c r="AL44" s="1414"/>
      <c r="AM44" s="1411"/>
      <c r="AN44" s="1414"/>
      <c r="AO44" s="1411"/>
      <c r="AP44" s="1414"/>
      <c r="AQ44" s="1411"/>
      <c r="AR44" s="1414"/>
      <c r="AS44" s="1411"/>
      <c r="AT44" s="1414"/>
      <c r="AU44" s="1411"/>
      <c r="AV44" s="1414"/>
      <c r="AW44" s="1411"/>
      <c r="AX44" s="1414"/>
      <c r="AY44" s="1411"/>
      <c r="AZ44" s="1414"/>
      <c r="BA44" s="1411"/>
      <c r="BB44" s="1414"/>
      <c r="BC44" s="1411"/>
      <c r="BD44" s="1414"/>
      <c r="BE44" s="1411"/>
      <c r="BF44" s="1414"/>
      <c r="BG44" s="1411"/>
      <c r="BH44" s="1414"/>
      <c r="BI44" s="1411"/>
      <c r="BJ44" s="1414"/>
      <c r="BK44" s="1411"/>
      <c r="BL44" s="1414"/>
      <c r="BM44" s="1411"/>
      <c r="BN44" s="1414"/>
      <c r="BO44" s="1411"/>
      <c r="BP44" s="1414"/>
      <c r="BQ44" s="1411"/>
      <c r="BR44" s="1414"/>
      <c r="BS44" s="1411"/>
      <c r="BT44" s="1414"/>
      <c r="BU44" s="1411"/>
      <c r="BV44" s="1414"/>
      <c r="BW44" s="1411"/>
      <c r="BX44" s="1414"/>
      <c r="BY44" s="1411"/>
      <c r="BZ44" s="1414"/>
      <c r="CA44" s="1411"/>
      <c r="CB44" s="1414"/>
      <c r="CC44" s="1411"/>
      <c r="CD44" s="1414"/>
      <c r="CE44" s="848"/>
      <c r="CF44" s="848"/>
      <c r="CG44" s="848"/>
      <c r="CH44" s="848"/>
      <c r="CI44" s="848"/>
      <c r="CJ44" s="848"/>
      <c r="CK44" s="848"/>
    </row>
    <row r="45" spans="1:89">
      <c r="B45" s="54" t="s">
        <v>1395</v>
      </c>
      <c r="C45" s="1411">
        <v>0</v>
      </c>
      <c r="D45" s="1414">
        <v>1.0332021986647498E-3</v>
      </c>
      <c r="E45" s="1411">
        <v>-1.0332021986647498E-3</v>
      </c>
      <c r="F45" s="1414">
        <v>0</v>
      </c>
      <c r="G45" s="1411"/>
      <c r="H45" s="1414"/>
      <c r="I45" s="1411"/>
      <c r="J45" s="1414"/>
      <c r="K45" s="1411"/>
      <c r="L45" s="1414"/>
      <c r="M45" s="1411"/>
      <c r="N45" s="1414"/>
      <c r="O45" s="1411"/>
      <c r="P45" s="1414"/>
      <c r="Q45" s="1411"/>
      <c r="R45" s="1414"/>
      <c r="S45" s="1411"/>
      <c r="T45" s="1414"/>
      <c r="U45" s="1411"/>
      <c r="V45" s="1414"/>
      <c r="W45" s="1411"/>
      <c r="X45" s="1414"/>
      <c r="Y45" s="1411"/>
      <c r="Z45" s="1414"/>
      <c r="AA45" s="1411"/>
      <c r="AB45" s="1414"/>
      <c r="AC45" s="1411"/>
      <c r="AD45" s="1414"/>
      <c r="AE45" s="1411"/>
      <c r="AF45" s="1414"/>
      <c r="AG45" s="1411"/>
      <c r="AH45" s="1414"/>
      <c r="AI45" s="1411"/>
      <c r="AJ45" s="1414"/>
      <c r="AK45" s="1411"/>
      <c r="AL45" s="1414"/>
      <c r="AM45" s="1411"/>
      <c r="AN45" s="1414"/>
      <c r="AO45" s="1411"/>
      <c r="AP45" s="1414"/>
      <c r="AQ45" s="1411"/>
      <c r="AR45" s="1414"/>
      <c r="AS45" s="1411"/>
      <c r="AT45" s="1414"/>
      <c r="AU45" s="1411"/>
      <c r="AV45" s="1414"/>
      <c r="AW45" s="1411"/>
      <c r="AX45" s="1414"/>
      <c r="AY45" s="1411"/>
      <c r="AZ45" s="1414"/>
      <c r="BA45" s="1411"/>
      <c r="BB45" s="1414"/>
      <c r="BC45" s="1411"/>
      <c r="BD45" s="1414"/>
      <c r="BE45" s="1411"/>
      <c r="BF45" s="1414"/>
      <c r="BG45" s="1411"/>
      <c r="BH45" s="1414"/>
      <c r="BI45" s="1411"/>
      <c r="BJ45" s="1414"/>
      <c r="BK45" s="1411"/>
      <c r="BL45" s="1414"/>
      <c r="BM45" s="1411"/>
      <c r="BN45" s="1414"/>
      <c r="BO45" s="1411"/>
      <c r="BP45" s="1414"/>
      <c r="BQ45" s="1411"/>
      <c r="BR45" s="1414"/>
      <c r="BS45" s="1411"/>
      <c r="BT45" s="1414"/>
      <c r="BU45" s="1411"/>
      <c r="BV45" s="1414"/>
      <c r="BW45" s="1411"/>
      <c r="BX45" s="1414"/>
      <c r="BY45" s="1411"/>
      <c r="BZ45" s="1414"/>
      <c r="CA45" s="1411"/>
      <c r="CB45" s="1414"/>
      <c r="CC45" s="1411"/>
      <c r="CD45" s="1414"/>
      <c r="CE45" s="848"/>
      <c r="CF45" s="848"/>
      <c r="CG45" s="848"/>
      <c r="CH45" s="848"/>
      <c r="CI45" s="848"/>
      <c r="CJ45" s="848"/>
      <c r="CK45" s="848"/>
    </row>
    <row r="46" spans="1:89">
      <c r="A46">
        <f>+A44+1</f>
        <v>7</v>
      </c>
      <c r="B46" s="17" t="s">
        <v>1396</v>
      </c>
      <c r="C46" s="1411">
        <v>3.5940099142152057E-4</v>
      </c>
      <c r="D46" s="1414">
        <v>0</v>
      </c>
      <c r="E46" s="1411">
        <v>0</v>
      </c>
      <c r="F46" s="1414">
        <v>-3.5940099142152057E-4</v>
      </c>
      <c r="G46" s="1411"/>
      <c r="H46" s="1414"/>
      <c r="I46" s="1411"/>
      <c r="J46" s="1414"/>
      <c r="K46" s="1411"/>
      <c r="L46" s="1414"/>
      <c r="M46" s="1411"/>
      <c r="N46" s="1414"/>
      <c r="O46" s="1411"/>
      <c r="P46" s="1414"/>
      <c r="Q46" s="1411"/>
      <c r="R46" s="1414"/>
      <c r="S46" s="1411"/>
      <c r="T46" s="1414"/>
      <c r="U46" s="1411"/>
      <c r="V46" s="1414"/>
      <c r="W46" s="1411"/>
      <c r="X46" s="1414"/>
      <c r="Y46" s="1411"/>
      <c r="Z46" s="1414"/>
      <c r="AA46" s="1411"/>
      <c r="AB46" s="1414"/>
      <c r="AC46" s="1411"/>
      <c r="AD46" s="1414"/>
      <c r="AE46" s="1411"/>
      <c r="AF46" s="1414"/>
      <c r="AG46" s="1411"/>
      <c r="AH46" s="1414"/>
      <c r="AI46" s="1411"/>
      <c r="AJ46" s="1414"/>
      <c r="AK46" s="1411"/>
      <c r="AL46" s="1414"/>
      <c r="AM46" s="1411"/>
      <c r="AN46" s="1414"/>
      <c r="AO46" s="1411"/>
      <c r="AP46" s="1414"/>
      <c r="AQ46" s="1411"/>
      <c r="AR46" s="1414"/>
      <c r="AS46" s="1411"/>
      <c r="AT46" s="1414"/>
      <c r="AU46" s="1411"/>
      <c r="AV46" s="1414"/>
      <c r="AW46" s="1411"/>
      <c r="AX46" s="1414"/>
      <c r="AY46" s="1411"/>
      <c r="AZ46" s="1414"/>
      <c r="BA46" s="1411"/>
      <c r="BB46" s="1414"/>
      <c r="BC46" s="1411"/>
      <c r="BD46" s="1414"/>
      <c r="BE46" s="1411"/>
      <c r="BF46" s="1414"/>
      <c r="BG46" s="1411"/>
      <c r="BH46" s="1414"/>
      <c r="BI46" s="1411"/>
      <c r="BJ46" s="1414"/>
      <c r="BK46" s="1411"/>
      <c r="BL46" s="1414"/>
      <c r="BM46" s="1411"/>
      <c r="BN46" s="1414"/>
      <c r="BO46" s="1411"/>
      <c r="BP46" s="1414"/>
      <c r="BQ46" s="1411"/>
      <c r="BR46" s="1414"/>
      <c r="BS46" s="1411"/>
      <c r="BT46" s="1414"/>
      <c r="BU46" s="1411"/>
      <c r="BV46" s="1414"/>
      <c r="BW46" s="1411"/>
      <c r="BX46" s="1414"/>
      <c r="BY46" s="1411"/>
      <c r="BZ46" s="1414"/>
      <c r="CA46" s="1411"/>
      <c r="CB46" s="1414"/>
      <c r="CC46" s="1411"/>
      <c r="CD46" s="1414"/>
      <c r="CE46" s="848"/>
      <c r="CF46" s="848"/>
      <c r="CG46" s="848"/>
      <c r="CH46" s="848"/>
      <c r="CI46" s="848"/>
      <c r="CJ46" s="848"/>
      <c r="CK46" s="848"/>
    </row>
    <row r="47" spans="1:89">
      <c r="B47" s="54" t="s">
        <v>1395</v>
      </c>
      <c r="C47" s="1411">
        <v>0</v>
      </c>
      <c r="D47" s="1414">
        <v>1.7970049571076029E-4</v>
      </c>
      <c r="E47" s="1411">
        <v>-1.7970049571076029E-4</v>
      </c>
      <c r="F47" s="1414">
        <v>0</v>
      </c>
      <c r="G47" s="1411"/>
      <c r="H47" s="1414"/>
      <c r="I47" s="1411"/>
      <c r="J47" s="1414"/>
      <c r="K47" s="1411"/>
      <c r="L47" s="1414"/>
      <c r="M47" s="1411"/>
      <c r="N47" s="1414"/>
      <c r="O47" s="1411"/>
      <c r="P47" s="1414"/>
      <c r="Q47" s="1411"/>
      <c r="R47" s="1414"/>
      <c r="S47" s="1411"/>
      <c r="T47" s="1414"/>
      <c r="U47" s="1411"/>
      <c r="V47" s="1414"/>
      <c r="W47" s="1411"/>
      <c r="X47" s="1414"/>
      <c r="Y47" s="1411"/>
      <c r="Z47" s="1414"/>
      <c r="AA47" s="1411"/>
      <c r="AB47" s="1414"/>
      <c r="AC47" s="1411"/>
      <c r="AD47" s="1414"/>
      <c r="AE47" s="1411"/>
      <c r="AF47" s="1414"/>
      <c r="AG47" s="1411"/>
      <c r="AH47" s="1414"/>
      <c r="AI47" s="1411"/>
      <c r="AJ47" s="1414"/>
      <c r="AK47" s="1411"/>
      <c r="AL47" s="1414"/>
      <c r="AM47" s="1411"/>
      <c r="AN47" s="1414"/>
      <c r="AO47" s="1411"/>
      <c r="AP47" s="1414"/>
      <c r="AQ47" s="1411"/>
      <c r="AR47" s="1414"/>
      <c r="AS47" s="1411"/>
      <c r="AT47" s="1414"/>
      <c r="AU47" s="1411"/>
      <c r="AV47" s="1414"/>
      <c r="AW47" s="1411"/>
      <c r="AX47" s="1414"/>
      <c r="AY47" s="1411"/>
      <c r="AZ47" s="1414"/>
      <c r="BA47" s="1411"/>
      <c r="BB47" s="1414"/>
      <c r="BC47" s="1411"/>
      <c r="BD47" s="1414"/>
      <c r="BE47" s="1411"/>
      <c r="BF47" s="1414"/>
      <c r="BG47" s="1411"/>
      <c r="BH47" s="1414"/>
      <c r="BI47" s="1411"/>
      <c r="BJ47" s="1414"/>
      <c r="BK47" s="1411"/>
      <c r="BL47" s="1414"/>
      <c r="BM47" s="1411"/>
      <c r="BN47" s="1414"/>
      <c r="BO47" s="1411"/>
      <c r="BP47" s="1414"/>
      <c r="BQ47" s="1411"/>
      <c r="BR47" s="1414"/>
      <c r="BS47" s="1411"/>
      <c r="BT47" s="1414"/>
      <c r="BU47" s="1411"/>
      <c r="BV47" s="1414"/>
      <c r="BW47" s="1411"/>
      <c r="BX47" s="1414"/>
      <c r="BY47" s="1411"/>
      <c r="BZ47" s="1414"/>
      <c r="CA47" s="1411"/>
      <c r="CB47" s="1414"/>
      <c r="CC47" s="1411"/>
      <c r="CD47" s="1414"/>
      <c r="CE47" s="848"/>
      <c r="CF47" s="848"/>
      <c r="CG47" s="848"/>
      <c r="CH47" s="848"/>
      <c r="CI47" s="848"/>
      <c r="CJ47" s="848"/>
      <c r="CK47" s="848"/>
    </row>
    <row r="48" spans="1:89">
      <c r="A48">
        <f>+A46+1</f>
        <v>8</v>
      </c>
      <c r="B48" s="17" t="s">
        <v>1396</v>
      </c>
      <c r="C48" s="1411">
        <v>9.409166351162576E-5</v>
      </c>
      <c r="D48" s="1414">
        <v>0</v>
      </c>
      <c r="E48" s="1411">
        <v>0</v>
      </c>
      <c r="F48" s="1414">
        <v>-9.409166351162576E-5</v>
      </c>
      <c r="G48" s="1411"/>
      <c r="H48" s="1414"/>
      <c r="I48" s="1411"/>
      <c r="J48" s="1414"/>
      <c r="K48" s="1411"/>
      <c r="L48" s="1414"/>
      <c r="M48" s="1411"/>
      <c r="N48" s="1414"/>
      <c r="O48" s="1411"/>
      <c r="P48" s="1414"/>
      <c r="Q48" s="1411"/>
      <c r="R48" s="1414"/>
      <c r="S48" s="1411"/>
      <c r="T48" s="1414"/>
      <c r="U48" s="1411"/>
      <c r="V48" s="1414"/>
      <c r="W48" s="1411"/>
      <c r="X48" s="1414"/>
      <c r="Y48" s="1411"/>
      <c r="Z48" s="1414"/>
      <c r="AA48" s="1411"/>
      <c r="AB48" s="1414"/>
      <c r="AC48" s="1411"/>
      <c r="AD48" s="1414"/>
      <c r="AE48" s="1411"/>
      <c r="AF48" s="1414"/>
      <c r="AG48" s="1411"/>
      <c r="AH48" s="1414"/>
      <c r="AI48" s="1411"/>
      <c r="AJ48" s="1414"/>
      <c r="AK48" s="1411"/>
      <c r="AL48" s="1414"/>
      <c r="AM48" s="1411"/>
      <c r="AN48" s="1414"/>
      <c r="AO48" s="1411"/>
      <c r="AP48" s="1414"/>
      <c r="AQ48" s="1411"/>
      <c r="AR48" s="1414"/>
      <c r="AS48" s="1411"/>
      <c r="AT48" s="1414"/>
      <c r="AU48" s="1411"/>
      <c r="AV48" s="1414"/>
      <c r="AW48" s="1411"/>
      <c r="AX48" s="1414"/>
      <c r="AY48" s="1411"/>
      <c r="AZ48" s="1414"/>
      <c r="BA48" s="1411"/>
      <c r="BB48" s="1414"/>
      <c r="BC48" s="1411"/>
      <c r="BD48" s="1414"/>
      <c r="BE48" s="1411"/>
      <c r="BF48" s="1414"/>
      <c r="BG48" s="1411"/>
      <c r="BH48" s="1414"/>
      <c r="BI48" s="1411"/>
      <c r="BJ48" s="1414"/>
      <c r="BK48" s="1411"/>
      <c r="BL48" s="1414"/>
      <c r="BM48" s="1411"/>
      <c r="BN48" s="1414"/>
      <c r="BO48" s="1411"/>
      <c r="BP48" s="1414"/>
      <c r="BQ48" s="1411"/>
      <c r="BR48" s="1414"/>
      <c r="BS48" s="1411"/>
      <c r="BT48" s="1414"/>
      <c r="BU48" s="1411"/>
      <c r="BV48" s="1414"/>
      <c r="BW48" s="1411"/>
      <c r="BX48" s="1414"/>
      <c r="BY48" s="1411"/>
      <c r="BZ48" s="1414"/>
      <c r="CA48" s="1411"/>
      <c r="CB48" s="1414"/>
      <c r="CC48" s="1411"/>
      <c r="CD48" s="1414"/>
      <c r="CE48" s="848"/>
      <c r="CF48" s="848"/>
      <c r="CG48" s="848"/>
      <c r="CH48" s="848"/>
      <c r="CI48" s="848"/>
      <c r="CJ48" s="848"/>
      <c r="CK48" s="848"/>
    </row>
    <row r="49" spans="1:161">
      <c r="B49" s="54" t="s">
        <v>1395</v>
      </c>
      <c r="C49" s="1411">
        <v>0</v>
      </c>
      <c r="D49" s="1414">
        <v>4.704583175581288E-5</v>
      </c>
      <c r="E49" s="1411">
        <v>-4.704583175581288E-5</v>
      </c>
      <c r="F49" s="1414">
        <v>0</v>
      </c>
      <c r="G49" s="1411"/>
      <c r="H49" s="1414"/>
      <c r="I49" s="1411"/>
      <c r="J49" s="1414"/>
      <c r="K49" s="1411"/>
      <c r="L49" s="1414"/>
      <c r="M49" s="1411"/>
      <c r="N49" s="1414"/>
      <c r="O49" s="1411"/>
      <c r="P49" s="1414"/>
      <c r="Q49" s="1411"/>
      <c r="R49" s="1414"/>
      <c r="S49" s="1411"/>
      <c r="T49" s="1414"/>
      <c r="U49" s="1411"/>
      <c r="V49" s="1414"/>
      <c r="W49" s="1411"/>
      <c r="X49" s="1414"/>
      <c r="Y49" s="1411"/>
      <c r="Z49" s="1414"/>
      <c r="AA49" s="1411"/>
      <c r="AB49" s="1414"/>
      <c r="AC49" s="1411"/>
      <c r="AD49" s="1414"/>
      <c r="AE49" s="1411"/>
      <c r="AF49" s="1414"/>
      <c r="AG49" s="1411"/>
      <c r="AH49" s="1414"/>
      <c r="AI49" s="1411"/>
      <c r="AJ49" s="1414"/>
      <c r="AK49" s="1411"/>
      <c r="AL49" s="1414"/>
      <c r="AM49" s="1411"/>
      <c r="AN49" s="1414"/>
      <c r="AO49" s="1411"/>
      <c r="AP49" s="1414"/>
      <c r="AQ49" s="1411"/>
      <c r="AR49" s="1414"/>
      <c r="AS49" s="1411"/>
      <c r="AT49" s="1414"/>
      <c r="AU49" s="1411"/>
      <c r="AV49" s="1414"/>
      <c r="AW49" s="1411"/>
      <c r="AX49" s="1414"/>
      <c r="AY49" s="1411"/>
      <c r="AZ49" s="1414"/>
      <c r="BA49" s="1411"/>
      <c r="BB49" s="1414"/>
      <c r="BC49" s="1411"/>
      <c r="BD49" s="1414"/>
      <c r="BE49" s="1411"/>
      <c r="BF49" s="1414"/>
      <c r="BG49" s="1411"/>
      <c r="BH49" s="1414"/>
      <c r="BI49" s="1411"/>
      <c r="BJ49" s="1414"/>
      <c r="BK49" s="1411"/>
      <c r="BL49" s="1414"/>
      <c r="BM49" s="1411"/>
      <c r="BN49" s="1414"/>
      <c r="BO49" s="1411"/>
      <c r="BP49" s="1414"/>
      <c r="BQ49" s="1411"/>
      <c r="BR49" s="1414"/>
      <c r="BS49" s="1411"/>
      <c r="BT49" s="1414"/>
      <c r="BU49" s="1411"/>
      <c r="BV49" s="1414"/>
      <c r="BW49" s="1411"/>
      <c r="BX49" s="1414"/>
      <c r="BY49" s="1411"/>
      <c r="BZ49" s="1414"/>
      <c r="CA49" s="1411"/>
      <c r="CB49" s="1414"/>
      <c r="CC49" s="1411"/>
      <c r="CD49" s="1414"/>
      <c r="CE49" s="848"/>
      <c r="CF49" s="848"/>
      <c r="CG49" s="848"/>
      <c r="CH49" s="848"/>
      <c r="CI49" s="848"/>
      <c r="CJ49" s="848"/>
      <c r="CK49" s="848"/>
    </row>
    <row r="50" spans="1:161">
      <c r="A50">
        <f>+A48+1</f>
        <v>9</v>
      </c>
      <c r="B50" s="17" t="s">
        <v>1396</v>
      </c>
      <c r="C50" s="1411">
        <v>1.6364965731916299E-5</v>
      </c>
      <c r="D50" s="1414">
        <v>0</v>
      </c>
      <c r="E50" s="1411">
        <v>0</v>
      </c>
      <c r="F50" s="1414">
        <v>-1.6364965731916299E-5</v>
      </c>
      <c r="G50" s="1411"/>
      <c r="H50" s="1414"/>
      <c r="I50" s="1411"/>
      <c r="J50" s="1414"/>
      <c r="K50" s="1411"/>
      <c r="L50" s="1414"/>
      <c r="M50" s="1411"/>
      <c r="N50" s="1414"/>
      <c r="O50" s="1411"/>
      <c r="P50" s="1414"/>
      <c r="Q50" s="1411"/>
      <c r="R50" s="1414"/>
      <c r="S50" s="1411"/>
      <c r="T50" s="1414"/>
      <c r="U50" s="1411"/>
      <c r="V50" s="1414"/>
      <c r="W50" s="1411"/>
      <c r="X50" s="1414"/>
      <c r="Y50" s="1411"/>
      <c r="Z50" s="1414"/>
      <c r="AA50" s="1411"/>
      <c r="AB50" s="1414"/>
      <c r="AC50" s="1411"/>
      <c r="AD50" s="1414"/>
      <c r="AE50" s="1411"/>
      <c r="AF50" s="1414"/>
      <c r="AG50" s="1411"/>
      <c r="AH50" s="1414"/>
      <c r="AI50" s="1411"/>
      <c r="AJ50" s="1414"/>
      <c r="AK50" s="1411"/>
      <c r="AL50" s="1414"/>
      <c r="AM50" s="1411"/>
      <c r="AN50" s="1414"/>
      <c r="AO50" s="1411"/>
      <c r="AP50" s="1414"/>
      <c r="AQ50" s="1411"/>
      <c r="AR50" s="1414"/>
      <c r="AS50" s="1411"/>
      <c r="AT50" s="1414"/>
      <c r="AU50" s="1411"/>
      <c r="AV50" s="1414"/>
      <c r="AW50" s="1411"/>
      <c r="AX50" s="1414"/>
      <c r="AY50" s="1411"/>
      <c r="AZ50" s="1414"/>
      <c r="BA50" s="1411"/>
      <c r="BB50" s="1414"/>
      <c r="BC50" s="1411"/>
      <c r="BD50" s="1414"/>
      <c r="BE50" s="1411"/>
      <c r="BF50" s="1414"/>
      <c r="BG50" s="1411"/>
      <c r="BH50" s="1414"/>
      <c r="BI50" s="1411"/>
      <c r="BJ50" s="1414"/>
      <c r="BK50" s="1411"/>
      <c r="BL50" s="1414"/>
      <c r="BM50" s="1411"/>
      <c r="BN50" s="1414"/>
      <c r="BO50" s="1411"/>
      <c r="BP50" s="1414"/>
      <c r="BQ50" s="1411"/>
      <c r="BR50" s="1414"/>
      <c r="BS50" s="1411"/>
      <c r="BT50" s="1414"/>
      <c r="BU50" s="1411"/>
      <c r="BV50" s="1414"/>
      <c r="BW50" s="1411"/>
      <c r="BX50" s="1414"/>
      <c r="BY50" s="1411"/>
      <c r="BZ50" s="1414"/>
      <c r="CA50" s="1411"/>
      <c r="CB50" s="1414"/>
      <c r="CC50" s="1411"/>
      <c r="CD50" s="1414"/>
      <c r="CE50" s="848"/>
      <c r="CF50" s="848"/>
      <c r="CG50" s="848"/>
      <c r="CH50" s="848"/>
      <c r="CI50" s="848"/>
      <c r="CJ50" s="848"/>
      <c r="CK50" s="848"/>
    </row>
    <row r="51" spans="1:161">
      <c r="B51" s="54" t="s">
        <v>1395</v>
      </c>
      <c r="C51" s="1411">
        <v>0</v>
      </c>
      <c r="D51" s="1414">
        <v>8.1824828659581493E-6</v>
      </c>
      <c r="E51" s="1411">
        <v>-8.1824828659581493E-6</v>
      </c>
      <c r="F51" s="1414">
        <v>0</v>
      </c>
      <c r="G51" s="1411"/>
      <c r="H51" s="1414"/>
      <c r="I51" s="1411"/>
      <c r="J51" s="1414"/>
      <c r="K51" s="1411"/>
      <c r="L51" s="1414"/>
      <c r="M51" s="1411"/>
      <c r="N51" s="1414"/>
      <c r="O51" s="1411"/>
      <c r="P51" s="1414"/>
      <c r="Q51" s="1411"/>
      <c r="R51" s="1414"/>
      <c r="S51" s="1411"/>
      <c r="T51" s="1414"/>
      <c r="U51" s="1411"/>
      <c r="V51" s="1414"/>
      <c r="W51" s="1411"/>
      <c r="X51" s="1414"/>
      <c r="Y51" s="1411"/>
      <c r="Z51" s="1414"/>
      <c r="AA51" s="1411"/>
      <c r="AB51" s="1414"/>
      <c r="AC51" s="1411"/>
      <c r="AD51" s="1414"/>
      <c r="AE51" s="1411"/>
      <c r="AF51" s="1414"/>
      <c r="AG51" s="1411"/>
      <c r="AH51" s="1414"/>
      <c r="AI51" s="1411"/>
      <c r="AJ51" s="1414"/>
      <c r="AK51" s="1411"/>
      <c r="AL51" s="1414"/>
      <c r="AM51" s="1411"/>
      <c r="AN51" s="1414"/>
      <c r="AO51" s="1411"/>
      <c r="AP51" s="1414"/>
      <c r="AQ51" s="1411"/>
      <c r="AR51" s="1414"/>
      <c r="AS51" s="1411"/>
      <c r="AT51" s="1414"/>
      <c r="AU51" s="1411"/>
      <c r="AV51" s="1414"/>
      <c r="AW51" s="1411"/>
      <c r="AX51" s="1414"/>
      <c r="AY51" s="1411"/>
      <c r="AZ51" s="1414"/>
      <c r="BA51" s="1411"/>
      <c r="BB51" s="1414"/>
      <c r="BC51" s="1411"/>
      <c r="BD51" s="1414"/>
      <c r="BE51" s="1411"/>
      <c r="BF51" s="1414"/>
      <c r="BG51" s="1411"/>
      <c r="BH51" s="1414"/>
      <c r="BI51" s="1411"/>
      <c r="BJ51" s="1414"/>
      <c r="BK51" s="1411"/>
      <c r="BL51" s="1414"/>
      <c r="BM51" s="1411"/>
      <c r="BN51" s="1414"/>
      <c r="BO51" s="1411"/>
      <c r="BP51" s="1414"/>
      <c r="BQ51" s="1411"/>
      <c r="BR51" s="1414"/>
      <c r="BS51" s="1411"/>
      <c r="BT51" s="1414"/>
      <c r="BU51" s="1411"/>
      <c r="BV51" s="1414"/>
      <c r="BW51" s="1411"/>
      <c r="BX51" s="1414"/>
      <c r="BY51" s="1411"/>
      <c r="BZ51" s="1414"/>
      <c r="CA51" s="1411"/>
      <c r="CB51" s="1414"/>
      <c r="CC51" s="1411"/>
      <c r="CD51" s="1414"/>
      <c r="CE51" s="848"/>
      <c r="CF51" s="848"/>
      <c r="CG51" s="848"/>
      <c r="CH51" s="848"/>
      <c r="CI51" s="848"/>
      <c r="CJ51" s="848"/>
      <c r="CK51" s="848"/>
    </row>
    <row r="52" spans="1:161">
      <c r="A52">
        <f>+A50+1</f>
        <v>10</v>
      </c>
      <c r="B52" s="17" t="s">
        <v>1396</v>
      </c>
      <c r="C52" s="1411">
        <v>4.2843700651365334E-6</v>
      </c>
      <c r="D52" s="1414">
        <v>0</v>
      </c>
      <c r="E52" s="1411">
        <v>0</v>
      </c>
      <c r="F52" s="1414">
        <v>-4.2843700651365334E-6</v>
      </c>
      <c r="G52" s="1411"/>
      <c r="H52" s="1414"/>
      <c r="I52" s="1411"/>
      <c r="J52" s="1414"/>
      <c r="K52" s="1411"/>
      <c r="L52" s="1414"/>
      <c r="M52" s="1411"/>
      <c r="N52" s="1414"/>
      <c r="O52" s="1411"/>
      <c r="P52" s="1414"/>
      <c r="Q52" s="1411"/>
      <c r="R52" s="1414"/>
      <c r="S52" s="1411"/>
      <c r="T52" s="1414"/>
      <c r="U52" s="1411"/>
      <c r="V52" s="1414"/>
      <c r="W52" s="1411"/>
      <c r="X52" s="1414"/>
      <c r="Y52" s="1411"/>
      <c r="Z52" s="1414"/>
      <c r="AA52" s="1411"/>
      <c r="AB52" s="1414"/>
      <c r="AC52" s="1411"/>
      <c r="AD52" s="1414"/>
      <c r="AE52" s="1411"/>
      <c r="AF52" s="1414"/>
      <c r="AG52" s="1411"/>
      <c r="AH52" s="1414"/>
      <c r="AI52" s="1411"/>
      <c r="AJ52" s="1414"/>
      <c r="AK52" s="1411"/>
      <c r="AL52" s="1414"/>
      <c r="AM52" s="1411"/>
      <c r="AN52" s="1414"/>
      <c r="AO52" s="1411"/>
      <c r="AP52" s="1414"/>
      <c r="AQ52" s="1411"/>
      <c r="AR52" s="1414"/>
      <c r="AS52" s="1411"/>
      <c r="AT52" s="1414"/>
      <c r="AU52" s="1411"/>
      <c r="AV52" s="1414"/>
      <c r="AW52" s="1411"/>
      <c r="AX52" s="1414"/>
      <c r="AY52" s="1411"/>
      <c r="AZ52" s="1414"/>
      <c r="BA52" s="1411"/>
      <c r="BB52" s="1414"/>
      <c r="BC52" s="1411"/>
      <c r="BD52" s="1414"/>
      <c r="BE52" s="1411"/>
      <c r="BF52" s="1414"/>
      <c r="BG52" s="1411"/>
      <c r="BH52" s="1414"/>
      <c r="BI52" s="1411"/>
      <c r="BJ52" s="1414"/>
      <c r="BK52" s="1411"/>
      <c r="BL52" s="1414"/>
      <c r="BM52" s="1411"/>
      <c r="BN52" s="1414"/>
      <c r="BO52" s="1411"/>
      <c r="BP52" s="1414"/>
      <c r="BQ52" s="1411"/>
      <c r="BR52" s="1414"/>
      <c r="BS52" s="1411"/>
      <c r="BT52" s="1414"/>
      <c r="BU52" s="1411"/>
      <c r="BV52" s="1414"/>
      <c r="BW52" s="1411"/>
      <c r="BX52" s="1414"/>
      <c r="BY52" s="1411"/>
      <c r="BZ52" s="1414"/>
      <c r="CA52" s="1411"/>
      <c r="CB52" s="1414"/>
      <c r="CC52" s="1411"/>
      <c r="CD52" s="1414"/>
      <c r="CE52" s="848"/>
      <c r="CF52" s="848"/>
      <c r="CG52" s="848"/>
      <c r="CH52" s="848"/>
      <c r="CI52" s="848"/>
      <c r="CJ52" s="848"/>
      <c r="CK52" s="848"/>
    </row>
    <row r="53" spans="1:161">
      <c r="B53" s="54" t="s">
        <v>1395</v>
      </c>
      <c r="C53" s="1411">
        <v>0</v>
      </c>
      <c r="D53" s="1414">
        <v>2.1421850325682667E-6</v>
      </c>
      <c r="E53" s="1411">
        <v>-2.1421850325682667E-6</v>
      </c>
      <c r="F53" s="1414">
        <v>0</v>
      </c>
      <c r="G53" s="1411"/>
      <c r="H53" s="1414"/>
      <c r="I53" s="1411"/>
      <c r="J53" s="1414"/>
      <c r="K53" s="1411"/>
      <c r="L53" s="1414"/>
      <c r="M53" s="1411"/>
      <c r="N53" s="1414"/>
      <c r="O53" s="1411"/>
      <c r="P53" s="1414"/>
      <c r="Q53" s="1411"/>
      <c r="R53" s="1414"/>
      <c r="S53" s="1411"/>
      <c r="T53" s="1414"/>
      <c r="U53" s="1411"/>
      <c r="V53" s="1414"/>
      <c r="W53" s="1411"/>
      <c r="X53" s="1414"/>
      <c r="Y53" s="1411"/>
      <c r="Z53" s="1414"/>
      <c r="AA53" s="1411"/>
      <c r="AB53" s="1414"/>
      <c r="AC53" s="1411"/>
      <c r="AD53" s="1414"/>
      <c r="AE53" s="1411"/>
      <c r="AF53" s="1414"/>
      <c r="AG53" s="1411"/>
      <c r="AH53" s="1414"/>
      <c r="AI53" s="1411"/>
      <c r="AJ53" s="1414"/>
      <c r="AK53" s="1411"/>
      <c r="AL53" s="1414"/>
      <c r="AM53" s="1411"/>
      <c r="AN53" s="1414"/>
      <c r="AO53" s="1411"/>
      <c r="AP53" s="1414"/>
      <c r="AQ53" s="1411"/>
      <c r="AR53" s="1414"/>
      <c r="AS53" s="1411"/>
      <c r="AT53" s="1414"/>
      <c r="AU53" s="1411"/>
      <c r="AV53" s="1414"/>
      <c r="AW53" s="1411"/>
      <c r="AX53" s="1414"/>
      <c r="AY53" s="1411"/>
      <c r="AZ53" s="1414"/>
      <c r="BA53" s="1411"/>
      <c r="BB53" s="1414"/>
      <c r="BC53" s="1411"/>
      <c r="BD53" s="1414"/>
      <c r="BE53" s="1411"/>
      <c r="BF53" s="1414"/>
      <c r="BG53" s="1411"/>
      <c r="BH53" s="1414"/>
      <c r="BI53" s="1411"/>
      <c r="BJ53" s="1414"/>
      <c r="BK53" s="1411"/>
      <c r="BL53" s="1414"/>
      <c r="BM53" s="1411"/>
      <c r="BN53" s="1414"/>
      <c r="BO53" s="1411"/>
      <c r="BP53" s="1414"/>
      <c r="BQ53" s="1411"/>
      <c r="BR53" s="1414"/>
      <c r="BS53" s="1411"/>
      <c r="BT53" s="1414"/>
      <c r="BU53" s="1411"/>
      <c r="BV53" s="1414"/>
      <c r="BW53" s="1411"/>
      <c r="BX53" s="1414"/>
      <c r="BY53" s="1411"/>
      <c r="BZ53" s="1414"/>
      <c r="CA53" s="1411"/>
      <c r="CB53" s="1414"/>
      <c r="CC53" s="1411"/>
      <c r="CD53" s="1414"/>
      <c r="CE53" s="848"/>
      <c r="CF53" s="848"/>
      <c r="CG53" s="848"/>
      <c r="CH53" s="848"/>
      <c r="CI53" s="848"/>
      <c r="CJ53" s="848"/>
      <c r="CK53" s="848"/>
    </row>
    <row r="54" spans="1:161">
      <c r="A54">
        <f>+A52+1</f>
        <v>11</v>
      </c>
      <c r="B54" s="17" t="s">
        <v>1396</v>
      </c>
      <c r="C54" s="1411">
        <v>7.4516239464874903E-7</v>
      </c>
      <c r="D54" s="1414">
        <v>0</v>
      </c>
      <c r="E54" s="1411">
        <v>0</v>
      </c>
      <c r="F54" s="1414">
        <v>-7.4516239464874903E-7</v>
      </c>
      <c r="G54" s="1411"/>
      <c r="H54" s="1414"/>
      <c r="I54" s="1411"/>
      <c r="J54" s="1414"/>
      <c r="K54" s="1411"/>
      <c r="L54" s="1414"/>
      <c r="M54" s="1411"/>
      <c r="N54" s="1414"/>
      <c r="O54" s="1411"/>
      <c r="P54" s="1414"/>
      <c r="Q54" s="1411"/>
      <c r="R54" s="1414"/>
      <c r="S54" s="1411"/>
      <c r="T54" s="1414"/>
      <c r="U54" s="1411"/>
      <c r="V54" s="1414"/>
      <c r="W54" s="1411"/>
      <c r="X54" s="1414"/>
      <c r="Y54" s="1411"/>
      <c r="Z54" s="1414"/>
      <c r="AA54" s="1411"/>
      <c r="AB54" s="1414"/>
      <c r="AC54" s="1411"/>
      <c r="AD54" s="1414"/>
      <c r="AE54" s="1411"/>
      <c r="AF54" s="1414"/>
      <c r="AG54" s="1411"/>
      <c r="AH54" s="1414"/>
      <c r="AI54" s="1411"/>
      <c r="AJ54" s="1414"/>
      <c r="AK54" s="1411"/>
      <c r="AL54" s="1414"/>
      <c r="AM54" s="1411"/>
      <c r="AN54" s="1414"/>
      <c r="AO54" s="1411"/>
      <c r="AP54" s="1414"/>
      <c r="AQ54" s="1411"/>
      <c r="AR54" s="1414"/>
      <c r="AS54" s="1411"/>
      <c r="AT54" s="1414"/>
      <c r="AU54" s="1411"/>
      <c r="AV54" s="1414"/>
      <c r="AW54" s="1411"/>
      <c r="AX54" s="1414"/>
      <c r="AY54" s="1411"/>
      <c r="AZ54" s="1414"/>
      <c r="BA54" s="1411"/>
      <c r="BB54" s="1414"/>
      <c r="BC54" s="1411"/>
      <c r="BD54" s="1414"/>
      <c r="BE54" s="1411"/>
      <c r="BF54" s="1414"/>
      <c r="BG54" s="1411"/>
      <c r="BH54" s="1414"/>
      <c r="BI54" s="1411"/>
      <c r="BJ54" s="1414"/>
      <c r="BK54" s="1411"/>
      <c r="BL54" s="1414"/>
      <c r="BM54" s="1411"/>
      <c r="BN54" s="1414"/>
      <c r="BO54" s="1411"/>
      <c r="BP54" s="1414"/>
      <c r="BQ54" s="1411"/>
      <c r="BR54" s="1414"/>
      <c r="BS54" s="1411"/>
      <c r="BT54" s="1414"/>
      <c r="BU54" s="1411"/>
      <c r="BV54" s="1414"/>
      <c r="BW54" s="1411"/>
      <c r="BX54" s="1414"/>
      <c r="BY54" s="1411"/>
      <c r="BZ54" s="1414"/>
      <c r="CA54" s="1411"/>
      <c r="CB54" s="1414"/>
      <c r="CC54" s="1411"/>
      <c r="CD54" s="1414"/>
      <c r="CE54" s="848"/>
      <c r="CF54" s="848"/>
      <c r="CG54" s="848"/>
      <c r="CH54" s="848"/>
      <c r="CI54" s="848"/>
      <c r="CJ54" s="848"/>
      <c r="CK54" s="848"/>
    </row>
    <row r="55" spans="1:161">
      <c r="B55" s="54" t="s">
        <v>1395</v>
      </c>
      <c r="C55" s="1411">
        <v>0</v>
      </c>
      <c r="D55" s="1414">
        <v>3.7258119732437452E-7</v>
      </c>
      <c r="E55" s="1411">
        <v>-3.7258119732437452E-7</v>
      </c>
      <c r="F55" s="1414">
        <v>0</v>
      </c>
      <c r="G55" s="1411"/>
      <c r="H55" s="1414"/>
      <c r="I55" s="1411"/>
      <c r="J55" s="1414"/>
      <c r="K55" s="1411"/>
      <c r="L55" s="1414"/>
      <c r="M55" s="1411"/>
      <c r="N55" s="1414"/>
      <c r="O55" s="1411"/>
      <c r="P55" s="1414"/>
      <c r="Q55" s="1411"/>
      <c r="R55" s="1414"/>
      <c r="S55" s="1411"/>
      <c r="T55" s="1414"/>
      <c r="U55" s="1411"/>
      <c r="V55" s="1414"/>
      <c r="W55" s="1411"/>
      <c r="X55" s="1414"/>
      <c r="Y55" s="1411"/>
      <c r="Z55" s="1414"/>
      <c r="AA55" s="1411"/>
      <c r="AB55" s="1414"/>
      <c r="AC55" s="1411"/>
      <c r="AD55" s="1414"/>
      <c r="AE55" s="1411"/>
      <c r="AF55" s="1414"/>
      <c r="AG55" s="1411"/>
      <c r="AH55" s="1414"/>
      <c r="AI55" s="1411"/>
      <c r="AJ55" s="1414"/>
      <c r="AK55" s="1411"/>
      <c r="AL55" s="1414"/>
      <c r="AM55" s="1411"/>
      <c r="AN55" s="1414"/>
      <c r="AO55" s="1411"/>
      <c r="AP55" s="1414"/>
      <c r="AQ55" s="1411"/>
      <c r="AR55" s="1414"/>
      <c r="AS55" s="1411"/>
      <c r="AT55" s="1414"/>
      <c r="AU55" s="1411"/>
      <c r="AV55" s="1414"/>
      <c r="AW55" s="1411"/>
      <c r="AX55" s="1414"/>
      <c r="AY55" s="1411"/>
      <c r="AZ55" s="1414"/>
      <c r="BA55" s="1411"/>
      <c r="BB55" s="1414"/>
      <c r="BC55" s="1411"/>
      <c r="BD55" s="1414"/>
      <c r="BE55" s="1411"/>
      <c r="BF55" s="1414"/>
      <c r="BG55" s="1411"/>
      <c r="BH55" s="1414"/>
      <c r="BI55" s="1411"/>
      <c r="BJ55" s="1414"/>
      <c r="BK55" s="1411"/>
      <c r="BL55" s="1414"/>
      <c r="BM55" s="1411"/>
      <c r="BN55" s="1414"/>
      <c r="BO55" s="1411"/>
      <c r="BP55" s="1414"/>
      <c r="BQ55" s="1411"/>
      <c r="BR55" s="1414"/>
      <c r="BS55" s="1411"/>
      <c r="BT55" s="1414"/>
      <c r="BU55" s="1411"/>
      <c r="BV55" s="1414"/>
      <c r="BW55" s="1411"/>
      <c r="BX55" s="1414"/>
      <c r="BY55" s="1411"/>
      <c r="BZ55" s="1414"/>
      <c r="CA55" s="1411"/>
      <c r="CB55" s="1414"/>
      <c r="CC55" s="1411"/>
      <c r="CD55" s="1414"/>
      <c r="CE55" s="848"/>
      <c r="CF55" s="848"/>
      <c r="CG55" s="848"/>
      <c r="CH55" s="848"/>
      <c r="CI55" s="848"/>
      <c r="CJ55" s="848"/>
      <c r="CK55" s="848"/>
    </row>
    <row r="56" spans="1:161">
      <c r="A56" s="1369" t="s">
        <v>1435</v>
      </c>
      <c r="B56" s="93"/>
      <c r="C56" s="1370">
        <f>SUM(C33:C55)</f>
        <v>-53.270554957193049</v>
      </c>
      <c r="D56" s="1441">
        <f>SUM(D33:D55)</f>
        <v>60.81962658390345</v>
      </c>
      <c r="E56" s="1370">
        <f t="shared" ref="E56:BP56" si="2">SUM(E33:E55)</f>
        <v>-60.81962658390345</v>
      </c>
      <c r="F56" s="1441">
        <f t="shared" si="2"/>
        <v>53.270554957193049</v>
      </c>
      <c r="G56" s="1370">
        <f t="shared" si="2"/>
        <v>0</v>
      </c>
      <c r="H56" s="1441">
        <f t="shared" si="2"/>
        <v>0</v>
      </c>
      <c r="I56" s="1370">
        <f t="shared" si="2"/>
        <v>0</v>
      </c>
      <c r="J56" s="1441">
        <f t="shared" si="2"/>
        <v>0</v>
      </c>
      <c r="K56" s="1370">
        <f t="shared" si="2"/>
        <v>0</v>
      </c>
      <c r="L56" s="1441">
        <f t="shared" si="2"/>
        <v>0</v>
      </c>
      <c r="M56" s="1370">
        <f t="shared" si="2"/>
        <v>0</v>
      </c>
      <c r="N56" s="1441">
        <f t="shared" si="2"/>
        <v>0</v>
      </c>
      <c r="O56" s="1370">
        <f t="shared" si="2"/>
        <v>0</v>
      </c>
      <c r="P56" s="1441">
        <f t="shared" si="2"/>
        <v>0</v>
      </c>
      <c r="Q56" s="1370">
        <f t="shared" si="2"/>
        <v>0</v>
      </c>
      <c r="R56" s="1441">
        <f t="shared" si="2"/>
        <v>0</v>
      </c>
      <c r="S56" s="1370">
        <f t="shared" si="2"/>
        <v>0</v>
      </c>
      <c r="T56" s="1441">
        <f t="shared" si="2"/>
        <v>0</v>
      </c>
      <c r="U56" s="1370">
        <f t="shared" si="2"/>
        <v>0</v>
      </c>
      <c r="V56" s="1441">
        <f t="shared" si="2"/>
        <v>0</v>
      </c>
      <c r="W56" s="1370">
        <f t="shared" si="2"/>
        <v>0</v>
      </c>
      <c r="X56" s="1441">
        <f t="shared" si="2"/>
        <v>0</v>
      </c>
      <c r="Y56" s="1370">
        <f t="shared" si="2"/>
        <v>0</v>
      </c>
      <c r="Z56" s="1441">
        <f t="shared" si="2"/>
        <v>0</v>
      </c>
      <c r="AA56" s="1370">
        <f t="shared" si="2"/>
        <v>0</v>
      </c>
      <c r="AB56" s="1441">
        <f t="shared" si="2"/>
        <v>0</v>
      </c>
      <c r="AC56" s="1370">
        <f t="shared" si="2"/>
        <v>0</v>
      </c>
      <c r="AD56" s="1441">
        <f t="shared" si="2"/>
        <v>0</v>
      </c>
      <c r="AE56" s="1370">
        <f t="shared" si="2"/>
        <v>0</v>
      </c>
      <c r="AF56" s="1441">
        <f t="shared" si="2"/>
        <v>0</v>
      </c>
      <c r="AG56" s="1370">
        <f t="shared" si="2"/>
        <v>0</v>
      </c>
      <c r="AH56" s="1441">
        <f t="shared" si="2"/>
        <v>0</v>
      </c>
      <c r="AI56" s="1370">
        <f t="shared" si="2"/>
        <v>0</v>
      </c>
      <c r="AJ56" s="1441">
        <f t="shared" si="2"/>
        <v>0</v>
      </c>
      <c r="AK56" s="1370">
        <f t="shared" si="2"/>
        <v>0</v>
      </c>
      <c r="AL56" s="1441">
        <f t="shared" si="2"/>
        <v>0</v>
      </c>
      <c r="AM56" s="1370">
        <f t="shared" si="2"/>
        <v>0</v>
      </c>
      <c r="AN56" s="1441">
        <f t="shared" si="2"/>
        <v>0</v>
      </c>
      <c r="AO56" s="1370">
        <f t="shared" si="2"/>
        <v>0</v>
      </c>
      <c r="AP56" s="1441">
        <f t="shared" si="2"/>
        <v>0</v>
      </c>
      <c r="AQ56" s="1370">
        <f t="shared" si="2"/>
        <v>0</v>
      </c>
      <c r="AR56" s="1441">
        <f t="shared" si="2"/>
        <v>0</v>
      </c>
      <c r="AS56" s="1370">
        <f t="shared" si="2"/>
        <v>0</v>
      </c>
      <c r="AT56" s="1441">
        <f t="shared" si="2"/>
        <v>0</v>
      </c>
      <c r="AU56" s="1370">
        <f t="shared" si="2"/>
        <v>0</v>
      </c>
      <c r="AV56" s="1441">
        <f t="shared" si="2"/>
        <v>0</v>
      </c>
      <c r="AW56" s="1370">
        <f t="shared" si="2"/>
        <v>0</v>
      </c>
      <c r="AX56" s="1441">
        <f t="shared" si="2"/>
        <v>0</v>
      </c>
      <c r="AY56" s="1370">
        <f t="shared" si="2"/>
        <v>0</v>
      </c>
      <c r="AZ56" s="1441">
        <f t="shared" si="2"/>
        <v>0</v>
      </c>
      <c r="BA56" s="1370">
        <f t="shared" si="2"/>
        <v>0</v>
      </c>
      <c r="BB56" s="1441">
        <f t="shared" si="2"/>
        <v>0</v>
      </c>
      <c r="BC56" s="1370">
        <f t="shared" si="2"/>
        <v>0</v>
      </c>
      <c r="BD56" s="1441">
        <f t="shared" si="2"/>
        <v>0</v>
      </c>
      <c r="BE56" s="1370">
        <f t="shared" si="2"/>
        <v>0</v>
      </c>
      <c r="BF56" s="1441">
        <f t="shared" si="2"/>
        <v>0</v>
      </c>
      <c r="BG56" s="1370">
        <f t="shared" si="2"/>
        <v>0</v>
      </c>
      <c r="BH56" s="1441">
        <f t="shared" si="2"/>
        <v>0</v>
      </c>
      <c r="BI56" s="1370">
        <f t="shared" si="2"/>
        <v>0</v>
      </c>
      <c r="BJ56" s="1441">
        <f t="shared" si="2"/>
        <v>0</v>
      </c>
      <c r="BK56" s="1370">
        <f t="shared" si="2"/>
        <v>0</v>
      </c>
      <c r="BL56" s="1441">
        <f t="shared" si="2"/>
        <v>0</v>
      </c>
      <c r="BM56" s="1370">
        <f t="shared" si="2"/>
        <v>0</v>
      </c>
      <c r="BN56" s="1441">
        <f t="shared" si="2"/>
        <v>0</v>
      </c>
      <c r="BO56" s="1370">
        <f t="shared" si="2"/>
        <v>0</v>
      </c>
      <c r="BP56" s="1441">
        <f t="shared" si="2"/>
        <v>0</v>
      </c>
      <c r="BQ56" s="1370">
        <f t="shared" ref="BQ56:CD56" si="3">SUM(BQ33:BQ55)</f>
        <v>0</v>
      </c>
      <c r="BR56" s="1441">
        <f t="shared" si="3"/>
        <v>0</v>
      </c>
      <c r="BS56" s="1370">
        <f t="shared" si="3"/>
        <v>0</v>
      </c>
      <c r="BT56" s="1441">
        <f t="shared" si="3"/>
        <v>0</v>
      </c>
      <c r="BU56" s="1370">
        <f t="shared" si="3"/>
        <v>0</v>
      </c>
      <c r="BV56" s="1441">
        <f t="shared" si="3"/>
        <v>0</v>
      </c>
      <c r="BW56" s="1370">
        <f t="shared" si="3"/>
        <v>0</v>
      </c>
      <c r="BX56" s="1441">
        <f t="shared" si="3"/>
        <v>0</v>
      </c>
      <c r="BY56" s="1370">
        <f t="shared" si="3"/>
        <v>0</v>
      </c>
      <c r="BZ56" s="1441">
        <f t="shared" si="3"/>
        <v>0</v>
      </c>
      <c r="CA56" s="1370">
        <f t="shared" si="3"/>
        <v>0</v>
      </c>
      <c r="CB56" s="1441">
        <f t="shared" si="3"/>
        <v>0</v>
      </c>
      <c r="CC56" s="1370">
        <f t="shared" si="3"/>
        <v>0</v>
      </c>
      <c r="CD56" s="1442">
        <f t="shared" si="3"/>
        <v>0</v>
      </c>
    </row>
    <row r="57" spans="1:161">
      <c r="A57" s="423"/>
      <c r="B57" s="56"/>
      <c r="C57" s="423"/>
      <c r="D57" s="56"/>
      <c r="E57" s="423"/>
      <c r="F57" s="56"/>
      <c r="G57" s="423"/>
      <c r="H57" s="56"/>
      <c r="I57" s="423"/>
      <c r="J57" s="56"/>
      <c r="K57" s="423"/>
      <c r="L57" s="56"/>
      <c r="M57" s="423"/>
      <c r="N57" s="56"/>
      <c r="O57" s="423"/>
      <c r="P57" s="56"/>
      <c r="Q57" s="423"/>
      <c r="R57" s="56"/>
      <c r="S57" s="423"/>
      <c r="T57" s="56"/>
      <c r="U57" s="423"/>
      <c r="V57" s="56"/>
      <c r="W57" s="423"/>
      <c r="X57" s="56"/>
      <c r="Y57" s="423"/>
      <c r="Z57" s="56"/>
      <c r="AA57" s="423"/>
      <c r="AB57" s="56"/>
      <c r="AC57" s="423"/>
      <c r="AD57" s="56"/>
      <c r="AE57" s="423"/>
      <c r="AF57" s="56"/>
      <c r="AG57" s="423"/>
      <c r="AH57" s="56"/>
      <c r="AI57" s="423"/>
      <c r="AJ57" s="56"/>
      <c r="AK57" s="423"/>
      <c r="AL57" s="56"/>
      <c r="AM57" s="423"/>
      <c r="AN57" s="56"/>
      <c r="AO57" s="423"/>
      <c r="AP57" s="56"/>
      <c r="AQ57" s="423"/>
      <c r="AR57" s="56"/>
      <c r="AS57" s="423"/>
      <c r="AT57" s="56"/>
      <c r="AU57" s="423"/>
      <c r="AV57" s="56"/>
      <c r="AW57" s="423"/>
      <c r="AX57" s="56"/>
      <c r="AY57" s="423"/>
      <c r="AZ57" s="56"/>
      <c r="BA57" s="423"/>
      <c r="BB57" s="56"/>
      <c r="BC57" s="423"/>
      <c r="BD57" s="56"/>
      <c r="BE57" s="423"/>
      <c r="BF57" s="56"/>
      <c r="BG57" s="423"/>
      <c r="BH57" s="56"/>
      <c r="BI57" s="423"/>
      <c r="BJ57" s="56"/>
      <c r="BK57" s="423"/>
      <c r="BL57" s="56"/>
      <c r="BM57" s="423"/>
      <c r="BN57" s="56"/>
      <c r="BO57" s="423"/>
      <c r="BP57" s="56"/>
      <c r="BQ57" s="423"/>
      <c r="BR57" s="56"/>
      <c r="BS57" s="423"/>
      <c r="BT57" s="56"/>
      <c r="BU57" s="423"/>
      <c r="BV57" s="56"/>
      <c r="BW57" s="423"/>
      <c r="BX57" s="56"/>
      <c r="BY57" s="423"/>
      <c r="BZ57" s="56"/>
      <c r="CA57" s="423"/>
      <c r="CB57" s="56"/>
      <c r="CC57" s="423"/>
      <c r="CD57" s="56"/>
    </row>
    <row r="58" spans="1:161">
      <c r="A58" s="1486" t="s">
        <v>1480</v>
      </c>
      <c r="B58" s="58"/>
      <c r="C58" s="1431">
        <f>(C12*C11^2/2+C13*D14+C15*D16-C56-D56)/C11</f>
        <v>147.21313747238258</v>
      </c>
      <c r="D58" s="1471">
        <f>C12*C11+C13+C15-C58</f>
        <v>153.70696252761735</v>
      </c>
      <c r="E58" s="1378">
        <f>IF(E10="","",(E12*E11^2/2+E13*F14+E15*F16-E56-F56)/E11)</f>
        <v>153.70696252761738</v>
      </c>
      <c r="F58" s="1377">
        <f>IF(E10="","",E12*E11+E13+E15-E58)</f>
        <v>147.21313747238256</v>
      </c>
      <c r="G58" s="1378" t="str">
        <f>IF(G10="","",(G12*G11^2/2+G13*H14+G15*H16-G56-H56)/G11)</f>
        <v/>
      </c>
      <c r="H58" s="1377" t="str">
        <f>IF(G10="","",G12*G11+G13+G15-G58)</f>
        <v/>
      </c>
      <c r="I58" s="1378" t="str">
        <f>IF(I10="","",(I12*I11^2/2+I13*J14+I15*J16-I56-J56)/I11)</f>
        <v/>
      </c>
      <c r="J58" s="1377" t="str">
        <f>IF(I10="","",I12*I11+I13+I15-I58)</f>
        <v/>
      </c>
      <c r="K58" s="1378" t="str">
        <f>IF(K10="","",(K12*K11^2/2+K13*L14+K15*L16-K56-L56)/K11)</f>
        <v/>
      </c>
      <c r="L58" s="1377" t="str">
        <f>IF(K10="","",K12*K11+K13+K15-K58)</f>
        <v/>
      </c>
      <c r="M58" s="1378" t="str">
        <f>IF(M10="","",(M12*M11^2/2+M13*N14+M15*N16-M56-N56)/M11)</f>
        <v/>
      </c>
      <c r="N58" s="1377" t="str">
        <f>IF(M10="","",M12*M11+M13+M15-M58)</f>
        <v/>
      </c>
      <c r="O58" s="1378" t="str">
        <f>IF(O10="","",(O12*O11^2/2+O13*P14+O15*P16-O56-P56)/O11)</f>
        <v/>
      </c>
      <c r="P58" s="1377" t="str">
        <f>IF(O10="","",O12*O11+O13+O15-O58)</f>
        <v/>
      </c>
      <c r="Q58" s="1378" t="str">
        <f>IF(Q10="","",(Q12*Q11^2/2+Q13*R14+Q15*R16-Q56-R56)/Q11)</f>
        <v/>
      </c>
      <c r="R58" s="1377" t="str">
        <f>IF(Q10="","",Q12*Q11+Q13+Q15-Q58)</f>
        <v/>
      </c>
      <c r="S58" s="1378" t="str">
        <f>IF(S10="","",(S12*S11^2/2+S13*T14+S15*T16-S56-T56)/S11)</f>
        <v/>
      </c>
      <c r="T58" s="1377" t="str">
        <f>IF(S10="","",S12*S11+S13+S15-S58)</f>
        <v/>
      </c>
      <c r="U58" s="1378" t="str">
        <f>IF(U10="","",(U12*U11^2/2+U13*V14+U15*V16-U56-V56)/U11)</f>
        <v/>
      </c>
      <c r="V58" s="1377" t="str">
        <f>IF(U10="","",U12*U11+U13+U15-U58)</f>
        <v/>
      </c>
      <c r="W58" s="1378" t="str">
        <f>IF(W10="","",(W12*W11^2/2+W13*X14+W15*X16-W56-X56)/W11)</f>
        <v/>
      </c>
      <c r="X58" s="1377" t="str">
        <f>IF(W10="","",W12*W11+W13+W15-W58)</f>
        <v/>
      </c>
      <c r="Y58" s="1378" t="str">
        <f>IF(Y10="","",(Y12*Y11^2/2+Y13*Z14+Y15*Z16-Y56-Z56)/Y11)</f>
        <v/>
      </c>
      <c r="Z58" s="1377" t="str">
        <f>IF(Y10="","",Y12*Y11+Y13+Y15-Y58)</f>
        <v/>
      </c>
      <c r="AA58" s="1378" t="str">
        <f>IF(AA10="","",(AA12*AA11^2/2+AA13*AB14+AA15*AB16-AA56-AB56)/AA11)</f>
        <v/>
      </c>
      <c r="AB58" s="1377" t="str">
        <f>IF(AA10="","",AA12*AA11+AA13+AA15-AA58)</f>
        <v/>
      </c>
      <c r="AC58" s="1378" t="str">
        <f>IF(AC10="","",(AC12*AC11^2/2+AC13*AD14+AC15*AD16-AC56-AD56)/AC11)</f>
        <v/>
      </c>
      <c r="AD58" s="1377" t="str">
        <f>IF(AC10="","",AC12*AC11+AC13+AC15-AC58)</f>
        <v/>
      </c>
      <c r="AE58" s="1378" t="str">
        <f>IF(AE10="","",(AE12*AE11^2/2+AE13*AF14+AE15*AF16-AE56-AF56)/AE11)</f>
        <v/>
      </c>
      <c r="AF58" s="1377" t="str">
        <f>IF(AE10="","",AE12*AE11+AE13+AE15-AE58)</f>
        <v/>
      </c>
      <c r="AG58" s="1378" t="str">
        <f>IF(AG10="","",(AG12*AG11^2/2+AG13*AH14+AG15*AH16-AG56-AH56)/AG11)</f>
        <v/>
      </c>
      <c r="AH58" s="1377" t="str">
        <f>IF(AG10="","",AG12*AG11+AG13+AG15-AG58)</f>
        <v/>
      </c>
      <c r="AI58" s="1378" t="str">
        <f>IF(AI10="","",(AI12*AI11^2/2+AI13*AJ14+AI15*AJ16-AI56-AJ56)/AI11)</f>
        <v/>
      </c>
      <c r="AJ58" s="1377" t="str">
        <f>IF(AI10="","",AI12*AI11+AI13+AI15-AI58)</f>
        <v/>
      </c>
      <c r="AK58" s="1378" t="str">
        <f>IF(AK10="","",(AK12*AK11^2/2+AK13*AL14+AK15*AL16-AK56-AL56)/AK11)</f>
        <v/>
      </c>
      <c r="AL58" s="1377" t="str">
        <f>IF(AK10="","",AK12*AK11+AK13+AK15-AK58)</f>
        <v/>
      </c>
      <c r="AM58" s="1378" t="str">
        <f>IF(AM10="","",(AM12*AM11^2/2+AM13*AN14+AM15*AN16-AM56-AN56)/AM11)</f>
        <v/>
      </c>
      <c r="AN58" s="1377" t="str">
        <f>IF(AM10="","",AM12*AM11+AM13+AM15-AM58)</f>
        <v/>
      </c>
      <c r="AO58" s="1378" t="str">
        <f>IF(AO10="","",(AO12*AO11^2/2+AO13*AP14+AO15*AP16-AO56-AP56)/AO11)</f>
        <v/>
      </c>
      <c r="AP58" s="1377" t="str">
        <f>IF(AO10="","",AO12*AO11+AO13+AO15-AO58)</f>
        <v/>
      </c>
      <c r="AQ58" s="1378" t="str">
        <f>IF(AQ10="","",(AQ12*AQ11^2/2+AQ13*AR14+AQ15*AR16-AQ56-AR56)/AQ11)</f>
        <v/>
      </c>
      <c r="AR58" s="1377" t="str">
        <f>IF(AQ10="","",AQ12*AQ11+AQ13+AQ15-AQ58)</f>
        <v/>
      </c>
      <c r="AS58" s="1378" t="str">
        <f>IF(AS10="","",(AS12*AS11^2/2+AS13*AT14+AS15*AT16-AS56-AT56)/AS11)</f>
        <v/>
      </c>
      <c r="AT58" s="1377" t="str">
        <f>IF(AS10="","",AS12*AS11+AS13+AS15-AS58)</f>
        <v/>
      </c>
      <c r="AU58" s="1378" t="str">
        <f>IF(AU10="","",(AU12*AU11^2/2+AU13*AV14+AU15*AV16-AU56-AV56)/AU11)</f>
        <v/>
      </c>
      <c r="AV58" s="1377" t="str">
        <f>IF(AU10="","",AU12*AU11+AU13+AU15-AU58)</f>
        <v/>
      </c>
      <c r="AW58" s="1378" t="str">
        <f>IF(AW10="","",(AW12*AW11^2/2+AW13*AX14+AW15*AX16-AW56-AX56)/AW11)</f>
        <v/>
      </c>
      <c r="AX58" s="1377" t="str">
        <f>IF(AW10="","",AW12*AW11+AW13+AW15-AW58)</f>
        <v/>
      </c>
      <c r="AY58" s="1378" t="str">
        <f>IF(AY10="","",(AY12*AY11^2/2+AY13*AZ14+AY15*AZ16-AY56-AZ56)/AY11)</f>
        <v/>
      </c>
      <c r="AZ58" s="1377" t="str">
        <f>IF(AY10="","",AY12*AY11+AY13+AY15-AY58)</f>
        <v/>
      </c>
      <c r="BA58" s="1378" t="str">
        <f>IF(BA10="","",(BA12*BA11^2/2+BA13*BB14+BA15*BB16-BA56-BB56)/BA11)</f>
        <v/>
      </c>
      <c r="BB58" s="1377" t="str">
        <f>IF(BA10="","",BA12*BA11+BA13+BA15-BA58)</f>
        <v/>
      </c>
      <c r="BC58" s="1378" t="str">
        <f>IF(BC10="","",(BC12*BC11^2/2+BC13*BD14+BC15*BD16-BC56-BD56)/BC11)</f>
        <v/>
      </c>
      <c r="BD58" s="1377" t="str">
        <f>IF(BC10="","",BC12*BC11+BC13+BC15-BC58)</f>
        <v/>
      </c>
      <c r="BE58" s="1378" t="str">
        <f>IF(BE10="","",(BE12*BE11^2/2+BE13*BF14+BE15*BF16-BE56-BF56)/BE11)</f>
        <v/>
      </c>
      <c r="BF58" s="1377" t="str">
        <f>IF(BE10="","",BE12*BE11+BE13+BE15-BE58)</f>
        <v/>
      </c>
      <c r="BG58" s="1378" t="str">
        <f>IF(BG10="","",(BG12*BG11^2/2+BG13*BH14+BG15*BH16-BG56-BH56)/BG11)</f>
        <v/>
      </c>
      <c r="BH58" s="1377" t="str">
        <f>IF(BG10="","",BG12*BG11+BG13+BG15-BG58)</f>
        <v/>
      </c>
      <c r="BI58" s="1378" t="str">
        <f>IF(BI10="","",(BI12*BI11^2/2+BI13*BJ14+BI15*BJ16-BI56-BJ56)/BI11)</f>
        <v/>
      </c>
      <c r="BJ58" s="1377" t="str">
        <f>IF(BI10="","",BI12*BI11+BI13+BI15-BI58)</f>
        <v/>
      </c>
      <c r="BK58" s="1378" t="str">
        <f>IF(BK10="","",(BK12*BK11^2/2+BK13*BL14+BK15*BL16-BK56-BL56)/BK11)</f>
        <v/>
      </c>
      <c r="BL58" s="1377" t="str">
        <f>IF(BK10="","",BK12*BK11+BK13+BK15-BK58)</f>
        <v/>
      </c>
      <c r="BM58" s="1378" t="str">
        <f>IF(BM10="","",(BM12*BM11^2/2+BM13*BN14+BM15*BN16-BM56-BN56)/BM11)</f>
        <v/>
      </c>
      <c r="BN58" s="1377" t="str">
        <f>IF(BM10="","",BM12*BM11+BM13+BM15-BM58)</f>
        <v/>
      </c>
      <c r="BO58" s="1378" t="str">
        <f>IF(BO10="","",(BO12*BO11^2/2+BO13*BP14+BO15*BP16-BO56-BP56)/BO11)</f>
        <v/>
      </c>
      <c r="BP58" s="1377" t="str">
        <f>IF(BO10="","",BO12*BO11+BO13+BO15-BO58)</f>
        <v/>
      </c>
      <c r="BQ58" s="1378" t="str">
        <f>IF(BQ10="","",(BQ12*BQ11^2/2+BQ13*BR14+BQ15*BR16-BQ56-BR56)/BQ11)</f>
        <v/>
      </c>
      <c r="BR58" s="1377" t="str">
        <f>IF(BQ10="","",BQ12*BQ11+BQ13+BQ15-BQ58)</f>
        <v/>
      </c>
      <c r="BS58" s="1378" t="str">
        <f>IF(BS10="","",(BS12*BS11^2/2+BS13*BT14+BS15*BT16-BS56-BT56)/BS11)</f>
        <v/>
      </c>
      <c r="BT58" s="1377" t="str">
        <f>IF(BS10="","",BS12*BS11+BS13+BS15-BS58)</f>
        <v/>
      </c>
      <c r="BU58" s="1378" t="str">
        <f>IF(BU10="","",(BU12*BU11^2/2+BU13*BV14+BU15*BV16-BU56-BV56)/BU11)</f>
        <v/>
      </c>
      <c r="BV58" s="1377" t="str">
        <f>IF(BU10="","",BU12*BU11+BU13+BU15-BU58)</f>
        <v/>
      </c>
      <c r="BW58" s="1378" t="str">
        <f>IF(BW10="","",(BW12*BW11^2/2+BW13*BX14+BW15*BX16-BW56-BX56)/BW11)</f>
        <v/>
      </c>
      <c r="BX58" s="1377" t="str">
        <f>IF(BW10="","",BW12*BW11+BW13+BW15-BW58)</f>
        <v/>
      </c>
      <c r="BY58" s="1378" t="str">
        <f>IF(BY10="","",(BY12*BY11^2/2+BY13*BZ14+BY15*BZ16-BY56-BZ56)/BY11)</f>
        <v/>
      </c>
      <c r="BZ58" s="1377" t="str">
        <f>IF(BY10="","",BY12*BY11+BY13+BY15-BY58)</f>
        <v/>
      </c>
      <c r="CA58" s="1378" t="str">
        <f>IF(CA10="","",(CA12*CA11^2/2+CA13*CB14+CA15*CB16-CA56-CB56)/CA11)</f>
        <v/>
      </c>
      <c r="CB58" s="1377" t="str">
        <f>IF(CA10="","",CA12*CA11+CA13+CA15-CA58)</f>
        <v/>
      </c>
      <c r="CC58" s="1378" t="str">
        <f>IF(CC10="","",(CC12*CC11^2/2+CC13*CD14+CC15*CD16-CC56-CD56)/CC11)</f>
        <v/>
      </c>
      <c r="CD58" s="1377" t="str">
        <f>IF(CC10="","",CC12*CC11+CC13+CC15-CC58)</f>
        <v/>
      </c>
    </row>
    <row r="59" spans="1:161">
      <c r="A59" s="1380" t="s">
        <v>1436</v>
      </c>
      <c r="B59" s="60"/>
      <c r="C59" s="3178">
        <f>C58*C11/2-C12*C11^2/8-IF(C14&lt;C11/2,C13*(C11/2-C14),0)-IF(C16&lt;C11/2,C15*(C11/2-C16),0)+C56</f>
        <v>30.409813291951714</v>
      </c>
      <c r="D59" s="3179"/>
      <c r="E59" s="3178">
        <f>IF(E10="","",E58*E11/2-E12*E11^2/8-IF(E14&lt;E11/2,E13*(E11/2-E14),0)-IF(E16&lt;E11/2,E15*(E11/2-E16),0)+E56)</f>
        <v>30.409813291951743</v>
      </c>
      <c r="F59" s="3179"/>
      <c r="G59" s="3178" t="str">
        <f>IF(G10="","",G58*G11/2-G12*G11^2/8-IF(G14&lt;G11/2,G13*(G11/2-G14),0)-IF(G16&lt;G11/2,G15*(G11/2-G16),0)+G56)</f>
        <v/>
      </c>
      <c r="H59" s="3179"/>
      <c r="I59" s="3178" t="str">
        <f>IF(I10="","",I58*I11/2-I12*I11^2/8-IF(I14&lt;I11/2,I13*(I11/2-I14),0)-IF(I16&lt;I11/2,I15*(I11/2-I16),0)+I56)</f>
        <v/>
      </c>
      <c r="J59" s="3179"/>
      <c r="K59" s="3178" t="str">
        <f>IF(K10="","",K58*K11/2-K12*K11^2/8-IF(K14&lt;K11/2,K13*(K11/2-K14),0)-IF(K16&lt;K11/2,K15*(K11/2-K16),0)+K56)</f>
        <v/>
      </c>
      <c r="L59" s="3179"/>
      <c r="M59" s="3178" t="str">
        <f>IF(M10="","",M58*M11/2-M12*M11^2/8-IF(M14&lt;M11/2,M13*(M11/2-M14),0)-IF(M16&lt;M11/2,M15*(M11/2-M16),0)+M56)</f>
        <v/>
      </c>
      <c r="N59" s="3179"/>
      <c r="O59" s="3178" t="str">
        <f>IF(O10="","",O58*O11/2-O12*O11^2/8-IF(O14&lt;O11/2,O13*(O11/2-O14),0)-IF(O16&lt;O11/2,O15*(O11/2-O16),0)+O56)</f>
        <v/>
      </c>
      <c r="P59" s="3179"/>
      <c r="Q59" s="3178" t="str">
        <f>IF(Q10="","",Q58*Q11/2-Q12*Q11^2/8-IF(Q14&lt;Q11/2,Q13*(Q11/2-Q14),0)-IF(Q16&lt;Q11/2,Q15*(Q11/2-Q16),0)+Q56)</f>
        <v/>
      </c>
      <c r="R59" s="3179"/>
      <c r="S59" s="3178" t="str">
        <f>IF(S10="","",S58*S11/2-S12*S11^2/8-IF(S14&lt;S11/2,S13*(S11/2-S14),0)-IF(S16&lt;S11/2,S15*(S11/2-S16),0)+S56)</f>
        <v/>
      </c>
      <c r="T59" s="3179"/>
      <c r="U59" s="3178" t="str">
        <f>IF(U10="","",U58*U11/2-U12*U11^2/8-IF(U14&lt;U11/2,U13*(U11/2-U14),0)-IF(U16&lt;U11/2,U15*(U11/2-U16),0)+U56)</f>
        <v/>
      </c>
      <c r="V59" s="3179"/>
      <c r="W59" s="3178" t="str">
        <f>IF(W10="","",W58*W11/2-W12*W11^2/8-IF(W14&lt;W11/2,W13*(W11/2-W14),0)-IF(W16&lt;W11/2,W15*(W11/2-W16),0)+W56)</f>
        <v/>
      </c>
      <c r="X59" s="3179"/>
      <c r="Y59" s="3178" t="str">
        <f>IF(Y10="","",Y58*Y11/2-Y12*Y11^2/8-IF(Y14&lt;Y11/2,Y13*(Y11/2-Y14),0)-IF(Y16&lt;Y11/2,Y15*(Y11/2-Y16),0)+Y56)</f>
        <v/>
      </c>
      <c r="Z59" s="3179"/>
      <c r="AA59" s="3178" t="str">
        <f>IF(AA10="","",AA58*AA11/2-AA12*AA11^2/8-IF(AA14&lt;AA11/2,AA13*(AA11/2-AA14),0)-IF(AA16&lt;AA11/2,AA15*(AA11/2-AA16),0)+AA56)</f>
        <v/>
      </c>
      <c r="AB59" s="3179"/>
      <c r="AC59" s="3178" t="str">
        <f>IF(AC10="","",AC58*AC11/2-AC12*AC11^2/8-IF(AC14&lt;AC11/2,AC13*(AC11/2-AC14),0)-IF(AC16&lt;AC11/2,AC15*(AC11/2-AC16),0)+AC56)</f>
        <v/>
      </c>
      <c r="AD59" s="3179"/>
      <c r="AE59" s="3178" t="str">
        <f>IF(AE10="","",AE58*AE11/2-AE12*AE11^2/8-IF(AE14&lt;AE11/2,AE13*(AE11/2-AE14),0)-IF(AE16&lt;AE11/2,AE15*(AE11/2-AE16),0)+AE56)</f>
        <v/>
      </c>
      <c r="AF59" s="3179"/>
      <c r="AG59" s="3178" t="str">
        <f>IF(AG10="","",AG58*AG11/2-AG12*AG11^2/8-IF(AG14&lt;AG11/2,AG13*(AG11/2-AG14),0)-IF(AG16&lt;AG11/2,AG15*(AG11/2-AG16),0)+AG56)</f>
        <v/>
      </c>
      <c r="AH59" s="3179"/>
      <c r="AI59" s="3178" t="str">
        <f>IF(AI10="","",AI58*AI11/2-AI12*AI11^2/8-IF(AI14&lt;AI11/2,AI13*(AI11/2-AI14),0)-IF(AI16&lt;AI11/2,AI15*(AI11/2-AI16),0)+AI56)</f>
        <v/>
      </c>
      <c r="AJ59" s="3179"/>
      <c r="AK59" s="3178" t="str">
        <f>IF(AK10="","",AK58*AK11/2-AK12*AK11^2/8-IF(AK14&lt;AK11/2,AK13*(AK11/2-AK14),0)-IF(AK16&lt;AK11/2,AK15*(AK11/2-AK16),0)+AK56)</f>
        <v/>
      </c>
      <c r="AL59" s="3179"/>
      <c r="AM59" s="3178" t="str">
        <f>IF(AM10="","",AM58*AM11/2-AM12*AM11^2/8-IF(AM14&lt;AM11/2,AM13*(AM11/2-AM14),0)-IF(AM16&lt;AM11/2,AM15*(AM11/2-AM16),0)+AM56)</f>
        <v/>
      </c>
      <c r="AN59" s="3179"/>
      <c r="AO59" s="3178" t="str">
        <f>IF(AO10="","",AO58*AO11/2-AO12*AO11^2/8-IF(AO14&lt;AO11/2,AO13*(AO11/2-AO14),0)-IF(AO16&lt;AO11/2,AO15*(AO11/2-AO16),0)+AO56)</f>
        <v/>
      </c>
      <c r="AP59" s="3179"/>
      <c r="AQ59" s="3178" t="str">
        <f>IF(AQ10="","",AQ58*AQ11/2-AQ12*AQ11^2/8-IF(AQ14&lt;AQ11/2,AQ13*(AQ11/2-AQ14),0)-IF(AQ16&lt;AQ11/2,AQ15*(AQ11/2-AQ16),0)+AQ56)</f>
        <v/>
      </c>
      <c r="AR59" s="3179"/>
      <c r="AS59" s="3178" t="str">
        <f>IF(AS10="","",AS58*AS11/2-AS12*AS11^2/8-IF(AS14&lt;AS11/2,AS13*(AS11/2-AS14),0)-IF(AS16&lt;AS11/2,AS15*(AS11/2-AS16),0)+AS56)</f>
        <v/>
      </c>
      <c r="AT59" s="3179"/>
      <c r="AU59" s="3178" t="str">
        <f>IF(AU10="","",AU58*AU11/2-AU12*AU11^2/8-IF(AU14&lt;AU11/2,AU13*(AU11/2-AU14),0)-IF(AU16&lt;AU11/2,AU15*(AU11/2-AU16),0)+AU56)</f>
        <v/>
      </c>
      <c r="AV59" s="3179"/>
      <c r="AW59" s="3178" t="str">
        <f>IF(AW10="","",AW58*AW11/2-AW12*AW11^2/8-IF(AW14&lt;AW11/2,AW13*(AW11/2-AW14),0)-IF(AW16&lt;AW11/2,AW15*(AW11/2-AW16),0)+AW56)</f>
        <v/>
      </c>
      <c r="AX59" s="3179"/>
      <c r="AY59" s="3178" t="str">
        <f>IF(AY10="","",AY58*AY11/2-AY12*AY11^2/8-IF(AY14&lt;AY11/2,AY13*(AY11/2-AY14),0)-IF(AY16&lt;AY11/2,AY15*(AY11/2-AY16),0)+AY56)</f>
        <v/>
      </c>
      <c r="AZ59" s="3179"/>
      <c r="BA59" s="3178" t="str">
        <f>IF(BA10="","",BA58*BA11/2-BA12*BA11^2/8-IF(BA14&lt;BA11/2,BA13*(BA11/2-BA14),0)-IF(BA16&lt;BA11/2,BA15*(BA11/2-BA16),0)+BA56)</f>
        <v/>
      </c>
      <c r="BB59" s="3179"/>
      <c r="BC59" s="3178" t="str">
        <f>IF(BC10="","",BC58*BC11/2-BC12*BC11^2/8-IF(BC14&lt;BC11/2,BC13*(BC11/2-BC14),0)-IF(BC16&lt;BC11/2,BC15*(BC11/2-BC16),0)+BC56)</f>
        <v/>
      </c>
      <c r="BD59" s="3179"/>
      <c r="BE59" s="3178" t="str">
        <f>IF(BE10="","",BE58*BE11/2-BE12*BE11^2/8-IF(BE14&lt;BE11/2,BE13*(BE11/2-BE14),0)-IF(BE16&lt;BE11/2,BE15*(BE11/2-BE16),0)+BE56)</f>
        <v/>
      </c>
      <c r="BF59" s="3179"/>
      <c r="BG59" s="3178" t="str">
        <f>IF(BG10="","",BG58*BG11/2-BG12*BG11^2/8-IF(BG14&lt;BG11/2,BG13*(BG11/2-BG14),0)-IF(BG16&lt;BG11/2,BG15*(BG11/2-BG16),0)+BG56)</f>
        <v/>
      </c>
      <c r="BH59" s="3179"/>
      <c r="BI59" s="3178" t="str">
        <f>IF(BI10="","",BI58*BI11/2-BI12*BI11^2/8-IF(BI14&lt;BI11/2,BI13*(BI11/2-BI14),0)-IF(BI16&lt;BI11/2,BI15*(BI11/2-BI16),0)+BI56)</f>
        <v/>
      </c>
      <c r="BJ59" s="3179"/>
      <c r="BK59" s="3178" t="str">
        <f>IF(BK10="","",BK58*BK11/2-BK12*BK11^2/8-IF(BK14&lt;BK11/2,BK13*(BK11/2-BK14),0)-IF(BK16&lt;BK11/2,BK15*(BK11/2-BK16),0)+BK56)</f>
        <v/>
      </c>
      <c r="BL59" s="3179"/>
      <c r="BM59" s="3178" t="str">
        <f>IF(BM10="","",BM58*BM11/2-BM12*BM11^2/8-IF(BM14&lt;BM11/2,BM13*(BM11/2-BM14),0)-IF(BM16&lt;BM11/2,BM15*(BM11/2-BM16),0)+BM56)</f>
        <v/>
      </c>
      <c r="BN59" s="3179"/>
      <c r="BO59" s="3178" t="str">
        <f>IF(BO10="","",BO58*BO11/2-BO12*BO11^2/8-IF(BO14&lt;BO11/2,BO13*(BO11/2-BO14),0)-IF(BO16&lt;BO11/2,BO15*(BO11/2-BO16),0)+BO56)</f>
        <v/>
      </c>
      <c r="BP59" s="3179"/>
      <c r="BQ59" s="3178" t="str">
        <f>IF(BQ10="","",BQ58*BQ11/2-BQ12*BQ11^2/8-IF(BQ14&lt;BQ11/2,BQ13*(BQ11/2-BQ14),0)-IF(BQ16&lt;BQ11/2,BQ15*(BQ11/2-BQ16),0)+BQ56)</f>
        <v/>
      </c>
      <c r="BR59" s="3179"/>
      <c r="BS59" s="3178" t="str">
        <f>IF(BS10="","",BS58*BS11/2-BS12*BS11^2/8-IF(BS14&lt;BS11/2,BS13*(BS11/2-BS14),0)-IF(BS16&lt;BS11/2,BS15*(BS11/2-BS16),0)+BS56)</f>
        <v/>
      </c>
      <c r="BT59" s="3179"/>
      <c r="BU59" s="3178" t="str">
        <f>IF(BU10="","",BU58*BU11/2-BU12*BU11^2/8-IF(BU14&lt;BU11/2,BU13*(BU11/2-BU14),0)-IF(BU16&lt;BU11/2,BU15*(BU11/2-BU16),0)+BU56)</f>
        <v/>
      </c>
      <c r="BV59" s="3179"/>
      <c r="BW59" s="3178" t="str">
        <f>IF(BW10="","",BW58*BW11/2-BW12*BW11^2/8-IF(BW14&lt;BW11/2,BW13*(BW11/2-BW14),0)-IF(BW16&lt;BW11/2,BW15*(BW11/2-BW16),0)+BW56)</f>
        <v/>
      </c>
      <c r="BX59" s="3179"/>
      <c r="BY59" s="3178" t="str">
        <f>IF(BY10="","",BY58*BY11/2-BY12*BY11^2/8-IF(BY14&lt;BY11/2,BY13*(BY11/2-BY14),0)-IF(BY16&lt;BY11/2,BY15*(BY11/2-BY16),0)+BY56)</f>
        <v/>
      </c>
      <c r="BZ59" s="3179"/>
      <c r="CA59" s="3178" t="str">
        <f>IF(CA10="","",CA58*CA11/2-CA12*CA11^2/8-IF(CA14&lt;CA11/2,CA13*(CA11/2-CA14),0)-IF(CA16&lt;CA11/2,CA15*(CA11/2-CA16),0)+CA56)</f>
        <v/>
      </c>
      <c r="CB59" s="3179"/>
      <c r="CC59" s="3178" t="str">
        <f>IF(CC10="","",CC58*CC11/2-CC12*CC11^2/8-IF(CC14&lt;CC11/2,CC13*(CC11/2-CC14),0)-IF(CC16&lt;CC11/2,CC15*(CC11/2-CC16),0)+CC56)</f>
        <v/>
      </c>
      <c r="CD59" s="3179"/>
    </row>
    <row r="60" spans="1:161">
      <c r="A60" s="241" t="s">
        <v>1437</v>
      </c>
      <c r="B60" s="16"/>
      <c r="C60" s="3180">
        <f>D58*C11/2-C12*C11^2/8-C15*(C11/2-D16)-D56</f>
        <v>30.409813291951714</v>
      </c>
      <c r="D60" s="3180"/>
      <c r="E60" s="3177">
        <f>F58*E11/2-E12*E11^2/8-E15*(E11/2-F16)-F56</f>
        <v>30.409813291951686</v>
      </c>
      <c r="F60" s="3177"/>
      <c r="G60" s="3177" t="e">
        <f>H58*G11/2-G12*G11^2/8-G15*(G11/2-H16)-H56</f>
        <v>#VALUE!</v>
      </c>
      <c r="H60" s="3177"/>
      <c r="I60" s="3177" t="e">
        <f>J58*I11/2-I12*I11^2/8-I15*(I11/2-J16)-J56</f>
        <v>#VALUE!</v>
      </c>
      <c r="J60" s="3177"/>
      <c r="K60" s="3177" t="e">
        <f>L58*K11/2-K12*K11^2/8-K15*(K11/2-L16)-L56</f>
        <v>#VALUE!</v>
      </c>
      <c r="L60" s="3177"/>
      <c r="M60" s="3177" t="e">
        <f>N58*M11/2-M12*M11^2/8-M15*(M11/2-N16)-N56</f>
        <v>#VALUE!</v>
      </c>
      <c r="N60" s="3177"/>
      <c r="O60" s="3177" t="e">
        <f>P58*O11/2-O12*O11^2/8-O15*(O11/2-P16)-P56</f>
        <v>#VALUE!</v>
      </c>
      <c r="P60" s="3177"/>
      <c r="Q60" s="3177" t="e">
        <f>R58*Q11/2-Q12*Q11^2/8-Q15*(Q11/2-R16)-R56</f>
        <v>#VALUE!</v>
      </c>
      <c r="R60" s="3177"/>
      <c r="S60" s="3177" t="e">
        <f>T58*S11/2-S12*S11^2/8-S15*(S11/2-T16)-T56</f>
        <v>#VALUE!</v>
      </c>
      <c r="T60" s="3177"/>
      <c r="U60" s="3177" t="e">
        <f>V58*U11/2-U12*U11^2/8-U15*(U11/2-V16)-V56</f>
        <v>#VALUE!</v>
      </c>
      <c r="V60" s="3177"/>
      <c r="W60" s="3177" t="e">
        <f>X58*W11/2-W12*W11^2/8-W15*(W11/2-X16)-X56</f>
        <v>#VALUE!</v>
      </c>
      <c r="X60" s="3177"/>
      <c r="Y60" s="3177" t="e">
        <f>Z58*Y11/2-Y12*Y11^2/8-Y15*(Y11/2-Z16)-Z56</f>
        <v>#VALUE!</v>
      </c>
      <c r="Z60" s="3177"/>
      <c r="AA60" s="3177" t="e">
        <f>AB58*AA11/2-AA12*AA11^2/8-AA15*(AA11/2-AB16)-AB56</f>
        <v>#VALUE!</v>
      </c>
      <c r="AB60" s="3177"/>
      <c r="AC60" s="3177" t="e">
        <f>AD58*AC11/2-AC12*AC11^2/8-AC15*(AC11/2-AD16)-AD56</f>
        <v>#VALUE!</v>
      </c>
      <c r="AD60" s="3177"/>
      <c r="AE60" s="3177" t="e">
        <f>AF58*AE11/2-AE12*AE11^2/8-AE15*(AE11/2-AF16)-AF56</f>
        <v>#VALUE!</v>
      </c>
      <c r="AF60" s="3177"/>
      <c r="AG60" s="3177" t="e">
        <f>AH58*AG11/2-AG12*AG11^2/8-AG15*(AG11/2-AH16)-AH56</f>
        <v>#VALUE!</v>
      </c>
      <c r="AH60" s="3177"/>
      <c r="AI60" s="3177" t="e">
        <f>AJ58*AI11/2-AI12*AI11^2/8-AI15*(AI11/2-AJ16)-AJ56</f>
        <v>#VALUE!</v>
      </c>
      <c r="AJ60" s="3177"/>
      <c r="AK60" s="3177" t="e">
        <f>AL58*AK11/2-AK12*AK11^2/8-AK15*(AK11/2-AL16)-AL56</f>
        <v>#VALUE!</v>
      </c>
      <c r="AL60" s="3177"/>
      <c r="AM60" s="3177" t="e">
        <f>AN58*AM11/2-AM12*AM11^2/8-AM15*(AM11/2-AN16)-AN56</f>
        <v>#VALUE!</v>
      </c>
      <c r="AN60" s="3177"/>
      <c r="AO60" s="3177" t="e">
        <f>AP58*AO11/2-AO12*AO11^2/8-AO15*(AO11/2-AP16)-AP56</f>
        <v>#VALUE!</v>
      </c>
      <c r="AP60" s="3177"/>
      <c r="AQ60" s="3177" t="e">
        <f>AR58*AQ11/2-AQ12*AQ11^2/8-AQ15*(AQ11/2-AR16)-AR56</f>
        <v>#VALUE!</v>
      </c>
      <c r="AR60" s="3177"/>
      <c r="AS60" s="3177" t="e">
        <f>AT58*AS11/2-AS12*AS11^2/8-AS15*(AS11/2-AT16)-AT56</f>
        <v>#VALUE!</v>
      </c>
      <c r="AT60" s="3177"/>
      <c r="AU60" s="3177" t="e">
        <f>AV58*AU11/2-AU12*AU11^2/8-AU15*(AU11/2-AV16)-AV56</f>
        <v>#VALUE!</v>
      </c>
      <c r="AV60" s="3177"/>
      <c r="AW60" s="3177" t="e">
        <f>AX58*AW11/2-AW12*AW11^2/8-AW15*(AW11/2-AX16)-AX56</f>
        <v>#VALUE!</v>
      </c>
      <c r="AX60" s="3177"/>
      <c r="AY60" s="3177" t="e">
        <f>AZ58*AY11/2-AY12*AY11^2/8-AY15*(AY11/2-AZ16)-AZ56</f>
        <v>#VALUE!</v>
      </c>
      <c r="AZ60" s="3177"/>
      <c r="BA60" s="3177" t="e">
        <f>BB58*BA11/2-BA12*BA11^2/8-BA15*(BA11/2-BB16)-BB56</f>
        <v>#VALUE!</v>
      </c>
      <c r="BB60" s="3177"/>
      <c r="BC60" s="3177" t="e">
        <f>BD58*BC11/2-BC12*BC11^2/8-BC15*(BC11/2-BD16)-BD56</f>
        <v>#VALUE!</v>
      </c>
      <c r="BD60" s="3177"/>
      <c r="BE60" s="3177" t="e">
        <f>BF58*BE11/2-BE12*BE11^2/8-BE15*(BE11/2-BF16)-BF56</f>
        <v>#VALUE!</v>
      </c>
      <c r="BF60" s="3177"/>
      <c r="BG60" s="3177" t="e">
        <f>BH58*BG11/2-BG12*BG11^2/8-BG15*(BG11/2-BH16)-BH56</f>
        <v>#VALUE!</v>
      </c>
      <c r="BH60" s="3177"/>
      <c r="BI60" s="3177" t="e">
        <f>BJ58*BI11/2-BI12*BI11^2/8-BI15*(BI11/2-BJ16)-BJ56</f>
        <v>#VALUE!</v>
      </c>
      <c r="BJ60" s="3177"/>
      <c r="BK60" s="3177" t="e">
        <f>BL58*BK11/2-BK12*BK11^2/8-BK15*(BK11/2-BL16)-BL56</f>
        <v>#VALUE!</v>
      </c>
      <c r="BL60" s="3177"/>
      <c r="BM60" s="3177" t="e">
        <f>BN58*BM11/2-BM12*BM11^2/8-BM15*(BM11/2-BN16)-BN56</f>
        <v>#VALUE!</v>
      </c>
      <c r="BN60" s="3177"/>
      <c r="BO60" s="3177" t="e">
        <f>BP58*BO11/2-BO12*BO11^2/8-BO15*(BO11/2-BP16)-BP56</f>
        <v>#VALUE!</v>
      </c>
      <c r="BP60" s="3177"/>
      <c r="BQ60" s="3177" t="e">
        <f>BR58*BQ11/2-BQ12*BQ11^2/8-BQ15*(BQ11/2-BR16)-BR56</f>
        <v>#VALUE!</v>
      </c>
      <c r="BR60" s="3177"/>
      <c r="BS60" s="3177" t="e">
        <f>BT58*BS11/2-BS12*BS11^2/8-BS15*(BS11/2-BT16)-BT56</f>
        <v>#VALUE!</v>
      </c>
      <c r="BT60" s="3177"/>
      <c r="BU60" s="3177" t="e">
        <f>BV58*BU11/2-BU12*BU11^2/8-BU15*(BU11/2-BV16)-BV56</f>
        <v>#VALUE!</v>
      </c>
      <c r="BV60" s="3177"/>
      <c r="BW60" s="3177" t="e">
        <f>BX58*BW11/2-BW12*BW11^2/8-BW15*(BW11/2-BX16)-BX56</f>
        <v>#VALUE!</v>
      </c>
      <c r="BX60" s="3177"/>
      <c r="BY60" s="3177" t="e">
        <f>BZ58*BY11/2-BY12*BY11^2/8-BY15*(BY11/2-BZ16)-BZ56</f>
        <v>#VALUE!</v>
      </c>
      <c r="BZ60" s="3177"/>
      <c r="CA60" s="3177" t="e">
        <f>CB58*CA11/2-CA12*CA11^2/8-CA15*(CA11/2-CB16)-CB56</f>
        <v>#VALUE!</v>
      </c>
      <c r="CB60" s="3177"/>
      <c r="CC60" s="3177" t="e">
        <f>CD58*CC11/2-CC12*CC11^2/8-CC15*(CC11/2-CD16)-CD56</f>
        <v>#VALUE!</v>
      </c>
      <c r="CD60" s="3177"/>
    </row>
    <row r="62" spans="1:161">
      <c r="A62" s="709" t="s">
        <v>1492</v>
      </c>
      <c r="B62" s="709"/>
      <c r="C62" s="709"/>
      <c r="H62" s="115"/>
      <c r="I62" s="85"/>
    </row>
    <row r="63" spans="1:161">
      <c r="B63" s="2" t="s">
        <v>1463</v>
      </c>
      <c r="C63" s="1401">
        <v>1</v>
      </c>
      <c r="D63" s="1401"/>
      <c r="E63" s="1401">
        <v>2</v>
      </c>
      <c r="F63" s="1401"/>
      <c r="G63" s="1401">
        <v>3</v>
      </c>
      <c r="H63" s="1401"/>
      <c r="I63" s="1401">
        <v>4</v>
      </c>
      <c r="J63" s="848"/>
      <c r="K63" s="1401">
        <v>5</v>
      </c>
      <c r="L63" s="1401"/>
      <c r="M63" s="1401">
        <v>6</v>
      </c>
      <c r="N63" s="1401"/>
      <c r="O63" s="1401">
        <v>7</v>
      </c>
      <c r="P63" s="1401"/>
      <c r="Q63" s="1401">
        <v>8</v>
      </c>
      <c r="R63" s="1401"/>
      <c r="S63" s="1401">
        <v>9</v>
      </c>
      <c r="T63" s="848"/>
      <c r="U63" s="1401">
        <v>10</v>
      </c>
      <c r="V63" s="1401"/>
      <c r="W63" s="1401">
        <v>11</v>
      </c>
      <c r="X63" s="1401"/>
      <c r="Y63" s="1401">
        <v>12</v>
      </c>
      <c r="Z63" s="1401"/>
      <c r="AA63" s="1401">
        <v>13</v>
      </c>
      <c r="AB63" s="1401"/>
      <c r="AC63" s="1401">
        <v>14</v>
      </c>
      <c r="AD63" s="1401"/>
      <c r="AE63" s="1401">
        <v>15</v>
      </c>
      <c r="AF63" s="1401"/>
      <c r="AG63" s="1401">
        <v>16</v>
      </c>
      <c r="AH63" s="1401"/>
      <c r="AI63" s="1401">
        <v>17</v>
      </c>
      <c r="AJ63" s="1401"/>
      <c r="AK63" s="1401">
        <v>18</v>
      </c>
      <c r="AL63" s="1401"/>
      <c r="AM63" s="1401">
        <v>19</v>
      </c>
      <c r="AN63" s="1401"/>
      <c r="AO63" s="1401">
        <v>20</v>
      </c>
      <c r="AP63" s="1401"/>
      <c r="AQ63" s="1401">
        <v>21</v>
      </c>
      <c r="AR63" s="1401"/>
      <c r="AS63" s="1401">
        <v>22</v>
      </c>
      <c r="AT63" s="1401"/>
      <c r="AU63" s="1401">
        <v>23</v>
      </c>
      <c r="AV63" s="1401"/>
      <c r="AW63" s="1401">
        <v>24</v>
      </c>
      <c r="AX63" s="1401"/>
      <c r="AY63" s="1401">
        <v>25</v>
      </c>
      <c r="AZ63" s="1401"/>
      <c r="BA63" s="1401">
        <v>26</v>
      </c>
      <c r="BB63" s="1401"/>
      <c r="BC63" s="1401">
        <v>27</v>
      </c>
      <c r="BD63" s="1401"/>
      <c r="BE63" s="1401">
        <v>28</v>
      </c>
      <c r="BF63" s="1401"/>
      <c r="BG63" s="1401">
        <v>29</v>
      </c>
      <c r="BH63" s="1401"/>
      <c r="BI63" s="1401">
        <v>30</v>
      </c>
      <c r="BJ63" s="1401"/>
      <c r="BK63" s="1401">
        <v>31</v>
      </c>
      <c r="BL63" s="1401"/>
      <c r="BM63" s="1401">
        <v>32</v>
      </c>
      <c r="BN63" s="1401"/>
      <c r="BO63" s="1401">
        <v>33</v>
      </c>
      <c r="BP63" s="1401"/>
      <c r="BQ63" s="1401">
        <v>34</v>
      </c>
      <c r="BR63" s="1401"/>
      <c r="BS63" s="1401">
        <v>35</v>
      </c>
      <c r="BT63" s="1401"/>
      <c r="BU63" s="1401">
        <v>36</v>
      </c>
      <c r="BV63" s="1401"/>
      <c r="BW63" s="1401">
        <v>37</v>
      </c>
      <c r="BX63" s="1401"/>
      <c r="BY63" s="1401">
        <v>38</v>
      </c>
      <c r="BZ63" s="1401"/>
      <c r="CA63" s="1401">
        <v>39</v>
      </c>
      <c r="CB63" s="1401"/>
      <c r="CC63" s="1401">
        <v>40</v>
      </c>
      <c r="CD63" s="1401"/>
      <c r="CE63" s="848">
        <v>41</v>
      </c>
      <c r="CF63" s="848"/>
      <c r="CG63" s="848">
        <v>42</v>
      </c>
      <c r="CH63" s="848"/>
      <c r="CI63" s="848">
        <v>43</v>
      </c>
      <c r="CJ63" s="848"/>
      <c r="CK63" s="848">
        <v>44</v>
      </c>
      <c r="CL63" s="848"/>
      <c r="CM63" s="848">
        <v>45</v>
      </c>
      <c r="CN63" s="848"/>
      <c r="CO63" s="848">
        <v>46</v>
      </c>
      <c r="CP63" s="848"/>
      <c r="CQ63" s="848">
        <v>47</v>
      </c>
      <c r="CR63" s="848"/>
      <c r="CS63" s="848">
        <v>48</v>
      </c>
      <c r="CT63" s="848"/>
      <c r="CU63" s="848">
        <v>49</v>
      </c>
      <c r="CV63" s="848"/>
      <c r="CW63" s="848">
        <v>50</v>
      </c>
      <c r="CX63" s="848"/>
      <c r="CY63" s="848">
        <v>51</v>
      </c>
      <c r="CZ63" s="848"/>
      <c r="DA63" s="848">
        <v>52</v>
      </c>
      <c r="DB63" s="848"/>
      <c r="DC63" s="848">
        <v>53</v>
      </c>
      <c r="DD63" s="848"/>
      <c r="DE63" s="848">
        <v>54</v>
      </c>
      <c r="DF63" s="848"/>
      <c r="DG63" s="848">
        <v>55</v>
      </c>
      <c r="DH63" s="848"/>
      <c r="DI63" s="848">
        <v>56</v>
      </c>
      <c r="DJ63" s="848"/>
      <c r="DK63" s="848">
        <v>57</v>
      </c>
      <c r="DL63" s="848"/>
      <c r="DM63" s="848">
        <v>58</v>
      </c>
      <c r="DN63" s="848"/>
      <c r="DO63" s="848">
        <v>59</v>
      </c>
      <c r="DP63" s="848"/>
      <c r="DQ63" s="848">
        <v>60</v>
      </c>
      <c r="DR63" s="848"/>
      <c r="DS63" s="848">
        <v>61</v>
      </c>
      <c r="DT63" s="848"/>
      <c r="DU63" s="848">
        <v>62</v>
      </c>
      <c r="DV63" s="848"/>
      <c r="DW63" s="848">
        <v>63</v>
      </c>
      <c r="DX63" s="848"/>
      <c r="DY63" s="848">
        <v>64</v>
      </c>
      <c r="DZ63" s="848"/>
      <c r="EA63" s="848">
        <v>65</v>
      </c>
      <c r="EB63" s="848"/>
      <c r="EC63" s="848">
        <v>66</v>
      </c>
      <c r="ED63" s="848"/>
      <c r="EE63" s="848">
        <v>67</v>
      </c>
      <c r="EF63" s="848"/>
      <c r="EG63" s="848">
        <v>68</v>
      </c>
      <c r="EH63" s="848"/>
      <c r="EI63" s="848">
        <v>69</v>
      </c>
      <c r="EJ63" s="848"/>
      <c r="EK63" s="848">
        <v>70</v>
      </c>
      <c r="EL63" s="848"/>
      <c r="EM63" s="848">
        <v>71</v>
      </c>
      <c r="EN63" s="848"/>
      <c r="EO63" s="848">
        <v>72</v>
      </c>
      <c r="EP63" s="848"/>
      <c r="EQ63" s="848">
        <v>73</v>
      </c>
      <c r="ER63" s="848"/>
      <c r="ES63" s="848">
        <v>74</v>
      </c>
      <c r="ET63" s="848"/>
      <c r="EU63" s="848">
        <v>75</v>
      </c>
      <c r="EV63" s="848"/>
      <c r="EW63" s="848">
        <v>76</v>
      </c>
      <c r="EX63" s="848"/>
      <c r="EY63" s="848">
        <v>77</v>
      </c>
      <c r="EZ63" s="848"/>
      <c r="FA63" s="848">
        <v>78</v>
      </c>
      <c r="FB63" s="848"/>
      <c r="FC63" s="848">
        <v>79</v>
      </c>
      <c r="FD63" s="848"/>
      <c r="FE63" s="848">
        <v>80</v>
      </c>
    </row>
    <row r="64" spans="1:161">
      <c r="B64" s="115"/>
      <c r="C64" s="85"/>
      <c r="D64" s="115"/>
      <c r="E64" s="85"/>
      <c r="F64" s="115"/>
      <c r="G64" s="85"/>
      <c r="H64" s="115"/>
      <c r="I64" s="85"/>
      <c r="J64" s="115"/>
      <c r="K64" s="85"/>
      <c r="L64" s="115"/>
      <c r="M64" s="85"/>
    </row>
    <row r="65" spans="1:90">
      <c r="A65" s="17" t="s">
        <v>1481</v>
      </c>
      <c r="B65" s="1444" t="s">
        <v>1466</v>
      </c>
      <c r="C65" s="220" t="s">
        <v>1467</v>
      </c>
      <c r="D65" s="1444" t="str">
        <f>IF($C$3&gt;=E63,"Pier T","Abut T")</f>
        <v>Pier T</v>
      </c>
      <c r="E65" s="1445" t="str">
        <f>IF($C$3&gt;=E63,"Pier B","Abut B")</f>
        <v>Pier B</v>
      </c>
      <c r="F65" s="1444" t="str">
        <f>IF($C$3&gt;=G63,"Pier T","Abut T")</f>
        <v>Abut T</v>
      </c>
      <c r="G65" s="1445" t="str">
        <f>IF($C$3&gt;=G63,"Pier B","Abut B")</f>
        <v>Abut B</v>
      </c>
      <c r="H65" s="1444" t="str">
        <f>IF($C$3&gt;=I63,"Pier T","Abut T")</f>
        <v>Abut T</v>
      </c>
      <c r="I65" s="1445" t="str">
        <f>IF($C$3&gt;=I63,"Pier B","Abut B")</f>
        <v>Abut B</v>
      </c>
      <c r="J65" s="1444" t="str">
        <f>IF($C$3&gt;=K63,"Pier T","Abut T")</f>
        <v>Abut T</v>
      </c>
      <c r="K65" s="1445" t="str">
        <f>IF($C$3&gt;=K63,"Pier B","Abut B")</f>
        <v>Abut B</v>
      </c>
      <c r="L65" s="1444" t="str">
        <f>IF($C$3&gt;=M63,"Pier T","Abut T")</f>
        <v>Abut T</v>
      </c>
      <c r="M65" s="1445" t="str">
        <f>IF($C$3&gt;=M63,"Pier B","Abut B")</f>
        <v>Abut B</v>
      </c>
      <c r="N65" s="1444" t="str">
        <f>IF($C$3&gt;=O63,"Pier T","Abut T")</f>
        <v>Abut T</v>
      </c>
      <c r="O65" s="1445" t="str">
        <f>IF($C$3&gt;=O63,"Pier B","Abut B")</f>
        <v>Abut B</v>
      </c>
      <c r="P65" s="1444" t="str">
        <f>IF($C$3&gt;=Q63,"Pier T","Abut T")</f>
        <v>Abut T</v>
      </c>
      <c r="Q65" s="1445" t="str">
        <f>IF($C$3&gt;=Q63,"Pier B","Abut B")</f>
        <v>Abut B</v>
      </c>
      <c r="R65" s="1444" t="str">
        <f>IF($C$3&gt;=S63,"Pier T","Abut T")</f>
        <v>Abut T</v>
      </c>
      <c r="S65" s="1445" t="str">
        <f>IF($C$3&gt;=S63,"Pier B","Abut B")</f>
        <v>Abut B</v>
      </c>
      <c r="T65" s="1444" t="str">
        <f>IF($C$3&gt;=U63,"Pier T","Abut T")</f>
        <v>Abut T</v>
      </c>
      <c r="U65" s="1445" t="str">
        <f>IF($C$3&gt;=U63,"Pier B","Abut B")</f>
        <v>Abut B</v>
      </c>
      <c r="V65" s="1444" t="str">
        <f>IF($C$3&gt;=W63,"Pier T","Abut T")</f>
        <v>Abut T</v>
      </c>
      <c r="W65" s="1445" t="str">
        <f>IF($C$3&gt;=W63,"Pier B","Abut B")</f>
        <v>Abut B</v>
      </c>
      <c r="X65" s="1444" t="str">
        <f>IF($C$3&gt;=Y63,"Pier T","Abut T")</f>
        <v>Abut T</v>
      </c>
      <c r="Y65" s="1445" t="str">
        <f>IF($C$3&gt;=Y63,"Pier B","Abut B")</f>
        <v>Abut B</v>
      </c>
      <c r="Z65" s="1444" t="str">
        <f>IF($C$3&gt;=AA63,"Pier T","Abut T")</f>
        <v>Abut T</v>
      </c>
      <c r="AA65" s="1445" t="str">
        <f>IF($C$3&gt;=AA63,"Pier B","Abut B")</f>
        <v>Abut B</v>
      </c>
      <c r="AB65" s="1444" t="str">
        <f>IF($C$3&gt;=AC63,"Pier T","Abut T")</f>
        <v>Abut T</v>
      </c>
      <c r="AC65" s="1445" t="str">
        <f>IF($C$3&gt;=AC63,"Pier B","Abut B")</f>
        <v>Abut B</v>
      </c>
      <c r="AD65" s="1444" t="str">
        <f>IF($C$3&gt;=AE63,"Pier T","Abut T")</f>
        <v>Abut T</v>
      </c>
      <c r="AE65" s="1445" t="str">
        <f>IF($C$3&gt;=AE63,"Pier B","Abut B")</f>
        <v>Abut B</v>
      </c>
      <c r="AF65" s="1444" t="str">
        <f>IF($C$3&gt;=AG63,"Pier T","Abut T")</f>
        <v>Abut T</v>
      </c>
      <c r="AG65" s="1445" t="str">
        <f>IF($C$3&gt;=AG63,"Pier B","Abut B")</f>
        <v>Abut B</v>
      </c>
      <c r="AH65" s="1444" t="str">
        <f>IF($C$3&gt;=AI63,"Pier T","Abut T")</f>
        <v>Abut T</v>
      </c>
      <c r="AI65" s="1445" t="str">
        <f>IF($C$3&gt;=AI63,"Pier B","Abut B")</f>
        <v>Abut B</v>
      </c>
      <c r="AJ65" s="1444" t="str">
        <f>IF($C$3&gt;=AK63,"Pier T","Abut T")</f>
        <v>Abut T</v>
      </c>
      <c r="AK65" s="1445" t="str">
        <f>IF($C$3&gt;=AK63,"Pier B","Abut B")</f>
        <v>Abut B</v>
      </c>
      <c r="AL65" s="1444" t="str">
        <f>IF($C$3&gt;=AM63,"Pier T","Abut T")</f>
        <v>Abut T</v>
      </c>
      <c r="AM65" s="1445" t="str">
        <f>IF($C$3&gt;=AM63,"Pier B","Abut B")</f>
        <v>Abut B</v>
      </c>
      <c r="AN65" s="1444" t="str">
        <f>IF($C$3&gt;=AO63,"Pier T","Abut T")</f>
        <v>Abut T</v>
      </c>
      <c r="AO65" s="1445" t="str">
        <f>IF($C$3&gt;=AO63,"Pier B","Abut B")</f>
        <v>Abut B</v>
      </c>
      <c r="AP65" s="1444" t="str">
        <f>IF($C$3&gt;=AQ63,"Pier T","Abut T")</f>
        <v>Abut T</v>
      </c>
      <c r="AQ65" s="1445" t="str">
        <f>IF($C$3&gt;=AQ63,"Pier B","Abut B")</f>
        <v>Abut B</v>
      </c>
      <c r="AR65" s="1444" t="str">
        <f>IF($C$3&gt;=AS63,"Pier T","Abut T")</f>
        <v>Abut T</v>
      </c>
      <c r="AS65" s="1445" t="str">
        <f>IF($C$3&gt;=AS63,"Pier B","Abut B")</f>
        <v>Abut B</v>
      </c>
      <c r="AT65" s="1444" t="str">
        <f>IF($C$3&gt;=AU63,"Pier T","Abut T")</f>
        <v>Abut T</v>
      </c>
      <c r="AU65" s="1445" t="str">
        <f>IF($C$3&gt;=AU63,"Pier B","Abut B")</f>
        <v>Abut B</v>
      </c>
      <c r="AV65" s="1444" t="str">
        <f>IF($C$3&gt;=AW63,"Pier T","Abut T")</f>
        <v>Abut T</v>
      </c>
      <c r="AW65" s="1445" t="str">
        <f>IF($C$3&gt;=AW63,"Pier B","Abut B")</f>
        <v>Abut B</v>
      </c>
      <c r="AX65" s="1444" t="str">
        <f>IF($C$3&gt;=AY63,"Pier T","Abut T")</f>
        <v>Abut T</v>
      </c>
      <c r="AY65" s="1445" t="str">
        <f>IF($C$3&gt;=AY63,"Pier B","Abut B")</f>
        <v>Abut B</v>
      </c>
      <c r="AZ65" s="1444" t="str">
        <f>IF($C$3&gt;=BA63,"Pier T","Abut T")</f>
        <v>Abut T</v>
      </c>
      <c r="BA65" s="1445" t="str">
        <f>IF($C$3&gt;=BA63,"Pier B","Abut B")</f>
        <v>Abut B</v>
      </c>
      <c r="BB65" s="1444" t="str">
        <f>IF($C$3&gt;=BC63,"Pier T","Abut T")</f>
        <v>Abut T</v>
      </c>
      <c r="BC65" s="1445" t="str">
        <f>IF($C$3&gt;=BC63,"Pier B","Abut B")</f>
        <v>Abut B</v>
      </c>
      <c r="BD65" s="1444" t="str">
        <f>IF($C$3&gt;=BE63,"Pier T","Abut T")</f>
        <v>Abut T</v>
      </c>
      <c r="BE65" s="1445" t="str">
        <f>IF($C$3&gt;=BE63,"Pier B","Abut B")</f>
        <v>Abut B</v>
      </c>
      <c r="BF65" s="1444" t="str">
        <f>IF($C$3&gt;=BG63,"Pier T","Abut T")</f>
        <v>Abut T</v>
      </c>
      <c r="BG65" s="1445" t="str">
        <f>IF($C$3&gt;=BG63,"Pier B","Abut B")</f>
        <v>Abut B</v>
      </c>
      <c r="BH65" s="1444" t="str">
        <f>IF($C$3&gt;=BI63,"Pier T","Abut T")</f>
        <v>Abut T</v>
      </c>
      <c r="BI65" s="1445" t="str">
        <f>IF($C$3&gt;=BI63,"Pier B","Abut B")</f>
        <v>Abut B</v>
      </c>
      <c r="BJ65" s="1444" t="str">
        <f>IF($C$3&gt;=BK63,"Pier T","Abut T")</f>
        <v>Abut T</v>
      </c>
      <c r="BK65" s="1445" t="str">
        <f>IF($C$3&gt;=BK63,"Pier B","Abut B")</f>
        <v>Abut B</v>
      </c>
      <c r="BL65" s="1444" t="str">
        <f>IF($C$3&gt;=BM63,"Pier T","Abut T")</f>
        <v>Abut T</v>
      </c>
      <c r="BM65" s="1445" t="str">
        <f>IF($C$3&gt;=BM63,"Pier B","Abut B")</f>
        <v>Abut B</v>
      </c>
      <c r="BN65" s="1444" t="str">
        <f>IF($C$3&gt;=BO63,"Pier T","Abut T")</f>
        <v>Abut T</v>
      </c>
      <c r="BO65" s="1445" t="str">
        <f>IF($C$3&gt;=BO63,"Pier B","Abut B")</f>
        <v>Abut B</v>
      </c>
      <c r="BP65" s="1444" t="str">
        <f>IF($C$3&gt;=BQ63,"Pier T","Abut T")</f>
        <v>Abut T</v>
      </c>
      <c r="BQ65" s="1445" t="str">
        <f>IF($C$3&gt;=BQ63,"Pier B","Abut B")</f>
        <v>Abut B</v>
      </c>
      <c r="BR65" s="1444" t="str">
        <f>IF($C$3&gt;=BS63,"Pier T","Abut T")</f>
        <v>Abut T</v>
      </c>
      <c r="BS65" s="1445" t="str">
        <f>IF($C$3&gt;=BS63,"Pier B","Abut B")</f>
        <v>Abut B</v>
      </c>
      <c r="BT65" s="1444" t="str">
        <f>IF($C$3&gt;=BU63,"Pier T","Abut T")</f>
        <v>Abut T</v>
      </c>
      <c r="BU65" s="1445" t="str">
        <f>IF($C$3&gt;=BU63,"Pier B","Abut B")</f>
        <v>Abut B</v>
      </c>
      <c r="BV65" s="1444" t="str">
        <f>IF($C$3&gt;=BW63,"Pier T","Abut T")</f>
        <v>Abut T</v>
      </c>
      <c r="BW65" s="1445" t="str">
        <f>IF($C$3&gt;=BW63,"Pier B","Abut B")</f>
        <v>Abut B</v>
      </c>
      <c r="BX65" s="1444" t="str">
        <f>IF($C$3&gt;=BY63,"Pier T","Abut T")</f>
        <v>Abut T</v>
      </c>
      <c r="BY65" s="1445" t="str">
        <f>IF($C$3&gt;=BY63,"Pier B","Abut B")</f>
        <v>Abut B</v>
      </c>
      <c r="BZ65" s="1444" t="str">
        <f>IF($C$3&gt;=CA63,"Pier T","Abut T")</f>
        <v>Abut T</v>
      </c>
      <c r="CA65" s="1445" t="str">
        <f>IF($C$3&gt;=CA63,"Pier B","Abut B")</f>
        <v>Abut B</v>
      </c>
      <c r="CB65" s="1444" t="str">
        <f>IF($C$3&gt;=CC63,"Pier T","Abut T")</f>
        <v>Abut T</v>
      </c>
      <c r="CC65" s="1445" t="str">
        <f>IF($C$3&gt;=CC63,"Pier B","Abut B")</f>
        <v>Abut B</v>
      </c>
      <c r="CD65" s="1444" t="str">
        <f>IF($C$3&gt;=CE63,"Pier T","Abut T")</f>
        <v>Abut T</v>
      </c>
      <c r="CE65" s="1445" t="str">
        <f>IF($C$3&gt;=CE63,"Pier B","Abut B")</f>
        <v>Abut B</v>
      </c>
    </row>
    <row r="66" spans="1:90">
      <c r="A66" s="1446" t="s">
        <v>1438</v>
      </c>
      <c r="B66" s="1479">
        <f>C21</f>
        <v>0.48691099476439786</v>
      </c>
      <c r="C66" s="1447">
        <f>C22</f>
        <v>0.37406428065993824</v>
      </c>
      <c r="D66" s="1448">
        <f>D21</f>
        <v>0.16678844237794752</v>
      </c>
      <c r="E66" s="1449">
        <f>D22</f>
        <v>0.11194625021259173</v>
      </c>
      <c r="F66" s="1448">
        <f>F21</f>
        <v>0.48691099476439786</v>
      </c>
      <c r="G66" s="1449">
        <f>F22</f>
        <v>0.37406428065993824</v>
      </c>
      <c r="H66" s="1448" t="str">
        <f>H21</f>
        <v/>
      </c>
      <c r="I66" s="1449" t="str">
        <f>H22</f>
        <v/>
      </c>
      <c r="J66" s="1448" t="str">
        <f t="shared" ref="J66" si="4">J21</f>
        <v/>
      </c>
      <c r="K66" s="1449" t="str">
        <f t="shared" ref="K66" si="5">J22</f>
        <v/>
      </c>
      <c r="L66" s="1448" t="str">
        <f t="shared" ref="L66" si="6">L21</f>
        <v/>
      </c>
      <c r="M66" s="1449" t="str">
        <f t="shared" ref="M66" si="7">L22</f>
        <v/>
      </c>
      <c r="N66" s="1448" t="str">
        <f t="shared" ref="N66" si="8">N21</f>
        <v/>
      </c>
      <c r="O66" s="1449" t="str">
        <f t="shared" ref="O66" si="9">N22</f>
        <v/>
      </c>
      <c r="P66" s="1448" t="str">
        <f t="shared" ref="P66" si="10">P21</f>
        <v/>
      </c>
      <c r="Q66" s="1449" t="str">
        <f t="shared" ref="Q66" si="11">P22</f>
        <v/>
      </c>
      <c r="R66" s="1448" t="str">
        <f t="shared" ref="R66" si="12">R21</f>
        <v/>
      </c>
      <c r="S66" s="1449" t="str">
        <f t="shared" ref="S66" si="13">R22</f>
        <v/>
      </c>
      <c r="T66" s="1448" t="str">
        <f t="shared" ref="T66" si="14">T21</f>
        <v/>
      </c>
      <c r="U66" s="1449" t="str">
        <f t="shared" ref="U66" si="15">T22</f>
        <v/>
      </c>
      <c r="V66" s="1448" t="str">
        <f t="shared" ref="V66" si="16">V21</f>
        <v/>
      </c>
      <c r="W66" s="1449" t="str">
        <f t="shared" ref="W66" si="17">V22</f>
        <v/>
      </c>
      <c r="X66" s="1448" t="str">
        <f t="shared" ref="X66" si="18">X21</f>
        <v/>
      </c>
      <c r="Y66" s="1449" t="str">
        <f t="shared" ref="Y66" si="19">X22</f>
        <v/>
      </c>
      <c r="Z66" s="1448" t="str">
        <f t="shared" ref="Z66" si="20">Z21</f>
        <v/>
      </c>
      <c r="AA66" s="1449" t="str">
        <f t="shared" ref="AA66" si="21">Z22</f>
        <v/>
      </c>
      <c r="AB66" s="1448" t="str">
        <f t="shared" ref="AB66" si="22">AB21</f>
        <v/>
      </c>
      <c r="AC66" s="1449" t="str">
        <f t="shared" ref="AC66" si="23">AB22</f>
        <v/>
      </c>
      <c r="AD66" s="1448" t="str">
        <f t="shared" ref="AD66" si="24">AD21</f>
        <v/>
      </c>
      <c r="AE66" s="1449" t="str">
        <f t="shared" ref="AE66" si="25">AD22</f>
        <v/>
      </c>
      <c r="AF66" s="1448" t="str">
        <f t="shared" ref="AF66" si="26">AF21</f>
        <v/>
      </c>
      <c r="AG66" s="1449" t="str">
        <f t="shared" ref="AG66" si="27">AF22</f>
        <v/>
      </c>
      <c r="AH66" s="1448" t="str">
        <f t="shared" ref="AH66" si="28">AH21</f>
        <v/>
      </c>
      <c r="AI66" s="1449" t="str">
        <f t="shared" ref="AI66" si="29">AH22</f>
        <v/>
      </c>
      <c r="AJ66" s="1448" t="str">
        <f t="shared" ref="AJ66" si="30">AJ21</f>
        <v/>
      </c>
      <c r="AK66" s="1449" t="str">
        <f t="shared" ref="AK66" si="31">AJ22</f>
        <v/>
      </c>
      <c r="AL66" s="1448" t="str">
        <f t="shared" ref="AL66" si="32">AL21</f>
        <v/>
      </c>
      <c r="AM66" s="1449" t="str">
        <f t="shared" ref="AM66" si="33">AL22</f>
        <v/>
      </c>
      <c r="AN66" s="1448" t="str">
        <f t="shared" ref="AN66" si="34">AN21</f>
        <v/>
      </c>
      <c r="AO66" s="1449" t="str">
        <f t="shared" ref="AO66" si="35">AN22</f>
        <v/>
      </c>
      <c r="AP66" s="1448" t="str">
        <f t="shared" ref="AP66" si="36">AP21</f>
        <v/>
      </c>
      <c r="AQ66" s="1449" t="str">
        <f t="shared" ref="AQ66" si="37">AP22</f>
        <v/>
      </c>
      <c r="AR66" s="1448" t="str">
        <f t="shared" ref="AR66" si="38">AR21</f>
        <v/>
      </c>
      <c r="AS66" s="1449" t="str">
        <f t="shared" ref="AS66" si="39">AR22</f>
        <v/>
      </c>
      <c r="AT66" s="1448" t="str">
        <f t="shared" ref="AT66" si="40">AT21</f>
        <v/>
      </c>
      <c r="AU66" s="1449" t="str">
        <f t="shared" ref="AU66" si="41">AT22</f>
        <v/>
      </c>
      <c r="AV66" s="1448" t="str">
        <f t="shared" ref="AV66" si="42">AV21</f>
        <v/>
      </c>
      <c r="AW66" s="1449" t="str">
        <f t="shared" ref="AW66" si="43">AV22</f>
        <v/>
      </c>
      <c r="AX66" s="1448" t="str">
        <f t="shared" ref="AX66" si="44">AX21</f>
        <v/>
      </c>
      <c r="AY66" s="1449" t="str">
        <f t="shared" ref="AY66" si="45">AX22</f>
        <v/>
      </c>
      <c r="AZ66" s="1448" t="str">
        <f t="shared" ref="AZ66" si="46">AZ21</f>
        <v/>
      </c>
      <c r="BA66" s="1449" t="str">
        <f t="shared" ref="BA66" si="47">AZ22</f>
        <v/>
      </c>
      <c r="BB66" s="1448" t="str">
        <f t="shared" ref="BB66" si="48">BB21</f>
        <v/>
      </c>
      <c r="BC66" s="1449" t="str">
        <f t="shared" ref="BC66" si="49">BB22</f>
        <v/>
      </c>
      <c r="BD66" s="1448" t="str">
        <f t="shared" ref="BD66" si="50">BD21</f>
        <v/>
      </c>
      <c r="BE66" s="1449" t="str">
        <f t="shared" ref="BE66" si="51">BD22</f>
        <v/>
      </c>
      <c r="BF66" s="1448" t="str">
        <f t="shared" ref="BF66" si="52">BF21</f>
        <v/>
      </c>
      <c r="BG66" s="1449" t="str">
        <f t="shared" ref="BG66" si="53">BF22</f>
        <v/>
      </c>
      <c r="BH66" s="1448" t="str">
        <f t="shared" ref="BH66" si="54">BH21</f>
        <v/>
      </c>
      <c r="BI66" s="1449" t="str">
        <f t="shared" ref="BI66" si="55">BH22</f>
        <v/>
      </c>
      <c r="BJ66" s="1448" t="str">
        <f t="shared" ref="BJ66" si="56">BJ21</f>
        <v/>
      </c>
      <c r="BK66" s="1449" t="str">
        <f t="shared" ref="BK66" si="57">BJ22</f>
        <v/>
      </c>
      <c r="BL66" s="1448" t="str">
        <f t="shared" ref="BL66" si="58">BL21</f>
        <v/>
      </c>
      <c r="BM66" s="1449" t="str">
        <f t="shared" ref="BM66" si="59">BL22</f>
        <v/>
      </c>
      <c r="BN66" s="1448" t="str">
        <f t="shared" ref="BN66" si="60">BN21</f>
        <v/>
      </c>
      <c r="BO66" s="1449" t="str">
        <f t="shared" ref="BO66" si="61">BN22</f>
        <v/>
      </c>
      <c r="BP66" s="1448" t="str">
        <f t="shared" ref="BP66" si="62">BP21</f>
        <v/>
      </c>
      <c r="BQ66" s="1449" t="str">
        <f t="shared" ref="BQ66" si="63">BP22</f>
        <v/>
      </c>
      <c r="BR66" s="1448" t="str">
        <f t="shared" ref="BR66" si="64">BR21</f>
        <v/>
      </c>
      <c r="BS66" s="1449" t="str">
        <f t="shared" ref="BS66" si="65">BR22</f>
        <v/>
      </c>
      <c r="BT66" s="1448" t="str">
        <f t="shared" ref="BT66" si="66">BT21</f>
        <v/>
      </c>
      <c r="BU66" s="1449" t="str">
        <f t="shared" ref="BU66" si="67">BT22</f>
        <v/>
      </c>
      <c r="BV66" s="1448" t="str">
        <f t="shared" ref="BV66" si="68">BV21</f>
        <v/>
      </c>
      <c r="BW66" s="1449" t="str">
        <f t="shared" ref="BW66" si="69">BV22</f>
        <v/>
      </c>
      <c r="BX66" s="1448" t="str">
        <f t="shared" ref="BX66" si="70">BX21</f>
        <v/>
      </c>
      <c r="BY66" s="1449" t="str">
        <f t="shared" ref="BY66" si="71">BX22</f>
        <v/>
      </c>
      <c r="BZ66" s="1448" t="str">
        <f t="shared" ref="BZ66" si="72">BZ21</f>
        <v/>
      </c>
      <c r="CA66" s="1449" t="str">
        <f t="shared" ref="CA66" si="73">BZ22</f>
        <v/>
      </c>
      <c r="CB66" s="1448" t="str">
        <f t="shared" ref="CB66" si="74">CB21</f>
        <v/>
      </c>
      <c r="CC66" s="1449" t="str">
        <f t="shared" ref="CC66" si="75">CB22</f>
        <v/>
      </c>
      <c r="CD66" s="1448" t="str">
        <f t="shared" ref="CD66" si="76">CD21</f>
        <v/>
      </c>
      <c r="CE66" s="1447" t="str">
        <f>CD22</f>
        <v/>
      </c>
    </row>
    <row r="67" spans="1:90">
      <c r="A67" s="1443" t="s">
        <v>1388</v>
      </c>
      <c r="B67" s="1414">
        <v>50.883693609491154</v>
      </c>
      <c r="C67" s="1411">
        <v>-53.931738825707612</v>
      </c>
      <c r="D67" s="1412"/>
      <c r="E67" s="1413"/>
      <c r="F67" s="1412">
        <v>-50.883693609491154</v>
      </c>
      <c r="G67" s="1411">
        <v>53.931738825707612</v>
      </c>
      <c r="H67" s="1414"/>
      <c r="I67" s="1411"/>
      <c r="J67" s="1414"/>
      <c r="K67" s="1411"/>
      <c r="L67" s="1414"/>
      <c r="M67" s="1411"/>
      <c r="N67" s="1414"/>
      <c r="O67" s="1411"/>
      <c r="P67" s="1414"/>
      <c r="Q67" s="1411"/>
      <c r="R67" s="1414"/>
      <c r="S67" s="1411"/>
      <c r="T67" s="1414"/>
      <c r="U67" s="1411"/>
      <c r="V67" s="1414"/>
      <c r="W67" s="1411"/>
      <c r="X67" s="1414"/>
      <c r="Y67" s="1411"/>
      <c r="Z67" s="1414"/>
      <c r="AA67" s="1411"/>
      <c r="AB67" s="1414"/>
      <c r="AC67" s="1411"/>
      <c r="AD67" s="1414"/>
      <c r="AE67" s="1411"/>
      <c r="AF67" s="1414"/>
      <c r="AG67" s="1411"/>
      <c r="AH67" s="1414"/>
      <c r="AI67" s="1411"/>
      <c r="AJ67" s="1414"/>
      <c r="AK67" s="1411"/>
      <c r="AL67" s="1414"/>
      <c r="AM67" s="1411"/>
      <c r="AN67" s="1414"/>
      <c r="AO67" s="1411"/>
      <c r="AP67" s="1414"/>
      <c r="AQ67" s="1411"/>
      <c r="AR67" s="1414"/>
      <c r="AS67" s="1411"/>
      <c r="AT67" s="1414"/>
      <c r="AU67" s="1411"/>
      <c r="AV67" s="1414"/>
      <c r="AW67" s="1411"/>
      <c r="AX67" s="1414"/>
      <c r="AY67" s="1411"/>
      <c r="AZ67" s="1414"/>
      <c r="BA67" s="1411"/>
      <c r="BB67" s="1414"/>
      <c r="BC67" s="1411"/>
      <c r="BD67" s="1414"/>
      <c r="BE67" s="1411"/>
      <c r="BF67" s="1414"/>
      <c r="BG67" s="1411"/>
      <c r="BH67" s="1414"/>
      <c r="BI67" s="1411"/>
      <c r="BJ67" s="1414"/>
      <c r="BK67" s="1411"/>
      <c r="BL67" s="1414"/>
      <c r="BM67" s="1411"/>
      <c r="BN67" s="1414"/>
      <c r="BO67" s="1411"/>
      <c r="BP67" s="1414"/>
      <c r="BQ67" s="1411"/>
      <c r="BR67" s="1414"/>
      <c r="BS67" s="1411"/>
      <c r="BT67" s="1414"/>
      <c r="BU67" s="1411"/>
      <c r="BV67" s="1414"/>
      <c r="BW67" s="1411"/>
      <c r="BX67" s="1414"/>
      <c r="BY67" s="1411"/>
      <c r="BZ67" s="1414"/>
      <c r="CA67" s="1411"/>
      <c r="CB67" s="1414"/>
      <c r="CC67" s="1411"/>
      <c r="CD67" s="1414"/>
      <c r="CE67" s="1411"/>
      <c r="CF67" s="848"/>
      <c r="CG67" s="848"/>
      <c r="CH67" s="848"/>
      <c r="CI67" s="848"/>
      <c r="CJ67" s="848"/>
      <c r="CK67" s="848"/>
      <c r="CL67" s="1511"/>
    </row>
    <row r="68" spans="1:90">
      <c r="A68" s="1446" t="s">
        <v>1396</v>
      </c>
      <c r="B68" s="1508">
        <v>3.6126730167137238</v>
      </c>
      <c r="C68" s="1411">
        <v>-3.8849098527304027</v>
      </c>
      <c r="D68" s="1414">
        <v>0</v>
      </c>
      <c r="E68" s="1411">
        <v>0</v>
      </c>
      <c r="F68" s="1414">
        <v>-3.6126730167137238</v>
      </c>
      <c r="G68" s="1411">
        <v>3.8849098527304027</v>
      </c>
      <c r="H68" s="1414"/>
      <c r="I68" s="1411"/>
      <c r="J68" s="1414"/>
      <c r="K68" s="1411"/>
      <c r="L68" s="1414"/>
      <c r="M68" s="1411"/>
      <c r="N68" s="1414"/>
      <c r="O68" s="1411"/>
      <c r="P68" s="1414"/>
      <c r="Q68" s="1411"/>
      <c r="R68" s="1414"/>
      <c r="S68" s="1411"/>
      <c r="T68" s="1414"/>
      <c r="U68" s="1411"/>
      <c r="V68" s="1414"/>
      <c r="W68" s="1411"/>
      <c r="X68" s="1414"/>
      <c r="Y68" s="1411"/>
      <c r="Z68" s="1414"/>
      <c r="AA68" s="1411"/>
      <c r="AB68" s="1414"/>
      <c r="AC68" s="1411"/>
      <c r="AD68" s="1414"/>
      <c r="AE68" s="1411"/>
      <c r="AF68" s="1414"/>
      <c r="AG68" s="1411"/>
      <c r="AH68" s="1414"/>
      <c r="AI68" s="1411"/>
      <c r="AJ68" s="1414"/>
      <c r="AK68" s="1411"/>
      <c r="AL68" s="1414"/>
      <c r="AM68" s="1411"/>
      <c r="AN68" s="1414"/>
      <c r="AO68" s="1411"/>
      <c r="AP68" s="1414"/>
      <c r="AQ68" s="1411"/>
      <c r="AR68" s="1414"/>
      <c r="AS68" s="1411"/>
      <c r="AT68" s="1414"/>
      <c r="AU68" s="1411"/>
      <c r="AV68" s="1414"/>
      <c r="AW68" s="1411"/>
      <c r="AX68" s="1414"/>
      <c r="AY68" s="1411"/>
      <c r="AZ68" s="1414"/>
      <c r="BA68" s="1411"/>
      <c r="BB68" s="1414"/>
      <c r="BC68" s="1411"/>
      <c r="BD68" s="1414"/>
      <c r="BE68" s="1411"/>
      <c r="BF68" s="1414"/>
      <c r="BG68" s="1411"/>
      <c r="BH68" s="1414"/>
      <c r="BI68" s="1411"/>
      <c r="BJ68" s="1414"/>
      <c r="BK68" s="1411"/>
      <c r="BL68" s="1414"/>
      <c r="BM68" s="1411"/>
      <c r="BN68" s="1414"/>
      <c r="BO68" s="1411"/>
      <c r="BP68" s="1414"/>
      <c r="BQ68" s="1411"/>
      <c r="BR68" s="1414"/>
      <c r="BS68" s="1411"/>
      <c r="BT68" s="1414"/>
      <c r="BU68" s="1411"/>
      <c r="BV68" s="1414"/>
      <c r="BW68" s="1411"/>
      <c r="BX68" s="1414"/>
      <c r="BY68" s="1411"/>
      <c r="BZ68" s="1414"/>
      <c r="CA68" s="1411"/>
      <c r="CB68" s="1414"/>
      <c r="CC68" s="1411"/>
      <c r="CD68" s="1414"/>
      <c r="CE68" s="1411"/>
      <c r="CF68" s="848"/>
      <c r="CG68" s="848"/>
      <c r="CH68" s="848"/>
      <c r="CI68" s="848"/>
      <c r="CJ68" s="848"/>
      <c r="CK68" s="848"/>
      <c r="CL68" s="1511"/>
    </row>
    <row r="69" spans="1:90">
      <c r="A69" s="1450" t="s">
        <v>1395</v>
      </c>
      <c r="B69" s="1414">
        <v>-1.9424549263652013</v>
      </c>
      <c r="C69" s="1416">
        <v>1.8063365083568619</v>
      </c>
      <c r="D69" s="1417">
        <v>0</v>
      </c>
      <c r="E69" s="1416">
        <v>0</v>
      </c>
      <c r="F69" s="1417">
        <v>1.9424549263652013</v>
      </c>
      <c r="G69" s="1416">
        <v>-1.8063365083568619</v>
      </c>
      <c r="H69" s="1417"/>
      <c r="I69" s="1416"/>
      <c r="J69" s="1417"/>
      <c r="K69" s="1416"/>
      <c r="L69" s="1417"/>
      <c r="M69" s="1411"/>
      <c r="N69" s="1414"/>
      <c r="O69" s="1411"/>
      <c r="P69" s="1414"/>
      <c r="Q69" s="1411"/>
      <c r="R69" s="1414"/>
      <c r="S69" s="1411"/>
      <c r="T69" s="1414"/>
      <c r="U69" s="1411"/>
      <c r="V69" s="1414"/>
      <c r="W69" s="1411"/>
      <c r="X69" s="1414"/>
      <c r="Y69" s="1411"/>
      <c r="Z69" s="1414"/>
      <c r="AA69" s="1411"/>
      <c r="AB69" s="1414"/>
      <c r="AC69" s="1411"/>
      <c r="AD69" s="1414"/>
      <c r="AE69" s="1411"/>
      <c r="AF69" s="1414"/>
      <c r="AG69" s="1411"/>
      <c r="AH69" s="1414"/>
      <c r="AI69" s="1411"/>
      <c r="AJ69" s="1414"/>
      <c r="AK69" s="1411"/>
      <c r="AL69" s="1414"/>
      <c r="AM69" s="1411"/>
      <c r="AN69" s="1414"/>
      <c r="AO69" s="1411"/>
      <c r="AP69" s="1414"/>
      <c r="AQ69" s="1411"/>
      <c r="AR69" s="1414"/>
      <c r="AS69" s="1411"/>
      <c r="AT69" s="1414"/>
      <c r="AU69" s="1411"/>
      <c r="AV69" s="1414"/>
      <c r="AW69" s="1411"/>
      <c r="AX69" s="1414"/>
      <c r="AY69" s="1411"/>
      <c r="AZ69" s="1414"/>
      <c r="BA69" s="1411"/>
      <c r="BB69" s="1414"/>
      <c r="BC69" s="1411"/>
      <c r="BD69" s="1414"/>
      <c r="BE69" s="1411"/>
      <c r="BF69" s="1414"/>
      <c r="BG69" s="1411"/>
      <c r="BH69" s="1414"/>
      <c r="BI69" s="1411"/>
      <c r="BJ69" s="1414"/>
      <c r="BK69" s="1411"/>
      <c r="BL69" s="1414"/>
      <c r="BM69" s="1411"/>
      <c r="BN69" s="1414"/>
      <c r="BO69" s="1411"/>
      <c r="BP69" s="1414"/>
      <c r="BQ69" s="1411"/>
      <c r="BR69" s="1414"/>
      <c r="BS69" s="1411"/>
      <c r="BT69" s="1414"/>
      <c r="BU69" s="1411"/>
      <c r="BV69" s="1414"/>
      <c r="BW69" s="1411"/>
      <c r="BX69" s="1414"/>
      <c r="BY69" s="1411"/>
      <c r="BZ69" s="1414"/>
      <c r="CA69" s="1411"/>
      <c r="CB69" s="1414"/>
      <c r="CC69" s="1411"/>
      <c r="CD69" s="1414"/>
      <c r="CE69" s="1411"/>
      <c r="CF69" s="848"/>
      <c r="CG69" s="848"/>
      <c r="CH69" s="848"/>
      <c r="CI69" s="848"/>
      <c r="CJ69" s="848"/>
      <c r="CK69" s="848"/>
      <c r="CL69" s="1511"/>
    </row>
    <row r="70" spans="1:90">
      <c r="A70" s="1484" t="s">
        <v>1468</v>
      </c>
      <c r="B70" s="1509">
        <v>0.94580266048148542</v>
      </c>
      <c r="C70" s="1506">
        <v>-0.67568596662829405</v>
      </c>
      <c r="D70" s="1507">
        <v>0</v>
      </c>
      <c r="E70" s="1506">
        <v>0</v>
      </c>
      <c r="F70" s="1507">
        <v>-0.94580266048148542</v>
      </c>
      <c r="G70" s="1506">
        <v>0.67568596662829405</v>
      </c>
      <c r="H70" s="1507"/>
      <c r="I70" s="1506"/>
      <c r="J70" s="1507"/>
      <c r="K70" s="1506"/>
      <c r="L70" s="1507"/>
      <c r="M70" s="1510"/>
      <c r="N70" s="1509"/>
      <c r="O70" s="1411"/>
      <c r="P70" s="1414"/>
      <c r="Q70" s="1411"/>
      <c r="R70" s="1414"/>
      <c r="S70" s="1411"/>
      <c r="T70" s="1414"/>
      <c r="U70" s="1411"/>
      <c r="V70" s="1414"/>
      <c r="W70" s="1411"/>
      <c r="X70" s="1414"/>
      <c r="Y70" s="1411"/>
      <c r="Z70" s="1414"/>
      <c r="AA70" s="1411"/>
      <c r="AB70" s="1414"/>
      <c r="AC70" s="1411"/>
      <c r="AD70" s="1414"/>
      <c r="AE70" s="1411"/>
      <c r="AF70" s="1414"/>
      <c r="AG70" s="1411"/>
      <c r="AH70" s="1414"/>
      <c r="AI70" s="1411"/>
      <c r="AJ70" s="1414"/>
      <c r="AK70" s="1411"/>
      <c r="AL70" s="1414"/>
      <c r="AM70" s="1411"/>
      <c r="AN70" s="1414"/>
      <c r="AO70" s="1411"/>
      <c r="AP70" s="1414"/>
      <c r="AQ70" s="1411"/>
      <c r="AR70" s="1414"/>
      <c r="AS70" s="1411"/>
      <c r="AT70" s="1414"/>
      <c r="AU70" s="1411"/>
      <c r="AV70" s="1414"/>
      <c r="AW70" s="1411"/>
      <c r="AX70" s="1414"/>
      <c r="AY70" s="1411"/>
      <c r="AZ70" s="1414"/>
      <c r="BA70" s="1411"/>
      <c r="BB70" s="1414"/>
      <c r="BC70" s="1411"/>
      <c r="BD70" s="1414"/>
      <c r="BE70" s="1411"/>
      <c r="BF70" s="1414"/>
      <c r="BG70" s="1411"/>
      <c r="BH70" s="1414"/>
      <c r="BI70" s="1411"/>
      <c r="BJ70" s="1414"/>
      <c r="BK70" s="1411"/>
      <c r="BL70" s="1414"/>
      <c r="BM70" s="1411"/>
      <c r="BN70" s="1414"/>
      <c r="BO70" s="1411"/>
      <c r="BP70" s="1414"/>
      <c r="BQ70" s="1411"/>
      <c r="BR70" s="1414"/>
      <c r="BS70" s="1411"/>
      <c r="BT70" s="1414"/>
      <c r="BU70" s="1411"/>
      <c r="BV70" s="1414"/>
      <c r="BW70" s="1411"/>
      <c r="BX70" s="1414"/>
      <c r="BY70" s="1411"/>
      <c r="BZ70" s="1414"/>
      <c r="CA70" s="1411"/>
      <c r="CB70" s="1414"/>
      <c r="CC70" s="1411"/>
      <c r="CD70" s="1414"/>
      <c r="CE70" s="1411"/>
      <c r="CF70" s="848"/>
      <c r="CG70" s="848"/>
      <c r="CH70" s="848"/>
      <c r="CI70" s="848"/>
      <c r="CJ70" s="848"/>
      <c r="CK70" s="848"/>
      <c r="CL70" s="1511"/>
    </row>
    <row r="71" spans="1:90">
      <c r="A71" s="1450" t="s">
        <v>1395</v>
      </c>
      <c r="B71" s="1414">
        <v>-0.33784298331414703</v>
      </c>
      <c r="C71" s="1416">
        <v>0.47290133024074271</v>
      </c>
      <c r="D71" s="1417">
        <v>0</v>
      </c>
      <c r="E71" s="1416">
        <v>0</v>
      </c>
      <c r="F71" s="1417">
        <v>0.33784298331414703</v>
      </c>
      <c r="G71" s="1416">
        <v>-0.47290133024074271</v>
      </c>
      <c r="H71" s="1417"/>
      <c r="I71" s="1416"/>
      <c r="J71" s="1417"/>
      <c r="K71" s="1416"/>
      <c r="L71" s="1417"/>
      <c r="M71" s="1411"/>
      <c r="N71" s="1414"/>
      <c r="O71" s="1411"/>
      <c r="P71" s="1414"/>
      <c r="Q71" s="1411"/>
      <c r="R71" s="1414"/>
      <c r="S71" s="1411"/>
      <c r="T71" s="1414"/>
      <c r="U71" s="1411"/>
      <c r="V71" s="1414"/>
      <c r="W71" s="1411"/>
      <c r="X71" s="1414"/>
      <c r="Y71" s="1411"/>
      <c r="Z71" s="1414"/>
      <c r="AA71" s="1411"/>
      <c r="AB71" s="1414"/>
      <c r="AC71" s="1411"/>
      <c r="AD71" s="1414"/>
      <c r="AE71" s="1411"/>
      <c r="AF71" s="1414"/>
      <c r="AG71" s="1411"/>
      <c r="AH71" s="1414"/>
      <c r="AI71" s="1411"/>
      <c r="AJ71" s="1414"/>
      <c r="AK71" s="1411"/>
      <c r="AL71" s="1414"/>
      <c r="AM71" s="1411"/>
      <c r="AN71" s="1414"/>
      <c r="AO71" s="1411"/>
      <c r="AP71" s="1414"/>
      <c r="AQ71" s="1411"/>
      <c r="AR71" s="1414"/>
      <c r="AS71" s="1411"/>
      <c r="AT71" s="1414"/>
      <c r="AU71" s="1411"/>
      <c r="AV71" s="1414"/>
      <c r="AW71" s="1411"/>
      <c r="AX71" s="1414"/>
      <c r="AY71" s="1411"/>
      <c r="AZ71" s="1414"/>
      <c r="BA71" s="1411"/>
      <c r="BB71" s="1414"/>
      <c r="BC71" s="1411"/>
      <c r="BD71" s="1414"/>
      <c r="BE71" s="1411"/>
      <c r="BF71" s="1414"/>
      <c r="BG71" s="1411"/>
      <c r="BH71" s="1414"/>
      <c r="BI71" s="1411"/>
      <c r="BJ71" s="1414"/>
      <c r="BK71" s="1411"/>
      <c r="BL71" s="1414"/>
      <c r="BM71" s="1411"/>
      <c r="BN71" s="1414"/>
      <c r="BO71" s="1411"/>
      <c r="BP71" s="1414"/>
      <c r="BQ71" s="1411"/>
      <c r="BR71" s="1414"/>
      <c r="BS71" s="1411"/>
      <c r="BT71" s="1414"/>
      <c r="BU71" s="1411"/>
      <c r="BV71" s="1414"/>
      <c r="BW71" s="1411"/>
      <c r="BX71" s="1414"/>
      <c r="BY71" s="1411"/>
      <c r="BZ71" s="1414"/>
      <c r="CA71" s="1411"/>
      <c r="CB71" s="1414"/>
      <c r="CC71" s="1411"/>
      <c r="CD71" s="1414"/>
      <c r="CE71" s="1411"/>
      <c r="CF71" s="848"/>
      <c r="CG71" s="848"/>
      <c r="CH71" s="848"/>
      <c r="CI71" s="848"/>
      <c r="CJ71" s="848"/>
      <c r="CK71" s="848"/>
      <c r="CL71" s="1511"/>
    </row>
    <row r="72" spans="1:90">
      <c r="A72" s="1446" t="s">
        <v>1396</v>
      </c>
      <c r="B72" s="1414">
        <v>0.16449946307966321</v>
      </c>
      <c r="C72" s="1416">
        <v>-0.17689549591963133</v>
      </c>
      <c r="D72" s="1417">
        <v>0</v>
      </c>
      <c r="E72" s="1416">
        <v>0</v>
      </c>
      <c r="F72" s="1417">
        <v>-0.16449946307966321</v>
      </c>
      <c r="G72" s="1416">
        <v>0.17689549591963133</v>
      </c>
      <c r="H72" s="1417"/>
      <c r="I72" s="1416"/>
      <c r="J72" s="1417"/>
      <c r="K72" s="1416"/>
      <c r="L72" s="1417"/>
      <c r="M72" s="1411"/>
      <c r="N72" s="1414"/>
      <c r="O72" s="1411"/>
      <c r="P72" s="1414"/>
      <c r="Q72" s="1411"/>
      <c r="R72" s="1414"/>
      <c r="S72" s="1411"/>
      <c r="T72" s="1414"/>
      <c r="U72" s="1411"/>
      <c r="V72" s="1414"/>
      <c r="W72" s="1411"/>
      <c r="X72" s="1414"/>
      <c r="Y72" s="1411"/>
      <c r="Z72" s="1414"/>
      <c r="AA72" s="1411"/>
      <c r="AB72" s="1414"/>
      <c r="AC72" s="1411"/>
      <c r="AD72" s="1414"/>
      <c r="AE72" s="1411"/>
      <c r="AF72" s="1414"/>
      <c r="AG72" s="1411"/>
      <c r="AH72" s="1414"/>
      <c r="AI72" s="1411"/>
      <c r="AJ72" s="1414"/>
      <c r="AK72" s="1411"/>
      <c r="AL72" s="1414"/>
      <c r="AM72" s="1411"/>
      <c r="AN72" s="1414"/>
      <c r="AO72" s="1411"/>
      <c r="AP72" s="1414"/>
      <c r="AQ72" s="1411"/>
      <c r="AR72" s="1414"/>
      <c r="AS72" s="1411"/>
      <c r="AT72" s="1414"/>
      <c r="AU72" s="1411"/>
      <c r="AV72" s="1414"/>
      <c r="AW72" s="1411"/>
      <c r="AX72" s="1414"/>
      <c r="AY72" s="1411"/>
      <c r="AZ72" s="1414"/>
      <c r="BA72" s="1411"/>
      <c r="BB72" s="1414"/>
      <c r="BC72" s="1411"/>
      <c r="BD72" s="1414"/>
      <c r="BE72" s="1411"/>
      <c r="BF72" s="1414"/>
      <c r="BG72" s="1411"/>
      <c r="BH72" s="1414"/>
      <c r="BI72" s="1411"/>
      <c r="BJ72" s="1414"/>
      <c r="BK72" s="1411"/>
      <c r="BL72" s="1414"/>
      <c r="BM72" s="1411"/>
      <c r="BN72" s="1414"/>
      <c r="BO72" s="1411"/>
      <c r="BP72" s="1414"/>
      <c r="BQ72" s="1411"/>
      <c r="BR72" s="1414"/>
      <c r="BS72" s="1411"/>
      <c r="BT72" s="1414"/>
      <c r="BU72" s="1411"/>
      <c r="BV72" s="1414"/>
      <c r="BW72" s="1411"/>
      <c r="BX72" s="1414"/>
      <c r="BY72" s="1411"/>
      <c r="BZ72" s="1414"/>
      <c r="CA72" s="1411"/>
      <c r="CB72" s="1414"/>
      <c r="CC72" s="1411"/>
      <c r="CD72" s="1414"/>
      <c r="CE72" s="1411"/>
      <c r="CF72" s="848"/>
      <c r="CG72" s="848"/>
      <c r="CH72" s="848"/>
      <c r="CI72" s="848"/>
      <c r="CJ72" s="848"/>
      <c r="CK72" s="848"/>
      <c r="CL72" s="1511"/>
    </row>
    <row r="73" spans="1:90">
      <c r="A73" s="1450" t="s">
        <v>1395</v>
      </c>
      <c r="B73" s="1414">
        <v>-8.8447747959815665E-2</v>
      </c>
      <c r="C73" s="1416">
        <v>8.2249731539831603E-2</v>
      </c>
      <c r="D73" s="1417">
        <v>0</v>
      </c>
      <c r="E73" s="1416">
        <v>0</v>
      </c>
      <c r="F73" s="1417">
        <v>8.8447747959815665E-2</v>
      </c>
      <c r="G73" s="1416">
        <v>-8.2249731539831603E-2</v>
      </c>
      <c r="H73" s="1417"/>
      <c r="I73" s="1416"/>
      <c r="J73" s="1417"/>
      <c r="K73" s="1416"/>
      <c r="L73" s="1417"/>
      <c r="M73" s="1411"/>
      <c r="N73" s="1414"/>
      <c r="O73" s="1411"/>
      <c r="P73" s="1414"/>
      <c r="Q73" s="1411"/>
      <c r="R73" s="1414"/>
      <c r="S73" s="1411"/>
      <c r="T73" s="1414"/>
      <c r="U73" s="1411"/>
      <c r="V73" s="1414"/>
      <c r="W73" s="1411"/>
      <c r="X73" s="1414"/>
      <c r="Y73" s="1411"/>
      <c r="Z73" s="1414"/>
      <c r="AA73" s="1411"/>
      <c r="AB73" s="1414"/>
      <c r="AC73" s="1411"/>
      <c r="AD73" s="1414"/>
      <c r="AE73" s="1411"/>
      <c r="AF73" s="1414"/>
      <c r="AG73" s="1411"/>
      <c r="AH73" s="1414"/>
      <c r="AI73" s="1411"/>
      <c r="AJ73" s="1414"/>
      <c r="AK73" s="1411"/>
      <c r="AL73" s="1414"/>
      <c r="AM73" s="1411"/>
      <c r="AN73" s="1414"/>
      <c r="AO73" s="1411"/>
      <c r="AP73" s="1414"/>
      <c r="AQ73" s="1411"/>
      <c r="AR73" s="1414"/>
      <c r="AS73" s="1411"/>
      <c r="AT73" s="1414"/>
      <c r="AU73" s="1411"/>
      <c r="AV73" s="1414"/>
      <c r="AW73" s="1411"/>
      <c r="AX73" s="1414"/>
      <c r="AY73" s="1411"/>
      <c r="AZ73" s="1414"/>
      <c r="BA73" s="1411"/>
      <c r="BB73" s="1414"/>
      <c r="BC73" s="1411"/>
      <c r="BD73" s="1414"/>
      <c r="BE73" s="1411"/>
      <c r="BF73" s="1414"/>
      <c r="BG73" s="1411"/>
      <c r="BH73" s="1414"/>
      <c r="BI73" s="1411"/>
      <c r="BJ73" s="1414"/>
      <c r="BK73" s="1411"/>
      <c r="BL73" s="1414"/>
      <c r="BM73" s="1411"/>
      <c r="BN73" s="1414"/>
      <c r="BO73" s="1411"/>
      <c r="BP73" s="1414"/>
      <c r="BQ73" s="1411"/>
      <c r="BR73" s="1414"/>
      <c r="BS73" s="1411"/>
      <c r="BT73" s="1414"/>
      <c r="BU73" s="1411"/>
      <c r="BV73" s="1414"/>
      <c r="BW73" s="1411"/>
      <c r="BX73" s="1414"/>
      <c r="BY73" s="1411"/>
      <c r="BZ73" s="1414"/>
      <c r="CA73" s="1411"/>
      <c r="CB73" s="1414"/>
      <c r="CC73" s="1411"/>
      <c r="CD73" s="1414"/>
      <c r="CE73" s="1411"/>
      <c r="CF73" s="848"/>
      <c r="CG73" s="848"/>
      <c r="CH73" s="848"/>
      <c r="CI73" s="848"/>
      <c r="CJ73" s="848"/>
      <c r="CK73" s="848"/>
      <c r="CL73" s="1511"/>
    </row>
    <row r="74" spans="1:90">
      <c r="A74" s="1446" t="s">
        <v>1396</v>
      </c>
      <c r="B74" s="1414">
        <v>4.3066180943784588E-2</v>
      </c>
      <c r="C74" s="1416">
        <v>-3.0766686662920144E-2</v>
      </c>
      <c r="D74" s="1417">
        <v>0</v>
      </c>
      <c r="E74" s="1416">
        <v>0</v>
      </c>
      <c r="F74" s="1417">
        <v>-4.3066180943784588E-2</v>
      </c>
      <c r="G74" s="1416">
        <v>3.0766686662920144E-2</v>
      </c>
      <c r="H74" s="1417"/>
      <c r="I74" s="1416"/>
      <c r="J74" s="1417"/>
      <c r="K74" s="1416"/>
      <c r="L74" s="1417"/>
      <c r="M74" s="1411"/>
      <c r="N74" s="1414"/>
      <c r="O74" s="1411"/>
      <c r="P74" s="1414"/>
      <c r="Q74" s="1411"/>
      <c r="R74" s="1414"/>
      <c r="S74" s="1411"/>
      <c r="T74" s="1414"/>
      <c r="U74" s="1411"/>
      <c r="V74" s="1414"/>
      <c r="W74" s="1411"/>
      <c r="X74" s="1414"/>
      <c r="Y74" s="1411"/>
      <c r="Z74" s="1414"/>
      <c r="AA74" s="1411"/>
      <c r="AB74" s="1414"/>
      <c r="AC74" s="1411"/>
      <c r="AD74" s="1414"/>
      <c r="AE74" s="1411"/>
      <c r="AF74" s="1414"/>
      <c r="AG74" s="1411"/>
      <c r="AH74" s="1414"/>
      <c r="AI74" s="1411"/>
      <c r="AJ74" s="1414"/>
      <c r="AK74" s="1411"/>
      <c r="AL74" s="1414"/>
      <c r="AM74" s="1411"/>
      <c r="AN74" s="1414"/>
      <c r="AO74" s="1411"/>
      <c r="AP74" s="1414"/>
      <c r="AQ74" s="1411"/>
      <c r="AR74" s="1414"/>
      <c r="AS74" s="1411"/>
      <c r="AT74" s="1414"/>
      <c r="AU74" s="1411"/>
      <c r="AV74" s="1414"/>
      <c r="AW74" s="1411"/>
      <c r="AX74" s="1414"/>
      <c r="AY74" s="1411"/>
      <c r="AZ74" s="1414"/>
      <c r="BA74" s="1411"/>
      <c r="BB74" s="1414"/>
      <c r="BC74" s="1411"/>
      <c r="BD74" s="1414"/>
      <c r="BE74" s="1411"/>
      <c r="BF74" s="1414"/>
      <c r="BG74" s="1411"/>
      <c r="BH74" s="1414"/>
      <c r="BI74" s="1411"/>
      <c r="BJ74" s="1414"/>
      <c r="BK74" s="1411"/>
      <c r="BL74" s="1414"/>
      <c r="BM74" s="1411"/>
      <c r="BN74" s="1414"/>
      <c r="BO74" s="1411"/>
      <c r="BP74" s="1414"/>
      <c r="BQ74" s="1411"/>
      <c r="BR74" s="1414"/>
      <c r="BS74" s="1411"/>
      <c r="BT74" s="1414"/>
      <c r="BU74" s="1411"/>
      <c r="BV74" s="1414"/>
      <c r="BW74" s="1411"/>
      <c r="BX74" s="1414"/>
      <c r="BY74" s="1411"/>
      <c r="BZ74" s="1414"/>
      <c r="CA74" s="1411"/>
      <c r="CB74" s="1414"/>
      <c r="CC74" s="1411"/>
      <c r="CD74" s="1414"/>
      <c r="CE74" s="1411"/>
      <c r="CF74" s="848"/>
      <c r="CG74" s="848"/>
      <c r="CH74" s="848"/>
      <c r="CI74" s="848"/>
      <c r="CJ74" s="848"/>
      <c r="CK74" s="848"/>
      <c r="CL74" s="1511"/>
    </row>
    <row r="75" spans="1:90">
      <c r="A75" s="1450" t="s">
        <v>1395</v>
      </c>
      <c r="B75" s="1414">
        <v>-1.5383343331460072E-2</v>
      </c>
      <c r="C75" s="1411">
        <v>2.1533090471892294E-2</v>
      </c>
      <c r="D75" s="1414">
        <v>0</v>
      </c>
      <c r="E75" s="1411">
        <v>0</v>
      </c>
      <c r="F75" s="1414">
        <v>1.5383343331460072E-2</v>
      </c>
      <c r="G75" s="1411">
        <v>-2.1533090471892294E-2</v>
      </c>
      <c r="H75" s="1414"/>
      <c r="I75" s="1411"/>
      <c r="J75" s="1414"/>
      <c r="K75" s="1411"/>
      <c r="L75" s="1414"/>
      <c r="M75" s="1411"/>
      <c r="N75" s="1414"/>
      <c r="O75" s="1411"/>
      <c r="P75" s="1414"/>
      <c r="Q75" s="1411"/>
      <c r="R75" s="1414"/>
      <c r="S75" s="1411"/>
      <c r="T75" s="1414"/>
      <c r="U75" s="1411"/>
      <c r="V75" s="1414"/>
      <c r="W75" s="1411"/>
      <c r="X75" s="1414"/>
      <c r="Y75" s="1411"/>
      <c r="Z75" s="1414"/>
      <c r="AA75" s="1411"/>
      <c r="AB75" s="1414"/>
      <c r="AC75" s="1411"/>
      <c r="AD75" s="1414"/>
      <c r="AE75" s="1411"/>
      <c r="AF75" s="1414"/>
      <c r="AG75" s="1411"/>
      <c r="AH75" s="1414"/>
      <c r="AI75" s="1411"/>
      <c r="AJ75" s="1414"/>
      <c r="AK75" s="1411"/>
      <c r="AL75" s="1414"/>
      <c r="AM75" s="1411"/>
      <c r="AN75" s="1414"/>
      <c r="AO75" s="1411"/>
      <c r="AP75" s="1414"/>
      <c r="AQ75" s="1411"/>
      <c r="AR75" s="1414"/>
      <c r="AS75" s="1411"/>
      <c r="AT75" s="1414"/>
      <c r="AU75" s="1411"/>
      <c r="AV75" s="1414"/>
      <c r="AW75" s="1411"/>
      <c r="AX75" s="1414"/>
      <c r="AY75" s="1411"/>
      <c r="AZ75" s="1414"/>
      <c r="BA75" s="1411"/>
      <c r="BB75" s="1414"/>
      <c r="BC75" s="1411"/>
      <c r="BD75" s="1414"/>
      <c r="BE75" s="1411"/>
      <c r="BF75" s="1414"/>
      <c r="BG75" s="1411"/>
      <c r="BH75" s="1414"/>
      <c r="BI75" s="1411"/>
      <c r="BJ75" s="1414"/>
      <c r="BK75" s="1411"/>
      <c r="BL75" s="1414"/>
      <c r="BM75" s="1411"/>
      <c r="BN75" s="1414"/>
      <c r="BO75" s="1411"/>
      <c r="BP75" s="1414"/>
      <c r="BQ75" s="1411"/>
      <c r="BR75" s="1414"/>
      <c r="BS75" s="1411"/>
      <c r="BT75" s="1414"/>
      <c r="BU75" s="1411"/>
      <c r="BV75" s="1414"/>
      <c r="BW75" s="1411"/>
      <c r="BX75" s="1414"/>
      <c r="BY75" s="1411"/>
      <c r="BZ75" s="1414"/>
      <c r="CA75" s="1411"/>
      <c r="CB75" s="1414"/>
      <c r="CC75" s="1411"/>
      <c r="CD75" s="1414"/>
      <c r="CE75" s="1411"/>
      <c r="CF75" s="848"/>
      <c r="CG75" s="848"/>
      <c r="CH75" s="848"/>
      <c r="CI75" s="848"/>
      <c r="CJ75" s="848"/>
      <c r="CK75" s="848"/>
      <c r="CL75" s="1511"/>
    </row>
    <row r="76" spans="1:90">
      <c r="A76" s="1446" t="s">
        <v>1396</v>
      </c>
      <c r="B76" s="1414">
        <v>7.49031900432349E-3</v>
      </c>
      <c r="C76" s="1411">
        <v>-8.0547599977537614E-3</v>
      </c>
      <c r="D76" s="1414">
        <v>0</v>
      </c>
      <c r="E76" s="1411">
        <v>0</v>
      </c>
      <c r="F76" s="1414">
        <v>-7.49031900432349E-3</v>
      </c>
      <c r="G76" s="1411">
        <v>8.0547599977537614E-3</v>
      </c>
      <c r="H76" s="1414"/>
      <c r="I76" s="1411"/>
      <c r="J76" s="1414"/>
      <c r="K76" s="1411"/>
      <c r="L76" s="1414"/>
      <c r="M76" s="1411"/>
      <c r="N76" s="1414"/>
      <c r="O76" s="1411"/>
      <c r="P76" s="1414"/>
      <c r="Q76" s="1411"/>
      <c r="R76" s="1414"/>
      <c r="S76" s="1411"/>
      <c r="T76" s="1414"/>
      <c r="U76" s="1411"/>
      <c r="V76" s="1414"/>
      <c r="W76" s="1411"/>
      <c r="X76" s="1414"/>
      <c r="Y76" s="1411"/>
      <c r="Z76" s="1414"/>
      <c r="AA76" s="1411"/>
      <c r="AB76" s="1414"/>
      <c r="AC76" s="1411"/>
      <c r="AD76" s="1414"/>
      <c r="AE76" s="1411"/>
      <c r="AF76" s="1414"/>
      <c r="AG76" s="1411"/>
      <c r="AH76" s="1414"/>
      <c r="AI76" s="1411"/>
      <c r="AJ76" s="1414"/>
      <c r="AK76" s="1411"/>
      <c r="AL76" s="1414"/>
      <c r="AM76" s="1411"/>
      <c r="AN76" s="1414"/>
      <c r="AO76" s="1411"/>
      <c r="AP76" s="1414"/>
      <c r="AQ76" s="1411"/>
      <c r="AR76" s="1414"/>
      <c r="AS76" s="1411"/>
      <c r="AT76" s="1414"/>
      <c r="AU76" s="1411"/>
      <c r="AV76" s="1414"/>
      <c r="AW76" s="1411"/>
      <c r="AX76" s="1414"/>
      <c r="AY76" s="1411"/>
      <c r="AZ76" s="1414"/>
      <c r="BA76" s="1411"/>
      <c r="BB76" s="1414"/>
      <c r="BC76" s="1411"/>
      <c r="BD76" s="1414"/>
      <c r="BE76" s="1411"/>
      <c r="BF76" s="1414"/>
      <c r="BG76" s="1411"/>
      <c r="BH76" s="1414"/>
      <c r="BI76" s="1411"/>
      <c r="BJ76" s="1414"/>
      <c r="BK76" s="1411"/>
      <c r="BL76" s="1414"/>
      <c r="BM76" s="1411"/>
      <c r="BN76" s="1414"/>
      <c r="BO76" s="1411"/>
      <c r="BP76" s="1414"/>
      <c r="BQ76" s="1411"/>
      <c r="BR76" s="1414"/>
      <c r="BS76" s="1411"/>
      <c r="BT76" s="1414"/>
      <c r="BU76" s="1411"/>
      <c r="BV76" s="1414"/>
      <c r="BW76" s="1411"/>
      <c r="BX76" s="1414"/>
      <c r="BY76" s="1411"/>
      <c r="BZ76" s="1414"/>
      <c r="CA76" s="1411"/>
      <c r="CB76" s="1414"/>
      <c r="CC76" s="1411"/>
      <c r="CD76" s="1414"/>
      <c r="CE76" s="1411"/>
      <c r="CF76" s="848"/>
      <c r="CG76" s="848"/>
      <c r="CH76" s="848"/>
      <c r="CI76" s="848"/>
      <c r="CJ76" s="848"/>
      <c r="CK76" s="848"/>
      <c r="CL76" s="1511"/>
    </row>
    <row r="77" spans="1:90">
      <c r="A77" s="1450" t="s">
        <v>1395</v>
      </c>
      <c r="B77" s="1414">
        <v>-4.0273799988768807E-3</v>
      </c>
      <c r="C77" s="1411">
        <v>3.745159502161745E-3</v>
      </c>
      <c r="D77" s="1414">
        <v>0</v>
      </c>
      <c r="E77" s="1411">
        <v>0</v>
      </c>
      <c r="F77" s="1414">
        <v>4.0273799988768807E-3</v>
      </c>
      <c r="G77" s="1411">
        <v>-3.745159502161745E-3</v>
      </c>
      <c r="H77" s="1414"/>
      <c r="I77" s="1411"/>
      <c r="J77" s="1414"/>
      <c r="K77" s="1411"/>
      <c r="L77" s="1414"/>
      <c r="M77" s="1411"/>
      <c r="N77" s="1414"/>
      <c r="O77" s="1411"/>
      <c r="P77" s="1414"/>
      <c r="Q77" s="1411"/>
      <c r="R77" s="1414"/>
      <c r="S77" s="1411"/>
      <c r="T77" s="1414"/>
      <c r="U77" s="1411"/>
      <c r="V77" s="1414"/>
      <c r="W77" s="1411"/>
      <c r="X77" s="1414"/>
      <c r="Y77" s="1411"/>
      <c r="Z77" s="1414"/>
      <c r="AA77" s="1411"/>
      <c r="AB77" s="1414"/>
      <c r="AC77" s="1411"/>
      <c r="AD77" s="1414"/>
      <c r="AE77" s="1411"/>
      <c r="AF77" s="1414"/>
      <c r="AG77" s="1411"/>
      <c r="AH77" s="1414"/>
      <c r="AI77" s="1411"/>
      <c r="AJ77" s="1414"/>
      <c r="AK77" s="1411"/>
      <c r="AL77" s="1414"/>
      <c r="AM77" s="1411"/>
      <c r="AN77" s="1414"/>
      <c r="AO77" s="1411"/>
      <c r="AP77" s="1414"/>
      <c r="AQ77" s="1411"/>
      <c r="AR77" s="1414"/>
      <c r="AS77" s="1411"/>
      <c r="AT77" s="1414"/>
      <c r="AU77" s="1411"/>
      <c r="AV77" s="1414"/>
      <c r="AW77" s="1411"/>
      <c r="AX77" s="1414"/>
      <c r="AY77" s="1411"/>
      <c r="AZ77" s="1414"/>
      <c r="BA77" s="1411"/>
      <c r="BB77" s="1414"/>
      <c r="BC77" s="1411"/>
      <c r="BD77" s="1414"/>
      <c r="BE77" s="1411"/>
      <c r="BF77" s="1414"/>
      <c r="BG77" s="1411"/>
      <c r="BH77" s="1414"/>
      <c r="BI77" s="1411"/>
      <c r="BJ77" s="1414"/>
      <c r="BK77" s="1411"/>
      <c r="BL77" s="1414"/>
      <c r="BM77" s="1411"/>
      <c r="BN77" s="1414"/>
      <c r="BO77" s="1411"/>
      <c r="BP77" s="1414"/>
      <c r="BQ77" s="1411"/>
      <c r="BR77" s="1414"/>
      <c r="BS77" s="1411"/>
      <c r="BT77" s="1414"/>
      <c r="BU77" s="1411"/>
      <c r="BV77" s="1414"/>
      <c r="BW77" s="1411"/>
      <c r="BX77" s="1414"/>
      <c r="BY77" s="1411"/>
      <c r="BZ77" s="1414"/>
      <c r="CA77" s="1411"/>
      <c r="CB77" s="1414"/>
      <c r="CC77" s="1411"/>
      <c r="CD77" s="1414"/>
      <c r="CE77" s="1411"/>
      <c r="CF77" s="848"/>
      <c r="CG77" s="848"/>
      <c r="CH77" s="848"/>
      <c r="CI77" s="848"/>
      <c r="CJ77" s="848"/>
      <c r="CK77" s="848"/>
      <c r="CL77" s="1511"/>
    </row>
    <row r="78" spans="1:90">
      <c r="A78" s="1446" t="s">
        <v>1396</v>
      </c>
      <c r="B78" s="1414">
        <v>1.9609756015473816E-3</v>
      </c>
      <c r="C78" s="1411">
        <v>-1.4009303951328655E-3</v>
      </c>
      <c r="D78" s="1414">
        <v>0</v>
      </c>
      <c r="E78" s="1411">
        <v>0</v>
      </c>
      <c r="F78" s="1414">
        <v>-1.9609756015473816E-3</v>
      </c>
      <c r="G78" s="1411">
        <v>1.4009303951328655E-3</v>
      </c>
      <c r="H78" s="1414"/>
      <c r="I78" s="1411"/>
      <c r="J78" s="1414"/>
      <c r="K78" s="1411"/>
      <c r="L78" s="1414"/>
      <c r="M78" s="1411"/>
      <c r="N78" s="1414"/>
      <c r="O78" s="1411"/>
      <c r="P78" s="1414"/>
      <c r="Q78" s="1411"/>
      <c r="R78" s="1414"/>
      <c r="S78" s="1411"/>
      <c r="T78" s="1414"/>
      <c r="U78" s="1411"/>
      <c r="V78" s="1414"/>
      <c r="W78" s="1411"/>
      <c r="X78" s="1414"/>
      <c r="Y78" s="1411"/>
      <c r="Z78" s="1414"/>
      <c r="AA78" s="1411"/>
      <c r="AB78" s="1414"/>
      <c r="AC78" s="1411"/>
      <c r="AD78" s="1414"/>
      <c r="AE78" s="1411"/>
      <c r="AF78" s="1414"/>
      <c r="AG78" s="1411"/>
      <c r="AH78" s="1414"/>
      <c r="AI78" s="1411"/>
      <c r="AJ78" s="1414"/>
      <c r="AK78" s="1411"/>
      <c r="AL78" s="1414"/>
      <c r="AM78" s="1411"/>
      <c r="AN78" s="1414"/>
      <c r="AO78" s="1411"/>
      <c r="AP78" s="1414"/>
      <c r="AQ78" s="1411"/>
      <c r="AR78" s="1414"/>
      <c r="AS78" s="1411"/>
      <c r="AT78" s="1414"/>
      <c r="AU78" s="1411"/>
      <c r="AV78" s="1414"/>
      <c r="AW78" s="1411"/>
      <c r="AX78" s="1414"/>
      <c r="AY78" s="1411"/>
      <c r="AZ78" s="1414"/>
      <c r="BA78" s="1411"/>
      <c r="BB78" s="1414"/>
      <c r="BC78" s="1411"/>
      <c r="BD78" s="1414"/>
      <c r="BE78" s="1411"/>
      <c r="BF78" s="1414"/>
      <c r="BG78" s="1411"/>
      <c r="BH78" s="1414"/>
      <c r="BI78" s="1411"/>
      <c r="BJ78" s="1414"/>
      <c r="BK78" s="1411"/>
      <c r="BL78" s="1414"/>
      <c r="BM78" s="1411"/>
      <c r="BN78" s="1414"/>
      <c r="BO78" s="1411"/>
      <c r="BP78" s="1414"/>
      <c r="BQ78" s="1411"/>
      <c r="BR78" s="1414"/>
      <c r="BS78" s="1411"/>
      <c r="BT78" s="1414"/>
      <c r="BU78" s="1411"/>
      <c r="BV78" s="1414"/>
      <c r="BW78" s="1411"/>
      <c r="BX78" s="1414"/>
      <c r="BY78" s="1411"/>
      <c r="BZ78" s="1414"/>
      <c r="CA78" s="1411"/>
      <c r="CB78" s="1414"/>
      <c r="CC78" s="1411"/>
      <c r="CD78" s="1414"/>
      <c r="CE78" s="1411"/>
      <c r="CF78" s="848"/>
      <c r="CG78" s="848"/>
      <c r="CH78" s="848"/>
      <c r="CI78" s="848"/>
      <c r="CJ78" s="848"/>
      <c r="CK78" s="848"/>
      <c r="CL78" s="1511"/>
    </row>
    <row r="79" spans="1:90">
      <c r="A79" s="1450" t="s">
        <v>1395</v>
      </c>
      <c r="B79" s="1414">
        <v>-7.0046519756643277E-4</v>
      </c>
      <c r="C79" s="1411">
        <v>9.8048780077369078E-4</v>
      </c>
      <c r="D79" s="1414">
        <v>0</v>
      </c>
      <c r="E79" s="1411">
        <v>0</v>
      </c>
      <c r="F79" s="1414">
        <v>7.0046519756643277E-4</v>
      </c>
      <c r="G79" s="1411">
        <v>-9.8048780077369078E-4</v>
      </c>
      <c r="H79" s="1414"/>
      <c r="I79" s="1411"/>
      <c r="J79" s="1414"/>
      <c r="K79" s="1411"/>
      <c r="L79" s="1414"/>
      <c r="M79" s="1411"/>
      <c r="N79" s="1414"/>
      <c r="O79" s="1411"/>
      <c r="P79" s="1414"/>
      <c r="Q79" s="1411"/>
      <c r="R79" s="1414"/>
      <c r="S79" s="1411"/>
      <c r="T79" s="1414"/>
      <c r="U79" s="1411"/>
      <c r="V79" s="1414"/>
      <c r="W79" s="1411"/>
      <c r="X79" s="1414"/>
      <c r="Y79" s="1411"/>
      <c r="Z79" s="1414"/>
      <c r="AA79" s="1411"/>
      <c r="AB79" s="1414"/>
      <c r="AC79" s="1411"/>
      <c r="AD79" s="1414"/>
      <c r="AE79" s="1411"/>
      <c r="AF79" s="1414"/>
      <c r="AG79" s="1411"/>
      <c r="AH79" s="1414"/>
      <c r="AI79" s="1411"/>
      <c r="AJ79" s="1414"/>
      <c r="AK79" s="1411"/>
      <c r="AL79" s="1414"/>
      <c r="AM79" s="1411"/>
      <c r="AN79" s="1414"/>
      <c r="AO79" s="1411"/>
      <c r="AP79" s="1414"/>
      <c r="AQ79" s="1411"/>
      <c r="AR79" s="1414"/>
      <c r="AS79" s="1411"/>
      <c r="AT79" s="1414"/>
      <c r="AU79" s="1411"/>
      <c r="AV79" s="1414"/>
      <c r="AW79" s="1411"/>
      <c r="AX79" s="1414"/>
      <c r="AY79" s="1411"/>
      <c r="AZ79" s="1414"/>
      <c r="BA79" s="1411"/>
      <c r="BB79" s="1414"/>
      <c r="BC79" s="1411"/>
      <c r="BD79" s="1414"/>
      <c r="BE79" s="1411"/>
      <c r="BF79" s="1414"/>
      <c r="BG79" s="1411"/>
      <c r="BH79" s="1414"/>
      <c r="BI79" s="1411"/>
      <c r="BJ79" s="1414"/>
      <c r="BK79" s="1411"/>
      <c r="BL79" s="1414"/>
      <c r="BM79" s="1411"/>
      <c r="BN79" s="1414"/>
      <c r="BO79" s="1411"/>
      <c r="BP79" s="1414"/>
      <c r="BQ79" s="1411"/>
      <c r="BR79" s="1414"/>
      <c r="BS79" s="1411"/>
      <c r="BT79" s="1414"/>
      <c r="BU79" s="1411"/>
      <c r="BV79" s="1414"/>
      <c r="BW79" s="1411"/>
      <c r="BX79" s="1414"/>
      <c r="BY79" s="1411"/>
      <c r="BZ79" s="1414"/>
      <c r="CA79" s="1411"/>
      <c r="CB79" s="1414"/>
      <c r="CC79" s="1411"/>
      <c r="CD79" s="1414"/>
      <c r="CE79" s="1411"/>
      <c r="CF79" s="848"/>
      <c r="CG79" s="848"/>
      <c r="CH79" s="848"/>
      <c r="CI79" s="848"/>
      <c r="CJ79" s="848"/>
      <c r="CK79" s="848"/>
      <c r="CL79" s="1511"/>
    </row>
    <row r="80" spans="1:90">
      <c r="A80" s="1446" t="s">
        <v>1396</v>
      </c>
      <c r="B80" s="1414">
        <v>3.4106420614491226E-4</v>
      </c>
      <c r="C80" s="1411">
        <v>-3.6676546389225546E-4</v>
      </c>
      <c r="D80" s="1414">
        <v>0</v>
      </c>
      <c r="E80" s="1411">
        <v>0</v>
      </c>
      <c r="F80" s="1414">
        <v>-3.4106420614491226E-4</v>
      </c>
      <c r="G80" s="1411">
        <v>3.6676546389225546E-4</v>
      </c>
      <c r="H80" s="1414"/>
      <c r="I80" s="1411"/>
      <c r="J80" s="1414"/>
      <c r="K80" s="1411"/>
      <c r="L80" s="1414"/>
      <c r="M80" s="1411"/>
      <c r="N80" s="1414"/>
      <c r="O80" s="1411"/>
      <c r="P80" s="1414"/>
      <c r="Q80" s="1411"/>
      <c r="R80" s="1414"/>
      <c r="S80" s="1411"/>
      <c r="T80" s="1414"/>
      <c r="U80" s="1411"/>
      <c r="V80" s="1414"/>
      <c r="W80" s="1411"/>
      <c r="X80" s="1414"/>
      <c r="Y80" s="1411"/>
      <c r="Z80" s="1414"/>
      <c r="AA80" s="1411"/>
      <c r="AB80" s="1414"/>
      <c r="AC80" s="1411"/>
      <c r="AD80" s="1414"/>
      <c r="AE80" s="1411"/>
      <c r="AF80" s="1414"/>
      <c r="AG80" s="1411"/>
      <c r="AH80" s="1414"/>
      <c r="AI80" s="1411"/>
      <c r="AJ80" s="1414"/>
      <c r="AK80" s="1411"/>
      <c r="AL80" s="1414"/>
      <c r="AM80" s="1411"/>
      <c r="AN80" s="1414"/>
      <c r="AO80" s="1411"/>
      <c r="AP80" s="1414"/>
      <c r="AQ80" s="1411"/>
      <c r="AR80" s="1414"/>
      <c r="AS80" s="1411"/>
      <c r="AT80" s="1414"/>
      <c r="AU80" s="1411"/>
      <c r="AV80" s="1414"/>
      <c r="AW80" s="1411"/>
      <c r="AX80" s="1414"/>
      <c r="AY80" s="1411"/>
      <c r="AZ80" s="1414"/>
      <c r="BA80" s="1411"/>
      <c r="BB80" s="1414"/>
      <c r="BC80" s="1411"/>
      <c r="BD80" s="1414"/>
      <c r="BE80" s="1411"/>
      <c r="BF80" s="1414"/>
      <c r="BG80" s="1411"/>
      <c r="BH80" s="1414"/>
      <c r="BI80" s="1411"/>
      <c r="BJ80" s="1414"/>
      <c r="BK80" s="1411"/>
      <c r="BL80" s="1414"/>
      <c r="BM80" s="1411"/>
      <c r="BN80" s="1414"/>
      <c r="BO80" s="1411"/>
      <c r="BP80" s="1414"/>
      <c r="BQ80" s="1411"/>
      <c r="BR80" s="1414"/>
      <c r="BS80" s="1411"/>
      <c r="BT80" s="1414"/>
      <c r="BU80" s="1411"/>
      <c r="BV80" s="1414"/>
      <c r="BW80" s="1411"/>
      <c r="BX80" s="1414"/>
      <c r="BY80" s="1411"/>
      <c r="BZ80" s="1414"/>
      <c r="CA80" s="1411"/>
      <c r="CB80" s="1414"/>
      <c r="CC80" s="1411"/>
      <c r="CD80" s="1414"/>
      <c r="CE80" s="1411"/>
      <c r="CF80" s="848"/>
      <c r="CG80" s="848"/>
      <c r="CH80" s="848"/>
      <c r="CI80" s="848"/>
      <c r="CJ80" s="848"/>
      <c r="CK80" s="848"/>
      <c r="CL80" s="1511"/>
    </row>
    <row r="81" spans="1:90">
      <c r="A81" s="1450" t="s">
        <v>1395</v>
      </c>
      <c r="B81" s="1414">
        <v>-1.8338273194612773E-4</v>
      </c>
      <c r="C81" s="1411">
        <v>1.7053210307245613E-4</v>
      </c>
      <c r="D81" s="1414">
        <v>0</v>
      </c>
      <c r="E81" s="1411">
        <v>0</v>
      </c>
      <c r="F81" s="1414">
        <v>1.8338273194612773E-4</v>
      </c>
      <c r="G81" s="1411">
        <v>-1.7053210307245613E-4</v>
      </c>
      <c r="H81" s="1414"/>
      <c r="I81" s="1411"/>
      <c r="J81" s="1414"/>
      <c r="K81" s="1411"/>
      <c r="L81" s="1414"/>
      <c r="M81" s="1411"/>
      <c r="N81" s="1414"/>
      <c r="O81" s="1411"/>
      <c r="P81" s="1414"/>
      <c r="Q81" s="1411"/>
      <c r="R81" s="1414"/>
      <c r="S81" s="1411"/>
      <c r="T81" s="1414"/>
      <c r="U81" s="1411"/>
      <c r="V81" s="1414"/>
      <c r="W81" s="1411"/>
      <c r="X81" s="1414"/>
      <c r="Y81" s="1411"/>
      <c r="Z81" s="1414"/>
      <c r="AA81" s="1411"/>
      <c r="AB81" s="1414"/>
      <c r="AC81" s="1411"/>
      <c r="AD81" s="1414"/>
      <c r="AE81" s="1411"/>
      <c r="AF81" s="1414"/>
      <c r="AG81" s="1411"/>
      <c r="AH81" s="1414"/>
      <c r="AI81" s="1411"/>
      <c r="AJ81" s="1414"/>
      <c r="AK81" s="1411"/>
      <c r="AL81" s="1414"/>
      <c r="AM81" s="1411"/>
      <c r="AN81" s="1414"/>
      <c r="AO81" s="1411"/>
      <c r="AP81" s="1414"/>
      <c r="AQ81" s="1411"/>
      <c r="AR81" s="1414"/>
      <c r="AS81" s="1411"/>
      <c r="AT81" s="1414"/>
      <c r="AU81" s="1411"/>
      <c r="AV81" s="1414"/>
      <c r="AW81" s="1411"/>
      <c r="AX81" s="1414"/>
      <c r="AY81" s="1411"/>
      <c r="AZ81" s="1414"/>
      <c r="BA81" s="1411"/>
      <c r="BB81" s="1414"/>
      <c r="BC81" s="1411"/>
      <c r="BD81" s="1414"/>
      <c r="BE81" s="1411"/>
      <c r="BF81" s="1414"/>
      <c r="BG81" s="1411"/>
      <c r="BH81" s="1414"/>
      <c r="BI81" s="1411"/>
      <c r="BJ81" s="1414"/>
      <c r="BK81" s="1411"/>
      <c r="BL81" s="1414"/>
      <c r="BM81" s="1411"/>
      <c r="BN81" s="1414"/>
      <c r="BO81" s="1411"/>
      <c r="BP81" s="1414"/>
      <c r="BQ81" s="1411"/>
      <c r="BR81" s="1414"/>
      <c r="BS81" s="1411"/>
      <c r="BT81" s="1414"/>
      <c r="BU81" s="1411"/>
      <c r="BV81" s="1414"/>
      <c r="BW81" s="1411"/>
      <c r="BX81" s="1414"/>
      <c r="BY81" s="1411"/>
      <c r="BZ81" s="1414"/>
      <c r="CA81" s="1411"/>
      <c r="CB81" s="1414"/>
      <c r="CC81" s="1411"/>
      <c r="CD81" s="1414"/>
      <c r="CE81" s="1411"/>
      <c r="CF81" s="848"/>
      <c r="CG81" s="848"/>
      <c r="CH81" s="848"/>
      <c r="CI81" s="848"/>
      <c r="CJ81" s="848"/>
      <c r="CK81" s="848"/>
      <c r="CL81" s="1511"/>
    </row>
    <row r="82" spans="1:90">
      <c r="A82" s="1446" t="s">
        <v>1396</v>
      </c>
      <c r="B82" s="1414">
        <v>8.9291068434501971E-5</v>
      </c>
      <c r="C82" s="1411">
        <v>-6.3789968465224745E-5</v>
      </c>
      <c r="D82" s="1414">
        <v>0</v>
      </c>
      <c r="E82" s="1411">
        <v>0</v>
      </c>
      <c r="F82" s="1414">
        <v>-8.9291068434501971E-5</v>
      </c>
      <c r="G82" s="1411">
        <v>6.3789968465224745E-5</v>
      </c>
      <c r="H82" s="1414"/>
      <c r="I82" s="1411"/>
      <c r="J82" s="1414"/>
      <c r="K82" s="1411"/>
      <c r="L82" s="1414"/>
      <c r="M82" s="1411"/>
      <c r="N82" s="1414"/>
      <c r="O82" s="1411"/>
      <c r="P82" s="1414"/>
      <c r="Q82" s="1411"/>
      <c r="R82" s="1414"/>
      <c r="S82" s="1411"/>
      <c r="T82" s="1414"/>
      <c r="U82" s="1411"/>
      <c r="V82" s="1414"/>
      <c r="W82" s="1411"/>
      <c r="X82" s="1414"/>
      <c r="Y82" s="1411"/>
      <c r="Z82" s="1414"/>
      <c r="AA82" s="1411"/>
      <c r="AB82" s="1414"/>
      <c r="AC82" s="1411"/>
      <c r="AD82" s="1414"/>
      <c r="AE82" s="1411"/>
      <c r="AF82" s="1414"/>
      <c r="AG82" s="1411"/>
      <c r="AH82" s="1414"/>
      <c r="AI82" s="1411"/>
      <c r="AJ82" s="1414"/>
      <c r="AK82" s="1411"/>
      <c r="AL82" s="1414"/>
      <c r="AM82" s="1411"/>
      <c r="AN82" s="1414"/>
      <c r="AO82" s="1411"/>
      <c r="AP82" s="1414"/>
      <c r="AQ82" s="1411"/>
      <c r="AR82" s="1414"/>
      <c r="AS82" s="1411"/>
      <c r="AT82" s="1414"/>
      <c r="AU82" s="1411"/>
      <c r="AV82" s="1414"/>
      <c r="AW82" s="1411"/>
      <c r="AX82" s="1414"/>
      <c r="AY82" s="1411"/>
      <c r="AZ82" s="1414"/>
      <c r="BA82" s="1411"/>
      <c r="BB82" s="1414"/>
      <c r="BC82" s="1411"/>
      <c r="BD82" s="1414"/>
      <c r="BE82" s="1411"/>
      <c r="BF82" s="1414"/>
      <c r="BG82" s="1411"/>
      <c r="BH82" s="1414"/>
      <c r="BI82" s="1411"/>
      <c r="BJ82" s="1414"/>
      <c r="BK82" s="1411"/>
      <c r="BL82" s="1414"/>
      <c r="BM82" s="1411"/>
      <c r="BN82" s="1414"/>
      <c r="BO82" s="1411"/>
      <c r="BP82" s="1414"/>
      <c r="BQ82" s="1411"/>
      <c r="BR82" s="1414"/>
      <c r="BS82" s="1411"/>
      <c r="BT82" s="1414"/>
      <c r="BU82" s="1411"/>
      <c r="BV82" s="1414"/>
      <c r="BW82" s="1411"/>
      <c r="BX82" s="1414"/>
      <c r="BY82" s="1411"/>
      <c r="BZ82" s="1414"/>
      <c r="CA82" s="1411"/>
      <c r="CB82" s="1414"/>
      <c r="CC82" s="1411"/>
      <c r="CD82" s="1414"/>
      <c r="CE82" s="1411"/>
      <c r="CF82" s="848"/>
      <c r="CG82" s="848"/>
      <c r="CH82" s="848"/>
      <c r="CI82" s="848"/>
      <c r="CJ82" s="848"/>
      <c r="CK82" s="848"/>
      <c r="CL82" s="1511"/>
    </row>
    <row r="83" spans="1:90">
      <c r="A83" s="1450" t="s">
        <v>1395</v>
      </c>
      <c r="B83" s="1414">
        <v>-3.1894984232612373E-5</v>
      </c>
      <c r="C83" s="1411">
        <v>4.4645534217250986E-5</v>
      </c>
      <c r="D83" s="1414">
        <v>0</v>
      </c>
      <c r="E83" s="1411">
        <v>0</v>
      </c>
      <c r="F83" s="1414">
        <v>3.1894984232612373E-5</v>
      </c>
      <c r="G83" s="1411">
        <v>-4.4645534217250986E-5</v>
      </c>
      <c r="H83" s="1414"/>
      <c r="I83" s="1411"/>
      <c r="J83" s="1414"/>
      <c r="K83" s="1411"/>
      <c r="L83" s="1414"/>
      <c r="M83" s="1411"/>
      <c r="N83" s="1414"/>
      <c r="O83" s="1411"/>
      <c r="P83" s="1414"/>
      <c r="Q83" s="1411"/>
      <c r="R83" s="1414"/>
      <c r="S83" s="1411"/>
      <c r="T83" s="1414"/>
      <c r="U83" s="1411"/>
      <c r="V83" s="1414"/>
      <c r="W83" s="1411"/>
      <c r="X83" s="1414"/>
      <c r="Y83" s="1411"/>
      <c r="Z83" s="1414"/>
      <c r="AA83" s="1411"/>
      <c r="AB83" s="1414"/>
      <c r="AC83" s="1411"/>
      <c r="AD83" s="1414"/>
      <c r="AE83" s="1411"/>
      <c r="AF83" s="1414"/>
      <c r="AG83" s="1411"/>
      <c r="AH83" s="1414"/>
      <c r="AI83" s="1411"/>
      <c r="AJ83" s="1414"/>
      <c r="AK83" s="1411"/>
      <c r="AL83" s="1414"/>
      <c r="AM83" s="1411"/>
      <c r="AN83" s="1414"/>
      <c r="AO83" s="1411"/>
      <c r="AP83" s="1414"/>
      <c r="AQ83" s="1411"/>
      <c r="AR83" s="1414"/>
      <c r="AS83" s="1411"/>
      <c r="AT83" s="1414"/>
      <c r="AU83" s="1411"/>
      <c r="AV83" s="1414"/>
      <c r="AW83" s="1411"/>
      <c r="AX83" s="1414"/>
      <c r="AY83" s="1411"/>
      <c r="AZ83" s="1414"/>
      <c r="BA83" s="1411"/>
      <c r="BB83" s="1414"/>
      <c r="BC83" s="1411"/>
      <c r="BD83" s="1414"/>
      <c r="BE83" s="1411"/>
      <c r="BF83" s="1414"/>
      <c r="BG83" s="1411"/>
      <c r="BH83" s="1414"/>
      <c r="BI83" s="1411"/>
      <c r="BJ83" s="1414"/>
      <c r="BK83" s="1411"/>
      <c r="BL83" s="1414"/>
      <c r="BM83" s="1411"/>
      <c r="BN83" s="1414"/>
      <c r="BO83" s="1411"/>
      <c r="BP83" s="1414"/>
      <c r="BQ83" s="1411"/>
      <c r="BR83" s="1414"/>
      <c r="BS83" s="1411"/>
      <c r="BT83" s="1414"/>
      <c r="BU83" s="1411"/>
      <c r="BV83" s="1414"/>
      <c r="BW83" s="1411"/>
      <c r="BX83" s="1414"/>
      <c r="BY83" s="1411"/>
      <c r="BZ83" s="1414"/>
      <c r="CA83" s="1411"/>
      <c r="CB83" s="1414"/>
      <c r="CC83" s="1411"/>
      <c r="CD83" s="1414"/>
      <c r="CE83" s="1411"/>
      <c r="CF83" s="848"/>
      <c r="CG83" s="848"/>
      <c r="CH83" s="848"/>
      <c r="CI83" s="848"/>
      <c r="CJ83" s="848"/>
      <c r="CK83" s="848"/>
      <c r="CL83" s="1511"/>
    </row>
    <row r="84" spans="1:90">
      <c r="A84" s="1446" t="s">
        <v>1396</v>
      </c>
      <c r="B84" s="1414">
        <v>1.5530018500696074E-5</v>
      </c>
      <c r="C84" s="1411">
        <v>-1.6700299641654648E-5</v>
      </c>
      <c r="D84" s="1414">
        <v>0</v>
      </c>
      <c r="E84" s="1411">
        <v>0</v>
      </c>
      <c r="F84" s="1414">
        <v>-1.5530018500696074E-5</v>
      </c>
      <c r="G84" s="1411">
        <v>1.6700299641654648E-5</v>
      </c>
      <c r="H84" s="1414"/>
      <c r="I84" s="1411"/>
      <c r="J84" s="1414"/>
      <c r="K84" s="1411"/>
      <c r="L84" s="1414"/>
      <c r="M84" s="1411"/>
      <c r="N84" s="1414"/>
      <c r="O84" s="1411"/>
      <c r="P84" s="1414"/>
      <c r="Q84" s="1411"/>
      <c r="R84" s="1414"/>
      <c r="S84" s="1411"/>
      <c r="T84" s="1414"/>
      <c r="U84" s="1411"/>
      <c r="V84" s="1414"/>
      <c r="W84" s="1411"/>
      <c r="X84" s="1414"/>
      <c r="Y84" s="1411"/>
      <c r="Z84" s="1414"/>
      <c r="AA84" s="1411"/>
      <c r="AB84" s="1414"/>
      <c r="AC84" s="1411"/>
      <c r="AD84" s="1414"/>
      <c r="AE84" s="1411"/>
      <c r="AF84" s="1414"/>
      <c r="AG84" s="1411"/>
      <c r="AH84" s="1414"/>
      <c r="AI84" s="1411"/>
      <c r="AJ84" s="1414"/>
      <c r="AK84" s="1411"/>
      <c r="AL84" s="1414"/>
      <c r="AM84" s="1411"/>
      <c r="AN84" s="1414"/>
      <c r="AO84" s="1411"/>
      <c r="AP84" s="1414"/>
      <c r="AQ84" s="1411"/>
      <c r="AR84" s="1414"/>
      <c r="AS84" s="1411"/>
      <c r="AT84" s="1414"/>
      <c r="AU84" s="1411"/>
      <c r="AV84" s="1414"/>
      <c r="AW84" s="1411"/>
      <c r="AX84" s="1414"/>
      <c r="AY84" s="1411"/>
      <c r="AZ84" s="1414"/>
      <c r="BA84" s="1411"/>
      <c r="BB84" s="1414"/>
      <c r="BC84" s="1411"/>
      <c r="BD84" s="1414"/>
      <c r="BE84" s="1411"/>
      <c r="BF84" s="1414"/>
      <c r="BG84" s="1411"/>
      <c r="BH84" s="1414"/>
      <c r="BI84" s="1411"/>
      <c r="BJ84" s="1414"/>
      <c r="BK84" s="1411"/>
      <c r="BL84" s="1414"/>
      <c r="BM84" s="1411"/>
      <c r="BN84" s="1414"/>
      <c r="BO84" s="1411"/>
      <c r="BP84" s="1414"/>
      <c r="BQ84" s="1411"/>
      <c r="BR84" s="1414"/>
      <c r="BS84" s="1411"/>
      <c r="BT84" s="1414"/>
      <c r="BU84" s="1411"/>
      <c r="BV84" s="1414"/>
      <c r="BW84" s="1411"/>
      <c r="BX84" s="1414"/>
      <c r="BY84" s="1411"/>
      <c r="BZ84" s="1414"/>
      <c r="CA84" s="1411"/>
      <c r="CB84" s="1414"/>
      <c r="CC84" s="1411"/>
      <c r="CD84" s="1414"/>
      <c r="CE84" s="1411"/>
      <c r="CF84" s="848"/>
      <c r="CG84" s="848"/>
      <c r="CH84" s="848"/>
      <c r="CI84" s="848"/>
      <c r="CJ84" s="848"/>
      <c r="CK84" s="848"/>
      <c r="CL84" s="1511"/>
    </row>
    <row r="85" spans="1:90">
      <c r="A85" s="1450" t="s">
        <v>1395</v>
      </c>
      <c r="B85" s="1414">
        <v>-8.350149820827324E-6</v>
      </c>
      <c r="C85" s="1411">
        <v>7.765009250348037E-6</v>
      </c>
      <c r="D85" s="1414">
        <v>0</v>
      </c>
      <c r="E85" s="1411">
        <v>0</v>
      </c>
      <c r="F85" s="1414">
        <v>8.350149820827324E-6</v>
      </c>
      <c r="G85" s="1411">
        <v>-7.765009250348037E-6</v>
      </c>
      <c r="H85" s="1414"/>
      <c r="I85" s="1411"/>
      <c r="J85" s="1414"/>
      <c r="K85" s="1411"/>
      <c r="L85" s="1414"/>
      <c r="M85" s="1411"/>
      <c r="N85" s="1414"/>
      <c r="O85" s="1411"/>
      <c r="P85" s="1414"/>
      <c r="Q85" s="1411"/>
      <c r="R85" s="1414"/>
      <c r="S85" s="1411"/>
      <c r="T85" s="1414"/>
      <c r="U85" s="1411"/>
      <c r="V85" s="1414"/>
      <c r="W85" s="1411"/>
      <c r="X85" s="1414"/>
      <c r="Y85" s="1411"/>
      <c r="Z85" s="1414"/>
      <c r="AA85" s="1411"/>
      <c r="AB85" s="1414"/>
      <c r="AC85" s="1411"/>
      <c r="AD85" s="1414"/>
      <c r="AE85" s="1411"/>
      <c r="AF85" s="1414"/>
      <c r="AG85" s="1411"/>
      <c r="AH85" s="1414"/>
      <c r="AI85" s="1411"/>
      <c r="AJ85" s="1414"/>
      <c r="AK85" s="1411"/>
      <c r="AL85" s="1414"/>
      <c r="AM85" s="1411"/>
      <c r="AN85" s="1414"/>
      <c r="AO85" s="1411"/>
      <c r="AP85" s="1414"/>
      <c r="AQ85" s="1411"/>
      <c r="AR85" s="1414"/>
      <c r="AS85" s="1411"/>
      <c r="AT85" s="1414"/>
      <c r="AU85" s="1411"/>
      <c r="AV85" s="1414"/>
      <c r="AW85" s="1411"/>
      <c r="AX85" s="1414"/>
      <c r="AY85" s="1411"/>
      <c r="AZ85" s="1414"/>
      <c r="BA85" s="1411"/>
      <c r="BB85" s="1414"/>
      <c r="BC85" s="1411"/>
      <c r="BD85" s="1414"/>
      <c r="BE85" s="1411"/>
      <c r="BF85" s="1414"/>
      <c r="BG85" s="1411"/>
      <c r="BH85" s="1414"/>
      <c r="BI85" s="1411"/>
      <c r="BJ85" s="1414"/>
      <c r="BK85" s="1411"/>
      <c r="BL85" s="1414"/>
      <c r="BM85" s="1411"/>
      <c r="BN85" s="1414"/>
      <c r="BO85" s="1411"/>
      <c r="BP85" s="1414"/>
      <c r="BQ85" s="1411"/>
      <c r="BR85" s="1414"/>
      <c r="BS85" s="1411"/>
      <c r="BT85" s="1414"/>
      <c r="BU85" s="1411"/>
      <c r="BV85" s="1414"/>
      <c r="BW85" s="1411"/>
      <c r="BX85" s="1414"/>
      <c r="BY85" s="1411"/>
      <c r="BZ85" s="1414"/>
      <c r="CA85" s="1411"/>
      <c r="CB85" s="1414"/>
      <c r="CC85" s="1411"/>
      <c r="CD85" s="1414"/>
      <c r="CE85" s="1411"/>
      <c r="CF85" s="848"/>
      <c r="CG85" s="848"/>
      <c r="CH85" s="848"/>
      <c r="CI85" s="848"/>
      <c r="CJ85" s="848"/>
      <c r="CK85" s="848"/>
      <c r="CL85" s="1511"/>
    </row>
    <row r="86" spans="1:90">
      <c r="A86" s="1446" t="s">
        <v>1396</v>
      </c>
      <c r="B86" s="1414">
        <v>4.0657797556907906E-6</v>
      </c>
      <c r="C86" s="1411">
        <v>-2.9046125995492049E-6</v>
      </c>
      <c r="D86" s="1414">
        <v>0</v>
      </c>
      <c r="E86" s="1411">
        <v>0</v>
      </c>
      <c r="F86" s="1414">
        <v>-4.0657797556907906E-6</v>
      </c>
      <c r="G86" s="1411">
        <v>2.9046125995492049E-6</v>
      </c>
      <c r="H86" s="1414"/>
      <c r="I86" s="1411"/>
      <c r="J86" s="1414"/>
      <c r="K86" s="1411"/>
      <c r="L86" s="1414"/>
      <c r="M86" s="1411"/>
      <c r="N86" s="1414"/>
      <c r="O86" s="1411"/>
      <c r="P86" s="1414"/>
      <c r="Q86" s="1411"/>
      <c r="R86" s="1414"/>
      <c r="S86" s="1411"/>
      <c r="T86" s="1414"/>
      <c r="U86" s="1411"/>
      <c r="V86" s="1414"/>
      <c r="W86" s="1411"/>
      <c r="X86" s="1414"/>
      <c r="Y86" s="1411"/>
      <c r="Z86" s="1414"/>
      <c r="AA86" s="1411"/>
      <c r="AB86" s="1414"/>
      <c r="AC86" s="1411"/>
      <c r="AD86" s="1414"/>
      <c r="AE86" s="1411"/>
      <c r="AF86" s="1414"/>
      <c r="AG86" s="1411"/>
      <c r="AH86" s="1414"/>
      <c r="AI86" s="1411"/>
      <c r="AJ86" s="1414"/>
      <c r="AK86" s="1411"/>
      <c r="AL86" s="1414"/>
      <c r="AM86" s="1411"/>
      <c r="AN86" s="1414"/>
      <c r="AO86" s="1411"/>
      <c r="AP86" s="1414"/>
      <c r="AQ86" s="1411"/>
      <c r="AR86" s="1414"/>
      <c r="AS86" s="1411"/>
      <c r="AT86" s="1414"/>
      <c r="AU86" s="1411"/>
      <c r="AV86" s="1414"/>
      <c r="AW86" s="1411"/>
      <c r="AX86" s="1414"/>
      <c r="AY86" s="1411"/>
      <c r="AZ86" s="1414"/>
      <c r="BA86" s="1411"/>
      <c r="BB86" s="1414"/>
      <c r="BC86" s="1411"/>
      <c r="BD86" s="1414"/>
      <c r="BE86" s="1411"/>
      <c r="BF86" s="1414"/>
      <c r="BG86" s="1411"/>
      <c r="BH86" s="1414"/>
      <c r="BI86" s="1411"/>
      <c r="BJ86" s="1414"/>
      <c r="BK86" s="1411"/>
      <c r="BL86" s="1414"/>
      <c r="BM86" s="1411"/>
      <c r="BN86" s="1414"/>
      <c r="BO86" s="1411"/>
      <c r="BP86" s="1414"/>
      <c r="BQ86" s="1411"/>
      <c r="BR86" s="1414"/>
      <c r="BS86" s="1411"/>
      <c r="BT86" s="1414"/>
      <c r="BU86" s="1411"/>
      <c r="BV86" s="1414"/>
      <c r="BW86" s="1411"/>
      <c r="BX86" s="1414"/>
      <c r="BY86" s="1411"/>
      <c r="BZ86" s="1414"/>
      <c r="CA86" s="1411"/>
      <c r="CB86" s="1414"/>
      <c r="CC86" s="1411"/>
      <c r="CD86" s="1414"/>
      <c r="CE86" s="1411"/>
      <c r="CF86" s="848"/>
      <c r="CG86" s="848"/>
      <c r="CH86" s="848"/>
      <c r="CI86" s="848"/>
      <c r="CJ86" s="848"/>
      <c r="CK86" s="848"/>
      <c r="CL86" s="1511"/>
    </row>
    <row r="87" spans="1:90">
      <c r="A87" s="1450" t="s">
        <v>1395</v>
      </c>
      <c r="B87" s="1414">
        <v>-1.4523062997746025E-6</v>
      </c>
      <c r="C87" s="1411">
        <v>2.0328898778453953E-6</v>
      </c>
      <c r="D87" s="1414">
        <v>0</v>
      </c>
      <c r="E87" s="1411">
        <v>0</v>
      </c>
      <c r="F87" s="1414">
        <v>1.4523062997746025E-6</v>
      </c>
      <c r="G87" s="1411">
        <v>-2.0328898778453953E-6</v>
      </c>
      <c r="H87" s="1414"/>
      <c r="I87" s="1411"/>
      <c r="J87" s="1414"/>
      <c r="K87" s="1411"/>
      <c r="L87" s="1414"/>
      <c r="M87" s="1411"/>
      <c r="N87" s="1414"/>
      <c r="O87" s="1411"/>
      <c r="P87" s="1414"/>
      <c r="Q87" s="1411"/>
      <c r="R87" s="1414"/>
      <c r="S87" s="1411"/>
      <c r="T87" s="1414"/>
      <c r="U87" s="1411"/>
      <c r="V87" s="1414"/>
      <c r="W87" s="1411"/>
      <c r="X87" s="1414"/>
      <c r="Y87" s="1411"/>
      <c r="Z87" s="1414"/>
      <c r="AA87" s="1411"/>
      <c r="AB87" s="1414"/>
      <c r="AC87" s="1411"/>
      <c r="AD87" s="1414"/>
      <c r="AE87" s="1411"/>
      <c r="AF87" s="1414"/>
      <c r="AG87" s="1411"/>
      <c r="AH87" s="1414"/>
      <c r="AI87" s="1411"/>
      <c r="AJ87" s="1414"/>
      <c r="AK87" s="1411"/>
      <c r="AL87" s="1414"/>
      <c r="AM87" s="1411"/>
      <c r="AN87" s="1414"/>
      <c r="AO87" s="1411"/>
      <c r="AP87" s="1414"/>
      <c r="AQ87" s="1411"/>
      <c r="AR87" s="1414"/>
      <c r="AS87" s="1411"/>
      <c r="AT87" s="1414"/>
      <c r="AU87" s="1411"/>
      <c r="AV87" s="1414"/>
      <c r="AW87" s="1411"/>
      <c r="AX87" s="1414"/>
      <c r="AY87" s="1411"/>
      <c r="AZ87" s="1414"/>
      <c r="BA87" s="1411"/>
      <c r="BB87" s="1414"/>
      <c r="BC87" s="1411"/>
      <c r="BD87" s="1414"/>
      <c r="BE87" s="1411"/>
      <c r="BF87" s="1414"/>
      <c r="BG87" s="1411"/>
      <c r="BH87" s="1414"/>
      <c r="BI87" s="1411"/>
      <c r="BJ87" s="1414"/>
      <c r="BK87" s="1411"/>
      <c r="BL87" s="1414"/>
      <c r="BM87" s="1411"/>
      <c r="BN87" s="1414"/>
      <c r="BO87" s="1411"/>
      <c r="BP87" s="1414"/>
      <c r="BQ87" s="1411"/>
      <c r="BR87" s="1414"/>
      <c r="BS87" s="1411"/>
      <c r="BT87" s="1414"/>
      <c r="BU87" s="1411"/>
      <c r="BV87" s="1414"/>
      <c r="BW87" s="1411"/>
      <c r="BX87" s="1414"/>
      <c r="BY87" s="1411"/>
      <c r="BZ87" s="1414"/>
      <c r="CA87" s="1411"/>
      <c r="CB87" s="1414"/>
      <c r="CC87" s="1411"/>
      <c r="CD87" s="1414"/>
      <c r="CE87" s="1411"/>
      <c r="CF87" s="848"/>
      <c r="CG87" s="848"/>
      <c r="CH87" s="848"/>
      <c r="CI87" s="848"/>
      <c r="CJ87" s="848"/>
      <c r="CK87" s="848"/>
      <c r="CL87" s="1511"/>
    </row>
    <row r="88" spans="1:90">
      <c r="A88" s="1446" t="s">
        <v>1396</v>
      </c>
      <c r="B88" s="1414">
        <v>7.0714390512585353E-7</v>
      </c>
      <c r="C88" s="1411">
        <v>-7.6043148981710753E-7</v>
      </c>
      <c r="D88" s="1414">
        <v>0</v>
      </c>
      <c r="E88" s="1411">
        <v>0</v>
      </c>
      <c r="F88" s="1414">
        <v>-7.0714390512585353E-7</v>
      </c>
      <c r="G88" s="1411">
        <v>7.6043148981710753E-7</v>
      </c>
      <c r="H88" s="1414"/>
      <c r="I88" s="1411"/>
      <c r="J88" s="1414"/>
      <c r="K88" s="1411"/>
      <c r="L88" s="1414"/>
      <c r="M88" s="1411"/>
      <c r="N88" s="1414"/>
      <c r="O88" s="1411"/>
      <c r="P88" s="1414"/>
      <c r="Q88" s="1411"/>
      <c r="R88" s="1414"/>
      <c r="S88" s="1411"/>
      <c r="T88" s="1414"/>
      <c r="U88" s="1411"/>
      <c r="V88" s="1414"/>
      <c r="W88" s="1411"/>
      <c r="X88" s="1414"/>
      <c r="Y88" s="1411"/>
      <c r="Z88" s="1414"/>
      <c r="AA88" s="1411"/>
      <c r="AB88" s="1414"/>
      <c r="AC88" s="1411"/>
      <c r="AD88" s="1414"/>
      <c r="AE88" s="1411"/>
      <c r="AF88" s="1414"/>
      <c r="AG88" s="1411"/>
      <c r="AH88" s="1414"/>
      <c r="AI88" s="1411"/>
      <c r="AJ88" s="1414"/>
      <c r="AK88" s="1411"/>
      <c r="AL88" s="1414"/>
      <c r="AM88" s="1411"/>
      <c r="AN88" s="1414"/>
      <c r="AO88" s="1411"/>
      <c r="AP88" s="1414"/>
      <c r="AQ88" s="1411"/>
      <c r="AR88" s="1414"/>
      <c r="AS88" s="1411"/>
      <c r="AT88" s="1414"/>
      <c r="AU88" s="1411"/>
      <c r="AV88" s="1414"/>
      <c r="AW88" s="1411"/>
      <c r="AX88" s="1414"/>
      <c r="AY88" s="1411"/>
      <c r="AZ88" s="1414"/>
      <c r="BA88" s="1411"/>
      <c r="BB88" s="1414"/>
      <c r="BC88" s="1411"/>
      <c r="BD88" s="1414"/>
      <c r="BE88" s="1411"/>
      <c r="BF88" s="1414"/>
      <c r="BG88" s="1411"/>
      <c r="BH88" s="1414"/>
      <c r="BI88" s="1411"/>
      <c r="BJ88" s="1414"/>
      <c r="BK88" s="1411"/>
      <c r="BL88" s="1414"/>
      <c r="BM88" s="1411"/>
      <c r="BN88" s="1414"/>
      <c r="BO88" s="1411"/>
      <c r="BP88" s="1414"/>
      <c r="BQ88" s="1411"/>
      <c r="BR88" s="1414"/>
      <c r="BS88" s="1411"/>
      <c r="BT88" s="1414"/>
      <c r="BU88" s="1411"/>
      <c r="BV88" s="1414"/>
      <c r="BW88" s="1411"/>
      <c r="BX88" s="1414"/>
      <c r="BY88" s="1411"/>
      <c r="BZ88" s="1414"/>
      <c r="CA88" s="1411"/>
      <c r="CB88" s="1414"/>
      <c r="CC88" s="1411"/>
      <c r="CD88" s="1414"/>
      <c r="CE88" s="1411"/>
      <c r="CF88" s="848"/>
      <c r="CG88" s="848"/>
      <c r="CH88" s="848"/>
      <c r="CI88" s="848"/>
      <c r="CJ88" s="848"/>
      <c r="CK88" s="848"/>
      <c r="CL88" s="1511"/>
    </row>
    <row r="89" spans="1:90">
      <c r="A89" s="1451" t="s">
        <v>1395</v>
      </c>
      <c r="B89" s="1414">
        <v>-3.8021574490855376E-7</v>
      </c>
      <c r="C89" s="1411">
        <v>3.5357195256292676E-7</v>
      </c>
      <c r="D89" s="1414">
        <v>0</v>
      </c>
      <c r="E89" s="1411">
        <v>0</v>
      </c>
      <c r="F89" s="1414">
        <v>3.8021574490855376E-7</v>
      </c>
      <c r="G89" s="1411">
        <v>-3.5357195256292676E-7</v>
      </c>
      <c r="H89" s="1414"/>
      <c r="I89" s="1411"/>
      <c r="J89" s="1414"/>
      <c r="K89" s="1411"/>
      <c r="L89" s="1414"/>
      <c r="M89" s="1411"/>
      <c r="N89" s="1414"/>
      <c r="O89" s="1411"/>
      <c r="P89" s="1414"/>
      <c r="Q89" s="1411"/>
      <c r="R89" s="1414"/>
      <c r="S89" s="1411"/>
      <c r="T89" s="1414"/>
      <c r="U89" s="1411"/>
      <c r="V89" s="1414"/>
      <c r="W89" s="1411"/>
      <c r="X89" s="1414"/>
      <c r="Y89" s="1411"/>
      <c r="Z89" s="1414"/>
      <c r="AA89" s="1411"/>
      <c r="AB89" s="1414"/>
      <c r="AC89" s="1411"/>
      <c r="AD89" s="1414"/>
      <c r="AE89" s="1411"/>
      <c r="AF89" s="1414"/>
      <c r="AG89" s="1411"/>
      <c r="AH89" s="1414"/>
      <c r="AI89" s="1411"/>
      <c r="AJ89" s="1414"/>
      <c r="AK89" s="1411"/>
      <c r="AL89" s="1414"/>
      <c r="AM89" s="1411"/>
      <c r="AN89" s="1414"/>
      <c r="AO89" s="1411"/>
      <c r="AP89" s="1414"/>
      <c r="AQ89" s="1411"/>
      <c r="AR89" s="1414"/>
      <c r="AS89" s="1411"/>
      <c r="AT89" s="1414"/>
      <c r="AU89" s="1411"/>
      <c r="AV89" s="1414"/>
      <c r="AW89" s="1411"/>
      <c r="AX89" s="1414"/>
      <c r="AY89" s="1411"/>
      <c r="AZ89" s="1414"/>
      <c r="BA89" s="1411"/>
      <c r="BB89" s="1414"/>
      <c r="BC89" s="1411"/>
      <c r="BD89" s="1414"/>
      <c r="BE89" s="1411"/>
      <c r="BF89" s="1414"/>
      <c r="BG89" s="1411"/>
      <c r="BH89" s="1414"/>
      <c r="BI89" s="1411"/>
      <c r="BJ89" s="1414"/>
      <c r="BK89" s="1411"/>
      <c r="BL89" s="1414"/>
      <c r="BM89" s="1411"/>
      <c r="BN89" s="1414"/>
      <c r="BO89" s="1411"/>
      <c r="BP89" s="1414"/>
      <c r="BQ89" s="1411"/>
      <c r="BR89" s="1414"/>
      <c r="BS89" s="1411"/>
      <c r="BT89" s="1414"/>
      <c r="BU89" s="1411"/>
      <c r="BV89" s="1414"/>
      <c r="BW89" s="1411"/>
      <c r="BX89" s="1414"/>
      <c r="BY89" s="1411"/>
      <c r="BZ89" s="1414"/>
      <c r="CA89" s="1411"/>
      <c r="CB89" s="1414"/>
      <c r="CC89" s="1411"/>
      <c r="CD89" s="1414"/>
      <c r="CE89" s="1411"/>
      <c r="CF89" s="848"/>
      <c r="CG89" s="848"/>
      <c r="CH89" s="848"/>
      <c r="CI89" s="848"/>
      <c r="CJ89" s="848"/>
      <c r="CK89" s="848"/>
      <c r="CL89" s="1511"/>
    </row>
    <row r="90" spans="1:90">
      <c r="A90" s="1452" t="s">
        <v>835</v>
      </c>
      <c r="B90" s="1441">
        <f>SUM(B67:B89)</f>
        <v>53.270554576977311</v>
      </c>
      <c r="C90" s="1370">
        <f>SUM(C67:C89)</f>
        <v>-56.321931801797199</v>
      </c>
      <c r="D90" s="1371">
        <f t="shared" ref="D90:BO90" si="77">SUM(D67:D89)</f>
        <v>0</v>
      </c>
      <c r="E90" s="1370">
        <f t="shared" si="77"/>
        <v>0</v>
      </c>
      <c r="F90" s="1371">
        <f t="shared" si="77"/>
        <v>-53.270554576977311</v>
      </c>
      <c r="G90" s="1370">
        <f t="shared" si="77"/>
        <v>56.321931801797199</v>
      </c>
      <c r="H90" s="1371">
        <f t="shared" si="77"/>
        <v>0</v>
      </c>
      <c r="I90" s="1370">
        <f t="shared" si="77"/>
        <v>0</v>
      </c>
      <c r="J90" s="1371">
        <f t="shared" si="77"/>
        <v>0</v>
      </c>
      <c r="K90" s="1370">
        <f t="shared" si="77"/>
        <v>0</v>
      </c>
      <c r="L90" s="1371">
        <f t="shared" si="77"/>
        <v>0</v>
      </c>
      <c r="M90" s="1370">
        <f t="shared" si="77"/>
        <v>0</v>
      </c>
      <c r="N90" s="1371">
        <f t="shared" si="77"/>
        <v>0</v>
      </c>
      <c r="O90" s="1370">
        <f t="shared" si="77"/>
        <v>0</v>
      </c>
      <c r="P90" s="1371">
        <f t="shared" si="77"/>
        <v>0</v>
      </c>
      <c r="Q90" s="1370">
        <f t="shared" si="77"/>
        <v>0</v>
      </c>
      <c r="R90" s="1371">
        <f t="shared" si="77"/>
        <v>0</v>
      </c>
      <c r="S90" s="1370">
        <f t="shared" si="77"/>
        <v>0</v>
      </c>
      <c r="T90" s="1371">
        <f t="shared" si="77"/>
        <v>0</v>
      </c>
      <c r="U90" s="1370">
        <f t="shared" si="77"/>
        <v>0</v>
      </c>
      <c r="V90" s="1371">
        <f t="shared" si="77"/>
        <v>0</v>
      </c>
      <c r="W90" s="1370">
        <f t="shared" si="77"/>
        <v>0</v>
      </c>
      <c r="X90" s="1371">
        <f t="shared" si="77"/>
        <v>0</v>
      </c>
      <c r="Y90" s="1370">
        <f t="shared" si="77"/>
        <v>0</v>
      </c>
      <c r="Z90" s="1371">
        <f t="shared" si="77"/>
        <v>0</v>
      </c>
      <c r="AA90" s="1370">
        <f t="shared" si="77"/>
        <v>0</v>
      </c>
      <c r="AB90" s="1371">
        <f t="shared" si="77"/>
        <v>0</v>
      </c>
      <c r="AC90" s="1370">
        <f t="shared" si="77"/>
        <v>0</v>
      </c>
      <c r="AD90" s="1371">
        <f t="shared" si="77"/>
        <v>0</v>
      </c>
      <c r="AE90" s="1370">
        <f t="shared" si="77"/>
        <v>0</v>
      </c>
      <c r="AF90" s="1371">
        <f t="shared" si="77"/>
        <v>0</v>
      </c>
      <c r="AG90" s="1370">
        <f t="shared" si="77"/>
        <v>0</v>
      </c>
      <c r="AH90" s="1371">
        <f t="shared" si="77"/>
        <v>0</v>
      </c>
      <c r="AI90" s="1370">
        <f t="shared" si="77"/>
        <v>0</v>
      </c>
      <c r="AJ90" s="1371">
        <f t="shared" si="77"/>
        <v>0</v>
      </c>
      <c r="AK90" s="1370">
        <f t="shared" si="77"/>
        <v>0</v>
      </c>
      <c r="AL90" s="1371">
        <f t="shared" si="77"/>
        <v>0</v>
      </c>
      <c r="AM90" s="1370">
        <f t="shared" si="77"/>
        <v>0</v>
      </c>
      <c r="AN90" s="1371">
        <f t="shared" si="77"/>
        <v>0</v>
      </c>
      <c r="AO90" s="1370">
        <f t="shared" si="77"/>
        <v>0</v>
      </c>
      <c r="AP90" s="1371">
        <f t="shared" si="77"/>
        <v>0</v>
      </c>
      <c r="AQ90" s="1370">
        <f t="shared" si="77"/>
        <v>0</v>
      </c>
      <c r="AR90" s="1371">
        <f t="shared" si="77"/>
        <v>0</v>
      </c>
      <c r="AS90" s="1370">
        <f t="shared" si="77"/>
        <v>0</v>
      </c>
      <c r="AT90" s="1371">
        <f t="shared" si="77"/>
        <v>0</v>
      </c>
      <c r="AU90" s="1370">
        <f t="shared" si="77"/>
        <v>0</v>
      </c>
      <c r="AV90" s="1371">
        <f t="shared" si="77"/>
        <v>0</v>
      </c>
      <c r="AW90" s="1370">
        <f t="shared" si="77"/>
        <v>0</v>
      </c>
      <c r="AX90" s="1371">
        <f t="shared" si="77"/>
        <v>0</v>
      </c>
      <c r="AY90" s="1370">
        <f t="shared" si="77"/>
        <v>0</v>
      </c>
      <c r="AZ90" s="1371">
        <f t="shared" si="77"/>
        <v>0</v>
      </c>
      <c r="BA90" s="1370">
        <f t="shared" si="77"/>
        <v>0</v>
      </c>
      <c r="BB90" s="1371">
        <f t="shared" si="77"/>
        <v>0</v>
      </c>
      <c r="BC90" s="1370">
        <f t="shared" si="77"/>
        <v>0</v>
      </c>
      <c r="BD90" s="1371">
        <f t="shared" si="77"/>
        <v>0</v>
      </c>
      <c r="BE90" s="1370">
        <f t="shared" si="77"/>
        <v>0</v>
      </c>
      <c r="BF90" s="1371">
        <f t="shared" si="77"/>
        <v>0</v>
      </c>
      <c r="BG90" s="1370">
        <f t="shared" si="77"/>
        <v>0</v>
      </c>
      <c r="BH90" s="1371">
        <f t="shared" si="77"/>
        <v>0</v>
      </c>
      <c r="BI90" s="1370">
        <f t="shared" si="77"/>
        <v>0</v>
      </c>
      <c r="BJ90" s="1371">
        <f t="shared" si="77"/>
        <v>0</v>
      </c>
      <c r="BK90" s="1370">
        <f t="shared" si="77"/>
        <v>0</v>
      </c>
      <c r="BL90" s="1371">
        <f t="shared" si="77"/>
        <v>0</v>
      </c>
      <c r="BM90" s="1370">
        <f t="shared" si="77"/>
        <v>0</v>
      </c>
      <c r="BN90" s="1371">
        <f t="shared" si="77"/>
        <v>0</v>
      </c>
      <c r="BO90" s="1370">
        <f t="shared" si="77"/>
        <v>0</v>
      </c>
      <c r="BP90" s="1371">
        <f t="shared" ref="BP90:CE90" si="78">SUM(BP67:BP89)</f>
        <v>0</v>
      </c>
      <c r="BQ90" s="1370">
        <f t="shared" si="78"/>
        <v>0</v>
      </c>
      <c r="BR90" s="1371">
        <f t="shared" si="78"/>
        <v>0</v>
      </c>
      <c r="BS90" s="1370">
        <f t="shared" si="78"/>
        <v>0</v>
      </c>
      <c r="BT90" s="1371">
        <f t="shared" si="78"/>
        <v>0</v>
      </c>
      <c r="BU90" s="1370">
        <f t="shared" si="78"/>
        <v>0</v>
      </c>
      <c r="BV90" s="1371">
        <f t="shared" si="78"/>
        <v>0</v>
      </c>
      <c r="BW90" s="1370">
        <f t="shared" si="78"/>
        <v>0</v>
      </c>
      <c r="BX90" s="1371">
        <f t="shared" si="78"/>
        <v>0</v>
      </c>
      <c r="BY90" s="1370">
        <f t="shared" si="78"/>
        <v>0</v>
      </c>
      <c r="BZ90" s="1371">
        <f t="shared" si="78"/>
        <v>0</v>
      </c>
      <c r="CA90" s="1370">
        <f t="shared" si="78"/>
        <v>0</v>
      </c>
      <c r="CB90" s="1371">
        <f t="shared" si="78"/>
        <v>0</v>
      </c>
      <c r="CC90" s="1370">
        <f t="shared" si="78"/>
        <v>0</v>
      </c>
      <c r="CD90" s="1371">
        <f t="shared" si="78"/>
        <v>0</v>
      </c>
      <c r="CE90" s="1370">
        <f t="shared" si="78"/>
        <v>0</v>
      </c>
    </row>
    <row r="91" spans="1:90">
      <c r="A91" s="423"/>
      <c r="B91" s="56"/>
      <c r="C91" s="423"/>
      <c r="D91" s="56"/>
      <c r="E91" s="423"/>
      <c r="F91" s="56"/>
      <c r="G91" s="423"/>
      <c r="H91" s="56"/>
      <c r="I91" s="423"/>
      <c r="J91" s="56"/>
      <c r="K91" s="423"/>
      <c r="L91" s="56"/>
      <c r="M91" s="423"/>
      <c r="N91" s="56"/>
      <c r="O91" s="423"/>
      <c r="P91" s="56"/>
      <c r="Q91" s="423"/>
      <c r="R91" s="56"/>
      <c r="S91" s="423"/>
      <c r="T91" s="56"/>
      <c r="U91" s="423"/>
      <c r="V91" s="56"/>
      <c r="W91" s="423"/>
      <c r="X91" s="56"/>
      <c r="Y91" s="423"/>
      <c r="Z91" s="56"/>
      <c r="AA91" s="423"/>
      <c r="AB91" s="56"/>
      <c r="AC91" s="423"/>
      <c r="AD91" s="56"/>
      <c r="AE91" s="423"/>
      <c r="AF91" s="56"/>
      <c r="AG91" s="423"/>
      <c r="AH91" s="56"/>
      <c r="AI91" s="423"/>
      <c r="AJ91" s="56"/>
      <c r="AK91" s="423"/>
      <c r="AL91" s="56"/>
      <c r="AM91" s="423"/>
      <c r="AN91" s="56"/>
      <c r="AO91" s="423"/>
      <c r="AP91" s="56"/>
      <c r="AQ91" s="423"/>
      <c r="AR91" s="56"/>
      <c r="AS91" s="423"/>
      <c r="AT91" s="56"/>
      <c r="AU91" s="423"/>
      <c r="AV91" s="56"/>
      <c r="AW91" s="423"/>
      <c r="AX91" s="56"/>
      <c r="AY91" s="423"/>
      <c r="AZ91" s="56"/>
      <c r="BA91" s="423"/>
      <c r="BB91" s="56"/>
      <c r="BC91" s="423"/>
      <c r="BD91" s="56"/>
      <c r="BE91" s="423"/>
      <c r="BF91" s="56"/>
      <c r="BG91" s="423"/>
      <c r="BH91" s="56"/>
      <c r="BI91" s="423"/>
      <c r="BJ91" s="56"/>
      <c r="BK91" s="423"/>
      <c r="BL91" s="56"/>
      <c r="BM91" s="423"/>
      <c r="BN91" s="56"/>
      <c r="BO91" s="423"/>
      <c r="BP91" s="56"/>
      <c r="BQ91" s="423"/>
      <c r="BR91" s="56"/>
      <c r="BS91" s="423"/>
      <c r="BT91" s="56"/>
      <c r="BU91" s="423"/>
      <c r="BV91" s="56"/>
      <c r="BW91" s="423"/>
      <c r="BX91" s="56"/>
      <c r="BY91" s="423"/>
      <c r="BZ91" s="56"/>
      <c r="CA91" s="423"/>
      <c r="CB91" s="56"/>
      <c r="CC91" s="423"/>
      <c r="CD91" s="56"/>
    </row>
    <row r="92" spans="1:90">
      <c r="A92" s="1379" t="s">
        <v>1400</v>
      </c>
      <c r="B92" s="58"/>
      <c r="C92" s="1378"/>
      <c r="D92" s="1377"/>
      <c r="E92" s="1378"/>
      <c r="F92" s="1377"/>
      <c r="G92" s="1378"/>
      <c r="H92" s="1377"/>
      <c r="I92" s="1378"/>
      <c r="J92" s="1377"/>
      <c r="K92" s="1378"/>
      <c r="L92" s="1377"/>
      <c r="M92" s="1378"/>
      <c r="N92" s="1377"/>
      <c r="O92" s="1378"/>
      <c r="P92" s="1377"/>
      <c r="Q92" s="1378"/>
      <c r="R92" s="1377"/>
      <c r="S92" s="1378"/>
      <c r="T92" s="1377"/>
      <c r="U92" s="1378"/>
      <c r="V92" s="1377"/>
      <c r="W92" s="1378"/>
      <c r="X92" s="1377"/>
      <c r="Y92" s="1378"/>
      <c r="Z92" s="1377"/>
      <c r="AA92" s="1378"/>
      <c r="AB92" s="1377"/>
      <c r="AC92" s="1378"/>
      <c r="AD92" s="1377"/>
      <c r="AE92" s="1378"/>
      <c r="AF92" s="1377"/>
      <c r="AG92" s="1378"/>
      <c r="AH92" s="1377"/>
      <c r="AI92" s="1378"/>
      <c r="AJ92" s="1377"/>
      <c r="AK92" s="1378"/>
      <c r="AL92" s="1377"/>
      <c r="AM92" s="1378"/>
      <c r="AN92" s="1377"/>
      <c r="AO92" s="1378"/>
      <c r="AP92" s="1377"/>
      <c r="AQ92" s="1378"/>
      <c r="AR92" s="1377"/>
      <c r="AS92" s="1378"/>
      <c r="AT92" s="1377"/>
      <c r="AU92" s="1378"/>
      <c r="AV92" s="1377"/>
      <c r="AW92" s="1378"/>
      <c r="AX92" s="1377"/>
      <c r="AY92" s="1378"/>
      <c r="AZ92" s="1377"/>
      <c r="BA92" s="1378"/>
      <c r="BB92" s="1377"/>
      <c r="BC92" s="1378"/>
      <c r="BD92" s="1377"/>
      <c r="BE92" s="1378"/>
      <c r="BF92" s="1377"/>
      <c r="BG92" s="1378"/>
      <c r="BH92" s="1377"/>
      <c r="BI92" s="1378"/>
      <c r="BJ92" s="1377"/>
      <c r="BK92" s="1378"/>
      <c r="BL92" s="1377"/>
      <c r="BM92" s="1378"/>
      <c r="BN92" s="1377"/>
      <c r="BO92" s="1378"/>
      <c r="BP92" s="1377"/>
      <c r="BQ92" s="1378"/>
      <c r="BR92" s="1377"/>
      <c r="BS92" s="1378"/>
      <c r="BT92" s="1377"/>
      <c r="BU92" s="1378"/>
      <c r="BV92" s="1377"/>
      <c r="BW92" s="1378"/>
      <c r="BX92" s="1377"/>
      <c r="BY92" s="1378"/>
      <c r="BZ92" s="1377"/>
      <c r="CA92" s="1378"/>
      <c r="CB92" s="1377"/>
      <c r="CC92" s="1378"/>
      <c r="CD92" s="1377"/>
    </row>
    <row r="93" spans="1:90">
      <c r="A93" s="1380"/>
      <c r="B93" s="60"/>
      <c r="C93" s="3178"/>
      <c r="D93" s="3179"/>
      <c r="E93" s="3178"/>
      <c r="F93" s="3179"/>
      <c r="G93" s="3178"/>
      <c r="H93" s="3179"/>
      <c r="I93" s="3178"/>
      <c r="J93" s="3179"/>
      <c r="K93" s="3178"/>
      <c r="L93" s="3179"/>
      <c r="M93" s="3178"/>
      <c r="N93" s="3179"/>
      <c r="O93" s="3178"/>
      <c r="P93" s="3179"/>
      <c r="Q93" s="3178"/>
      <c r="R93" s="3179"/>
      <c r="S93" s="3178"/>
      <c r="T93" s="3179"/>
      <c r="U93" s="3178"/>
      <c r="V93" s="3179"/>
      <c r="W93" s="3178"/>
      <c r="X93" s="3179"/>
      <c r="Y93" s="3178"/>
      <c r="Z93" s="3179"/>
      <c r="AA93" s="3178"/>
      <c r="AB93" s="3179"/>
      <c r="AC93" s="3178"/>
      <c r="AD93" s="3179"/>
      <c r="AE93" s="3178"/>
      <c r="AF93" s="3179"/>
      <c r="AG93" s="3178"/>
      <c r="AH93" s="3179"/>
      <c r="AI93" s="3178"/>
      <c r="AJ93" s="3179"/>
      <c r="AK93" s="3178"/>
      <c r="AL93" s="3179"/>
      <c r="AM93" s="3178"/>
      <c r="AN93" s="3179"/>
      <c r="AO93" s="3178"/>
      <c r="AP93" s="3179"/>
      <c r="AQ93" s="3178"/>
      <c r="AR93" s="3179"/>
      <c r="AS93" s="3178"/>
      <c r="AT93" s="3179"/>
      <c r="AU93" s="3178"/>
      <c r="AV93" s="3179"/>
      <c r="AW93" s="3178"/>
      <c r="AX93" s="3179"/>
      <c r="AY93" s="3178"/>
      <c r="AZ93" s="3179"/>
      <c r="BA93" s="3178"/>
      <c r="BB93" s="3179"/>
      <c r="BC93" s="3178"/>
      <c r="BD93" s="3179"/>
      <c r="BE93" s="3178"/>
      <c r="BF93" s="3179"/>
      <c r="BG93" s="3178"/>
      <c r="BH93" s="3179"/>
      <c r="BI93" s="3178"/>
      <c r="BJ93" s="3179"/>
      <c r="BK93" s="3178"/>
      <c r="BL93" s="3179"/>
      <c r="BM93" s="3178"/>
      <c r="BN93" s="3179"/>
      <c r="BO93" s="3178"/>
      <c r="BP93" s="3179"/>
      <c r="BQ93" s="3178"/>
      <c r="BR93" s="3179"/>
      <c r="BS93" s="3178"/>
      <c r="BT93" s="3179"/>
      <c r="BU93" s="3178"/>
      <c r="BV93" s="3179"/>
      <c r="BW93" s="3178"/>
      <c r="BX93" s="3179"/>
      <c r="BY93" s="3178"/>
      <c r="BZ93" s="3179"/>
      <c r="CA93" s="3178"/>
      <c r="CB93" s="3179"/>
      <c r="CC93" s="3178"/>
      <c r="CD93" s="3179"/>
    </row>
    <row r="94" spans="1:90">
      <c r="C94" s="3177"/>
      <c r="D94" s="3177"/>
      <c r="E94" s="3177"/>
      <c r="F94" s="3177"/>
      <c r="G94" s="3177"/>
      <c r="H94" s="3177"/>
      <c r="I94" s="3177"/>
      <c r="J94" s="3177"/>
      <c r="K94" s="3177"/>
      <c r="L94" s="3177"/>
      <c r="M94" s="3177"/>
      <c r="N94" s="3177"/>
      <c r="O94" s="3177"/>
      <c r="P94" s="3177"/>
      <c r="Q94" s="3177"/>
      <c r="R94" s="3177"/>
      <c r="S94" s="3177"/>
      <c r="T94" s="3177"/>
      <c r="U94" s="3177"/>
      <c r="V94" s="3177"/>
      <c r="W94" s="3177"/>
      <c r="X94" s="3177"/>
      <c r="Y94" s="3177"/>
      <c r="Z94" s="3177"/>
      <c r="AA94" s="3177"/>
      <c r="AB94" s="3177"/>
      <c r="AC94" s="3177"/>
      <c r="AD94" s="3177"/>
      <c r="AE94" s="3177"/>
      <c r="AF94" s="3177"/>
      <c r="AG94" s="3177"/>
      <c r="AH94" s="3177"/>
      <c r="AI94" s="3177"/>
      <c r="AJ94" s="3177"/>
      <c r="AK94" s="3177"/>
      <c r="AL94" s="3177"/>
      <c r="AM94" s="3177"/>
      <c r="AN94" s="3177"/>
      <c r="AO94" s="3177"/>
      <c r="AP94" s="3177"/>
      <c r="AQ94" s="3177"/>
      <c r="AR94" s="3177"/>
      <c r="AS94" s="3177"/>
      <c r="AT94" s="3177"/>
      <c r="AU94" s="3177"/>
      <c r="AV94" s="3177"/>
      <c r="AW94" s="3177"/>
      <c r="AX94" s="3177"/>
      <c r="AY94" s="3177"/>
      <c r="AZ94" s="3177"/>
      <c r="BA94" s="3177"/>
      <c r="BB94" s="3177"/>
      <c r="BC94" s="3177"/>
      <c r="BD94" s="3177"/>
      <c r="BE94" s="3177"/>
      <c r="BF94" s="3177"/>
      <c r="BG94" s="3177"/>
      <c r="BH94" s="3177"/>
      <c r="BI94" s="3177"/>
      <c r="BJ94" s="3177"/>
      <c r="BK94" s="3177"/>
      <c r="BL94" s="3177"/>
      <c r="BM94" s="3177"/>
      <c r="BN94" s="3177"/>
      <c r="BO94" s="3177"/>
      <c r="BP94" s="3177"/>
      <c r="BQ94" s="3177"/>
      <c r="BR94" s="3177"/>
      <c r="BS94" s="3177"/>
      <c r="BT94" s="3177"/>
      <c r="BU94" s="3177"/>
      <c r="BV94" s="3177"/>
      <c r="BW94" s="3177"/>
      <c r="BX94" s="3177"/>
      <c r="BY94" s="3177"/>
      <c r="BZ94" s="3177"/>
      <c r="CA94" s="3177"/>
      <c r="CB94" s="3177"/>
      <c r="CC94" s="3177"/>
      <c r="CD94" s="3177"/>
    </row>
    <row r="95" spans="1:90">
      <c r="A95" s="187" t="s">
        <v>1439</v>
      </c>
      <c r="C95" s="85">
        <f>B90+C56</f>
        <v>-3.8021573800506303E-7</v>
      </c>
      <c r="D95" s="115">
        <f>D90+D56+E56</f>
        <v>0</v>
      </c>
      <c r="E95" s="115"/>
      <c r="F95" s="115">
        <f t="shared" ref="F95:BP95" si="79">F90+F56+G56</f>
        <v>3.8021573800506303E-7</v>
      </c>
      <c r="G95" s="115"/>
      <c r="H95" s="115">
        <f t="shared" si="79"/>
        <v>0</v>
      </c>
      <c r="I95" s="115"/>
      <c r="J95" s="115">
        <f t="shared" si="79"/>
        <v>0</v>
      </c>
      <c r="K95" s="115"/>
      <c r="L95" s="115">
        <f t="shared" si="79"/>
        <v>0</v>
      </c>
      <c r="M95" s="115"/>
      <c r="N95" s="115">
        <f t="shared" si="79"/>
        <v>0</v>
      </c>
      <c r="O95" s="115"/>
      <c r="P95" s="115">
        <f t="shared" si="79"/>
        <v>0</v>
      </c>
      <c r="Q95" s="115"/>
      <c r="R95" s="115">
        <f t="shared" si="79"/>
        <v>0</v>
      </c>
      <c r="S95" s="115"/>
      <c r="T95" s="115">
        <f t="shared" si="79"/>
        <v>0</v>
      </c>
      <c r="U95" s="115"/>
      <c r="V95" s="115">
        <f t="shared" si="79"/>
        <v>0</v>
      </c>
      <c r="W95" s="115"/>
      <c r="X95" s="115">
        <f t="shared" si="79"/>
        <v>0</v>
      </c>
      <c r="Y95" s="115"/>
      <c r="Z95" s="115">
        <f t="shared" si="79"/>
        <v>0</v>
      </c>
      <c r="AA95" s="115"/>
      <c r="AB95" s="115">
        <f t="shared" si="79"/>
        <v>0</v>
      </c>
      <c r="AC95" s="115"/>
      <c r="AD95" s="115">
        <f t="shared" si="79"/>
        <v>0</v>
      </c>
      <c r="AE95" s="115"/>
      <c r="AF95" s="115">
        <f t="shared" si="79"/>
        <v>0</v>
      </c>
      <c r="AG95" s="115"/>
      <c r="AH95" s="115">
        <f t="shared" si="79"/>
        <v>0</v>
      </c>
      <c r="AI95" s="115"/>
      <c r="AJ95" s="115">
        <f t="shared" si="79"/>
        <v>0</v>
      </c>
      <c r="AK95" s="115"/>
      <c r="AL95" s="115">
        <f t="shared" si="79"/>
        <v>0</v>
      </c>
      <c r="AM95" s="115"/>
      <c r="AN95" s="115">
        <f t="shared" si="79"/>
        <v>0</v>
      </c>
      <c r="AO95" s="115"/>
      <c r="AP95" s="115">
        <f t="shared" si="79"/>
        <v>0</v>
      </c>
      <c r="AQ95" s="115"/>
      <c r="AR95" s="115">
        <f t="shared" si="79"/>
        <v>0</v>
      </c>
      <c r="AS95" s="115"/>
      <c r="AT95" s="115">
        <f t="shared" si="79"/>
        <v>0</v>
      </c>
      <c r="AU95" s="115"/>
      <c r="AV95" s="115">
        <f t="shared" si="79"/>
        <v>0</v>
      </c>
      <c r="AW95" s="115"/>
      <c r="AX95" s="115">
        <f t="shared" si="79"/>
        <v>0</v>
      </c>
      <c r="AY95" s="115"/>
      <c r="AZ95" s="115">
        <f t="shared" si="79"/>
        <v>0</v>
      </c>
      <c r="BA95" s="115"/>
      <c r="BB95" s="115">
        <f t="shared" si="79"/>
        <v>0</v>
      </c>
      <c r="BC95" s="115"/>
      <c r="BD95" s="115">
        <f t="shared" si="79"/>
        <v>0</v>
      </c>
      <c r="BE95" s="115"/>
      <c r="BF95" s="115">
        <f t="shared" si="79"/>
        <v>0</v>
      </c>
      <c r="BG95" s="115"/>
      <c r="BH95" s="115">
        <f t="shared" si="79"/>
        <v>0</v>
      </c>
      <c r="BI95" s="115"/>
      <c r="BJ95" s="115">
        <f t="shared" si="79"/>
        <v>0</v>
      </c>
      <c r="BK95" s="115"/>
      <c r="BL95" s="115">
        <f t="shared" si="79"/>
        <v>0</v>
      </c>
      <c r="BM95" s="115"/>
      <c r="BN95" s="115">
        <f t="shared" si="79"/>
        <v>0</v>
      </c>
      <c r="BO95" s="115"/>
      <c r="BP95" s="115">
        <f t="shared" si="79"/>
        <v>0</v>
      </c>
      <c r="BQ95" s="115"/>
      <c r="BR95" s="115">
        <f t="shared" ref="BR95:BZ95" si="80">BR90+BR56+BS56</f>
        <v>0</v>
      </c>
      <c r="BS95" s="115"/>
      <c r="BT95" s="115">
        <f t="shared" si="80"/>
        <v>0</v>
      </c>
      <c r="BU95" s="115"/>
      <c r="BV95" s="115">
        <f t="shared" si="80"/>
        <v>0</v>
      </c>
      <c r="BW95" s="115"/>
      <c r="BX95" s="115">
        <f t="shared" si="80"/>
        <v>0</v>
      </c>
      <c r="BY95" s="115"/>
      <c r="BZ95" s="115">
        <f t="shared" si="80"/>
        <v>0</v>
      </c>
      <c r="CA95" s="115">
        <f t="shared" ref="CA95:CD95" si="81">CA90+CA56+CB56</f>
        <v>0</v>
      </c>
      <c r="CB95" s="115">
        <f t="shared" si="81"/>
        <v>0</v>
      </c>
      <c r="CC95" s="115">
        <f t="shared" si="81"/>
        <v>0</v>
      </c>
      <c r="CD95" s="115">
        <f t="shared" si="81"/>
        <v>0</v>
      </c>
    </row>
    <row r="97" spans="1:162">
      <c r="A97" s="709" t="s">
        <v>1458</v>
      </c>
      <c r="B97" s="709"/>
      <c r="C97" s="709"/>
      <c r="G97" s="115"/>
      <c r="H97" s="115"/>
      <c r="I97" s="115"/>
      <c r="J97" s="115"/>
    </row>
    <row r="99" spans="1:162">
      <c r="B99" s="2" t="s">
        <v>1463</v>
      </c>
      <c r="C99" s="1401">
        <v>1</v>
      </c>
      <c r="D99" s="1401"/>
      <c r="E99" s="1401">
        <v>2</v>
      </c>
      <c r="F99" s="1401"/>
      <c r="G99" s="1401">
        <v>3</v>
      </c>
      <c r="H99" s="1401"/>
      <c r="I99" s="1401">
        <v>4</v>
      </c>
      <c r="J99" s="848"/>
      <c r="K99" s="1401">
        <v>5</v>
      </c>
      <c r="L99" s="1401"/>
      <c r="M99" s="1401">
        <v>6</v>
      </c>
      <c r="N99" s="1401"/>
      <c r="O99" s="1401">
        <v>7</v>
      </c>
      <c r="P99" s="1401"/>
      <c r="Q99" s="1401">
        <v>8</v>
      </c>
      <c r="R99" s="1401"/>
      <c r="S99" s="1401">
        <v>9</v>
      </c>
      <c r="T99" s="848"/>
      <c r="U99" s="1401">
        <v>10</v>
      </c>
      <c r="V99" s="1401"/>
      <c r="W99" s="1401">
        <v>11</v>
      </c>
      <c r="X99" s="1401"/>
      <c r="Y99" s="1401">
        <v>12</v>
      </c>
      <c r="Z99" s="1401"/>
      <c r="AA99" s="1401">
        <v>13</v>
      </c>
      <c r="AB99" s="1401"/>
      <c r="AC99" s="1401">
        <v>14</v>
      </c>
      <c r="AD99" s="1401"/>
      <c r="AE99" s="1401">
        <v>15</v>
      </c>
      <c r="AF99" s="1401"/>
      <c r="AG99" s="1401">
        <v>16</v>
      </c>
      <c r="AH99" s="1401"/>
      <c r="AI99" s="1401">
        <v>17</v>
      </c>
      <c r="AJ99" s="1401"/>
      <c r="AK99" s="1401">
        <v>18</v>
      </c>
      <c r="AL99" s="1401"/>
      <c r="AM99" s="1401">
        <v>19</v>
      </c>
      <c r="AN99" s="1401"/>
      <c r="AO99" s="1401">
        <v>20</v>
      </c>
      <c r="AP99" s="1401"/>
      <c r="AQ99" s="1401">
        <v>21</v>
      </c>
      <c r="AR99" s="1401"/>
      <c r="AS99" s="1401">
        <v>22</v>
      </c>
      <c r="AT99" s="1401"/>
      <c r="AU99" s="1401">
        <v>23</v>
      </c>
      <c r="AV99" s="1401"/>
      <c r="AW99" s="1401">
        <v>24</v>
      </c>
      <c r="AX99" s="1401"/>
      <c r="AY99" s="1401">
        <v>25</v>
      </c>
      <c r="AZ99" s="1401"/>
      <c r="BA99" s="1401">
        <v>26</v>
      </c>
      <c r="BB99" s="1401"/>
      <c r="BC99" s="1401">
        <v>27</v>
      </c>
      <c r="BD99" s="1401"/>
      <c r="BE99" s="1401">
        <v>28</v>
      </c>
      <c r="BF99" s="1401"/>
      <c r="BG99" s="1401">
        <v>29</v>
      </c>
      <c r="BH99" s="1401"/>
      <c r="BI99" s="1401">
        <v>30</v>
      </c>
      <c r="BJ99" s="1401"/>
      <c r="BK99" s="1401">
        <v>31</v>
      </c>
      <c r="BL99" s="1401"/>
      <c r="BM99" s="1401">
        <v>32</v>
      </c>
      <c r="BN99" s="1401"/>
      <c r="BO99" s="1401">
        <v>33</v>
      </c>
      <c r="BP99" s="1401"/>
      <c r="BQ99" s="1401">
        <v>34</v>
      </c>
      <c r="BR99" s="1401"/>
      <c r="BS99" s="1401">
        <v>35</v>
      </c>
      <c r="BT99" s="1401"/>
      <c r="BU99" s="1401">
        <v>36</v>
      </c>
      <c r="BV99" s="1401"/>
      <c r="BW99" s="1401">
        <v>37</v>
      </c>
      <c r="BX99" s="1401"/>
      <c r="BY99" s="1401">
        <v>38</v>
      </c>
      <c r="BZ99" s="1401"/>
      <c r="CA99" s="1401">
        <v>39</v>
      </c>
      <c r="CB99" s="1401"/>
      <c r="CC99" s="1401">
        <v>40</v>
      </c>
      <c r="CD99" s="1401"/>
      <c r="CE99" s="848">
        <v>41</v>
      </c>
      <c r="CF99" s="848"/>
      <c r="CG99" s="848">
        <v>42</v>
      </c>
      <c r="CH99" s="848"/>
      <c r="CI99" s="848">
        <v>43</v>
      </c>
      <c r="CJ99" s="848"/>
      <c r="CK99" s="848">
        <v>44</v>
      </c>
      <c r="CL99" s="848"/>
      <c r="CM99" s="848">
        <v>45</v>
      </c>
      <c r="CN99" s="848"/>
      <c r="CO99" s="848">
        <v>46</v>
      </c>
      <c r="CP99" s="848"/>
      <c r="CQ99" s="848">
        <v>47</v>
      </c>
      <c r="CR99" s="848"/>
      <c r="CS99" s="848">
        <v>48</v>
      </c>
      <c r="CT99" s="848"/>
      <c r="CU99" s="848">
        <v>49</v>
      </c>
      <c r="CV99" s="848"/>
      <c r="CW99" s="848">
        <v>50</v>
      </c>
      <c r="CX99" s="848"/>
      <c r="CY99" s="848">
        <v>51</v>
      </c>
      <c r="CZ99" s="848"/>
      <c r="DA99" s="848">
        <v>52</v>
      </c>
      <c r="DB99" s="848"/>
      <c r="DC99" s="848">
        <v>53</v>
      </c>
      <c r="DD99" s="848"/>
      <c r="DE99" s="848">
        <v>54</v>
      </c>
      <c r="DF99" s="848"/>
      <c r="DG99" s="848">
        <v>55</v>
      </c>
      <c r="DH99" s="848"/>
      <c r="DI99" s="848">
        <v>56</v>
      </c>
      <c r="DJ99" s="848"/>
      <c r="DK99" s="848">
        <v>57</v>
      </c>
      <c r="DL99" s="848"/>
      <c r="DM99" s="848">
        <v>58</v>
      </c>
      <c r="DN99" s="848"/>
      <c r="DO99" s="848">
        <v>59</v>
      </c>
      <c r="DP99" s="848"/>
      <c r="DQ99" s="848">
        <v>60</v>
      </c>
      <c r="DR99" s="848"/>
      <c r="DS99" s="848">
        <v>61</v>
      </c>
      <c r="DT99" s="848"/>
      <c r="DU99" s="848">
        <v>62</v>
      </c>
      <c r="DV99" s="848"/>
      <c r="DW99" s="848">
        <v>63</v>
      </c>
      <c r="DX99" s="848"/>
      <c r="DY99" s="848">
        <v>64</v>
      </c>
      <c r="DZ99" s="848"/>
      <c r="EA99" s="848">
        <v>65</v>
      </c>
      <c r="EB99" s="848"/>
      <c r="EC99" s="848">
        <v>66</v>
      </c>
      <c r="ED99" s="848"/>
      <c r="EE99" s="848">
        <v>67</v>
      </c>
      <c r="EF99" s="848"/>
      <c r="EG99" s="848">
        <v>68</v>
      </c>
      <c r="EH99" s="848"/>
      <c r="EI99" s="848">
        <v>69</v>
      </c>
      <c r="EJ99" s="848"/>
      <c r="EK99" s="848">
        <v>70</v>
      </c>
      <c r="EL99" s="848"/>
      <c r="EM99" s="848">
        <v>71</v>
      </c>
      <c r="EN99" s="848"/>
      <c r="EO99" s="848">
        <v>72</v>
      </c>
      <c r="EP99" s="848"/>
      <c r="EQ99" s="848">
        <v>73</v>
      </c>
      <c r="ER99" s="848"/>
      <c r="ES99" s="848">
        <v>74</v>
      </c>
      <c r="ET99" s="848"/>
      <c r="EU99" s="848">
        <v>75</v>
      </c>
      <c r="EV99" s="848"/>
      <c r="EW99" s="848">
        <v>76</v>
      </c>
      <c r="EX99" s="848"/>
      <c r="EY99" s="848">
        <v>77</v>
      </c>
      <c r="EZ99" s="848"/>
      <c r="FA99" s="848">
        <v>78</v>
      </c>
      <c r="FB99" s="848"/>
      <c r="FC99" s="848">
        <v>79</v>
      </c>
      <c r="FD99" s="848"/>
      <c r="FE99" s="848">
        <v>80</v>
      </c>
      <c r="FF99" s="848"/>
    </row>
    <row r="101" spans="1:162">
      <c r="C101" s="220"/>
      <c r="D101" s="1444"/>
      <c r="E101" s="1445"/>
      <c r="F101" s="1444"/>
      <c r="G101" s="1445"/>
      <c r="H101" s="1444"/>
      <c r="I101" s="1445"/>
      <c r="J101" s="1444"/>
      <c r="K101" s="1445"/>
      <c r="L101" s="1444"/>
      <c r="M101" s="1445"/>
      <c r="N101" s="1444"/>
      <c r="O101" s="1445"/>
      <c r="P101" s="1444"/>
      <c r="Q101" s="1445"/>
      <c r="R101" s="1444"/>
      <c r="S101" s="1445"/>
      <c r="T101" s="1444"/>
      <c r="U101" s="1445"/>
      <c r="V101" s="1444"/>
      <c r="W101" s="1445"/>
      <c r="X101" s="1444"/>
      <c r="Y101" s="1445"/>
      <c r="Z101" s="1444"/>
      <c r="AA101" s="1445"/>
      <c r="AB101" s="1444"/>
      <c r="AC101" s="1445"/>
      <c r="AD101" s="1444"/>
      <c r="AE101" s="1445"/>
      <c r="AF101" s="1444"/>
      <c r="AG101" s="1445"/>
      <c r="AH101" s="1444"/>
      <c r="AI101" s="1445"/>
      <c r="AJ101" s="1444"/>
      <c r="AK101" s="1445"/>
      <c r="AL101" s="1444"/>
      <c r="AM101" s="1445"/>
      <c r="AN101" s="1444"/>
      <c r="AO101" s="1445"/>
      <c r="AP101" s="1444"/>
      <c r="AQ101" s="1445"/>
      <c r="AR101" s="1444"/>
      <c r="AS101" s="1445"/>
      <c r="AT101" s="1444"/>
      <c r="AU101" s="1445"/>
      <c r="AV101" s="1444"/>
      <c r="AW101" s="1445"/>
      <c r="AX101" s="1444"/>
      <c r="AY101" s="1445"/>
      <c r="AZ101" s="1444"/>
      <c r="BA101" s="1445"/>
      <c r="BB101" s="1444"/>
      <c r="BC101" s="1445"/>
      <c r="BD101" s="1444"/>
      <c r="BE101" s="1445"/>
      <c r="BF101" s="1444"/>
      <c r="BG101" s="1445"/>
      <c r="BH101" s="1444"/>
      <c r="BI101" s="1445"/>
      <c r="BJ101" s="1444"/>
      <c r="BK101" s="1445"/>
      <c r="BL101" s="1444"/>
      <c r="BM101" s="1445"/>
      <c r="BN101" s="1444"/>
      <c r="BO101" s="1445"/>
      <c r="BP101" s="1444"/>
      <c r="BQ101" s="1445"/>
      <c r="BR101" s="1444"/>
      <c r="BS101" s="1445"/>
      <c r="BT101" s="1444"/>
      <c r="BU101" s="1445"/>
      <c r="BV101" s="1444"/>
      <c r="BW101" s="1445"/>
      <c r="BX101" s="1444"/>
      <c r="BY101" s="1445"/>
      <c r="BZ101" s="1444"/>
      <c r="CA101" s="1445"/>
      <c r="CB101" s="1444"/>
      <c r="CC101" s="1445"/>
      <c r="CD101" s="1444"/>
    </row>
    <row r="102" spans="1:162">
      <c r="A102" s="1497" t="s">
        <v>1481</v>
      </c>
      <c r="B102" s="1446" t="s">
        <v>1438</v>
      </c>
      <c r="C102" s="1447">
        <f>C23</f>
        <v>0.62593571934006187</v>
      </c>
      <c r="D102" s="1478">
        <f t="shared" ref="D102:BO102" si="82">D23</f>
        <v>0.44402687489370418</v>
      </c>
      <c r="E102" s="1447">
        <f t="shared" si="82"/>
        <v>0.44402687489370418</v>
      </c>
      <c r="F102" s="1478">
        <f t="shared" si="82"/>
        <v>0.62593571934006187</v>
      </c>
      <c r="G102" s="1447" t="str">
        <f t="shared" si="82"/>
        <v/>
      </c>
      <c r="H102" s="1478" t="str">
        <f t="shared" si="82"/>
        <v/>
      </c>
      <c r="I102" s="1447" t="str">
        <f t="shared" si="82"/>
        <v/>
      </c>
      <c r="J102" s="1478" t="str">
        <f t="shared" si="82"/>
        <v/>
      </c>
      <c r="K102" s="1447" t="str">
        <f t="shared" si="82"/>
        <v/>
      </c>
      <c r="L102" s="1478" t="str">
        <f t="shared" si="82"/>
        <v/>
      </c>
      <c r="M102" s="1447" t="str">
        <f t="shared" si="82"/>
        <v/>
      </c>
      <c r="N102" s="1478" t="str">
        <f t="shared" si="82"/>
        <v/>
      </c>
      <c r="O102" s="1447" t="str">
        <f t="shared" si="82"/>
        <v/>
      </c>
      <c r="P102" s="1478" t="str">
        <f t="shared" si="82"/>
        <v/>
      </c>
      <c r="Q102" s="1447" t="str">
        <f t="shared" si="82"/>
        <v/>
      </c>
      <c r="R102" s="1478" t="str">
        <f t="shared" si="82"/>
        <v/>
      </c>
      <c r="S102" s="1447" t="str">
        <f t="shared" si="82"/>
        <v/>
      </c>
      <c r="T102" s="1478" t="str">
        <f t="shared" si="82"/>
        <v/>
      </c>
      <c r="U102" s="1447" t="str">
        <f t="shared" si="82"/>
        <v/>
      </c>
      <c r="V102" s="1478" t="str">
        <f t="shared" si="82"/>
        <v/>
      </c>
      <c r="W102" s="1447" t="str">
        <f t="shared" si="82"/>
        <v/>
      </c>
      <c r="X102" s="1478" t="str">
        <f t="shared" si="82"/>
        <v/>
      </c>
      <c r="Y102" s="1447" t="str">
        <f t="shared" si="82"/>
        <v/>
      </c>
      <c r="Z102" s="1478" t="str">
        <f t="shared" si="82"/>
        <v/>
      </c>
      <c r="AA102" s="1447" t="str">
        <f t="shared" si="82"/>
        <v/>
      </c>
      <c r="AB102" s="1478" t="str">
        <f t="shared" si="82"/>
        <v/>
      </c>
      <c r="AC102" s="1447" t="str">
        <f t="shared" si="82"/>
        <v/>
      </c>
      <c r="AD102" s="1478" t="str">
        <f t="shared" si="82"/>
        <v/>
      </c>
      <c r="AE102" s="1447" t="str">
        <f t="shared" si="82"/>
        <v/>
      </c>
      <c r="AF102" s="1478" t="str">
        <f t="shared" si="82"/>
        <v/>
      </c>
      <c r="AG102" s="1447" t="str">
        <f t="shared" si="82"/>
        <v/>
      </c>
      <c r="AH102" s="1478" t="str">
        <f t="shared" si="82"/>
        <v/>
      </c>
      <c r="AI102" s="1447" t="str">
        <f t="shared" si="82"/>
        <v/>
      </c>
      <c r="AJ102" s="1478" t="str">
        <f t="shared" si="82"/>
        <v/>
      </c>
      <c r="AK102" s="1447" t="str">
        <f t="shared" si="82"/>
        <v/>
      </c>
      <c r="AL102" s="1478" t="str">
        <f t="shared" si="82"/>
        <v/>
      </c>
      <c r="AM102" s="1447" t="str">
        <f t="shared" si="82"/>
        <v/>
      </c>
      <c r="AN102" s="1478" t="str">
        <f t="shared" si="82"/>
        <v/>
      </c>
      <c r="AO102" s="1447" t="str">
        <f t="shared" si="82"/>
        <v/>
      </c>
      <c r="AP102" s="1478" t="str">
        <f t="shared" si="82"/>
        <v/>
      </c>
      <c r="AQ102" s="1447" t="str">
        <f t="shared" si="82"/>
        <v/>
      </c>
      <c r="AR102" s="1478" t="str">
        <f t="shared" si="82"/>
        <v/>
      </c>
      <c r="AS102" s="1447" t="str">
        <f t="shared" si="82"/>
        <v/>
      </c>
      <c r="AT102" s="1478" t="str">
        <f t="shared" si="82"/>
        <v/>
      </c>
      <c r="AU102" s="1447" t="str">
        <f t="shared" si="82"/>
        <v/>
      </c>
      <c r="AV102" s="1478" t="str">
        <f t="shared" si="82"/>
        <v/>
      </c>
      <c r="AW102" s="1447" t="str">
        <f t="shared" si="82"/>
        <v/>
      </c>
      <c r="AX102" s="1478" t="str">
        <f t="shared" si="82"/>
        <v/>
      </c>
      <c r="AY102" s="1447" t="str">
        <f t="shared" si="82"/>
        <v/>
      </c>
      <c r="AZ102" s="1478" t="str">
        <f t="shared" si="82"/>
        <v/>
      </c>
      <c r="BA102" s="1447" t="str">
        <f t="shared" si="82"/>
        <v/>
      </c>
      <c r="BB102" s="1478" t="str">
        <f t="shared" si="82"/>
        <v/>
      </c>
      <c r="BC102" s="1447" t="str">
        <f t="shared" si="82"/>
        <v/>
      </c>
      <c r="BD102" s="1478" t="str">
        <f t="shared" si="82"/>
        <v/>
      </c>
      <c r="BE102" s="1447" t="str">
        <f t="shared" si="82"/>
        <v/>
      </c>
      <c r="BF102" s="1478" t="str">
        <f t="shared" si="82"/>
        <v/>
      </c>
      <c r="BG102" s="1447" t="str">
        <f t="shared" si="82"/>
        <v/>
      </c>
      <c r="BH102" s="1478" t="str">
        <f t="shared" si="82"/>
        <v/>
      </c>
      <c r="BI102" s="1447" t="str">
        <f t="shared" si="82"/>
        <v/>
      </c>
      <c r="BJ102" s="1478" t="str">
        <f t="shared" si="82"/>
        <v/>
      </c>
      <c r="BK102" s="1447" t="str">
        <f t="shared" si="82"/>
        <v/>
      </c>
      <c r="BL102" s="1478" t="str">
        <f t="shared" si="82"/>
        <v/>
      </c>
      <c r="BM102" s="1447" t="str">
        <f t="shared" si="82"/>
        <v/>
      </c>
      <c r="BN102" s="1478" t="str">
        <f t="shared" si="82"/>
        <v/>
      </c>
      <c r="BO102" s="1447" t="str">
        <f t="shared" si="82"/>
        <v/>
      </c>
      <c r="BP102" s="1478" t="str">
        <f t="shared" ref="BP102:CD102" si="83">BP23</f>
        <v/>
      </c>
      <c r="BQ102" s="1447" t="str">
        <f t="shared" si="83"/>
        <v/>
      </c>
      <c r="BR102" s="1478" t="str">
        <f t="shared" si="83"/>
        <v/>
      </c>
      <c r="BS102" s="1447" t="str">
        <f t="shared" si="83"/>
        <v/>
      </c>
      <c r="BT102" s="1478" t="str">
        <f t="shared" si="83"/>
        <v/>
      </c>
      <c r="BU102" s="1447" t="str">
        <f t="shared" si="83"/>
        <v/>
      </c>
      <c r="BV102" s="1478" t="str">
        <f t="shared" si="83"/>
        <v/>
      </c>
      <c r="BW102" s="1447" t="str">
        <f t="shared" si="83"/>
        <v/>
      </c>
      <c r="BX102" s="1478" t="str">
        <f t="shared" si="83"/>
        <v/>
      </c>
      <c r="BY102" s="1447" t="str">
        <f t="shared" si="83"/>
        <v/>
      </c>
      <c r="BZ102" s="1478" t="str">
        <f t="shared" si="83"/>
        <v/>
      </c>
      <c r="CA102" s="1447" t="str">
        <f t="shared" si="83"/>
        <v/>
      </c>
      <c r="CB102" s="1478" t="str">
        <f t="shared" si="83"/>
        <v/>
      </c>
      <c r="CC102" s="1447" t="str">
        <f t="shared" si="83"/>
        <v/>
      </c>
      <c r="CD102" s="1478" t="str">
        <f t="shared" si="83"/>
        <v/>
      </c>
      <c r="CE102" s="1447"/>
    </row>
    <row r="103" spans="1:162">
      <c r="A103" s="1443"/>
      <c r="B103" s="1443" t="s">
        <v>1449</v>
      </c>
      <c r="C103" s="1411">
        <v>64.317413303571414</v>
      </c>
      <c r="D103" s="1412">
        <v>-64.317413303571414</v>
      </c>
      <c r="E103" s="1413">
        <v>64.317413303571414</v>
      </c>
      <c r="F103" s="1412">
        <v>-64.317413303571414</v>
      </c>
      <c r="G103" s="1411"/>
      <c r="H103" s="1414"/>
      <c r="I103" s="1411"/>
      <c r="J103" s="1414"/>
      <c r="K103" s="1411"/>
      <c r="L103" s="1414"/>
      <c r="M103" s="1411"/>
      <c r="N103" s="1414"/>
      <c r="O103" s="1411"/>
      <c r="P103" s="1414"/>
      <c r="Q103" s="1411"/>
      <c r="R103" s="1414"/>
      <c r="S103" s="1411"/>
      <c r="T103" s="1414"/>
      <c r="U103" s="1411"/>
      <c r="V103" s="1414"/>
      <c r="W103" s="1411"/>
      <c r="X103" s="1414"/>
      <c r="Y103" s="1411"/>
      <c r="Z103" s="1414"/>
      <c r="AA103" s="1411"/>
      <c r="AB103" s="1414"/>
      <c r="AC103" s="1411"/>
      <c r="AD103" s="1414"/>
      <c r="AE103" s="1411"/>
      <c r="AF103" s="1414"/>
      <c r="AG103" s="1411"/>
      <c r="AH103" s="1414"/>
      <c r="AI103" s="1411"/>
      <c r="AJ103" s="1414"/>
      <c r="AK103" s="1411"/>
      <c r="AL103" s="1414"/>
      <c r="AM103" s="1411"/>
      <c r="AN103" s="1414"/>
      <c r="AO103" s="1411"/>
      <c r="AP103" s="1414"/>
      <c r="AQ103" s="1411"/>
      <c r="AR103" s="1414"/>
      <c r="AS103" s="1411"/>
      <c r="AT103" s="1414"/>
      <c r="AU103" s="1411"/>
      <c r="AV103" s="1414"/>
      <c r="AW103" s="1411"/>
      <c r="AX103" s="1414"/>
      <c r="AY103" s="1411"/>
      <c r="AZ103" s="1414"/>
      <c r="BA103" s="1411"/>
      <c r="BB103" s="1414"/>
      <c r="BC103" s="1411"/>
      <c r="BD103" s="1414"/>
      <c r="BE103" s="1411"/>
      <c r="BF103" s="1414"/>
      <c r="BG103" s="1411"/>
      <c r="BH103" s="1414"/>
      <c r="BI103" s="1411"/>
      <c r="BJ103" s="1414"/>
      <c r="BK103" s="1411"/>
      <c r="BL103" s="1414"/>
      <c r="BM103" s="1411"/>
      <c r="BN103" s="1414"/>
      <c r="BO103" s="1411"/>
      <c r="BP103" s="1414"/>
      <c r="BQ103" s="1411"/>
      <c r="BR103" s="1414"/>
      <c r="BS103" s="1411"/>
      <c r="BT103" s="1414"/>
      <c r="BU103" s="1411"/>
      <c r="BV103" s="1414"/>
      <c r="BW103" s="1411"/>
      <c r="BX103" s="1414"/>
      <c r="BY103" s="1411"/>
      <c r="BZ103" s="1414"/>
      <c r="CA103" s="1411"/>
      <c r="CB103" s="1414"/>
      <c r="CC103" s="1411"/>
      <c r="CD103" s="1414"/>
      <c r="CE103" s="848"/>
      <c r="CF103" s="848"/>
      <c r="CG103" s="848"/>
      <c r="CH103" s="848"/>
      <c r="CI103" s="848"/>
      <c r="CJ103" s="848"/>
      <c r="CK103" s="848"/>
      <c r="CL103" s="1511"/>
    </row>
    <row r="104" spans="1:162">
      <c r="A104">
        <v>1</v>
      </c>
      <c r="B104" s="1446" t="s">
        <v>1396</v>
      </c>
      <c r="C104" s="1411">
        <v>-6.5007646251334004</v>
      </c>
      <c r="D104" s="1414">
        <v>0</v>
      </c>
      <c r="E104" s="1411">
        <v>0</v>
      </c>
      <c r="F104" s="1414">
        <v>6.5007646251334004</v>
      </c>
      <c r="G104" s="1411"/>
      <c r="H104" s="1414"/>
      <c r="I104" s="1411"/>
      <c r="J104" s="1414"/>
      <c r="K104" s="1411"/>
      <c r="L104" s="1414"/>
      <c r="M104" s="1411"/>
      <c r="N104" s="1414"/>
      <c r="O104" s="1411"/>
      <c r="P104" s="1414"/>
      <c r="Q104" s="1411"/>
      <c r="R104" s="1414"/>
      <c r="S104" s="1411"/>
      <c r="T104" s="1414"/>
      <c r="U104" s="1411"/>
      <c r="V104" s="1414"/>
      <c r="W104" s="1411"/>
      <c r="X104" s="1414"/>
      <c r="Y104" s="1411"/>
      <c r="Z104" s="1414"/>
      <c r="AA104" s="1411"/>
      <c r="AB104" s="1414"/>
      <c r="AC104" s="1411"/>
      <c r="AD104" s="1414"/>
      <c r="AE104" s="1411"/>
      <c r="AF104" s="1414"/>
      <c r="AG104" s="1411"/>
      <c r="AH104" s="1414"/>
      <c r="AI104" s="1411"/>
      <c r="AJ104" s="1414"/>
      <c r="AK104" s="1411"/>
      <c r="AL104" s="1414"/>
      <c r="AM104" s="1411"/>
      <c r="AN104" s="1414"/>
      <c r="AO104" s="1411"/>
      <c r="AP104" s="1414"/>
      <c r="AQ104" s="1411"/>
      <c r="AR104" s="1414"/>
      <c r="AS104" s="1411"/>
      <c r="AT104" s="1414"/>
      <c r="AU104" s="1411"/>
      <c r="AV104" s="1414"/>
      <c r="AW104" s="1411"/>
      <c r="AX104" s="1414"/>
      <c r="AY104" s="1411"/>
      <c r="AZ104" s="1414"/>
      <c r="BA104" s="1411"/>
      <c r="BB104" s="1414"/>
      <c r="BC104" s="1411"/>
      <c r="BD104" s="1414"/>
      <c r="BE104" s="1411"/>
      <c r="BF104" s="1414"/>
      <c r="BG104" s="1411"/>
      <c r="BH104" s="1414"/>
      <c r="BI104" s="1411"/>
      <c r="BJ104" s="1414"/>
      <c r="BK104" s="1411"/>
      <c r="BL104" s="1414"/>
      <c r="BM104" s="1411"/>
      <c r="BN104" s="1414"/>
      <c r="BO104" s="1411"/>
      <c r="BP104" s="1414"/>
      <c r="BQ104" s="1411"/>
      <c r="BR104" s="1414"/>
      <c r="BS104" s="1411"/>
      <c r="BT104" s="1414"/>
      <c r="BU104" s="1411"/>
      <c r="BV104" s="1414"/>
      <c r="BW104" s="1411"/>
      <c r="BX104" s="1414"/>
      <c r="BY104" s="1411"/>
      <c r="BZ104" s="1414"/>
      <c r="CA104" s="1411"/>
      <c r="CB104" s="1414"/>
      <c r="CC104" s="1411"/>
      <c r="CD104" s="1414"/>
      <c r="CE104" s="848"/>
      <c r="CF104" s="848"/>
      <c r="CG104" s="848"/>
      <c r="CH104" s="848"/>
      <c r="CI104" s="848"/>
      <c r="CJ104" s="848"/>
      <c r="CK104" s="848"/>
      <c r="CL104" s="1511"/>
    </row>
    <row r="105" spans="1:162">
      <c r="B105" s="1450" t="s">
        <v>1395</v>
      </c>
      <c r="C105" s="1416">
        <v>0</v>
      </c>
      <c r="D105" s="1417">
        <v>-3.2503823125667002</v>
      </c>
      <c r="E105" s="1416">
        <v>3.2503823125667002</v>
      </c>
      <c r="F105" s="1417">
        <v>0</v>
      </c>
      <c r="G105" s="1416"/>
      <c r="H105" s="1417"/>
      <c r="I105" s="1416"/>
      <c r="J105" s="1417"/>
      <c r="K105" s="1416"/>
      <c r="L105" s="1417"/>
      <c r="M105" s="1411"/>
      <c r="N105" s="1414"/>
      <c r="O105" s="1411"/>
      <c r="P105" s="1414"/>
      <c r="Q105" s="1411"/>
      <c r="R105" s="1414"/>
      <c r="S105" s="1411"/>
      <c r="T105" s="1414"/>
      <c r="U105" s="1411"/>
      <c r="V105" s="1414"/>
      <c r="W105" s="1411"/>
      <c r="X105" s="1414"/>
      <c r="Y105" s="1411"/>
      <c r="Z105" s="1414"/>
      <c r="AA105" s="1411"/>
      <c r="AB105" s="1414"/>
      <c r="AC105" s="1411"/>
      <c r="AD105" s="1414"/>
      <c r="AE105" s="1411"/>
      <c r="AF105" s="1414"/>
      <c r="AG105" s="1411"/>
      <c r="AH105" s="1414"/>
      <c r="AI105" s="1411"/>
      <c r="AJ105" s="1414"/>
      <c r="AK105" s="1411"/>
      <c r="AL105" s="1414"/>
      <c r="AM105" s="1411"/>
      <c r="AN105" s="1414"/>
      <c r="AO105" s="1411"/>
      <c r="AP105" s="1414"/>
      <c r="AQ105" s="1411"/>
      <c r="AR105" s="1414"/>
      <c r="AS105" s="1411"/>
      <c r="AT105" s="1414"/>
      <c r="AU105" s="1411"/>
      <c r="AV105" s="1414"/>
      <c r="AW105" s="1411"/>
      <c r="AX105" s="1414"/>
      <c r="AY105" s="1411"/>
      <c r="AZ105" s="1414"/>
      <c r="BA105" s="1411"/>
      <c r="BB105" s="1414"/>
      <c r="BC105" s="1411"/>
      <c r="BD105" s="1414"/>
      <c r="BE105" s="1411"/>
      <c r="BF105" s="1414"/>
      <c r="BG105" s="1411"/>
      <c r="BH105" s="1414"/>
      <c r="BI105" s="1411"/>
      <c r="BJ105" s="1414"/>
      <c r="BK105" s="1411"/>
      <c r="BL105" s="1414"/>
      <c r="BM105" s="1411"/>
      <c r="BN105" s="1414"/>
      <c r="BO105" s="1411"/>
      <c r="BP105" s="1414"/>
      <c r="BQ105" s="1411"/>
      <c r="BR105" s="1414"/>
      <c r="BS105" s="1411"/>
      <c r="BT105" s="1414"/>
      <c r="BU105" s="1411"/>
      <c r="BV105" s="1414"/>
      <c r="BW105" s="1411"/>
      <c r="BX105" s="1414"/>
      <c r="BY105" s="1411"/>
      <c r="BZ105" s="1414"/>
      <c r="CA105" s="1411"/>
      <c r="CB105" s="1414"/>
      <c r="CC105" s="1411"/>
      <c r="CD105" s="1414"/>
      <c r="CE105" s="848"/>
      <c r="CF105" s="848"/>
      <c r="CG105" s="848"/>
      <c r="CH105" s="848"/>
      <c r="CI105" s="848"/>
      <c r="CJ105" s="848"/>
      <c r="CK105" s="848"/>
      <c r="CL105" s="1511"/>
    </row>
    <row r="106" spans="1:162">
      <c r="A106" s="126">
        <f>+A104+1</f>
        <v>2</v>
      </c>
      <c r="B106" s="1484" t="s">
        <v>1396</v>
      </c>
      <c r="C106" s="1506">
        <v>-1.1306505417285679</v>
      </c>
      <c r="D106" s="1507">
        <v>0</v>
      </c>
      <c r="E106" s="1506">
        <v>0</v>
      </c>
      <c r="F106" s="1507">
        <v>1.1306505417285679</v>
      </c>
      <c r="G106" s="1506"/>
      <c r="H106" s="1507"/>
      <c r="I106" s="1506"/>
      <c r="J106" s="1507"/>
      <c r="K106" s="1506"/>
      <c r="L106" s="1507"/>
      <c r="M106" s="1510"/>
      <c r="N106" s="1414"/>
      <c r="O106" s="1411"/>
      <c r="P106" s="1414"/>
      <c r="Q106" s="1411"/>
      <c r="R106" s="1414"/>
      <c r="S106" s="1411"/>
      <c r="T106" s="1414"/>
      <c r="U106" s="1411"/>
      <c r="V106" s="1414"/>
      <c r="W106" s="1411"/>
      <c r="X106" s="1414"/>
      <c r="Y106" s="1411"/>
      <c r="Z106" s="1414"/>
      <c r="AA106" s="1411"/>
      <c r="AB106" s="1414"/>
      <c r="AC106" s="1411"/>
      <c r="AD106" s="1414"/>
      <c r="AE106" s="1411"/>
      <c r="AF106" s="1414"/>
      <c r="AG106" s="1411"/>
      <c r="AH106" s="1414"/>
      <c r="AI106" s="1411"/>
      <c r="AJ106" s="1414"/>
      <c r="AK106" s="1411"/>
      <c r="AL106" s="1414"/>
      <c r="AM106" s="1411"/>
      <c r="AN106" s="1414"/>
      <c r="AO106" s="1411"/>
      <c r="AP106" s="1414"/>
      <c r="AQ106" s="1411"/>
      <c r="AR106" s="1414"/>
      <c r="AS106" s="1411"/>
      <c r="AT106" s="1414"/>
      <c r="AU106" s="1411"/>
      <c r="AV106" s="1414"/>
      <c r="AW106" s="1411"/>
      <c r="AX106" s="1414"/>
      <c r="AY106" s="1411"/>
      <c r="AZ106" s="1414"/>
      <c r="BA106" s="1411"/>
      <c r="BB106" s="1414"/>
      <c r="BC106" s="1411"/>
      <c r="BD106" s="1414"/>
      <c r="BE106" s="1411"/>
      <c r="BF106" s="1414"/>
      <c r="BG106" s="1411"/>
      <c r="BH106" s="1414"/>
      <c r="BI106" s="1411"/>
      <c r="BJ106" s="1414"/>
      <c r="BK106" s="1411"/>
      <c r="BL106" s="1414"/>
      <c r="BM106" s="1411"/>
      <c r="BN106" s="1414"/>
      <c r="BO106" s="1411"/>
      <c r="BP106" s="1414"/>
      <c r="BQ106" s="1411"/>
      <c r="BR106" s="1414"/>
      <c r="BS106" s="1411"/>
      <c r="BT106" s="1414"/>
      <c r="BU106" s="1411"/>
      <c r="BV106" s="1414"/>
      <c r="BW106" s="1411"/>
      <c r="BX106" s="1414"/>
      <c r="BY106" s="1411"/>
      <c r="BZ106" s="1414"/>
      <c r="CA106" s="1411"/>
      <c r="CB106" s="1414"/>
      <c r="CC106" s="1411"/>
      <c r="CD106" s="1414"/>
      <c r="CE106" s="848"/>
      <c r="CF106" s="848"/>
      <c r="CG106" s="848"/>
      <c r="CH106" s="848"/>
      <c r="CI106" s="848"/>
      <c r="CJ106" s="848"/>
      <c r="CK106" s="848"/>
      <c r="CL106" s="1511"/>
    </row>
    <row r="107" spans="1:162">
      <c r="B107" s="1450" t="s">
        <v>1395</v>
      </c>
      <c r="C107" s="1416">
        <v>0</v>
      </c>
      <c r="D107" s="1417">
        <v>-0.56532527086428397</v>
      </c>
      <c r="E107" s="1416">
        <v>0.56532527086428397</v>
      </c>
      <c r="F107" s="1417">
        <v>0</v>
      </c>
      <c r="G107" s="1416"/>
      <c r="H107" s="1417"/>
      <c r="I107" s="1416"/>
      <c r="J107" s="1417"/>
      <c r="K107" s="1416"/>
      <c r="L107" s="1417"/>
      <c r="M107" s="1411"/>
      <c r="N107" s="1414"/>
      <c r="O107" s="1411"/>
      <c r="P107" s="1414"/>
      <c r="Q107" s="1411"/>
      <c r="R107" s="1414"/>
      <c r="S107" s="1411"/>
      <c r="T107" s="1414"/>
      <c r="U107" s="1411"/>
      <c r="V107" s="1414"/>
      <c r="W107" s="1411"/>
      <c r="X107" s="1414"/>
      <c r="Y107" s="1411"/>
      <c r="Z107" s="1414"/>
      <c r="AA107" s="1411"/>
      <c r="AB107" s="1414"/>
      <c r="AC107" s="1411"/>
      <c r="AD107" s="1414"/>
      <c r="AE107" s="1411"/>
      <c r="AF107" s="1414"/>
      <c r="AG107" s="1411"/>
      <c r="AH107" s="1414"/>
      <c r="AI107" s="1411"/>
      <c r="AJ107" s="1414"/>
      <c r="AK107" s="1411"/>
      <c r="AL107" s="1414"/>
      <c r="AM107" s="1411"/>
      <c r="AN107" s="1414"/>
      <c r="AO107" s="1411"/>
      <c r="AP107" s="1414"/>
      <c r="AQ107" s="1411"/>
      <c r="AR107" s="1414"/>
      <c r="AS107" s="1411"/>
      <c r="AT107" s="1414"/>
      <c r="AU107" s="1411"/>
      <c r="AV107" s="1414"/>
      <c r="AW107" s="1411"/>
      <c r="AX107" s="1414"/>
      <c r="AY107" s="1411"/>
      <c r="AZ107" s="1414"/>
      <c r="BA107" s="1411"/>
      <c r="BB107" s="1414"/>
      <c r="BC107" s="1411"/>
      <c r="BD107" s="1414"/>
      <c r="BE107" s="1411"/>
      <c r="BF107" s="1414"/>
      <c r="BG107" s="1411"/>
      <c r="BH107" s="1414"/>
      <c r="BI107" s="1411"/>
      <c r="BJ107" s="1414"/>
      <c r="BK107" s="1411"/>
      <c r="BL107" s="1414"/>
      <c r="BM107" s="1411"/>
      <c r="BN107" s="1414"/>
      <c r="BO107" s="1411"/>
      <c r="BP107" s="1414"/>
      <c r="BQ107" s="1411"/>
      <c r="BR107" s="1414"/>
      <c r="BS107" s="1411"/>
      <c r="BT107" s="1414"/>
      <c r="BU107" s="1411"/>
      <c r="BV107" s="1414"/>
      <c r="BW107" s="1411"/>
      <c r="BX107" s="1414"/>
      <c r="BY107" s="1411"/>
      <c r="BZ107" s="1414"/>
      <c r="CA107" s="1411"/>
      <c r="CB107" s="1414"/>
      <c r="CC107" s="1411"/>
      <c r="CD107" s="1414"/>
      <c r="CE107" s="848"/>
      <c r="CF107" s="848"/>
      <c r="CG107" s="848"/>
      <c r="CH107" s="848"/>
      <c r="CI107" s="848"/>
      <c r="CJ107" s="848"/>
      <c r="CK107" s="848"/>
      <c r="CL107" s="1511"/>
    </row>
    <row r="108" spans="1:162">
      <c r="A108">
        <f>+A106+1</f>
        <v>3</v>
      </c>
      <c r="B108" s="1446" t="s">
        <v>1396</v>
      </c>
      <c r="C108" s="1416">
        <v>-0.29600583432111144</v>
      </c>
      <c r="D108" s="1417">
        <v>0</v>
      </c>
      <c r="E108" s="1416">
        <v>0</v>
      </c>
      <c r="F108" s="1417">
        <v>0.29600583432111144</v>
      </c>
      <c r="G108" s="1416"/>
      <c r="H108" s="1417"/>
      <c r="I108" s="1416"/>
      <c r="J108" s="1417"/>
      <c r="K108" s="1416"/>
      <c r="L108" s="1417"/>
      <c r="M108" s="1411"/>
      <c r="N108" s="1414"/>
      <c r="O108" s="1411"/>
      <c r="P108" s="1414"/>
      <c r="Q108" s="1411"/>
      <c r="R108" s="1414"/>
      <c r="S108" s="1411"/>
      <c r="T108" s="1414"/>
      <c r="U108" s="1411"/>
      <c r="V108" s="1414"/>
      <c r="W108" s="1411"/>
      <c r="X108" s="1414"/>
      <c r="Y108" s="1411"/>
      <c r="Z108" s="1414"/>
      <c r="AA108" s="1411"/>
      <c r="AB108" s="1414"/>
      <c r="AC108" s="1411"/>
      <c r="AD108" s="1414"/>
      <c r="AE108" s="1411"/>
      <c r="AF108" s="1414"/>
      <c r="AG108" s="1411"/>
      <c r="AH108" s="1414"/>
      <c r="AI108" s="1411"/>
      <c r="AJ108" s="1414"/>
      <c r="AK108" s="1411"/>
      <c r="AL108" s="1414"/>
      <c r="AM108" s="1411"/>
      <c r="AN108" s="1414"/>
      <c r="AO108" s="1411"/>
      <c r="AP108" s="1414"/>
      <c r="AQ108" s="1411"/>
      <c r="AR108" s="1414"/>
      <c r="AS108" s="1411"/>
      <c r="AT108" s="1414"/>
      <c r="AU108" s="1411"/>
      <c r="AV108" s="1414"/>
      <c r="AW108" s="1411"/>
      <c r="AX108" s="1414"/>
      <c r="AY108" s="1411"/>
      <c r="AZ108" s="1414"/>
      <c r="BA108" s="1411"/>
      <c r="BB108" s="1414"/>
      <c r="BC108" s="1411"/>
      <c r="BD108" s="1414"/>
      <c r="BE108" s="1411"/>
      <c r="BF108" s="1414"/>
      <c r="BG108" s="1411"/>
      <c r="BH108" s="1414"/>
      <c r="BI108" s="1411"/>
      <c r="BJ108" s="1414"/>
      <c r="BK108" s="1411"/>
      <c r="BL108" s="1414"/>
      <c r="BM108" s="1411"/>
      <c r="BN108" s="1414"/>
      <c r="BO108" s="1411"/>
      <c r="BP108" s="1414"/>
      <c r="BQ108" s="1411"/>
      <c r="BR108" s="1414"/>
      <c r="BS108" s="1411"/>
      <c r="BT108" s="1414"/>
      <c r="BU108" s="1411"/>
      <c r="BV108" s="1414"/>
      <c r="BW108" s="1411"/>
      <c r="BX108" s="1414"/>
      <c r="BY108" s="1411"/>
      <c r="BZ108" s="1414"/>
      <c r="CA108" s="1411"/>
      <c r="CB108" s="1414"/>
      <c r="CC108" s="1411"/>
      <c r="CD108" s="1414"/>
      <c r="CE108" s="848"/>
      <c r="CF108" s="848"/>
      <c r="CG108" s="848"/>
      <c r="CH108" s="848"/>
      <c r="CI108" s="848"/>
      <c r="CJ108" s="848"/>
      <c r="CK108" s="848"/>
      <c r="CL108" s="1511"/>
    </row>
    <row r="109" spans="1:162">
      <c r="B109" s="1450" t="s">
        <v>1395</v>
      </c>
      <c r="C109" s="1416">
        <v>0</v>
      </c>
      <c r="D109" s="1417">
        <v>-0.14800291716055572</v>
      </c>
      <c r="E109" s="1416">
        <v>0.14800291716055572</v>
      </c>
      <c r="F109" s="1417">
        <v>0</v>
      </c>
      <c r="G109" s="1416"/>
      <c r="H109" s="1417"/>
      <c r="I109" s="1416"/>
      <c r="J109" s="1417"/>
      <c r="K109" s="1416"/>
      <c r="L109" s="1417"/>
      <c r="M109" s="1411"/>
      <c r="N109" s="1414"/>
      <c r="O109" s="1411"/>
      <c r="P109" s="1414"/>
      <c r="Q109" s="1411"/>
      <c r="R109" s="1414"/>
      <c r="S109" s="1411"/>
      <c r="T109" s="1414"/>
      <c r="U109" s="1411"/>
      <c r="V109" s="1414"/>
      <c r="W109" s="1411"/>
      <c r="X109" s="1414"/>
      <c r="Y109" s="1411"/>
      <c r="Z109" s="1414"/>
      <c r="AA109" s="1411"/>
      <c r="AB109" s="1414"/>
      <c r="AC109" s="1411"/>
      <c r="AD109" s="1414"/>
      <c r="AE109" s="1411"/>
      <c r="AF109" s="1414"/>
      <c r="AG109" s="1411"/>
      <c r="AH109" s="1414"/>
      <c r="AI109" s="1411"/>
      <c r="AJ109" s="1414"/>
      <c r="AK109" s="1411"/>
      <c r="AL109" s="1414"/>
      <c r="AM109" s="1411"/>
      <c r="AN109" s="1414"/>
      <c r="AO109" s="1411"/>
      <c r="AP109" s="1414"/>
      <c r="AQ109" s="1411"/>
      <c r="AR109" s="1414"/>
      <c r="AS109" s="1411"/>
      <c r="AT109" s="1414"/>
      <c r="AU109" s="1411"/>
      <c r="AV109" s="1414"/>
      <c r="AW109" s="1411"/>
      <c r="AX109" s="1414"/>
      <c r="AY109" s="1411"/>
      <c r="AZ109" s="1414"/>
      <c r="BA109" s="1411"/>
      <c r="BB109" s="1414"/>
      <c r="BC109" s="1411"/>
      <c r="BD109" s="1414"/>
      <c r="BE109" s="1411"/>
      <c r="BF109" s="1414"/>
      <c r="BG109" s="1411"/>
      <c r="BH109" s="1414"/>
      <c r="BI109" s="1411"/>
      <c r="BJ109" s="1414"/>
      <c r="BK109" s="1411"/>
      <c r="BL109" s="1414"/>
      <c r="BM109" s="1411"/>
      <c r="BN109" s="1414"/>
      <c r="BO109" s="1411"/>
      <c r="BP109" s="1414"/>
      <c r="BQ109" s="1411"/>
      <c r="BR109" s="1414"/>
      <c r="BS109" s="1411"/>
      <c r="BT109" s="1414"/>
      <c r="BU109" s="1411"/>
      <c r="BV109" s="1414"/>
      <c r="BW109" s="1411"/>
      <c r="BX109" s="1414"/>
      <c r="BY109" s="1411"/>
      <c r="BZ109" s="1414"/>
      <c r="CA109" s="1411"/>
      <c r="CB109" s="1414"/>
      <c r="CC109" s="1411"/>
      <c r="CD109" s="1414"/>
      <c r="CE109" s="848"/>
      <c r="CF109" s="848"/>
      <c r="CG109" s="848"/>
      <c r="CH109" s="848"/>
      <c r="CI109" s="848"/>
      <c r="CJ109" s="848"/>
      <c r="CK109" s="848"/>
      <c r="CL109" s="1511"/>
    </row>
    <row r="110" spans="1:162">
      <c r="A110">
        <f>+A108+1</f>
        <v>4</v>
      </c>
      <c r="B110" s="1446" t="s">
        <v>1396</v>
      </c>
      <c r="C110" s="1416">
        <v>-5.1483044876911466E-2</v>
      </c>
      <c r="D110" s="1417">
        <v>0</v>
      </c>
      <c r="E110" s="1416">
        <v>0</v>
      </c>
      <c r="F110" s="1417">
        <v>5.1483044876911466E-2</v>
      </c>
      <c r="G110" s="1416"/>
      <c r="H110" s="1417"/>
      <c r="I110" s="1416"/>
      <c r="J110" s="1417"/>
      <c r="K110" s="1416"/>
      <c r="L110" s="1417"/>
      <c r="M110" s="1411"/>
      <c r="N110" s="1414"/>
      <c r="O110" s="1411"/>
      <c r="P110" s="1414"/>
      <c r="Q110" s="1411"/>
      <c r="R110" s="1414"/>
      <c r="S110" s="1411"/>
      <c r="T110" s="1414"/>
      <c r="U110" s="1411"/>
      <c r="V110" s="1414"/>
      <c r="W110" s="1411"/>
      <c r="X110" s="1414"/>
      <c r="Y110" s="1411"/>
      <c r="Z110" s="1414"/>
      <c r="AA110" s="1411"/>
      <c r="AB110" s="1414"/>
      <c r="AC110" s="1411"/>
      <c r="AD110" s="1414"/>
      <c r="AE110" s="1411"/>
      <c r="AF110" s="1414"/>
      <c r="AG110" s="1411"/>
      <c r="AH110" s="1414"/>
      <c r="AI110" s="1411"/>
      <c r="AJ110" s="1414"/>
      <c r="AK110" s="1411"/>
      <c r="AL110" s="1414"/>
      <c r="AM110" s="1411"/>
      <c r="AN110" s="1414"/>
      <c r="AO110" s="1411"/>
      <c r="AP110" s="1414"/>
      <c r="AQ110" s="1411"/>
      <c r="AR110" s="1414"/>
      <c r="AS110" s="1411"/>
      <c r="AT110" s="1414"/>
      <c r="AU110" s="1411"/>
      <c r="AV110" s="1414"/>
      <c r="AW110" s="1411"/>
      <c r="AX110" s="1414"/>
      <c r="AY110" s="1411"/>
      <c r="AZ110" s="1414"/>
      <c r="BA110" s="1411"/>
      <c r="BB110" s="1414"/>
      <c r="BC110" s="1411"/>
      <c r="BD110" s="1414"/>
      <c r="BE110" s="1411"/>
      <c r="BF110" s="1414"/>
      <c r="BG110" s="1411"/>
      <c r="BH110" s="1414"/>
      <c r="BI110" s="1411"/>
      <c r="BJ110" s="1414"/>
      <c r="BK110" s="1411"/>
      <c r="BL110" s="1414"/>
      <c r="BM110" s="1411"/>
      <c r="BN110" s="1414"/>
      <c r="BO110" s="1411"/>
      <c r="BP110" s="1414"/>
      <c r="BQ110" s="1411"/>
      <c r="BR110" s="1414"/>
      <c r="BS110" s="1411"/>
      <c r="BT110" s="1414"/>
      <c r="BU110" s="1411"/>
      <c r="BV110" s="1414"/>
      <c r="BW110" s="1411"/>
      <c r="BX110" s="1414"/>
      <c r="BY110" s="1411"/>
      <c r="BZ110" s="1414"/>
      <c r="CA110" s="1411"/>
      <c r="CB110" s="1414"/>
      <c r="CC110" s="1411"/>
      <c r="CD110" s="1414"/>
      <c r="CE110" s="848"/>
      <c r="CF110" s="848"/>
      <c r="CG110" s="848"/>
      <c r="CH110" s="848"/>
      <c r="CI110" s="848"/>
      <c r="CJ110" s="848"/>
      <c r="CK110" s="848"/>
      <c r="CL110" s="1511"/>
    </row>
    <row r="111" spans="1:162">
      <c r="B111" s="1450" t="s">
        <v>1395</v>
      </c>
      <c r="C111" s="1411">
        <v>0</v>
      </c>
      <c r="D111" s="1414">
        <v>-2.5741522438455733E-2</v>
      </c>
      <c r="E111" s="1411">
        <v>2.5741522438455733E-2</v>
      </c>
      <c r="F111" s="1414">
        <v>0</v>
      </c>
      <c r="G111" s="1411"/>
      <c r="H111" s="1414"/>
      <c r="I111" s="1411"/>
      <c r="J111" s="1414"/>
      <c r="K111" s="1411"/>
      <c r="L111" s="1414"/>
      <c r="M111" s="1411"/>
      <c r="N111" s="1414"/>
      <c r="O111" s="1411"/>
      <c r="P111" s="1414"/>
      <c r="Q111" s="1411"/>
      <c r="R111" s="1414"/>
      <c r="S111" s="1411"/>
      <c r="T111" s="1414"/>
      <c r="U111" s="1411"/>
      <c r="V111" s="1414"/>
      <c r="W111" s="1411"/>
      <c r="X111" s="1414"/>
      <c r="Y111" s="1411"/>
      <c r="Z111" s="1414"/>
      <c r="AA111" s="1411"/>
      <c r="AB111" s="1414"/>
      <c r="AC111" s="1411"/>
      <c r="AD111" s="1414"/>
      <c r="AE111" s="1411"/>
      <c r="AF111" s="1414"/>
      <c r="AG111" s="1411"/>
      <c r="AH111" s="1414"/>
      <c r="AI111" s="1411"/>
      <c r="AJ111" s="1414"/>
      <c r="AK111" s="1411"/>
      <c r="AL111" s="1414"/>
      <c r="AM111" s="1411"/>
      <c r="AN111" s="1414"/>
      <c r="AO111" s="1411"/>
      <c r="AP111" s="1414"/>
      <c r="AQ111" s="1411"/>
      <c r="AR111" s="1414"/>
      <c r="AS111" s="1411"/>
      <c r="AT111" s="1414"/>
      <c r="AU111" s="1411"/>
      <c r="AV111" s="1414"/>
      <c r="AW111" s="1411"/>
      <c r="AX111" s="1414"/>
      <c r="AY111" s="1411"/>
      <c r="AZ111" s="1414"/>
      <c r="BA111" s="1411"/>
      <c r="BB111" s="1414"/>
      <c r="BC111" s="1411"/>
      <c r="BD111" s="1414"/>
      <c r="BE111" s="1411"/>
      <c r="BF111" s="1414"/>
      <c r="BG111" s="1411"/>
      <c r="BH111" s="1414"/>
      <c r="BI111" s="1411"/>
      <c r="BJ111" s="1414"/>
      <c r="BK111" s="1411"/>
      <c r="BL111" s="1414"/>
      <c r="BM111" s="1411"/>
      <c r="BN111" s="1414"/>
      <c r="BO111" s="1411"/>
      <c r="BP111" s="1414"/>
      <c r="BQ111" s="1411"/>
      <c r="BR111" s="1414"/>
      <c r="BS111" s="1411"/>
      <c r="BT111" s="1414"/>
      <c r="BU111" s="1411"/>
      <c r="BV111" s="1414"/>
      <c r="BW111" s="1411"/>
      <c r="BX111" s="1414"/>
      <c r="BY111" s="1411"/>
      <c r="BZ111" s="1414"/>
      <c r="CA111" s="1411"/>
      <c r="CB111" s="1414"/>
      <c r="CC111" s="1411"/>
      <c r="CD111" s="1414"/>
      <c r="CE111" s="848"/>
      <c r="CF111" s="848"/>
      <c r="CG111" s="848"/>
      <c r="CH111" s="848"/>
      <c r="CI111" s="848"/>
      <c r="CJ111" s="848"/>
      <c r="CK111" s="848"/>
      <c r="CL111" s="1511"/>
    </row>
    <row r="112" spans="1:162">
      <c r="A112">
        <f>+A110+1</f>
        <v>5</v>
      </c>
      <c r="B112" s="1446" t="s">
        <v>1396</v>
      </c>
      <c r="C112" s="1411">
        <v>-1.3478330474138536E-2</v>
      </c>
      <c r="D112" s="1414">
        <v>0</v>
      </c>
      <c r="E112" s="1411">
        <v>0</v>
      </c>
      <c r="F112" s="1414">
        <v>1.3478330474138536E-2</v>
      </c>
      <c r="G112" s="1411"/>
      <c r="H112" s="1414"/>
      <c r="I112" s="1411"/>
      <c r="J112" s="1414"/>
      <c r="K112" s="1411"/>
      <c r="L112" s="1414"/>
      <c r="M112" s="1411"/>
      <c r="N112" s="1414"/>
      <c r="O112" s="1411"/>
      <c r="P112" s="1414"/>
      <c r="Q112" s="1411"/>
      <c r="R112" s="1414"/>
      <c r="S112" s="1411"/>
      <c r="T112" s="1414"/>
      <c r="U112" s="1411"/>
      <c r="V112" s="1414"/>
      <c r="W112" s="1411"/>
      <c r="X112" s="1414"/>
      <c r="Y112" s="1411"/>
      <c r="Z112" s="1414"/>
      <c r="AA112" s="1411"/>
      <c r="AB112" s="1414"/>
      <c r="AC112" s="1411"/>
      <c r="AD112" s="1414"/>
      <c r="AE112" s="1411"/>
      <c r="AF112" s="1414"/>
      <c r="AG112" s="1411"/>
      <c r="AH112" s="1414"/>
      <c r="AI112" s="1411"/>
      <c r="AJ112" s="1414"/>
      <c r="AK112" s="1411"/>
      <c r="AL112" s="1414"/>
      <c r="AM112" s="1411"/>
      <c r="AN112" s="1414"/>
      <c r="AO112" s="1411"/>
      <c r="AP112" s="1414"/>
      <c r="AQ112" s="1411"/>
      <c r="AR112" s="1414"/>
      <c r="AS112" s="1411"/>
      <c r="AT112" s="1414"/>
      <c r="AU112" s="1411"/>
      <c r="AV112" s="1414"/>
      <c r="AW112" s="1411"/>
      <c r="AX112" s="1414"/>
      <c r="AY112" s="1411"/>
      <c r="AZ112" s="1414"/>
      <c r="BA112" s="1411"/>
      <c r="BB112" s="1414"/>
      <c r="BC112" s="1411"/>
      <c r="BD112" s="1414"/>
      <c r="BE112" s="1411"/>
      <c r="BF112" s="1414"/>
      <c r="BG112" s="1411"/>
      <c r="BH112" s="1414"/>
      <c r="BI112" s="1411"/>
      <c r="BJ112" s="1414"/>
      <c r="BK112" s="1411"/>
      <c r="BL112" s="1414"/>
      <c r="BM112" s="1411"/>
      <c r="BN112" s="1414"/>
      <c r="BO112" s="1411"/>
      <c r="BP112" s="1414"/>
      <c r="BQ112" s="1411"/>
      <c r="BR112" s="1414"/>
      <c r="BS112" s="1411"/>
      <c r="BT112" s="1414"/>
      <c r="BU112" s="1411"/>
      <c r="BV112" s="1414"/>
      <c r="BW112" s="1411"/>
      <c r="BX112" s="1414"/>
      <c r="BY112" s="1411"/>
      <c r="BZ112" s="1414"/>
      <c r="CA112" s="1411"/>
      <c r="CB112" s="1414"/>
      <c r="CC112" s="1411"/>
      <c r="CD112" s="1414"/>
      <c r="CE112" s="848"/>
      <c r="CF112" s="848"/>
      <c r="CG112" s="848"/>
      <c r="CH112" s="848"/>
      <c r="CI112" s="848"/>
      <c r="CJ112" s="848"/>
      <c r="CK112" s="848"/>
      <c r="CL112" s="1511"/>
    </row>
    <row r="113" spans="1:90">
      <c r="B113" s="1450" t="s">
        <v>1395</v>
      </c>
      <c r="C113" s="1411">
        <v>0</v>
      </c>
      <c r="D113" s="1414">
        <v>-6.7391652370692679E-3</v>
      </c>
      <c r="E113" s="1411">
        <v>6.7391652370692679E-3</v>
      </c>
      <c r="F113" s="1414">
        <v>0</v>
      </c>
      <c r="G113" s="1411"/>
      <c r="H113" s="1414"/>
      <c r="I113" s="1411"/>
      <c r="J113" s="1414"/>
      <c r="K113" s="1411"/>
      <c r="L113" s="1414"/>
      <c r="M113" s="1411"/>
      <c r="N113" s="1414"/>
      <c r="O113" s="1411"/>
      <c r="P113" s="1414"/>
      <c r="Q113" s="1411"/>
      <c r="R113" s="1414"/>
      <c r="S113" s="1411"/>
      <c r="T113" s="1414"/>
      <c r="U113" s="1411"/>
      <c r="V113" s="1414"/>
      <c r="W113" s="1411"/>
      <c r="X113" s="1414"/>
      <c r="Y113" s="1411"/>
      <c r="Z113" s="1414"/>
      <c r="AA113" s="1411"/>
      <c r="AB113" s="1414"/>
      <c r="AC113" s="1411"/>
      <c r="AD113" s="1414"/>
      <c r="AE113" s="1411"/>
      <c r="AF113" s="1414"/>
      <c r="AG113" s="1411"/>
      <c r="AH113" s="1414"/>
      <c r="AI113" s="1411"/>
      <c r="AJ113" s="1414"/>
      <c r="AK113" s="1411"/>
      <c r="AL113" s="1414"/>
      <c r="AM113" s="1411"/>
      <c r="AN113" s="1414"/>
      <c r="AO113" s="1411"/>
      <c r="AP113" s="1414"/>
      <c r="AQ113" s="1411"/>
      <c r="AR113" s="1414"/>
      <c r="AS113" s="1411"/>
      <c r="AT113" s="1414"/>
      <c r="AU113" s="1411"/>
      <c r="AV113" s="1414"/>
      <c r="AW113" s="1411"/>
      <c r="AX113" s="1414"/>
      <c r="AY113" s="1411"/>
      <c r="AZ113" s="1414"/>
      <c r="BA113" s="1411"/>
      <c r="BB113" s="1414"/>
      <c r="BC113" s="1411"/>
      <c r="BD113" s="1414"/>
      <c r="BE113" s="1411"/>
      <c r="BF113" s="1414"/>
      <c r="BG113" s="1411"/>
      <c r="BH113" s="1414"/>
      <c r="BI113" s="1411"/>
      <c r="BJ113" s="1414"/>
      <c r="BK113" s="1411"/>
      <c r="BL113" s="1414"/>
      <c r="BM113" s="1411"/>
      <c r="BN113" s="1414"/>
      <c r="BO113" s="1411"/>
      <c r="BP113" s="1414"/>
      <c r="BQ113" s="1411"/>
      <c r="BR113" s="1414"/>
      <c r="BS113" s="1411"/>
      <c r="BT113" s="1414"/>
      <c r="BU113" s="1411"/>
      <c r="BV113" s="1414"/>
      <c r="BW113" s="1411"/>
      <c r="BX113" s="1414"/>
      <c r="BY113" s="1411"/>
      <c r="BZ113" s="1414"/>
      <c r="CA113" s="1411"/>
      <c r="CB113" s="1414"/>
      <c r="CC113" s="1411"/>
      <c r="CD113" s="1414"/>
      <c r="CE113" s="848"/>
      <c r="CF113" s="848"/>
      <c r="CG113" s="848"/>
      <c r="CH113" s="848"/>
      <c r="CI113" s="848"/>
      <c r="CJ113" s="848"/>
      <c r="CK113" s="848"/>
      <c r="CL113" s="1511"/>
    </row>
    <row r="114" spans="1:90">
      <c r="A114">
        <f>+A112+1</f>
        <v>6</v>
      </c>
      <c r="B114" s="1446" t="s">
        <v>1396</v>
      </c>
      <c r="C114" s="1411">
        <v>-2.3442291070288799E-3</v>
      </c>
      <c r="D114" s="1414">
        <v>0</v>
      </c>
      <c r="E114" s="1411">
        <v>0</v>
      </c>
      <c r="F114" s="1414">
        <v>2.3442291070288799E-3</v>
      </c>
      <c r="G114" s="1411"/>
      <c r="H114" s="1414"/>
      <c r="I114" s="1411"/>
      <c r="J114" s="1414"/>
      <c r="K114" s="1411"/>
      <c r="L114" s="1414"/>
      <c r="M114" s="1411"/>
      <c r="N114" s="1414"/>
      <c r="O114" s="1411"/>
      <c r="P114" s="1414"/>
      <c r="Q114" s="1411"/>
      <c r="R114" s="1414"/>
      <c r="S114" s="1411"/>
      <c r="T114" s="1414"/>
      <c r="U114" s="1411"/>
      <c r="V114" s="1414"/>
      <c r="W114" s="1411"/>
      <c r="X114" s="1414"/>
      <c r="Y114" s="1411"/>
      <c r="Z114" s="1414"/>
      <c r="AA114" s="1411"/>
      <c r="AB114" s="1414"/>
      <c r="AC114" s="1411"/>
      <c r="AD114" s="1414"/>
      <c r="AE114" s="1411"/>
      <c r="AF114" s="1414"/>
      <c r="AG114" s="1411"/>
      <c r="AH114" s="1414"/>
      <c r="AI114" s="1411"/>
      <c r="AJ114" s="1414"/>
      <c r="AK114" s="1411"/>
      <c r="AL114" s="1414"/>
      <c r="AM114" s="1411"/>
      <c r="AN114" s="1414"/>
      <c r="AO114" s="1411"/>
      <c r="AP114" s="1414"/>
      <c r="AQ114" s="1411"/>
      <c r="AR114" s="1414"/>
      <c r="AS114" s="1411"/>
      <c r="AT114" s="1414"/>
      <c r="AU114" s="1411"/>
      <c r="AV114" s="1414"/>
      <c r="AW114" s="1411"/>
      <c r="AX114" s="1414"/>
      <c r="AY114" s="1411"/>
      <c r="AZ114" s="1414"/>
      <c r="BA114" s="1411"/>
      <c r="BB114" s="1414"/>
      <c r="BC114" s="1411"/>
      <c r="BD114" s="1414"/>
      <c r="BE114" s="1411"/>
      <c r="BF114" s="1414"/>
      <c r="BG114" s="1411"/>
      <c r="BH114" s="1414"/>
      <c r="BI114" s="1411"/>
      <c r="BJ114" s="1414"/>
      <c r="BK114" s="1411"/>
      <c r="BL114" s="1414"/>
      <c r="BM114" s="1411"/>
      <c r="BN114" s="1414"/>
      <c r="BO114" s="1411"/>
      <c r="BP114" s="1414"/>
      <c r="BQ114" s="1411"/>
      <c r="BR114" s="1414"/>
      <c r="BS114" s="1411"/>
      <c r="BT114" s="1414"/>
      <c r="BU114" s="1411"/>
      <c r="BV114" s="1414"/>
      <c r="BW114" s="1411"/>
      <c r="BX114" s="1414"/>
      <c r="BY114" s="1411"/>
      <c r="BZ114" s="1414"/>
      <c r="CA114" s="1411"/>
      <c r="CB114" s="1414"/>
      <c r="CC114" s="1411"/>
      <c r="CD114" s="1414"/>
      <c r="CE114" s="848"/>
      <c r="CF114" s="848"/>
      <c r="CG114" s="848"/>
      <c r="CH114" s="848"/>
      <c r="CI114" s="848"/>
      <c r="CJ114" s="848"/>
      <c r="CK114" s="848"/>
      <c r="CL114" s="1511"/>
    </row>
    <row r="115" spans="1:90">
      <c r="B115" s="1450" t="s">
        <v>1395</v>
      </c>
      <c r="C115" s="1411">
        <v>0</v>
      </c>
      <c r="D115" s="1414">
        <v>-1.1721145535144399E-3</v>
      </c>
      <c r="E115" s="1411">
        <v>1.1721145535144399E-3</v>
      </c>
      <c r="F115" s="1414">
        <v>0</v>
      </c>
      <c r="G115" s="1411"/>
      <c r="H115" s="1414"/>
      <c r="I115" s="1411"/>
      <c r="J115" s="1414"/>
      <c r="K115" s="1411"/>
      <c r="L115" s="1414"/>
      <c r="M115" s="1411"/>
      <c r="N115" s="1414"/>
      <c r="O115" s="1411"/>
      <c r="P115" s="1414"/>
      <c r="Q115" s="1411"/>
      <c r="R115" s="1414"/>
      <c r="S115" s="1411"/>
      <c r="T115" s="1414"/>
      <c r="U115" s="1411"/>
      <c r="V115" s="1414"/>
      <c r="W115" s="1411"/>
      <c r="X115" s="1414"/>
      <c r="Y115" s="1411"/>
      <c r="Z115" s="1414"/>
      <c r="AA115" s="1411"/>
      <c r="AB115" s="1414"/>
      <c r="AC115" s="1411"/>
      <c r="AD115" s="1414"/>
      <c r="AE115" s="1411"/>
      <c r="AF115" s="1414"/>
      <c r="AG115" s="1411"/>
      <c r="AH115" s="1414"/>
      <c r="AI115" s="1411"/>
      <c r="AJ115" s="1414"/>
      <c r="AK115" s="1411"/>
      <c r="AL115" s="1414"/>
      <c r="AM115" s="1411"/>
      <c r="AN115" s="1414"/>
      <c r="AO115" s="1411"/>
      <c r="AP115" s="1414"/>
      <c r="AQ115" s="1411"/>
      <c r="AR115" s="1414"/>
      <c r="AS115" s="1411"/>
      <c r="AT115" s="1414"/>
      <c r="AU115" s="1411"/>
      <c r="AV115" s="1414"/>
      <c r="AW115" s="1411"/>
      <c r="AX115" s="1414"/>
      <c r="AY115" s="1411"/>
      <c r="AZ115" s="1414"/>
      <c r="BA115" s="1411"/>
      <c r="BB115" s="1414"/>
      <c r="BC115" s="1411"/>
      <c r="BD115" s="1414"/>
      <c r="BE115" s="1411"/>
      <c r="BF115" s="1414"/>
      <c r="BG115" s="1411"/>
      <c r="BH115" s="1414"/>
      <c r="BI115" s="1411"/>
      <c r="BJ115" s="1414"/>
      <c r="BK115" s="1411"/>
      <c r="BL115" s="1414"/>
      <c r="BM115" s="1411"/>
      <c r="BN115" s="1414"/>
      <c r="BO115" s="1411"/>
      <c r="BP115" s="1414"/>
      <c r="BQ115" s="1411"/>
      <c r="BR115" s="1414"/>
      <c r="BS115" s="1411"/>
      <c r="BT115" s="1414"/>
      <c r="BU115" s="1411"/>
      <c r="BV115" s="1414"/>
      <c r="BW115" s="1411"/>
      <c r="BX115" s="1414"/>
      <c r="BY115" s="1411"/>
      <c r="BZ115" s="1414"/>
      <c r="CA115" s="1411"/>
      <c r="CB115" s="1414"/>
      <c r="CC115" s="1411"/>
      <c r="CD115" s="1414"/>
      <c r="CE115" s="848"/>
      <c r="CF115" s="848"/>
      <c r="CG115" s="848"/>
      <c r="CH115" s="848"/>
      <c r="CI115" s="848"/>
      <c r="CJ115" s="848"/>
      <c r="CK115" s="848"/>
      <c r="CL115" s="1511"/>
    </row>
    <row r="116" spans="1:90">
      <c r="A116">
        <f>+A114+1</f>
        <v>7</v>
      </c>
      <c r="B116" s="1446" t="s">
        <v>1396</v>
      </c>
      <c r="C116" s="1411">
        <v>-6.1372233688143543E-4</v>
      </c>
      <c r="D116" s="1414">
        <v>0</v>
      </c>
      <c r="E116" s="1411">
        <v>0</v>
      </c>
      <c r="F116" s="1414">
        <v>6.1372233688143543E-4</v>
      </c>
      <c r="G116" s="1411"/>
      <c r="H116" s="1414"/>
      <c r="I116" s="1411"/>
      <c r="J116" s="1414"/>
      <c r="K116" s="1411"/>
      <c r="L116" s="1414"/>
      <c r="M116" s="1411"/>
      <c r="N116" s="1414"/>
      <c r="O116" s="1411"/>
      <c r="P116" s="1414"/>
      <c r="Q116" s="1411"/>
      <c r="R116" s="1414"/>
      <c r="S116" s="1411"/>
      <c r="T116" s="1414"/>
      <c r="U116" s="1411"/>
      <c r="V116" s="1414"/>
      <c r="W116" s="1411"/>
      <c r="X116" s="1414"/>
      <c r="Y116" s="1411"/>
      <c r="Z116" s="1414"/>
      <c r="AA116" s="1411"/>
      <c r="AB116" s="1414"/>
      <c r="AC116" s="1411"/>
      <c r="AD116" s="1414"/>
      <c r="AE116" s="1411"/>
      <c r="AF116" s="1414"/>
      <c r="AG116" s="1411"/>
      <c r="AH116" s="1414"/>
      <c r="AI116" s="1411"/>
      <c r="AJ116" s="1414"/>
      <c r="AK116" s="1411"/>
      <c r="AL116" s="1414"/>
      <c r="AM116" s="1411"/>
      <c r="AN116" s="1414"/>
      <c r="AO116" s="1411"/>
      <c r="AP116" s="1414"/>
      <c r="AQ116" s="1411"/>
      <c r="AR116" s="1414"/>
      <c r="AS116" s="1411"/>
      <c r="AT116" s="1414"/>
      <c r="AU116" s="1411"/>
      <c r="AV116" s="1414"/>
      <c r="AW116" s="1411"/>
      <c r="AX116" s="1414"/>
      <c r="AY116" s="1411"/>
      <c r="AZ116" s="1414"/>
      <c r="BA116" s="1411"/>
      <c r="BB116" s="1414"/>
      <c r="BC116" s="1411"/>
      <c r="BD116" s="1414"/>
      <c r="BE116" s="1411"/>
      <c r="BF116" s="1414"/>
      <c r="BG116" s="1411"/>
      <c r="BH116" s="1414"/>
      <c r="BI116" s="1411"/>
      <c r="BJ116" s="1414"/>
      <c r="BK116" s="1411"/>
      <c r="BL116" s="1414"/>
      <c r="BM116" s="1411"/>
      <c r="BN116" s="1414"/>
      <c r="BO116" s="1411"/>
      <c r="BP116" s="1414"/>
      <c r="BQ116" s="1411"/>
      <c r="BR116" s="1414"/>
      <c r="BS116" s="1411"/>
      <c r="BT116" s="1414"/>
      <c r="BU116" s="1411"/>
      <c r="BV116" s="1414"/>
      <c r="BW116" s="1411"/>
      <c r="BX116" s="1414"/>
      <c r="BY116" s="1411"/>
      <c r="BZ116" s="1414"/>
      <c r="CA116" s="1411"/>
      <c r="CB116" s="1414"/>
      <c r="CC116" s="1411"/>
      <c r="CD116" s="1414"/>
      <c r="CE116" s="848"/>
      <c r="CF116" s="848"/>
      <c r="CG116" s="848"/>
      <c r="CH116" s="848"/>
      <c r="CI116" s="848"/>
      <c r="CJ116" s="848"/>
      <c r="CK116" s="848"/>
      <c r="CL116" s="1511"/>
    </row>
    <row r="117" spans="1:90">
      <c r="B117" s="1450" t="s">
        <v>1395</v>
      </c>
      <c r="C117" s="1411">
        <v>0</v>
      </c>
      <c r="D117" s="1414">
        <v>-3.0686116844071772E-4</v>
      </c>
      <c r="E117" s="1411">
        <v>3.0686116844071772E-4</v>
      </c>
      <c r="F117" s="1414">
        <v>0</v>
      </c>
      <c r="G117" s="1411"/>
      <c r="H117" s="1414"/>
      <c r="I117" s="1411"/>
      <c r="J117" s="1414"/>
      <c r="K117" s="1411"/>
      <c r="L117" s="1414"/>
      <c r="M117" s="1411"/>
      <c r="N117" s="1414"/>
      <c r="O117" s="1411"/>
      <c r="P117" s="1414"/>
      <c r="Q117" s="1411"/>
      <c r="R117" s="1414"/>
      <c r="S117" s="1411"/>
      <c r="T117" s="1414"/>
      <c r="U117" s="1411"/>
      <c r="V117" s="1414"/>
      <c r="W117" s="1411"/>
      <c r="X117" s="1414"/>
      <c r="Y117" s="1411"/>
      <c r="Z117" s="1414"/>
      <c r="AA117" s="1411"/>
      <c r="AB117" s="1414"/>
      <c r="AC117" s="1411"/>
      <c r="AD117" s="1414"/>
      <c r="AE117" s="1411"/>
      <c r="AF117" s="1414"/>
      <c r="AG117" s="1411"/>
      <c r="AH117" s="1414"/>
      <c r="AI117" s="1411"/>
      <c r="AJ117" s="1414"/>
      <c r="AK117" s="1411"/>
      <c r="AL117" s="1414"/>
      <c r="AM117" s="1411"/>
      <c r="AN117" s="1414"/>
      <c r="AO117" s="1411"/>
      <c r="AP117" s="1414"/>
      <c r="AQ117" s="1411"/>
      <c r="AR117" s="1414"/>
      <c r="AS117" s="1411"/>
      <c r="AT117" s="1414"/>
      <c r="AU117" s="1411"/>
      <c r="AV117" s="1414"/>
      <c r="AW117" s="1411"/>
      <c r="AX117" s="1414"/>
      <c r="AY117" s="1411"/>
      <c r="AZ117" s="1414"/>
      <c r="BA117" s="1411"/>
      <c r="BB117" s="1414"/>
      <c r="BC117" s="1411"/>
      <c r="BD117" s="1414"/>
      <c r="BE117" s="1411"/>
      <c r="BF117" s="1414"/>
      <c r="BG117" s="1411"/>
      <c r="BH117" s="1414"/>
      <c r="BI117" s="1411"/>
      <c r="BJ117" s="1414"/>
      <c r="BK117" s="1411"/>
      <c r="BL117" s="1414"/>
      <c r="BM117" s="1411"/>
      <c r="BN117" s="1414"/>
      <c r="BO117" s="1411"/>
      <c r="BP117" s="1414"/>
      <c r="BQ117" s="1411"/>
      <c r="BR117" s="1414"/>
      <c r="BS117" s="1411"/>
      <c r="BT117" s="1414"/>
      <c r="BU117" s="1411"/>
      <c r="BV117" s="1414"/>
      <c r="BW117" s="1411"/>
      <c r="BX117" s="1414"/>
      <c r="BY117" s="1411"/>
      <c r="BZ117" s="1414"/>
      <c r="CA117" s="1411"/>
      <c r="CB117" s="1414"/>
      <c r="CC117" s="1411"/>
      <c r="CD117" s="1414"/>
      <c r="CE117" s="848"/>
      <c r="CF117" s="848"/>
      <c r="CG117" s="848"/>
      <c r="CH117" s="848"/>
      <c r="CI117" s="848"/>
      <c r="CJ117" s="848"/>
      <c r="CK117" s="848"/>
      <c r="CL117" s="1511"/>
    </row>
    <row r="118" spans="1:90">
      <c r="A118">
        <f>+A116+1</f>
        <v>8</v>
      </c>
      <c r="B118" s="1446" t="s">
        <v>1396</v>
      </c>
      <c r="C118" s="1411">
        <v>-1.067421346072314E-4</v>
      </c>
      <c r="D118" s="1414">
        <v>0</v>
      </c>
      <c r="E118" s="1411">
        <v>0</v>
      </c>
      <c r="F118" s="1414">
        <v>1.067421346072314E-4</v>
      </c>
      <c r="G118" s="1411"/>
      <c r="H118" s="1414"/>
      <c r="I118" s="1411"/>
      <c r="J118" s="1414"/>
      <c r="K118" s="1411"/>
      <c r="L118" s="1414"/>
      <c r="M118" s="1411"/>
      <c r="N118" s="1414"/>
      <c r="O118" s="1411"/>
      <c r="P118" s="1414"/>
      <c r="Q118" s="1411"/>
      <c r="R118" s="1414"/>
      <c r="S118" s="1411"/>
      <c r="T118" s="1414"/>
      <c r="U118" s="1411"/>
      <c r="V118" s="1414"/>
      <c r="W118" s="1411"/>
      <c r="X118" s="1414"/>
      <c r="Y118" s="1411"/>
      <c r="Z118" s="1414"/>
      <c r="AA118" s="1411"/>
      <c r="AB118" s="1414"/>
      <c r="AC118" s="1411"/>
      <c r="AD118" s="1414"/>
      <c r="AE118" s="1411"/>
      <c r="AF118" s="1414"/>
      <c r="AG118" s="1411"/>
      <c r="AH118" s="1414"/>
      <c r="AI118" s="1411"/>
      <c r="AJ118" s="1414"/>
      <c r="AK118" s="1411"/>
      <c r="AL118" s="1414"/>
      <c r="AM118" s="1411"/>
      <c r="AN118" s="1414"/>
      <c r="AO118" s="1411"/>
      <c r="AP118" s="1414"/>
      <c r="AQ118" s="1411"/>
      <c r="AR118" s="1414"/>
      <c r="AS118" s="1411"/>
      <c r="AT118" s="1414"/>
      <c r="AU118" s="1411"/>
      <c r="AV118" s="1414"/>
      <c r="AW118" s="1411"/>
      <c r="AX118" s="1414"/>
      <c r="AY118" s="1411"/>
      <c r="AZ118" s="1414"/>
      <c r="BA118" s="1411"/>
      <c r="BB118" s="1414"/>
      <c r="BC118" s="1411"/>
      <c r="BD118" s="1414"/>
      <c r="BE118" s="1411"/>
      <c r="BF118" s="1414"/>
      <c r="BG118" s="1411"/>
      <c r="BH118" s="1414"/>
      <c r="BI118" s="1411"/>
      <c r="BJ118" s="1414"/>
      <c r="BK118" s="1411"/>
      <c r="BL118" s="1414"/>
      <c r="BM118" s="1411"/>
      <c r="BN118" s="1414"/>
      <c r="BO118" s="1411"/>
      <c r="BP118" s="1414"/>
      <c r="BQ118" s="1411"/>
      <c r="BR118" s="1414"/>
      <c r="BS118" s="1411"/>
      <c r="BT118" s="1414"/>
      <c r="BU118" s="1411"/>
      <c r="BV118" s="1414"/>
      <c r="BW118" s="1411"/>
      <c r="BX118" s="1414"/>
      <c r="BY118" s="1411"/>
      <c r="BZ118" s="1414"/>
      <c r="CA118" s="1411"/>
      <c r="CB118" s="1414"/>
      <c r="CC118" s="1411"/>
      <c r="CD118" s="1414"/>
      <c r="CE118" s="848"/>
      <c r="CF118" s="848"/>
      <c r="CG118" s="848"/>
      <c r="CH118" s="848"/>
      <c r="CI118" s="848"/>
      <c r="CJ118" s="848"/>
      <c r="CK118" s="848"/>
      <c r="CL118" s="1511"/>
    </row>
    <row r="119" spans="1:90">
      <c r="B119" s="1450" t="s">
        <v>1395</v>
      </c>
      <c r="C119" s="1411">
        <v>0</v>
      </c>
      <c r="D119" s="1414">
        <v>-5.3371067303615698E-5</v>
      </c>
      <c r="E119" s="1411">
        <v>5.3371067303615698E-5</v>
      </c>
      <c r="F119" s="1414">
        <v>0</v>
      </c>
      <c r="G119" s="1411"/>
      <c r="H119" s="1414"/>
      <c r="I119" s="1411"/>
      <c r="J119" s="1414"/>
      <c r="K119" s="1411"/>
      <c r="L119" s="1414"/>
      <c r="M119" s="1411"/>
      <c r="N119" s="1414"/>
      <c r="O119" s="1411"/>
      <c r="P119" s="1414"/>
      <c r="Q119" s="1411"/>
      <c r="R119" s="1414"/>
      <c r="S119" s="1411"/>
      <c r="T119" s="1414"/>
      <c r="U119" s="1411"/>
      <c r="V119" s="1414"/>
      <c r="W119" s="1411"/>
      <c r="X119" s="1414"/>
      <c r="Y119" s="1411"/>
      <c r="Z119" s="1414"/>
      <c r="AA119" s="1411"/>
      <c r="AB119" s="1414"/>
      <c r="AC119" s="1411"/>
      <c r="AD119" s="1414"/>
      <c r="AE119" s="1411"/>
      <c r="AF119" s="1414"/>
      <c r="AG119" s="1411"/>
      <c r="AH119" s="1414"/>
      <c r="AI119" s="1411"/>
      <c r="AJ119" s="1414"/>
      <c r="AK119" s="1411"/>
      <c r="AL119" s="1414"/>
      <c r="AM119" s="1411"/>
      <c r="AN119" s="1414"/>
      <c r="AO119" s="1411"/>
      <c r="AP119" s="1414"/>
      <c r="AQ119" s="1411"/>
      <c r="AR119" s="1414"/>
      <c r="AS119" s="1411"/>
      <c r="AT119" s="1414"/>
      <c r="AU119" s="1411"/>
      <c r="AV119" s="1414"/>
      <c r="AW119" s="1411"/>
      <c r="AX119" s="1414"/>
      <c r="AY119" s="1411"/>
      <c r="AZ119" s="1414"/>
      <c r="BA119" s="1411"/>
      <c r="BB119" s="1414"/>
      <c r="BC119" s="1411"/>
      <c r="BD119" s="1414"/>
      <c r="BE119" s="1411"/>
      <c r="BF119" s="1414"/>
      <c r="BG119" s="1411"/>
      <c r="BH119" s="1414"/>
      <c r="BI119" s="1411"/>
      <c r="BJ119" s="1414"/>
      <c r="BK119" s="1411"/>
      <c r="BL119" s="1414"/>
      <c r="BM119" s="1411"/>
      <c r="BN119" s="1414"/>
      <c r="BO119" s="1411"/>
      <c r="BP119" s="1414"/>
      <c r="BQ119" s="1411"/>
      <c r="BR119" s="1414"/>
      <c r="BS119" s="1411"/>
      <c r="BT119" s="1414"/>
      <c r="BU119" s="1411"/>
      <c r="BV119" s="1414"/>
      <c r="BW119" s="1411"/>
      <c r="BX119" s="1414"/>
      <c r="BY119" s="1411"/>
      <c r="BZ119" s="1414"/>
      <c r="CA119" s="1411"/>
      <c r="CB119" s="1414"/>
      <c r="CC119" s="1411"/>
      <c r="CD119" s="1414"/>
      <c r="CE119" s="848"/>
      <c r="CF119" s="848"/>
      <c r="CG119" s="848"/>
      <c r="CH119" s="848"/>
      <c r="CI119" s="848"/>
      <c r="CJ119" s="848"/>
      <c r="CK119" s="848"/>
      <c r="CL119" s="1511"/>
    </row>
    <row r="120" spans="1:90">
      <c r="A120">
        <f>+A118+1</f>
        <v>9</v>
      </c>
      <c r="B120" s="1446" t="s">
        <v>1396</v>
      </c>
      <c r="C120" s="1411">
        <v>-2.7945234575596341E-5</v>
      </c>
      <c r="D120" s="1414">
        <v>0</v>
      </c>
      <c r="E120" s="1411">
        <v>0</v>
      </c>
      <c r="F120" s="1414">
        <v>2.7945234575596341E-5</v>
      </c>
      <c r="G120" s="1411"/>
      <c r="H120" s="1414"/>
      <c r="I120" s="1411"/>
      <c r="J120" s="1414"/>
      <c r="K120" s="1411"/>
      <c r="L120" s="1414"/>
      <c r="M120" s="1411"/>
      <c r="N120" s="1414"/>
      <c r="O120" s="1411"/>
      <c r="P120" s="1414"/>
      <c r="Q120" s="1411"/>
      <c r="R120" s="1414"/>
      <c r="S120" s="1411"/>
      <c r="T120" s="1414"/>
      <c r="U120" s="1411"/>
      <c r="V120" s="1414"/>
      <c r="W120" s="1411"/>
      <c r="X120" s="1414"/>
      <c r="Y120" s="1411"/>
      <c r="Z120" s="1414"/>
      <c r="AA120" s="1411"/>
      <c r="AB120" s="1414"/>
      <c r="AC120" s="1411"/>
      <c r="AD120" s="1414"/>
      <c r="AE120" s="1411"/>
      <c r="AF120" s="1414"/>
      <c r="AG120" s="1411"/>
      <c r="AH120" s="1414"/>
      <c r="AI120" s="1411"/>
      <c r="AJ120" s="1414"/>
      <c r="AK120" s="1411"/>
      <c r="AL120" s="1414"/>
      <c r="AM120" s="1411"/>
      <c r="AN120" s="1414"/>
      <c r="AO120" s="1411"/>
      <c r="AP120" s="1414"/>
      <c r="AQ120" s="1411"/>
      <c r="AR120" s="1414"/>
      <c r="AS120" s="1411"/>
      <c r="AT120" s="1414"/>
      <c r="AU120" s="1411"/>
      <c r="AV120" s="1414"/>
      <c r="AW120" s="1411"/>
      <c r="AX120" s="1414"/>
      <c r="AY120" s="1411"/>
      <c r="AZ120" s="1414"/>
      <c r="BA120" s="1411"/>
      <c r="BB120" s="1414"/>
      <c r="BC120" s="1411"/>
      <c r="BD120" s="1414"/>
      <c r="BE120" s="1411"/>
      <c r="BF120" s="1414"/>
      <c r="BG120" s="1411"/>
      <c r="BH120" s="1414"/>
      <c r="BI120" s="1411"/>
      <c r="BJ120" s="1414"/>
      <c r="BK120" s="1411"/>
      <c r="BL120" s="1414"/>
      <c r="BM120" s="1411"/>
      <c r="BN120" s="1414"/>
      <c r="BO120" s="1411"/>
      <c r="BP120" s="1414"/>
      <c r="BQ120" s="1411"/>
      <c r="BR120" s="1414"/>
      <c r="BS120" s="1411"/>
      <c r="BT120" s="1414"/>
      <c r="BU120" s="1411"/>
      <c r="BV120" s="1414"/>
      <c r="BW120" s="1411"/>
      <c r="BX120" s="1414"/>
      <c r="BY120" s="1411"/>
      <c r="BZ120" s="1414"/>
      <c r="CA120" s="1411"/>
      <c r="CB120" s="1414"/>
      <c r="CC120" s="1411"/>
      <c r="CD120" s="1414"/>
      <c r="CE120" s="848"/>
      <c r="CF120" s="848"/>
      <c r="CG120" s="848"/>
      <c r="CH120" s="848"/>
      <c r="CI120" s="848"/>
      <c r="CJ120" s="848"/>
      <c r="CK120" s="848"/>
      <c r="CL120" s="1511"/>
    </row>
    <row r="121" spans="1:90">
      <c r="B121" s="1450" t="s">
        <v>1395</v>
      </c>
      <c r="C121" s="1411">
        <v>0</v>
      </c>
      <c r="D121" s="1414">
        <v>-1.3972617287798171E-5</v>
      </c>
      <c r="E121" s="1411">
        <v>1.3972617287798171E-5</v>
      </c>
      <c r="F121" s="1414">
        <v>0</v>
      </c>
      <c r="G121" s="1411"/>
      <c r="H121" s="1414"/>
      <c r="I121" s="1411"/>
      <c r="J121" s="1414"/>
      <c r="K121" s="1411"/>
      <c r="L121" s="1414"/>
      <c r="M121" s="1411"/>
      <c r="N121" s="1414"/>
      <c r="O121" s="1411"/>
      <c r="P121" s="1414"/>
      <c r="Q121" s="1411"/>
      <c r="R121" s="1414"/>
      <c r="S121" s="1411"/>
      <c r="T121" s="1414"/>
      <c r="U121" s="1411"/>
      <c r="V121" s="1414"/>
      <c r="W121" s="1411"/>
      <c r="X121" s="1414"/>
      <c r="Y121" s="1411"/>
      <c r="Z121" s="1414"/>
      <c r="AA121" s="1411"/>
      <c r="AB121" s="1414"/>
      <c r="AC121" s="1411"/>
      <c r="AD121" s="1414"/>
      <c r="AE121" s="1411"/>
      <c r="AF121" s="1414"/>
      <c r="AG121" s="1411"/>
      <c r="AH121" s="1414"/>
      <c r="AI121" s="1411"/>
      <c r="AJ121" s="1414"/>
      <c r="AK121" s="1411"/>
      <c r="AL121" s="1414"/>
      <c r="AM121" s="1411"/>
      <c r="AN121" s="1414"/>
      <c r="AO121" s="1411"/>
      <c r="AP121" s="1414"/>
      <c r="AQ121" s="1411"/>
      <c r="AR121" s="1414"/>
      <c r="AS121" s="1411"/>
      <c r="AT121" s="1414"/>
      <c r="AU121" s="1411"/>
      <c r="AV121" s="1414"/>
      <c r="AW121" s="1411"/>
      <c r="AX121" s="1414"/>
      <c r="AY121" s="1411"/>
      <c r="AZ121" s="1414"/>
      <c r="BA121" s="1411"/>
      <c r="BB121" s="1414"/>
      <c r="BC121" s="1411"/>
      <c r="BD121" s="1414"/>
      <c r="BE121" s="1411"/>
      <c r="BF121" s="1414"/>
      <c r="BG121" s="1411"/>
      <c r="BH121" s="1414"/>
      <c r="BI121" s="1411"/>
      <c r="BJ121" s="1414"/>
      <c r="BK121" s="1411"/>
      <c r="BL121" s="1414"/>
      <c r="BM121" s="1411"/>
      <c r="BN121" s="1414"/>
      <c r="BO121" s="1411"/>
      <c r="BP121" s="1414"/>
      <c r="BQ121" s="1411"/>
      <c r="BR121" s="1414"/>
      <c r="BS121" s="1411"/>
      <c r="BT121" s="1414"/>
      <c r="BU121" s="1411"/>
      <c r="BV121" s="1414"/>
      <c r="BW121" s="1411"/>
      <c r="BX121" s="1414"/>
      <c r="BY121" s="1411"/>
      <c r="BZ121" s="1414"/>
      <c r="CA121" s="1411"/>
      <c r="CB121" s="1414"/>
      <c r="CC121" s="1411"/>
      <c r="CD121" s="1414"/>
      <c r="CE121" s="848"/>
      <c r="CF121" s="848"/>
      <c r="CG121" s="848"/>
      <c r="CH121" s="848"/>
      <c r="CI121" s="848"/>
      <c r="CJ121" s="848"/>
      <c r="CK121" s="848"/>
      <c r="CL121" s="1511"/>
    </row>
    <row r="122" spans="1:90">
      <c r="A122">
        <f>+A120+1</f>
        <v>10</v>
      </c>
      <c r="B122" s="1446" t="s">
        <v>1396</v>
      </c>
      <c r="C122" s="1411">
        <v>-4.860396650798833E-6</v>
      </c>
      <c r="D122" s="1414">
        <v>0</v>
      </c>
      <c r="E122" s="1411">
        <v>0</v>
      </c>
      <c r="F122" s="1414">
        <v>4.860396650798833E-6</v>
      </c>
      <c r="G122" s="1411"/>
      <c r="H122" s="1414"/>
      <c r="I122" s="1411"/>
      <c r="J122" s="1414"/>
      <c r="K122" s="1411"/>
      <c r="L122" s="1414"/>
      <c r="M122" s="1411"/>
      <c r="N122" s="1414"/>
      <c r="O122" s="1411"/>
      <c r="P122" s="1414"/>
      <c r="Q122" s="1411"/>
      <c r="R122" s="1414"/>
      <c r="S122" s="1411"/>
      <c r="T122" s="1414"/>
      <c r="U122" s="1411"/>
      <c r="V122" s="1414"/>
      <c r="W122" s="1411"/>
      <c r="X122" s="1414"/>
      <c r="Y122" s="1411"/>
      <c r="Z122" s="1414"/>
      <c r="AA122" s="1411"/>
      <c r="AB122" s="1414"/>
      <c r="AC122" s="1411"/>
      <c r="AD122" s="1414"/>
      <c r="AE122" s="1411"/>
      <c r="AF122" s="1414"/>
      <c r="AG122" s="1411"/>
      <c r="AH122" s="1414"/>
      <c r="AI122" s="1411"/>
      <c r="AJ122" s="1414"/>
      <c r="AK122" s="1411"/>
      <c r="AL122" s="1414"/>
      <c r="AM122" s="1411"/>
      <c r="AN122" s="1414"/>
      <c r="AO122" s="1411"/>
      <c r="AP122" s="1414"/>
      <c r="AQ122" s="1411"/>
      <c r="AR122" s="1414"/>
      <c r="AS122" s="1411"/>
      <c r="AT122" s="1414"/>
      <c r="AU122" s="1411"/>
      <c r="AV122" s="1414"/>
      <c r="AW122" s="1411"/>
      <c r="AX122" s="1414"/>
      <c r="AY122" s="1411"/>
      <c r="AZ122" s="1414"/>
      <c r="BA122" s="1411"/>
      <c r="BB122" s="1414"/>
      <c r="BC122" s="1411"/>
      <c r="BD122" s="1414"/>
      <c r="BE122" s="1411"/>
      <c r="BF122" s="1414"/>
      <c r="BG122" s="1411"/>
      <c r="BH122" s="1414"/>
      <c r="BI122" s="1411"/>
      <c r="BJ122" s="1414"/>
      <c r="BK122" s="1411"/>
      <c r="BL122" s="1414"/>
      <c r="BM122" s="1411"/>
      <c r="BN122" s="1414"/>
      <c r="BO122" s="1411"/>
      <c r="BP122" s="1414"/>
      <c r="BQ122" s="1411"/>
      <c r="BR122" s="1414"/>
      <c r="BS122" s="1411"/>
      <c r="BT122" s="1414"/>
      <c r="BU122" s="1411"/>
      <c r="BV122" s="1414"/>
      <c r="BW122" s="1411"/>
      <c r="BX122" s="1414"/>
      <c r="BY122" s="1411"/>
      <c r="BZ122" s="1414"/>
      <c r="CA122" s="1411"/>
      <c r="CB122" s="1414"/>
      <c r="CC122" s="1411"/>
      <c r="CD122" s="1414"/>
      <c r="CE122" s="848"/>
      <c r="CF122" s="848"/>
      <c r="CG122" s="848"/>
      <c r="CH122" s="848"/>
      <c r="CI122" s="848"/>
      <c r="CJ122" s="848"/>
      <c r="CK122" s="848"/>
      <c r="CL122" s="1511"/>
    </row>
    <row r="123" spans="1:90">
      <c r="B123" s="1450" t="s">
        <v>1395</v>
      </c>
      <c r="C123" s="1411">
        <v>0</v>
      </c>
      <c r="D123" s="1414">
        <v>-2.4301983253994165E-6</v>
      </c>
      <c r="E123" s="1411">
        <v>2.4301983253994165E-6</v>
      </c>
      <c r="F123" s="1414">
        <v>0</v>
      </c>
      <c r="G123" s="1411"/>
      <c r="H123" s="1414"/>
      <c r="I123" s="1411"/>
      <c r="J123" s="1414"/>
      <c r="K123" s="1411"/>
      <c r="L123" s="1414"/>
      <c r="M123" s="1411"/>
      <c r="N123" s="1414"/>
      <c r="O123" s="1411"/>
      <c r="P123" s="1414"/>
      <c r="Q123" s="1411"/>
      <c r="R123" s="1414"/>
      <c r="S123" s="1411"/>
      <c r="T123" s="1414"/>
      <c r="U123" s="1411"/>
      <c r="V123" s="1414"/>
      <c r="W123" s="1411"/>
      <c r="X123" s="1414"/>
      <c r="Y123" s="1411"/>
      <c r="Z123" s="1414"/>
      <c r="AA123" s="1411"/>
      <c r="AB123" s="1414"/>
      <c r="AC123" s="1411"/>
      <c r="AD123" s="1414"/>
      <c r="AE123" s="1411"/>
      <c r="AF123" s="1414"/>
      <c r="AG123" s="1411"/>
      <c r="AH123" s="1414"/>
      <c r="AI123" s="1411"/>
      <c r="AJ123" s="1414"/>
      <c r="AK123" s="1411"/>
      <c r="AL123" s="1414"/>
      <c r="AM123" s="1411"/>
      <c r="AN123" s="1414"/>
      <c r="AO123" s="1411"/>
      <c r="AP123" s="1414"/>
      <c r="AQ123" s="1411"/>
      <c r="AR123" s="1414"/>
      <c r="AS123" s="1411"/>
      <c r="AT123" s="1414"/>
      <c r="AU123" s="1411"/>
      <c r="AV123" s="1414"/>
      <c r="AW123" s="1411"/>
      <c r="AX123" s="1414"/>
      <c r="AY123" s="1411"/>
      <c r="AZ123" s="1414"/>
      <c r="BA123" s="1411"/>
      <c r="BB123" s="1414"/>
      <c r="BC123" s="1411"/>
      <c r="BD123" s="1414"/>
      <c r="BE123" s="1411"/>
      <c r="BF123" s="1414"/>
      <c r="BG123" s="1411"/>
      <c r="BH123" s="1414"/>
      <c r="BI123" s="1411"/>
      <c r="BJ123" s="1414"/>
      <c r="BK123" s="1411"/>
      <c r="BL123" s="1414"/>
      <c r="BM123" s="1411"/>
      <c r="BN123" s="1414"/>
      <c r="BO123" s="1411"/>
      <c r="BP123" s="1414"/>
      <c r="BQ123" s="1411"/>
      <c r="BR123" s="1414"/>
      <c r="BS123" s="1411"/>
      <c r="BT123" s="1414"/>
      <c r="BU123" s="1411"/>
      <c r="BV123" s="1414"/>
      <c r="BW123" s="1411"/>
      <c r="BX123" s="1414"/>
      <c r="BY123" s="1411"/>
      <c r="BZ123" s="1414"/>
      <c r="CA123" s="1411"/>
      <c r="CB123" s="1414"/>
      <c r="CC123" s="1411"/>
      <c r="CD123" s="1414"/>
      <c r="CE123" s="848"/>
      <c r="CF123" s="848"/>
      <c r="CG123" s="848"/>
      <c r="CH123" s="848"/>
      <c r="CI123" s="848"/>
      <c r="CJ123" s="848"/>
      <c r="CK123" s="848"/>
      <c r="CL123" s="1511"/>
    </row>
    <row r="124" spans="1:90">
      <c r="A124">
        <f>+A122+1</f>
        <v>11</v>
      </c>
      <c r="B124" s="1446" t="s">
        <v>1396</v>
      </c>
      <c r="C124" s="1411">
        <v>-1.2724583880282881E-6</v>
      </c>
      <c r="D124" s="1414">
        <v>0</v>
      </c>
      <c r="E124" s="1411">
        <v>0</v>
      </c>
      <c r="F124" s="1414">
        <v>1.2724583880282881E-6</v>
      </c>
      <c r="G124" s="1411"/>
      <c r="H124" s="1414"/>
      <c r="I124" s="1411"/>
      <c r="J124" s="1414"/>
      <c r="K124" s="1411"/>
      <c r="L124" s="1414"/>
      <c r="M124" s="1411"/>
      <c r="N124" s="1414"/>
      <c r="O124" s="1411"/>
      <c r="P124" s="1414"/>
      <c r="Q124" s="1411"/>
      <c r="R124" s="1414"/>
      <c r="S124" s="1411"/>
      <c r="T124" s="1414"/>
      <c r="U124" s="1411"/>
      <c r="V124" s="1414"/>
      <c r="W124" s="1411"/>
      <c r="X124" s="1414"/>
      <c r="Y124" s="1411"/>
      <c r="Z124" s="1414"/>
      <c r="AA124" s="1411"/>
      <c r="AB124" s="1414"/>
      <c r="AC124" s="1411"/>
      <c r="AD124" s="1414"/>
      <c r="AE124" s="1411"/>
      <c r="AF124" s="1414"/>
      <c r="AG124" s="1411"/>
      <c r="AH124" s="1414"/>
      <c r="AI124" s="1411"/>
      <c r="AJ124" s="1414"/>
      <c r="AK124" s="1411"/>
      <c r="AL124" s="1414"/>
      <c r="AM124" s="1411"/>
      <c r="AN124" s="1414"/>
      <c r="AO124" s="1411"/>
      <c r="AP124" s="1414"/>
      <c r="AQ124" s="1411"/>
      <c r="AR124" s="1414"/>
      <c r="AS124" s="1411"/>
      <c r="AT124" s="1414"/>
      <c r="AU124" s="1411"/>
      <c r="AV124" s="1414"/>
      <c r="AW124" s="1411"/>
      <c r="AX124" s="1414"/>
      <c r="AY124" s="1411"/>
      <c r="AZ124" s="1414"/>
      <c r="BA124" s="1411"/>
      <c r="BB124" s="1414"/>
      <c r="BC124" s="1411"/>
      <c r="BD124" s="1414"/>
      <c r="BE124" s="1411"/>
      <c r="BF124" s="1414"/>
      <c r="BG124" s="1411"/>
      <c r="BH124" s="1414"/>
      <c r="BI124" s="1411"/>
      <c r="BJ124" s="1414"/>
      <c r="BK124" s="1411"/>
      <c r="BL124" s="1414"/>
      <c r="BM124" s="1411"/>
      <c r="BN124" s="1414"/>
      <c r="BO124" s="1411"/>
      <c r="BP124" s="1414"/>
      <c r="BQ124" s="1411"/>
      <c r="BR124" s="1414"/>
      <c r="BS124" s="1411"/>
      <c r="BT124" s="1414"/>
      <c r="BU124" s="1411"/>
      <c r="BV124" s="1414"/>
      <c r="BW124" s="1411"/>
      <c r="BX124" s="1414"/>
      <c r="BY124" s="1411"/>
      <c r="BZ124" s="1414"/>
      <c r="CA124" s="1411"/>
      <c r="CB124" s="1414"/>
      <c r="CC124" s="1411"/>
      <c r="CD124" s="1414"/>
      <c r="CE124" s="848"/>
      <c r="CF124" s="848"/>
      <c r="CG124" s="848"/>
      <c r="CH124" s="848"/>
      <c r="CI124" s="848"/>
      <c r="CJ124" s="848"/>
      <c r="CK124" s="848"/>
      <c r="CL124" s="1511"/>
    </row>
    <row r="125" spans="1:90">
      <c r="A125" s="1451"/>
      <c r="B125" s="1451" t="s">
        <v>1395</v>
      </c>
      <c r="C125" s="1411">
        <v>0</v>
      </c>
      <c r="D125" s="1414">
        <v>-6.3622919401414404E-7</v>
      </c>
      <c r="E125" s="1411">
        <v>6.3622919401414404E-7</v>
      </c>
      <c r="F125" s="1414">
        <v>0</v>
      </c>
      <c r="G125" s="1411"/>
      <c r="H125" s="1414"/>
      <c r="I125" s="1411"/>
      <c r="J125" s="1414"/>
      <c r="K125" s="1411"/>
      <c r="L125" s="1414"/>
      <c r="M125" s="1411"/>
      <c r="N125" s="1414"/>
      <c r="O125" s="1411"/>
      <c r="P125" s="1414"/>
      <c r="Q125" s="1411"/>
      <c r="R125" s="1414"/>
      <c r="S125" s="1411"/>
      <c r="T125" s="1414"/>
      <c r="U125" s="1411"/>
      <c r="V125" s="1414"/>
      <c r="W125" s="1411"/>
      <c r="X125" s="1414"/>
      <c r="Y125" s="1411"/>
      <c r="Z125" s="1414"/>
      <c r="AA125" s="1411"/>
      <c r="AB125" s="1414"/>
      <c r="AC125" s="1411"/>
      <c r="AD125" s="1414"/>
      <c r="AE125" s="1411"/>
      <c r="AF125" s="1414"/>
      <c r="AG125" s="1411"/>
      <c r="AH125" s="1414"/>
      <c r="AI125" s="1411"/>
      <c r="AJ125" s="1414"/>
      <c r="AK125" s="1411"/>
      <c r="AL125" s="1414"/>
      <c r="AM125" s="1411"/>
      <c r="AN125" s="1414"/>
      <c r="AO125" s="1411"/>
      <c r="AP125" s="1414"/>
      <c r="AQ125" s="1411"/>
      <c r="AR125" s="1414"/>
      <c r="AS125" s="1411"/>
      <c r="AT125" s="1414"/>
      <c r="AU125" s="1411"/>
      <c r="AV125" s="1414"/>
      <c r="AW125" s="1411"/>
      <c r="AX125" s="1414"/>
      <c r="AY125" s="1411"/>
      <c r="AZ125" s="1414"/>
      <c r="BA125" s="1411"/>
      <c r="BB125" s="1414"/>
      <c r="BC125" s="1411"/>
      <c r="BD125" s="1414"/>
      <c r="BE125" s="1411"/>
      <c r="BF125" s="1414"/>
      <c r="BG125" s="1411"/>
      <c r="BH125" s="1414"/>
      <c r="BI125" s="1411"/>
      <c r="BJ125" s="1414"/>
      <c r="BK125" s="1411"/>
      <c r="BL125" s="1414"/>
      <c r="BM125" s="1411"/>
      <c r="BN125" s="1414"/>
      <c r="BO125" s="1411"/>
      <c r="BP125" s="1414"/>
      <c r="BQ125" s="1411"/>
      <c r="BR125" s="1414"/>
      <c r="BS125" s="1411"/>
      <c r="BT125" s="1414"/>
      <c r="BU125" s="1411"/>
      <c r="BV125" s="1414"/>
      <c r="BW125" s="1411"/>
      <c r="BX125" s="1414"/>
      <c r="BY125" s="1411"/>
      <c r="BZ125" s="1414"/>
      <c r="CA125" s="1411"/>
      <c r="CB125" s="1414"/>
      <c r="CC125" s="1411"/>
      <c r="CD125" s="1414"/>
      <c r="CE125" s="848"/>
      <c r="CF125" s="848"/>
      <c r="CG125" s="848"/>
      <c r="CH125" s="848"/>
      <c r="CI125" s="848"/>
      <c r="CJ125" s="848"/>
      <c r="CK125" s="848"/>
      <c r="CL125" s="1511"/>
    </row>
    <row r="126" spans="1:90">
      <c r="A126" s="1369" t="s">
        <v>1435</v>
      </c>
      <c r="B126" s="93"/>
      <c r="C126" s="1370">
        <f>SUM(C103:C125)</f>
        <v>56.321932155369147</v>
      </c>
      <c r="D126" s="1371">
        <f t="shared" ref="D126:BO126" si="84">SUM(D103:D125)</f>
        <v>-68.315153877672515</v>
      </c>
      <c r="E126" s="1370">
        <f t="shared" si="84"/>
        <v>68.315153877672515</v>
      </c>
      <c r="F126" s="1371">
        <f t="shared" si="84"/>
        <v>-56.321932155369147</v>
      </c>
      <c r="G126" s="1370">
        <f t="shared" si="84"/>
        <v>0</v>
      </c>
      <c r="H126" s="1371">
        <f t="shared" si="84"/>
        <v>0</v>
      </c>
      <c r="I126" s="1370">
        <f t="shared" si="84"/>
        <v>0</v>
      </c>
      <c r="J126" s="1371">
        <f t="shared" si="84"/>
        <v>0</v>
      </c>
      <c r="K126" s="1370">
        <f t="shared" si="84"/>
        <v>0</v>
      </c>
      <c r="L126" s="1371">
        <f t="shared" si="84"/>
        <v>0</v>
      </c>
      <c r="M126" s="1370">
        <f t="shared" si="84"/>
        <v>0</v>
      </c>
      <c r="N126" s="1371">
        <f t="shared" si="84"/>
        <v>0</v>
      </c>
      <c r="O126" s="1370">
        <f t="shared" si="84"/>
        <v>0</v>
      </c>
      <c r="P126" s="1371">
        <f t="shared" si="84"/>
        <v>0</v>
      </c>
      <c r="Q126" s="1370">
        <f t="shared" si="84"/>
        <v>0</v>
      </c>
      <c r="R126" s="1371">
        <f t="shared" si="84"/>
        <v>0</v>
      </c>
      <c r="S126" s="1370">
        <f t="shared" si="84"/>
        <v>0</v>
      </c>
      <c r="T126" s="1371">
        <f t="shared" si="84"/>
        <v>0</v>
      </c>
      <c r="U126" s="1370">
        <f t="shared" si="84"/>
        <v>0</v>
      </c>
      <c r="V126" s="1371">
        <f t="shared" si="84"/>
        <v>0</v>
      </c>
      <c r="W126" s="1370">
        <f t="shared" si="84"/>
        <v>0</v>
      </c>
      <c r="X126" s="1371">
        <f t="shared" si="84"/>
        <v>0</v>
      </c>
      <c r="Y126" s="1370">
        <f t="shared" si="84"/>
        <v>0</v>
      </c>
      <c r="Z126" s="1371">
        <f t="shared" si="84"/>
        <v>0</v>
      </c>
      <c r="AA126" s="1370">
        <f t="shared" si="84"/>
        <v>0</v>
      </c>
      <c r="AB126" s="1371">
        <f t="shared" si="84"/>
        <v>0</v>
      </c>
      <c r="AC126" s="1370">
        <f t="shared" si="84"/>
        <v>0</v>
      </c>
      <c r="AD126" s="1371">
        <f t="shared" si="84"/>
        <v>0</v>
      </c>
      <c r="AE126" s="1370">
        <f t="shared" si="84"/>
        <v>0</v>
      </c>
      <c r="AF126" s="1371">
        <f t="shared" si="84"/>
        <v>0</v>
      </c>
      <c r="AG126" s="1370">
        <f t="shared" si="84"/>
        <v>0</v>
      </c>
      <c r="AH126" s="1371">
        <f t="shared" si="84"/>
        <v>0</v>
      </c>
      <c r="AI126" s="1370">
        <f t="shared" si="84"/>
        <v>0</v>
      </c>
      <c r="AJ126" s="1371">
        <f t="shared" si="84"/>
        <v>0</v>
      </c>
      <c r="AK126" s="1370">
        <f t="shared" si="84"/>
        <v>0</v>
      </c>
      <c r="AL126" s="1371">
        <f t="shared" si="84"/>
        <v>0</v>
      </c>
      <c r="AM126" s="1370">
        <f t="shared" si="84"/>
        <v>0</v>
      </c>
      <c r="AN126" s="1371">
        <f t="shared" si="84"/>
        <v>0</v>
      </c>
      <c r="AO126" s="1370">
        <f t="shared" si="84"/>
        <v>0</v>
      </c>
      <c r="AP126" s="1371">
        <f t="shared" si="84"/>
        <v>0</v>
      </c>
      <c r="AQ126" s="1370">
        <f t="shared" si="84"/>
        <v>0</v>
      </c>
      <c r="AR126" s="1371">
        <f t="shared" si="84"/>
        <v>0</v>
      </c>
      <c r="AS126" s="1370">
        <f t="shared" si="84"/>
        <v>0</v>
      </c>
      <c r="AT126" s="1371">
        <f t="shared" si="84"/>
        <v>0</v>
      </c>
      <c r="AU126" s="1370">
        <f t="shared" si="84"/>
        <v>0</v>
      </c>
      <c r="AV126" s="1371">
        <f t="shared" si="84"/>
        <v>0</v>
      </c>
      <c r="AW126" s="1370">
        <f t="shared" si="84"/>
        <v>0</v>
      </c>
      <c r="AX126" s="1371">
        <f t="shared" si="84"/>
        <v>0</v>
      </c>
      <c r="AY126" s="1370">
        <f t="shared" si="84"/>
        <v>0</v>
      </c>
      <c r="AZ126" s="1371">
        <f t="shared" si="84"/>
        <v>0</v>
      </c>
      <c r="BA126" s="1370">
        <f t="shared" si="84"/>
        <v>0</v>
      </c>
      <c r="BB126" s="1371">
        <f t="shared" si="84"/>
        <v>0</v>
      </c>
      <c r="BC126" s="1370">
        <f t="shared" si="84"/>
        <v>0</v>
      </c>
      <c r="BD126" s="1371">
        <f t="shared" si="84"/>
        <v>0</v>
      </c>
      <c r="BE126" s="1370">
        <f t="shared" si="84"/>
        <v>0</v>
      </c>
      <c r="BF126" s="1371">
        <f t="shared" si="84"/>
        <v>0</v>
      </c>
      <c r="BG126" s="1370">
        <f t="shared" si="84"/>
        <v>0</v>
      </c>
      <c r="BH126" s="1371">
        <f t="shared" si="84"/>
        <v>0</v>
      </c>
      <c r="BI126" s="1370">
        <f t="shared" si="84"/>
        <v>0</v>
      </c>
      <c r="BJ126" s="1371">
        <f t="shared" si="84"/>
        <v>0</v>
      </c>
      <c r="BK126" s="1370">
        <f t="shared" si="84"/>
        <v>0</v>
      </c>
      <c r="BL126" s="1371">
        <f t="shared" si="84"/>
        <v>0</v>
      </c>
      <c r="BM126" s="1370">
        <f t="shared" si="84"/>
        <v>0</v>
      </c>
      <c r="BN126" s="1371">
        <f t="shared" si="84"/>
        <v>0</v>
      </c>
      <c r="BO126" s="1370">
        <f t="shared" si="84"/>
        <v>0</v>
      </c>
      <c r="BP126" s="1371">
        <f t="shared" ref="BP126:CD126" si="85">SUM(BP103:BP125)</f>
        <v>0</v>
      </c>
      <c r="BQ126" s="1370">
        <f t="shared" si="85"/>
        <v>0</v>
      </c>
      <c r="BR126" s="1371">
        <f t="shared" si="85"/>
        <v>0</v>
      </c>
      <c r="BS126" s="1370">
        <f t="shared" si="85"/>
        <v>0</v>
      </c>
      <c r="BT126" s="1371">
        <f t="shared" si="85"/>
        <v>0</v>
      </c>
      <c r="BU126" s="1370">
        <f t="shared" si="85"/>
        <v>0</v>
      </c>
      <c r="BV126" s="1371">
        <f t="shared" si="85"/>
        <v>0</v>
      </c>
      <c r="BW126" s="1370">
        <f t="shared" si="85"/>
        <v>0</v>
      </c>
      <c r="BX126" s="1371">
        <f t="shared" si="85"/>
        <v>0</v>
      </c>
      <c r="BY126" s="1370">
        <f t="shared" si="85"/>
        <v>0</v>
      </c>
      <c r="BZ126" s="1371">
        <f t="shared" si="85"/>
        <v>0</v>
      </c>
      <c r="CA126" s="1370">
        <f t="shared" si="85"/>
        <v>0</v>
      </c>
      <c r="CB126" s="1371">
        <f t="shared" si="85"/>
        <v>0</v>
      </c>
      <c r="CC126" s="1370">
        <f t="shared" si="85"/>
        <v>0</v>
      </c>
      <c r="CD126" s="1371">
        <f t="shared" si="85"/>
        <v>0</v>
      </c>
    </row>
    <row r="127" spans="1:90">
      <c r="A127" s="423"/>
      <c r="B127" s="56"/>
      <c r="C127" s="423"/>
      <c r="D127" s="56"/>
      <c r="E127" s="423"/>
      <c r="F127" s="56"/>
      <c r="G127" s="423"/>
      <c r="H127" s="56"/>
      <c r="I127" s="423"/>
      <c r="J127" s="56"/>
      <c r="K127" s="423"/>
      <c r="L127" s="56"/>
      <c r="M127" s="423"/>
      <c r="N127" s="56"/>
      <c r="O127" s="423"/>
      <c r="P127" s="56"/>
      <c r="Q127" s="423"/>
      <c r="R127" s="56"/>
      <c r="S127" s="423"/>
      <c r="T127" s="56"/>
      <c r="U127" s="423"/>
      <c r="V127" s="56"/>
      <c r="W127" s="423"/>
      <c r="X127" s="56"/>
      <c r="Y127" s="423"/>
      <c r="Z127" s="56"/>
      <c r="AA127" s="423"/>
      <c r="AB127" s="56"/>
      <c r="AC127" s="423"/>
      <c r="AD127" s="56"/>
      <c r="AE127" s="423"/>
      <c r="AF127" s="56"/>
      <c r="AG127" s="423"/>
      <c r="AH127" s="56"/>
      <c r="AI127" s="423"/>
      <c r="AJ127" s="56"/>
      <c r="AK127" s="423"/>
      <c r="AL127" s="56"/>
      <c r="AM127" s="423"/>
      <c r="AN127" s="56"/>
      <c r="AO127" s="423"/>
      <c r="AP127" s="56"/>
      <c r="AQ127" s="423"/>
      <c r="AR127" s="56"/>
      <c r="AS127" s="423"/>
      <c r="AT127" s="56"/>
      <c r="AU127" s="423"/>
      <c r="AV127" s="56"/>
      <c r="AW127" s="423"/>
      <c r="AX127" s="56"/>
      <c r="AY127" s="423"/>
      <c r="AZ127" s="56"/>
      <c r="BA127" s="423"/>
      <c r="BB127" s="56"/>
      <c r="BC127" s="423"/>
      <c r="BD127" s="56"/>
      <c r="BE127" s="423"/>
      <c r="BF127" s="56"/>
      <c r="BG127" s="423"/>
      <c r="BH127" s="56"/>
      <c r="BI127" s="423"/>
      <c r="BJ127" s="56"/>
      <c r="BK127" s="423"/>
      <c r="BL127" s="56"/>
      <c r="BM127" s="423"/>
      <c r="BN127" s="56"/>
      <c r="BO127" s="423"/>
      <c r="BP127" s="56"/>
      <c r="BQ127" s="423"/>
      <c r="BR127" s="56"/>
      <c r="BS127" s="423"/>
      <c r="BT127" s="56"/>
      <c r="BU127" s="423"/>
      <c r="BV127" s="56"/>
      <c r="BW127" s="423"/>
      <c r="BX127" s="56"/>
      <c r="BY127" s="423"/>
      <c r="BZ127" s="56"/>
      <c r="CA127" s="423"/>
      <c r="CB127" s="56"/>
      <c r="CC127" s="423"/>
      <c r="CD127" s="56"/>
    </row>
    <row r="128" spans="1:90">
      <c r="A128" s="1486" t="s">
        <v>1480</v>
      </c>
      <c r="B128" s="58"/>
      <c r="C128" s="1431">
        <f>(Barrel!C370*C11^2/2+C126+'Mom Dist-Barl'!D126)/C11</f>
        <v>160.82204649424739</v>
      </c>
      <c r="D128" s="1471">
        <f>Barrel!C370*C11-C128</f>
        <v>171.13879636289539</v>
      </c>
      <c r="E128" s="1431">
        <f>(Barrel!E370*E11^2/2+E126+'Mom Dist-Barl'!F126)/E11</f>
        <v>171.13879636289545</v>
      </c>
      <c r="F128" s="1471">
        <f>Barrel!E370*E11-E128</f>
        <v>160.82204649424733</v>
      </c>
      <c r="G128" s="1431" t="e">
        <f>(Barrel!G370*G11^2/2+G126+'Mom Dist-Barl'!H126)/G11</f>
        <v>#VALUE!</v>
      </c>
      <c r="H128" s="1471" t="e">
        <f>Barrel!G370*G11-G128</f>
        <v>#VALUE!</v>
      </c>
      <c r="I128" s="1431" t="e">
        <f>(Barrel!I370*I11^2/2+I126+'Mom Dist-Barl'!J126)/I11</f>
        <v>#VALUE!</v>
      </c>
      <c r="J128" s="1471" t="e">
        <f>Barrel!I370*I11-I128</f>
        <v>#VALUE!</v>
      </c>
      <c r="K128" s="1431" t="e">
        <f>(Barrel!K370*K11^2/2+K126+'Mom Dist-Barl'!L126)/K11</f>
        <v>#VALUE!</v>
      </c>
      <c r="L128" s="1471" t="e">
        <f>Barrel!K370*K11-K128</f>
        <v>#VALUE!</v>
      </c>
      <c r="M128" s="1431" t="e">
        <f>(Barrel!M370*M11^2/2+M126+'Mom Dist-Barl'!N126)/M11</f>
        <v>#VALUE!</v>
      </c>
      <c r="N128" s="1471" t="e">
        <f>Barrel!M370*M11-M128</f>
        <v>#VALUE!</v>
      </c>
      <c r="O128" s="1431" t="e">
        <f>(Barrel!O370*O11^2/2+O126+'Mom Dist-Barl'!P126)/O11</f>
        <v>#VALUE!</v>
      </c>
      <c r="P128" s="1471" t="e">
        <f>Barrel!O370*O11-O128</f>
        <v>#VALUE!</v>
      </c>
      <c r="Q128" s="1431" t="e">
        <f>(Barrel!Q370*Q11^2/2+Q126+'Mom Dist-Barl'!R126)/Q11</f>
        <v>#VALUE!</v>
      </c>
      <c r="R128" s="1471" t="e">
        <f>Barrel!Q370*Q11-Q128</f>
        <v>#VALUE!</v>
      </c>
      <c r="S128" s="1431" t="e">
        <f>(Barrel!S370*S11^2/2+S126+'Mom Dist-Barl'!T126)/S11</f>
        <v>#VALUE!</v>
      </c>
      <c r="T128" s="1471" t="e">
        <f>Barrel!S370*S11-S128</f>
        <v>#VALUE!</v>
      </c>
      <c r="U128" s="1431" t="e">
        <f>(Barrel!U370*U11^2/2+U126+'Mom Dist-Barl'!V126)/U11</f>
        <v>#VALUE!</v>
      </c>
      <c r="V128" s="1471" t="e">
        <f>Barrel!U370*U11-U128</f>
        <v>#VALUE!</v>
      </c>
      <c r="W128" s="1431" t="e">
        <f>(Barrel!W370*W11^2/2+W126+'Mom Dist-Barl'!X126)/W11</f>
        <v>#VALUE!</v>
      </c>
      <c r="X128" s="1471" t="e">
        <f>Barrel!W370*W11-W128</f>
        <v>#VALUE!</v>
      </c>
      <c r="Y128" s="1431" t="e">
        <f>(Barrel!Y370*Y11^2/2+Y126+'Mom Dist-Barl'!Z126)/Y11</f>
        <v>#VALUE!</v>
      </c>
      <c r="Z128" s="1471" t="e">
        <f>Barrel!Y370*Y11-Y128</f>
        <v>#VALUE!</v>
      </c>
      <c r="AA128" s="1431" t="e">
        <f>(Barrel!AA370*AA11^2/2+AA126+'Mom Dist-Barl'!AB126)/AA11</f>
        <v>#VALUE!</v>
      </c>
      <c r="AB128" s="1471" t="e">
        <f>Barrel!AA370*AA11-AA128</f>
        <v>#VALUE!</v>
      </c>
      <c r="AC128" s="1431" t="e">
        <f>(Barrel!AC370*AC11^2/2+AC126+'Mom Dist-Barl'!AD126)/AC11</f>
        <v>#VALUE!</v>
      </c>
      <c r="AD128" s="1471" t="e">
        <f>Barrel!AC370*AC11-AC128</f>
        <v>#VALUE!</v>
      </c>
      <c r="AE128" s="1431" t="e">
        <f>(Barrel!AE370*AE11^2/2+AE126+'Mom Dist-Barl'!AF126)/AE11</f>
        <v>#VALUE!</v>
      </c>
      <c r="AF128" s="1471" t="e">
        <f>Barrel!AE370*AE11-AE128</f>
        <v>#VALUE!</v>
      </c>
      <c r="AG128" s="1431" t="e">
        <f>(Barrel!AG370*AG11^2/2+AG126+'Mom Dist-Barl'!AH126)/AG11</f>
        <v>#VALUE!</v>
      </c>
      <c r="AH128" s="1471" t="e">
        <f>Barrel!AG370*AG11-AG128</f>
        <v>#VALUE!</v>
      </c>
      <c r="AI128" s="1431" t="e">
        <f>(Barrel!AI370*AI11^2/2+AI126+'Mom Dist-Barl'!AJ126)/AI11</f>
        <v>#VALUE!</v>
      </c>
      <c r="AJ128" s="1471" t="e">
        <f>Barrel!AI370*AI11-AI128</f>
        <v>#VALUE!</v>
      </c>
      <c r="AK128" s="1431" t="e">
        <f>(Barrel!AK370*AK11^2/2+AK126+'Mom Dist-Barl'!AL126)/AK11</f>
        <v>#VALUE!</v>
      </c>
      <c r="AL128" s="1471" t="e">
        <f>Barrel!AK370*AK11-AK128</f>
        <v>#VALUE!</v>
      </c>
      <c r="AM128" s="1431" t="e">
        <f>(Barrel!AM370*AM11^2/2+AM126+'Mom Dist-Barl'!AN126)/AM11</f>
        <v>#VALUE!</v>
      </c>
      <c r="AN128" s="1471" t="e">
        <f>Barrel!AM370*AM11-AM128</f>
        <v>#VALUE!</v>
      </c>
      <c r="AO128" s="1431" t="e">
        <f>(Barrel!AO370*AO11^2/2+AO126+'Mom Dist-Barl'!AP126)/AO11</f>
        <v>#VALUE!</v>
      </c>
      <c r="AP128" s="1471" t="e">
        <f>Barrel!AO370*AO11-AO128</f>
        <v>#VALUE!</v>
      </c>
      <c r="AQ128" s="1431" t="e">
        <f>(Barrel!AQ370*AQ11^2/2+AQ126+'Mom Dist-Barl'!AR126)/AQ11</f>
        <v>#VALUE!</v>
      </c>
      <c r="AR128" s="1471" t="e">
        <f>Barrel!AQ370*AQ11-AQ128</f>
        <v>#VALUE!</v>
      </c>
      <c r="AS128" s="1431" t="e">
        <f>(Barrel!AS370*AS11^2/2+AS126+'Mom Dist-Barl'!AT126)/AS11</f>
        <v>#VALUE!</v>
      </c>
      <c r="AT128" s="1471" t="e">
        <f>Barrel!AS370*AS11-AS128</f>
        <v>#VALUE!</v>
      </c>
      <c r="AU128" s="1431" t="e">
        <f>(Barrel!AU370*AU11^2/2+AU126+'Mom Dist-Barl'!AV126)/AU11</f>
        <v>#VALUE!</v>
      </c>
      <c r="AV128" s="1471" t="e">
        <f>Barrel!AU370*AU11-AU128</f>
        <v>#VALUE!</v>
      </c>
      <c r="AW128" s="1431" t="e">
        <f>(Barrel!AW370*AW11^2/2+AW126+'Mom Dist-Barl'!AX126)/AW11</f>
        <v>#VALUE!</v>
      </c>
      <c r="AX128" s="1471" t="e">
        <f>Barrel!AW370*AW11-AW128</f>
        <v>#VALUE!</v>
      </c>
      <c r="AY128" s="1431" t="e">
        <f>(Barrel!AY370*AY11^2/2+AY126+'Mom Dist-Barl'!AZ126)/AY11</f>
        <v>#VALUE!</v>
      </c>
      <c r="AZ128" s="1471" t="e">
        <f>Barrel!AY370*AY11-AY128</f>
        <v>#VALUE!</v>
      </c>
      <c r="BA128" s="1431" t="e">
        <f>(Barrel!BA370*BA11^2/2+BA126+'Mom Dist-Barl'!BB126)/BA11</f>
        <v>#VALUE!</v>
      </c>
      <c r="BB128" s="1471" t="e">
        <f>Barrel!BA370*BA11-BA128</f>
        <v>#VALUE!</v>
      </c>
      <c r="BC128" s="1431" t="e">
        <f>(Barrel!BC370*BC11^2/2+BC126+'Mom Dist-Barl'!BD126)/BC11</f>
        <v>#VALUE!</v>
      </c>
      <c r="BD128" s="1471" t="e">
        <f>Barrel!BC370*BC11-BC128</f>
        <v>#VALUE!</v>
      </c>
      <c r="BE128" s="1431" t="e">
        <f>(Barrel!BE370*BE11^2/2+BE126+'Mom Dist-Barl'!BF126)/BE11</f>
        <v>#VALUE!</v>
      </c>
      <c r="BF128" s="1471" t="e">
        <f>Barrel!BE370*BE11-BE128</f>
        <v>#VALUE!</v>
      </c>
      <c r="BG128" s="1431" t="e">
        <f>(Barrel!BG370*BG11^2/2+BG126+'Mom Dist-Barl'!BH126)/BG11</f>
        <v>#VALUE!</v>
      </c>
      <c r="BH128" s="1471" t="e">
        <f>Barrel!BG370*BG11-BG128</f>
        <v>#VALUE!</v>
      </c>
      <c r="BI128" s="1431" t="e">
        <f>(Barrel!BI370*BI11^2/2+BI126+'Mom Dist-Barl'!BJ126)/BI11</f>
        <v>#VALUE!</v>
      </c>
      <c r="BJ128" s="1471" t="e">
        <f>Barrel!BI370*BI11-BI128</f>
        <v>#VALUE!</v>
      </c>
      <c r="BK128" s="1431" t="e">
        <f>(Barrel!BK370*BK11^2/2+BK126+'Mom Dist-Barl'!BL126)/BK11</f>
        <v>#VALUE!</v>
      </c>
      <c r="BL128" s="1471" t="e">
        <f>Barrel!BK370*BK11-BK128</f>
        <v>#VALUE!</v>
      </c>
      <c r="BM128" s="1431" t="e">
        <f>(Barrel!BM370*BM11^2/2+BM126+'Mom Dist-Barl'!BN126)/BM11</f>
        <v>#VALUE!</v>
      </c>
      <c r="BN128" s="1471" t="e">
        <f>Barrel!BM370*BM11-BM128</f>
        <v>#VALUE!</v>
      </c>
      <c r="BO128" s="1431" t="e">
        <f>(Barrel!BO370*BO11^2/2+BO126+'Mom Dist-Barl'!BP126)/BO11</f>
        <v>#VALUE!</v>
      </c>
      <c r="BP128" s="1471" t="e">
        <f>Barrel!BO370*BO11-BO128</f>
        <v>#VALUE!</v>
      </c>
      <c r="BQ128" s="1431" t="e">
        <f>(Barrel!BQ370*BQ11^2/2+BQ126+'Mom Dist-Barl'!BR126)/BQ11</f>
        <v>#VALUE!</v>
      </c>
      <c r="BR128" s="1471" t="e">
        <f>Barrel!BQ370*BQ11-BQ128</f>
        <v>#VALUE!</v>
      </c>
      <c r="BS128" s="1431" t="e">
        <f>(Barrel!BS370*BS11^2/2+BS126+'Mom Dist-Barl'!BT126)/BS11</f>
        <v>#VALUE!</v>
      </c>
      <c r="BT128" s="1471" t="e">
        <f>Barrel!BS370*BS11-BS128</f>
        <v>#VALUE!</v>
      </c>
      <c r="BU128" s="1431" t="e">
        <f>(Barrel!BU370*BU11^2/2+BU126+'Mom Dist-Barl'!BV126)/BU11</f>
        <v>#VALUE!</v>
      </c>
      <c r="BV128" s="1471" t="e">
        <f>Barrel!BU370*BU11-BU128</f>
        <v>#VALUE!</v>
      </c>
      <c r="BW128" s="1431" t="e">
        <f>(Barrel!BW370*BW11^2/2+BW126+'Mom Dist-Barl'!BX126)/BW11</f>
        <v>#VALUE!</v>
      </c>
      <c r="BX128" s="1471" t="e">
        <f>Barrel!BW370*BW11-BW128</f>
        <v>#VALUE!</v>
      </c>
      <c r="BY128" s="1431" t="e">
        <f>(Barrel!BY370*BY11^2/2+BY126+'Mom Dist-Barl'!BZ126)/BY11</f>
        <v>#VALUE!</v>
      </c>
      <c r="BZ128" s="1471" t="e">
        <f>Barrel!BY370*BY11-BY128</f>
        <v>#VALUE!</v>
      </c>
      <c r="CA128" s="1431" t="e">
        <f>(Barrel!CA370*CA11^2/2+CA126+'Mom Dist-Barl'!CB126)/CA11</f>
        <v>#VALUE!</v>
      </c>
      <c r="CB128" s="1471" t="e">
        <f>Barrel!CA370*CA11-CA128</f>
        <v>#VALUE!</v>
      </c>
      <c r="CC128" s="1431" t="e">
        <f>(Barrel!CC370*CC11^2/2+CC126+'Mom Dist-Barl'!CD126)/CC11</f>
        <v>#VALUE!</v>
      </c>
      <c r="CD128" s="1471" t="e">
        <f>Barrel!CC370*CC11-CC128</f>
        <v>#VALUE!</v>
      </c>
    </row>
    <row r="129" spans="1:82">
      <c r="A129" s="1487" t="s">
        <v>1436</v>
      </c>
      <c r="B129" s="60"/>
      <c r="C129" s="3178">
        <f>C126+Barrel!C370*C11^2/8-C128*C11/2</f>
        <v>-34.157576938836286</v>
      </c>
      <c r="D129" s="3179"/>
      <c r="E129" s="3178">
        <f>E126+Barrel!E370*E11^2/8-E128*E11/2</f>
        <v>-34.157576938836314</v>
      </c>
      <c r="F129" s="3179"/>
      <c r="G129" s="3178" t="e">
        <f>G126+Barrel!G370*G11^2/8-G128*G11/2</f>
        <v>#VALUE!</v>
      </c>
      <c r="H129" s="3179"/>
      <c r="I129" s="3178" t="e">
        <f>I126+Barrel!I370*I11^2/8-I128*I11/2</f>
        <v>#VALUE!</v>
      </c>
      <c r="J129" s="3179"/>
      <c r="K129" s="3178" t="e">
        <f>K126+Barrel!K370*K11^2/8-K128*K11/2</f>
        <v>#VALUE!</v>
      </c>
      <c r="L129" s="3179"/>
      <c r="M129" s="3178" t="e">
        <f>M126+Barrel!M370*M11^2/8-M128*M11/2</f>
        <v>#VALUE!</v>
      </c>
      <c r="N129" s="3179"/>
      <c r="O129" s="3178" t="e">
        <f>O126+Barrel!O370*O11^2/8-O128*O11/2</f>
        <v>#VALUE!</v>
      </c>
      <c r="P129" s="3179"/>
      <c r="Q129" s="3178" t="e">
        <f>Q126+Barrel!Q370*Q11^2/8-Q128*Q11/2</f>
        <v>#VALUE!</v>
      </c>
      <c r="R129" s="3179"/>
      <c r="S129" s="3178" t="e">
        <f>S126+Barrel!S370*S11^2/8-S128*S11/2</f>
        <v>#VALUE!</v>
      </c>
      <c r="T129" s="3179"/>
      <c r="U129" s="3178" t="e">
        <f>U126+Barrel!U370*U11^2/8-U128*U11/2</f>
        <v>#VALUE!</v>
      </c>
      <c r="V129" s="3179"/>
      <c r="W129" s="3178" t="e">
        <f>W126+Barrel!W370*W11^2/8-W128*W11/2</f>
        <v>#VALUE!</v>
      </c>
      <c r="X129" s="3179"/>
      <c r="Y129" s="3178" t="e">
        <f>Y126+Barrel!Y370*Y11^2/8-Y128*Y11/2</f>
        <v>#VALUE!</v>
      </c>
      <c r="Z129" s="3179"/>
      <c r="AA129" s="3178" t="e">
        <f>AA126+Barrel!AA370*AA11^2/8-AA128*AA11/2</f>
        <v>#VALUE!</v>
      </c>
      <c r="AB129" s="3179"/>
      <c r="AC129" s="3178" t="e">
        <f>AC126+Barrel!AC370*AC11^2/8-AC128*AC11/2</f>
        <v>#VALUE!</v>
      </c>
      <c r="AD129" s="3179"/>
      <c r="AE129" s="3178" t="e">
        <f>AE126+Barrel!AE370*AE11^2/8-AE128*AE11/2</f>
        <v>#VALUE!</v>
      </c>
      <c r="AF129" s="3179"/>
      <c r="AG129" s="3178" t="e">
        <f>AG126+Barrel!AG370*AG11^2/8-AG128*AG11/2</f>
        <v>#VALUE!</v>
      </c>
      <c r="AH129" s="3179"/>
      <c r="AI129" s="3178" t="e">
        <f>AI126+Barrel!AI370*AI11^2/8-AI128*AI11/2</f>
        <v>#VALUE!</v>
      </c>
      <c r="AJ129" s="3179"/>
      <c r="AK129" s="3178" t="e">
        <f>AK126+Barrel!AK370*AK11^2/8-AK128*AK11/2</f>
        <v>#VALUE!</v>
      </c>
      <c r="AL129" s="3179"/>
      <c r="AM129" s="3178" t="e">
        <f>AM126+Barrel!AM370*AM11^2/8-AM128*AM11/2</f>
        <v>#VALUE!</v>
      </c>
      <c r="AN129" s="3179"/>
      <c r="AO129" s="3178" t="e">
        <f>AO126+Barrel!AO370*AO11^2/8-AO128*AO11/2</f>
        <v>#VALUE!</v>
      </c>
      <c r="AP129" s="3179"/>
      <c r="AQ129" s="3178" t="e">
        <f>AQ126+Barrel!AQ370*AQ11^2/8-AQ128*AQ11/2</f>
        <v>#VALUE!</v>
      </c>
      <c r="AR129" s="3179"/>
      <c r="AS129" s="3178" t="e">
        <f>AS126+Barrel!AS370*AS11^2/8-AS128*AS11/2</f>
        <v>#VALUE!</v>
      </c>
      <c r="AT129" s="3179"/>
      <c r="AU129" s="3178" t="e">
        <f>AU126+Barrel!AU370*AU11^2/8-AU128*AU11/2</f>
        <v>#VALUE!</v>
      </c>
      <c r="AV129" s="3179"/>
      <c r="AW129" s="3178" t="e">
        <f>AW126+Barrel!AW370*AW11^2/8-AW128*AW11/2</f>
        <v>#VALUE!</v>
      </c>
      <c r="AX129" s="3179"/>
      <c r="AY129" s="3178" t="e">
        <f>AY126+Barrel!AY370*AY11^2/8-AY128*AY11/2</f>
        <v>#VALUE!</v>
      </c>
      <c r="AZ129" s="3179"/>
      <c r="BA129" s="3178" t="e">
        <f>BA126+Barrel!BA370*BA11^2/8-BA128*BA11/2</f>
        <v>#VALUE!</v>
      </c>
      <c r="BB129" s="3179"/>
      <c r="BC129" s="3178" t="e">
        <f>BC126+Barrel!BC370*BC11^2/8-BC128*BC11/2</f>
        <v>#VALUE!</v>
      </c>
      <c r="BD129" s="3179"/>
      <c r="BE129" s="3178" t="e">
        <f>BE126+Barrel!BE370*BE11^2/8-BE128*BE11/2</f>
        <v>#VALUE!</v>
      </c>
      <c r="BF129" s="3179"/>
      <c r="BG129" s="3178" t="e">
        <f>BG126+Barrel!BG370*BG11^2/8-BG128*BG11/2</f>
        <v>#VALUE!</v>
      </c>
      <c r="BH129" s="3179"/>
      <c r="BI129" s="3178" t="e">
        <f>BI126+Barrel!BI370*BI11^2/8-BI128*BI11/2</f>
        <v>#VALUE!</v>
      </c>
      <c r="BJ129" s="3179"/>
      <c r="BK129" s="3178" t="e">
        <f>BK126+Barrel!BK370*BK11^2/8-BK128*BK11/2</f>
        <v>#VALUE!</v>
      </c>
      <c r="BL129" s="3179"/>
      <c r="BM129" s="3178" t="e">
        <f>BM126+Barrel!BM370*BM11^2/8-BM128*BM11/2</f>
        <v>#VALUE!</v>
      </c>
      <c r="BN129" s="3179"/>
      <c r="BO129" s="3178" t="e">
        <f>BO126+Barrel!BO370*BO11^2/8-BO128*BO11/2</f>
        <v>#VALUE!</v>
      </c>
      <c r="BP129" s="3179"/>
      <c r="BQ129" s="3178" t="e">
        <f>BQ126+Barrel!BQ370*BQ11^2/8-BQ128*BQ11/2</f>
        <v>#VALUE!</v>
      </c>
      <c r="BR129" s="3179"/>
      <c r="BS129" s="3178" t="e">
        <f>BS126+Barrel!BS370*BS11^2/8-BS128*BS11/2</f>
        <v>#VALUE!</v>
      </c>
      <c r="BT129" s="3179"/>
      <c r="BU129" s="3178" t="e">
        <f>BU126+Barrel!BU370*BU11^2/8-BU128*BU11/2</f>
        <v>#VALUE!</v>
      </c>
      <c r="BV129" s="3179"/>
      <c r="BW129" s="3178" t="e">
        <f>BW126+Barrel!BW370*BW11^2/8-BW128*BW11/2</f>
        <v>#VALUE!</v>
      </c>
      <c r="BX129" s="3179"/>
      <c r="BY129" s="3178" t="e">
        <f>BY126+Barrel!BY370*BY11^2/8-BY128*BY11/2</f>
        <v>#VALUE!</v>
      </c>
      <c r="BZ129" s="3179"/>
      <c r="CA129" s="3178" t="e">
        <f>CA126+Barrel!CA370*CA11^2/8-CA128*CA11/2</f>
        <v>#VALUE!</v>
      </c>
      <c r="CB129" s="3179"/>
      <c r="CC129" s="3178" t="e">
        <f>CC126+Barrel!CC370*CC11^2/8-CC128*CC11/2</f>
        <v>#VALUE!</v>
      </c>
      <c r="CD129" s="3179"/>
    </row>
    <row r="130" spans="1:82">
      <c r="A130" s="241" t="s">
        <v>1437</v>
      </c>
      <c r="B130" s="16"/>
      <c r="C130" s="3177">
        <f>-D126+Barrel!C370*C11^2/8-D128*C11/2</f>
        <v>-34.157576938836229</v>
      </c>
      <c r="D130" s="3177"/>
      <c r="E130" s="3177">
        <f>-F126+Barrel!E370*E11^2/8-F128*E11/2</f>
        <v>-34.157576938836229</v>
      </c>
      <c r="F130" s="3177"/>
      <c r="G130" s="3177" t="e">
        <f>-H126+Barrel!G370*G11^2/8-H128*G11/2</f>
        <v>#VALUE!</v>
      </c>
      <c r="H130" s="3177"/>
      <c r="I130" s="3177" t="e">
        <f>-J126+Barrel!I370*I11^2/8-J128*I11/2</f>
        <v>#VALUE!</v>
      </c>
      <c r="J130" s="3177"/>
      <c r="K130" s="3177" t="e">
        <f>-L126+Barrel!K370*K11^2/8-L128*K11/2</f>
        <v>#VALUE!</v>
      </c>
      <c r="L130" s="3177"/>
      <c r="M130" s="3177" t="e">
        <f>-N126+Barrel!M370*M11^2/8-N128*M11/2</f>
        <v>#VALUE!</v>
      </c>
      <c r="N130" s="3177"/>
      <c r="O130" s="3177" t="e">
        <f>-P126+Barrel!O370*O11^2/8-P128*O11/2</f>
        <v>#VALUE!</v>
      </c>
      <c r="P130" s="3177"/>
      <c r="Q130" s="3177" t="e">
        <f>-R126+Barrel!Q370*Q11^2/8-R128*Q11/2</f>
        <v>#VALUE!</v>
      </c>
      <c r="R130" s="3177"/>
      <c r="S130" s="3177" t="e">
        <f>-T126+Barrel!S370*S11^2/8-T128*S11/2</f>
        <v>#VALUE!</v>
      </c>
      <c r="T130" s="3177"/>
      <c r="U130" s="3177" t="e">
        <f>-V126+Barrel!U370*U11^2/8-V128*U11/2</f>
        <v>#VALUE!</v>
      </c>
      <c r="V130" s="3177"/>
      <c r="W130" s="3177" t="e">
        <f>-X126+Barrel!W370*W11^2/8-X128*W11/2</f>
        <v>#VALUE!</v>
      </c>
      <c r="X130" s="3177"/>
      <c r="Y130" s="3177" t="e">
        <f>-Z126+Barrel!Y370*Y11^2/8-Z128*Y11/2</f>
        <v>#VALUE!</v>
      </c>
      <c r="Z130" s="3177"/>
      <c r="AA130" s="3177" t="e">
        <f>-AB126+Barrel!AA370*AA11^2/8-AB128*AA11/2</f>
        <v>#VALUE!</v>
      </c>
      <c r="AB130" s="3177"/>
      <c r="AC130" s="3177" t="e">
        <f>-AD126+Barrel!AC370*AC11^2/8-AD128*AC11/2</f>
        <v>#VALUE!</v>
      </c>
      <c r="AD130" s="3177"/>
      <c r="AE130" s="3177" t="e">
        <f>-AF126+Barrel!AE370*AE11^2/8-AF128*AE11/2</f>
        <v>#VALUE!</v>
      </c>
      <c r="AF130" s="3177"/>
      <c r="AG130" s="3177" t="e">
        <f>-AH126+Barrel!AG370*AG11^2/8-AH128*AG11/2</f>
        <v>#VALUE!</v>
      </c>
      <c r="AH130" s="3177"/>
      <c r="AI130" s="3177" t="e">
        <f>-AJ126+Barrel!AI370*AI11^2/8-AJ128*AI11/2</f>
        <v>#VALUE!</v>
      </c>
      <c r="AJ130" s="3177"/>
      <c r="AK130" s="3177" t="e">
        <f>-AL126+Barrel!AK370*AK11^2/8-AL128*AK11/2</f>
        <v>#VALUE!</v>
      </c>
      <c r="AL130" s="3177"/>
      <c r="AM130" s="3177" t="e">
        <f>-AN126+Barrel!AM370*AM11^2/8-AN128*AM11/2</f>
        <v>#VALUE!</v>
      </c>
      <c r="AN130" s="3177"/>
      <c r="AO130" s="3177" t="e">
        <f>-AP126+Barrel!AO370*AO11^2/8-AP128*AO11/2</f>
        <v>#VALUE!</v>
      </c>
      <c r="AP130" s="3177"/>
      <c r="AQ130" s="3177" t="e">
        <f>-AR126+Barrel!AQ370*AQ11^2/8-AR128*AQ11/2</f>
        <v>#VALUE!</v>
      </c>
      <c r="AR130" s="3177"/>
      <c r="AS130" s="3177" t="e">
        <f>-AT126+Barrel!AS370*AS11^2/8-AT128*AS11/2</f>
        <v>#VALUE!</v>
      </c>
      <c r="AT130" s="3177"/>
      <c r="AU130" s="3177" t="e">
        <f>-AV126+Barrel!AU370*AU11^2/8-AV128*AU11/2</f>
        <v>#VALUE!</v>
      </c>
      <c r="AV130" s="3177"/>
      <c r="AW130" s="3177" t="e">
        <f>-AX126+Barrel!AW370*AW11^2/8-AX128*AW11/2</f>
        <v>#VALUE!</v>
      </c>
      <c r="AX130" s="3177"/>
      <c r="AY130" s="3177" t="e">
        <f>-AZ126+Barrel!AY370*AY11^2/8-AZ128*AY11/2</f>
        <v>#VALUE!</v>
      </c>
      <c r="AZ130" s="3177"/>
      <c r="BA130" s="3177" t="e">
        <f>-BB126+Barrel!BA370*BA11^2/8-BB128*BA11/2</f>
        <v>#VALUE!</v>
      </c>
      <c r="BB130" s="3177"/>
      <c r="BC130" s="3177" t="e">
        <f>-BD126+Barrel!BC370*BC11^2/8-BD128*BC11/2</f>
        <v>#VALUE!</v>
      </c>
      <c r="BD130" s="3177"/>
      <c r="BE130" s="3177" t="e">
        <f>-BF126+Barrel!BE370*BE11^2/8-BF128*BE11/2</f>
        <v>#VALUE!</v>
      </c>
      <c r="BF130" s="3177"/>
      <c r="BG130" s="3177" t="e">
        <f>-BH126+Barrel!BG370*BG11^2/8-BH128*BG11/2</f>
        <v>#VALUE!</v>
      </c>
      <c r="BH130" s="3177"/>
      <c r="BI130" s="3177" t="e">
        <f>-BJ126+Barrel!BI370*BI11^2/8-BJ128*BI11/2</f>
        <v>#VALUE!</v>
      </c>
      <c r="BJ130" s="3177"/>
      <c r="BK130" s="3177" t="e">
        <f>-BL126+Barrel!BK370*BK11^2/8-BL128*BK11/2</f>
        <v>#VALUE!</v>
      </c>
      <c r="BL130" s="3177"/>
      <c r="BM130" s="3177" t="e">
        <f>-BN126+Barrel!BM370*BM11^2/8-BN128*BM11/2</f>
        <v>#VALUE!</v>
      </c>
      <c r="BN130" s="3177"/>
      <c r="BO130" s="3177" t="e">
        <f>-BP126+Barrel!BO370*BO11^2/8-BP128*BO11/2</f>
        <v>#VALUE!</v>
      </c>
      <c r="BP130" s="3177"/>
      <c r="BQ130" s="3177" t="e">
        <f>-BR126+Barrel!BQ370*BQ11^2/8-BR128*BQ11/2</f>
        <v>#VALUE!</v>
      </c>
      <c r="BR130" s="3177"/>
      <c r="BS130" s="3177" t="e">
        <f>-BT126+Barrel!BS370*BS11^2/8-BT128*BS11/2</f>
        <v>#VALUE!</v>
      </c>
      <c r="BT130" s="3177"/>
      <c r="BU130" s="3177" t="e">
        <f>-BV126+Barrel!BU370*BU11^2/8-BV128*BU11/2</f>
        <v>#VALUE!</v>
      </c>
      <c r="BV130" s="3177"/>
      <c r="BW130" s="3177" t="e">
        <f>-BX126+Barrel!BW370*BW11^2/8-BX128*BW11/2</f>
        <v>#VALUE!</v>
      </c>
      <c r="BX130" s="3177"/>
      <c r="BY130" s="3177" t="e">
        <f>-BZ126+Barrel!BY370*BY11^2/8-BZ128*BY11/2</f>
        <v>#VALUE!</v>
      </c>
      <c r="BZ130" s="3177"/>
      <c r="CA130" s="3177" t="e">
        <f>-CB126+Barrel!CA370*CA11^2/8-CB128*CA11/2</f>
        <v>#VALUE!</v>
      </c>
      <c r="CB130" s="3177"/>
      <c r="CC130" s="3177" t="e">
        <f>-CD126+Barrel!CC370*CC11^2/8-CD128*CC11/2</f>
        <v>#VALUE!</v>
      </c>
      <c r="CD130" s="3177"/>
    </row>
    <row r="131" spans="1:82">
      <c r="A131" s="241"/>
      <c r="B131" s="16"/>
      <c r="C131" s="1485"/>
      <c r="D131" s="1485"/>
      <c r="E131" s="1485"/>
      <c r="F131" s="1485"/>
      <c r="G131" s="1485"/>
      <c r="H131" s="1485"/>
      <c r="I131" s="1485"/>
      <c r="J131" s="1485"/>
      <c r="K131" s="1485"/>
      <c r="L131" s="1485"/>
      <c r="M131" s="1485"/>
      <c r="N131" s="1485"/>
      <c r="O131" s="1485"/>
      <c r="P131" s="1485"/>
      <c r="Q131" s="1485"/>
      <c r="R131" s="1485"/>
      <c r="S131" s="1485"/>
      <c r="T131" s="1485"/>
      <c r="U131" s="1485"/>
      <c r="V131" s="1485"/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1485"/>
      <c r="AG131" s="1485"/>
      <c r="AH131" s="1485"/>
      <c r="AI131" s="1485"/>
      <c r="AJ131" s="1485"/>
      <c r="AK131" s="1485"/>
      <c r="AL131" s="1485"/>
      <c r="AM131" s="1485"/>
      <c r="AN131" s="1485"/>
      <c r="AO131" s="1485"/>
      <c r="AP131" s="1485"/>
      <c r="AQ131" s="1485"/>
      <c r="AR131" s="1485"/>
      <c r="AS131" s="1485"/>
      <c r="AT131" s="1485"/>
      <c r="AU131" s="1485"/>
      <c r="AV131" s="1485"/>
      <c r="AW131" s="1485"/>
      <c r="AX131" s="1485"/>
      <c r="AY131" s="1485"/>
      <c r="AZ131" s="1485"/>
      <c r="BA131" s="1485"/>
      <c r="BB131" s="1485"/>
      <c r="BC131" s="1485"/>
      <c r="BD131" s="1485"/>
      <c r="BE131" s="1485"/>
      <c r="BF131" s="1485"/>
      <c r="BG131" s="1485"/>
      <c r="BH131" s="1485"/>
      <c r="BI131" s="1485"/>
      <c r="BJ131" s="1485"/>
      <c r="BK131" s="1485"/>
      <c r="BL131" s="1485"/>
      <c r="BM131" s="1485"/>
      <c r="BN131" s="1485"/>
      <c r="BO131" s="1485"/>
      <c r="BP131" s="1485"/>
      <c r="BQ131" s="1485"/>
      <c r="BR131" s="1485"/>
      <c r="BS131" s="1485"/>
      <c r="BT131" s="1485"/>
      <c r="BU131" s="1485"/>
      <c r="BV131" s="1485"/>
      <c r="BW131" s="1485"/>
      <c r="BX131" s="1485"/>
      <c r="BY131" s="1485"/>
      <c r="BZ131" s="1485"/>
      <c r="CA131" s="1485"/>
      <c r="CB131" s="1485"/>
      <c r="CC131" s="1485"/>
      <c r="CD131" s="1485"/>
    </row>
    <row r="132" spans="1:82">
      <c r="A132" s="187" t="s">
        <v>1439</v>
      </c>
      <c r="C132" s="85">
        <f>C126+C90</f>
        <v>3.5357194860807795E-7</v>
      </c>
      <c r="D132" s="115">
        <f>D126+E126+E90</f>
        <v>0</v>
      </c>
      <c r="E132" s="115"/>
      <c r="F132" s="115">
        <f t="shared" ref="F132:BP132" si="86">F126+G126+G90</f>
        <v>-3.5357194860807795E-7</v>
      </c>
      <c r="G132" s="115"/>
      <c r="H132" s="115">
        <f t="shared" si="86"/>
        <v>0</v>
      </c>
      <c r="I132" s="115"/>
      <c r="J132" s="115">
        <f t="shared" si="86"/>
        <v>0</v>
      </c>
      <c r="K132" s="115"/>
      <c r="L132" s="115">
        <f>L126+M126+M90</f>
        <v>0</v>
      </c>
      <c r="M132" s="115"/>
      <c r="N132" s="115">
        <f t="shared" si="86"/>
        <v>0</v>
      </c>
      <c r="O132" s="115"/>
      <c r="P132" s="115">
        <f t="shared" si="86"/>
        <v>0</v>
      </c>
      <c r="Q132" s="115"/>
      <c r="R132" s="115">
        <f t="shared" si="86"/>
        <v>0</v>
      </c>
      <c r="S132" s="115"/>
      <c r="T132" s="115">
        <f t="shared" si="86"/>
        <v>0</v>
      </c>
      <c r="U132" s="115"/>
      <c r="V132" s="115">
        <f t="shared" si="86"/>
        <v>0</v>
      </c>
      <c r="W132" s="115"/>
      <c r="X132" s="115">
        <f t="shared" si="86"/>
        <v>0</v>
      </c>
      <c r="Y132" s="115"/>
      <c r="Z132" s="115">
        <f t="shared" si="86"/>
        <v>0</v>
      </c>
      <c r="AA132" s="115"/>
      <c r="AB132" s="115">
        <f t="shared" si="86"/>
        <v>0</v>
      </c>
      <c r="AC132" s="115"/>
      <c r="AD132" s="115">
        <f t="shared" si="86"/>
        <v>0</v>
      </c>
      <c r="AE132" s="115"/>
      <c r="AF132" s="115">
        <f t="shared" si="86"/>
        <v>0</v>
      </c>
      <c r="AG132" s="115"/>
      <c r="AH132" s="115">
        <f t="shared" si="86"/>
        <v>0</v>
      </c>
      <c r="AI132" s="115"/>
      <c r="AJ132" s="115">
        <f t="shared" si="86"/>
        <v>0</v>
      </c>
      <c r="AK132" s="115"/>
      <c r="AL132" s="115">
        <f t="shared" si="86"/>
        <v>0</v>
      </c>
      <c r="AM132" s="115"/>
      <c r="AN132" s="115">
        <f t="shared" si="86"/>
        <v>0</v>
      </c>
      <c r="AO132" s="115"/>
      <c r="AP132" s="115">
        <f t="shared" si="86"/>
        <v>0</v>
      </c>
      <c r="AQ132" s="115"/>
      <c r="AR132" s="115">
        <f t="shared" si="86"/>
        <v>0</v>
      </c>
      <c r="AS132" s="115"/>
      <c r="AT132" s="115">
        <f t="shared" si="86"/>
        <v>0</v>
      </c>
      <c r="AU132" s="115"/>
      <c r="AV132" s="115">
        <f t="shared" si="86"/>
        <v>0</v>
      </c>
      <c r="AW132" s="115"/>
      <c r="AX132" s="115">
        <f t="shared" si="86"/>
        <v>0</v>
      </c>
      <c r="AY132" s="115"/>
      <c r="AZ132" s="115">
        <f t="shared" si="86"/>
        <v>0</v>
      </c>
      <c r="BA132" s="115"/>
      <c r="BB132" s="115">
        <f t="shared" si="86"/>
        <v>0</v>
      </c>
      <c r="BC132" s="115"/>
      <c r="BD132" s="115">
        <f t="shared" si="86"/>
        <v>0</v>
      </c>
      <c r="BE132" s="115"/>
      <c r="BF132" s="115">
        <f t="shared" si="86"/>
        <v>0</v>
      </c>
      <c r="BG132" s="115"/>
      <c r="BH132" s="115">
        <f t="shared" si="86"/>
        <v>0</v>
      </c>
      <c r="BI132" s="115"/>
      <c r="BJ132" s="115">
        <f t="shared" si="86"/>
        <v>0</v>
      </c>
      <c r="BK132" s="115"/>
      <c r="BL132" s="115">
        <f t="shared" si="86"/>
        <v>0</v>
      </c>
      <c r="BM132" s="115"/>
      <c r="BN132" s="115">
        <f t="shared" si="86"/>
        <v>0</v>
      </c>
      <c r="BO132" s="115"/>
      <c r="BP132" s="115">
        <f t="shared" si="86"/>
        <v>0</v>
      </c>
      <c r="BQ132" s="115"/>
      <c r="BR132" s="115">
        <f t="shared" ref="BR132:BZ132" si="87">BR126+BS126+BS90</f>
        <v>0</v>
      </c>
      <c r="BS132" s="115"/>
      <c r="BT132" s="115">
        <f t="shared" si="87"/>
        <v>0</v>
      </c>
      <c r="BU132" s="115"/>
      <c r="BV132" s="115">
        <f t="shared" si="87"/>
        <v>0</v>
      </c>
      <c r="BW132" s="115"/>
      <c r="BX132" s="115">
        <f t="shared" si="87"/>
        <v>0</v>
      </c>
      <c r="BY132" s="115"/>
      <c r="BZ132" s="115">
        <f t="shared" si="87"/>
        <v>0</v>
      </c>
      <c r="CB132" s="115">
        <f t="shared" ref="CB132" si="88">CB126+CC126+CB92+CC92</f>
        <v>0</v>
      </c>
      <c r="CD132" s="115">
        <f t="shared" ref="CD132" si="89">CD126+CE126+CD92+CE92</f>
        <v>0</v>
      </c>
    </row>
    <row r="269" spans="3:3">
      <c r="C269" s="228"/>
    </row>
    <row r="275" spans="2:12">
      <c r="B275" t="s">
        <v>1405</v>
      </c>
      <c r="F275" s="115">
        <f>MAX(MAX(C56:CD56),-MIN(C56:CD56))</f>
        <v>60.81962658390345</v>
      </c>
      <c r="G275" t="s">
        <v>620</v>
      </c>
      <c r="H275" t="s">
        <v>1407</v>
      </c>
      <c r="L275" t="s">
        <v>888</v>
      </c>
    </row>
    <row r="276" spans="2:12">
      <c r="B276" t="s">
        <v>1406</v>
      </c>
      <c r="F276" s="115">
        <f>MAX(C59:CD59)</f>
        <v>30.409813291951743</v>
      </c>
      <c r="G276" t="s">
        <v>620</v>
      </c>
      <c r="H276" t="s">
        <v>1408</v>
      </c>
      <c r="L276" t="s">
        <v>889</v>
      </c>
    </row>
    <row r="277" spans="2:12">
      <c r="B277" t="s">
        <v>1409</v>
      </c>
      <c r="F277" s="115">
        <f>MAX(C58:CD58)</f>
        <v>153.70696252761738</v>
      </c>
      <c r="G277" t="s">
        <v>341</v>
      </c>
    </row>
    <row r="279" spans="2:12">
      <c r="B279" s="61"/>
      <c r="C279" s="46"/>
      <c r="D279" s="46"/>
      <c r="F279" s="115"/>
      <c r="G279" s="115"/>
    </row>
    <row r="282" spans="2:12">
      <c r="I282" s="36">
        <f>C12</f>
        <v>129.428</v>
      </c>
    </row>
    <row r="284" spans="2:12">
      <c r="B284" t="s">
        <v>1061</v>
      </c>
      <c r="F284" s="187" t="s">
        <v>742</v>
      </c>
      <c r="J284" s="191" t="s">
        <v>743</v>
      </c>
    </row>
    <row r="285" spans="2:12">
      <c r="B285" s="187" t="s">
        <v>823</v>
      </c>
      <c r="C285" s="1374">
        <f>C56</f>
        <v>-53.270554957193049</v>
      </c>
      <c r="D285" s="187" t="s">
        <v>620</v>
      </c>
    </row>
    <row r="286" spans="2:12">
      <c r="B286" s="187" t="s">
        <v>824</v>
      </c>
      <c r="C286" s="1374">
        <f>D56</f>
        <v>60.81962658390345</v>
      </c>
      <c r="D286" s="187" t="s">
        <v>620</v>
      </c>
      <c r="G286" s="33">
        <f>C11</f>
        <v>2.3249999999999997</v>
      </c>
      <c r="H286" s="187" t="s">
        <v>5</v>
      </c>
    </row>
    <row r="288" spans="2:12">
      <c r="F288" s="191" t="str">
        <f>"R1="&amp;FIXED(C58,2)</f>
        <v>R1=147.21</v>
      </c>
      <c r="I288" s="203" t="str">
        <f>"R2="&amp;FIXED(D58,2)</f>
        <v>R2=153.71</v>
      </c>
    </row>
  </sheetData>
  <sheetProtection sheet="1" objects="1" scenarios="1" selectLockedCells="1"/>
  <mergeCells count="440">
    <mergeCell ref="CA130:CB130"/>
    <mergeCell ref="CC130:CD130"/>
    <mergeCell ref="BI130:BJ130"/>
    <mergeCell ref="BK130:BL130"/>
    <mergeCell ref="BM130:BN130"/>
    <mergeCell ref="BO130:BP130"/>
    <mergeCell ref="BQ130:BR130"/>
    <mergeCell ref="BS130:BT130"/>
    <mergeCell ref="BU130:BV130"/>
    <mergeCell ref="BW130:BX130"/>
    <mergeCell ref="BY130:BZ130"/>
    <mergeCell ref="AQ130:AR130"/>
    <mergeCell ref="AS130:AT130"/>
    <mergeCell ref="AU130:AV130"/>
    <mergeCell ref="AW130:AX130"/>
    <mergeCell ref="AY130:AZ130"/>
    <mergeCell ref="BA130:BB130"/>
    <mergeCell ref="BC130:BD130"/>
    <mergeCell ref="BE130:BF130"/>
    <mergeCell ref="BG130:BH130"/>
    <mergeCell ref="BW129:BX129"/>
    <mergeCell ref="BY129:BZ129"/>
    <mergeCell ref="CA129:CB129"/>
    <mergeCell ref="CC129:CD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S130:T130"/>
    <mergeCell ref="U130:V130"/>
    <mergeCell ref="W130:X130"/>
    <mergeCell ref="Y130:Z130"/>
    <mergeCell ref="AA130:AB130"/>
    <mergeCell ref="AC130:AD130"/>
    <mergeCell ref="AE130:AF130"/>
    <mergeCell ref="AG130:AH130"/>
    <mergeCell ref="AI130:AJ130"/>
    <mergeCell ref="AK130:AL130"/>
    <mergeCell ref="AM130:AN130"/>
    <mergeCell ref="AO130:AP130"/>
    <mergeCell ref="BE129:BF129"/>
    <mergeCell ref="BG129:BH129"/>
    <mergeCell ref="BI129:BJ129"/>
    <mergeCell ref="BK129:BL129"/>
    <mergeCell ref="BM129:BN129"/>
    <mergeCell ref="BO129:BP129"/>
    <mergeCell ref="BQ129:BR129"/>
    <mergeCell ref="BS129:BT129"/>
    <mergeCell ref="BU129:BV129"/>
    <mergeCell ref="AM129:AN129"/>
    <mergeCell ref="AO129:AP129"/>
    <mergeCell ref="AQ129:AR129"/>
    <mergeCell ref="AS129:AT129"/>
    <mergeCell ref="AU129:AV129"/>
    <mergeCell ref="AW129:AX129"/>
    <mergeCell ref="AY129:AZ129"/>
    <mergeCell ref="BA129:BB129"/>
    <mergeCell ref="BC129:BD129"/>
    <mergeCell ref="U129:V129"/>
    <mergeCell ref="W129:X129"/>
    <mergeCell ref="Y129:Z129"/>
    <mergeCell ref="AA129:AB129"/>
    <mergeCell ref="AC129:AD129"/>
    <mergeCell ref="AE129:AF129"/>
    <mergeCell ref="AG129:AH129"/>
    <mergeCell ref="AI129:AJ129"/>
    <mergeCell ref="AK129:AL129"/>
    <mergeCell ref="C129:D129"/>
    <mergeCell ref="E129:F129"/>
    <mergeCell ref="G129:H129"/>
    <mergeCell ref="I129:J129"/>
    <mergeCell ref="K129:L129"/>
    <mergeCell ref="M129:N129"/>
    <mergeCell ref="O129:P129"/>
    <mergeCell ref="Q129:R129"/>
    <mergeCell ref="S129:T129"/>
    <mergeCell ref="O10:P10"/>
    <mergeCell ref="Q10:R10"/>
    <mergeCell ref="S10:T10"/>
    <mergeCell ref="U10:V10"/>
    <mergeCell ref="W10:X10"/>
    <mergeCell ref="Y10:Z10"/>
    <mergeCell ref="C10:D10"/>
    <mergeCell ref="E10:F10"/>
    <mergeCell ref="G10:H10"/>
    <mergeCell ref="I10:J10"/>
    <mergeCell ref="K10:L10"/>
    <mergeCell ref="M10:N10"/>
    <mergeCell ref="AQ10:AR10"/>
    <mergeCell ref="AS10:AT10"/>
    <mergeCell ref="AU10:AV10"/>
    <mergeCell ref="AW10:AX10"/>
    <mergeCell ref="AA10:AB10"/>
    <mergeCell ref="AC10:AD10"/>
    <mergeCell ref="AE10:AF10"/>
    <mergeCell ref="AG10:AH10"/>
    <mergeCell ref="AI10:AJ10"/>
    <mergeCell ref="AK10:AL10"/>
    <mergeCell ref="BW10:BX10"/>
    <mergeCell ref="BY10:BZ10"/>
    <mergeCell ref="CA10:CB10"/>
    <mergeCell ref="CC10:CD10"/>
    <mergeCell ref="C11:D11"/>
    <mergeCell ref="E11:F11"/>
    <mergeCell ref="G11:H11"/>
    <mergeCell ref="I11:J11"/>
    <mergeCell ref="K11:L11"/>
    <mergeCell ref="M11:N11"/>
    <mergeCell ref="BK10:BL10"/>
    <mergeCell ref="BM10:BN10"/>
    <mergeCell ref="BO10:BP10"/>
    <mergeCell ref="BQ10:BR10"/>
    <mergeCell ref="BS10:BT10"/>
    <mergeCell ref="BU10:BV10"/>
    <mergeCell ref="AY10:AZ10"/>
    <mergeCell ref="BA10:BB10"/>
    <mergeCell ref="BC10:BD10"/>
    <mergeCell ref="BE10:BF10"/>
    <mergeCell ref="BG10:BH10"/>
    <mergeCell ref="BI10:BJ10"/>
    <mergeCell ref="AM10:AN10"/>
    <mergeCell ref="AO10:AP10"/>
    <mergeCell ref="CC11:CD11"/>
    <mergeCell ref="C12:D12"/>
    <mergeCell ref="E12:F12"/>
    <mergeCell ref="G12:H12"/>
    <mergeCell ref="I12:J12"/>
    <mergeCell ref="K12:L12"/>
    <mergeCell ref="M12:N12"/>
    <mergeCell ref="BK11:BL11"/>
    <mergeCell ref="BM11:BN11"/>
    <mergeCell ref="BO11:BP11"/>
    <mergeCell ref="BQ11:BR11"/>
    <mergeCell ref="BS11:BT11"/>
    <mergeCell ref="BU11:BV11"/>
    <mergeCell ref="AY11:AZ11"/>
    <mergeCell ref="BA11:BB11"/>
    <mergeCell ref="BC11:BD11"/>
    <mergeCell ref="BE11:BF11"/>
    <mergeCell ref="BG11:BH11"/>
    <mergeCell ref="BI11:BJ11"/>
    <mergeCell ref="AM11:AN11"/>
    <mergeCell ref="AO11:AP11"/>
    <mergeCell ref="AQ11:AR11"/>
    <mergeCell ref="AS11:AT11"/>
    <mergeCell ref="AU11:AV11"/>
    <mergeCell ref="O12:P12"/>
    <mergeCell ref="Q12:R12"/>
    <mergeCell ref="S12:T12"/>
    <mergeCell ref="U12:V12"/>
    <mergeCell ref="W12:X12"/>
    <mergeCell ref="Y12:Z12"/>
    <mergeCell ref="BW11:BX11"/>
    <mergeCell ref="BY11:BZ11"/>
    <mergeCell ref="CA11:CB11"/>
    <mergeCell ref="AW11:AX11"/>
    <mergeCell ref="AA11:AB11"/>
    <mergeCell ref="AC11:AD11"/>
    <mergeCell ref="AE11:AF11"/>
    <mergeCell ref="AG11:AH11"/>
    <mergeCell ref="AI11:AJ11"/>
    <mergeCell ref="AK11:AL11"/>
    <mergeCell ref="O11:P11"/>
    <mergeCell ref="Q11:R11"/>
    <mergeCell ref="S11:T11"/>
    <mergeCell ref="U11:V11"/>
    <mergeCell ref="W11:X11"/>
    <mergeCell ref="Y11:Z11"/>
    <mergeCell ref="AQ12:AR12"/>
    <mergeCell ref="AS12:AT12"/>
    <mergeCell ref="AU12:AV12"/>
    <mergeCell ref="AW12:AX12"/>
    <mergeCell ref="AA12:AB12"/>
    <mergeCell ref="AC12:AD12"/>
    <mergeCell ref="AE12:AF12"/>
    <mergeCell ref="AG12:AH12"/>
    <mergeCell ref="AI12:AJ12"/>
    <mergeCell ref="AK12:AL12"/>
    <mergeCell ref="BW12:BX12"/>
    <mergeCell ref="BY12:BZ12"/>
    <mergeCell ref="CA12:CB12"/>
    <mergeCell ref="CC12:CD12"/>
    <mergeCell ref="C13:D13"/>
    <mergeCell ref="E13:F13"/>
    <mergeCell ref="G13:H13"/>
    <mergeCell ref="I13:J13"/>
    <mergeCell ref="K13:L13"/>
    <mergeCell ref="M13:N13"/>
    <mergeCell ref="BK12:BL12"/>
    <mergeCell ref="BM12:BN12"/>
    <mergeCell ref="BO12:BP12"/>
    <mergeCell ref="BQ12:BR12"/>
    <mergeCell ref="BS12:BT12"/>
    <mergeCell ref="BU12:BV12"/>
    <mergeCell ref="AY12:AZ12"/>
    <mergeCell ref="BA12:BB12"/>
    <mergeCell ref="BC12:BD12"/>
    <mergeCell ref="BE12:BF12"/>
    <mergeCell ref="BG12:BH12"/>
    <mergeCell ref="BI12:BJ12"/>
    <mergeCell ref="AM12:AN12"/>
    <mergeCell ref="AO12:AP12"/>
    <mergeCell ref="CC13:CD13"/>
    <mergeCell ref="C15:D15"/>
    <mergeCell ref="E15:F15"/>
    <mergeCell ref="G15:H15"/>
    <mergeCell ref="I15:J15"/>
    <mergeCell ref="K15:L15"/>
    <mergeCell ref="M15:N15"/>
    <mergeCell ref="BK13:BL13"/>
    <mergeCell ref="BM13:BN13"/>
    <mergeCell ref="BO13:BP13"/>
    <mergeCell ref="AM13:AN13"/>
    <mergeCell ref="AO13:AP13"/>
    <mergeCell ref="AQ13:AR13"/>
    <mergeCell ref="AS13:AT13"/>
    <mergeCell ref="AU13:AV13"/>
    <mergeCell ref="O15:P15"/>
    <mergeCell ref="Q15:R15"/>
    <mergeCell ref="S15:T15"/>
    <mergeCell ref="U15:V15"/>
    <mergeCell ref="W15:X15"/>
    <mergeCell ref="Y15:Z15"/>
    <mergeCell ref="O13:P13"/>
    <mergeCell ref="Q13:R13"/>
    <mergeCell ref="S13:T13"/>
    <mergeCell ref="U13:V13"/>
    <mergeCell ref="BW13:BX13"/>
    <mergeCell ref="BY13:BZ13"/>
    <mergeCell ref="CA13:CB13"/>
    <mergeCell ref="AW13:AX13"/>
    <mergeCell ref="AA13:AB13"/>
    <mergeCell ref="AC13:AD13"/>
    <mergeCell ref="AE13:AF13"/>
    <mergeCell ref="AG13:AH13"/>
    <mergeCell ref="AI13:AJ13"/>
    <mergeCell ref="AK13:AL13"/>
    <mergeCell ref="BQ13:BR13"/>
    <mergeCell ref="BS13:BT13"/>
    <mergeCell ref="BU13:BV13"/>
    <mergeCell ref="AY13:AZ13"/>
    <mergeCell ref="BA13:BB13"/>
    <mergeCell ref="BC13:BD13"/>
    <mergeCell ref="BE13:BF13"/>
    <mergeCell ref="BG13:BH13"/>
    <mergeCell ref="BI13:BJ13"/>
    <mergeCell ref="W13:X13"/>
    <mergeCell ref="Y13:Z13"/>
    <mergeCell ref="AQ15:AR15"/>
    <mergeCell ref="AS15:AT15"/>
    <mergeCell ref="AU15:AV15"/>
    <mergeCell ref="AW15:AX15"/>
    <mergeCell ref="AA15:AB15"/>
    <mergeCell ref="AC15:AD15"/>
    <mergeCell ref="AE15:AF15"/>
    <mergeCell ref="AG15:AH15"/>
    <mergeCell ref="AI15:AJ15"/>
    <mergeCell ref="AK15:AL15"/>
    <mergeCell ref="BW15:BX15"/>
    <mergeCell ref="BY15:BZ15"/>
    <mergeCell ref="CA15:CB15"/>
    <mergeCell ref="CC15:CD15"/>
    <mergeCell ref="BK15:BL15"/>
    <mergeCell ref="BM15:BN15"/>
    <mergeCell ref="BO15:BP15"/>
    <mergeCell ref="BQ15:BR15"/>
    <mergeCell ref="BS15:BT15"/>
    <mergeCell ref="BU15:BV15"/>
    <mergeCell ref="AY15:AZ15"/>
    <mergeCell ref="BA15:BB15"/>
    <mergeCell ref="BC15:BD15"/>
    <mergeCell ref="BE15:BF15"/>
    <mergeCell ref="BG15:BH15"/>
    <mergeCell ref="BI15:BJ15"/>
    <mergeCell ref="AM15:AN15"/>
    <mergeCell ref="AO15:AP15"/>
    <mergeCell ref="C59:D59"/>
    <mergeCell ref="E59:F59"/>
    <mergeCell ref="G59:H59"/>
    <mergeCell ref="I59:J59"/>
    <mergeCell ref="K59:L59"/>
    <mergeCell ref="M59:N59"/>
    <mergeCell ref="O59:P59"/>
    <mergeCell ref="Q59:R59"/>
    <mergeCell ref="S59:T59"/>
    <mergeCell ref="U59:V59"/>
    <mergeCell ref="W59:X59"/>
    <mergeCell ref="Y59:Z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BW59:BX59"/>
    <mergeCell ref="BY59:BZ59"/>
    <mergeCell ref="CA59:CB59"/>
    <mergeCell ref="CC59:CD59"/>
    <mergeCell ref="C60:D60"/>
    <mergeCell ref="E60:F60"/>
    <mergeCell ref="G60:H60"/>
    <mergeCell ref="I60:J60"/>
    <mergeCell ref="K60:L60"/>
    <mergeCell ref="M60:N60"/>
    <mergeCell ref="BK59:BL59"/>
    <mergeCell ref="BM59:BN59"/>
    <mergeCell ref="BO59:BP59"/>
    <mergeCell ref="BQ59:BR59"/>
    <mergeCell ref="BS59:BT59"/>
    <mergeCell ref="BU59:BV59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CC60:CD60"/>
    <mergeCell ref="BQ60:BR60"/>
    <mergeCell ref="BS60:BT60"/>
    <mergeCell ref="C93:D93"/>
    <mergeCell ref="E93:F93"/>
    <mergeCell ref="G93:H93"/>
    <mergeCell ref="I93:J93"/>
    <mergeCell ref="K93:L93"/>
    <mergeCell ref="M93:N93"/>
    <mergeCell ref="BK60:BL60"/>
    <mergeCell ref="BM60:BN60"/>
    <mergeCell ref="BO60:BP60"/>
    <mergeCell ref="O93:P93"/>
    <mergeCell ref="Q93:R93"/>
    <mergeCell ref="S93:T93"/>
    <mergeCell ref="U93:V93"/>
    <mergeCell ref="W93:X93"/>
    <mergeCell ref="Y93:Z93"/>
    <mergeCell ref="O60:P60"/>
    <mergeCell ref="Q60:R60"/>
    <mergeCell ref="S60:T60"/>
    <mergeCell ref="U60:V60"/>
    <mergeCell ref="W60:X60"/>
    <mergeCell ref="Y60:Z60"/>
    <mergeCell ref="AQ93:AR93"/>
    <mergeCell ref="AS93:AT93"/>
    <mergeCell ref="AU93:AV93"/>
    <mergeCell ref="BW60:BX60"/>
    <mergeCell ref="BY60:BZ60"/>
    <mergeCell ref="CA60:CB60"/>
    <mergeCell ref="AW60:AX60"/>
    <mergeCell ref="AA60:AB60"/>
    <mergeCell ref="AC60:AD60"/>
    <mergeCell ref="AE60:AF60"/>
    <mergeCell ref="AG60:AH60"/>
    <mergeCell ref="AI60:AJ60"/>
    <mergeCell ref="AK60:AL60"/>
    <mergeCell ref="BU60:BV60"/>
    <mergeCell ref="AY60:AZ60"/>
    <mergeCell ref="BA60:BB60"/>
    <mergeCell ref="BC60:BD60"/>
    <mergeCell ref="BE60:BF60"/>
    <mergeCell ref="BG60:BH60"/>
    <mergeCell ref="BI60:BJ60"/>
    <mergeCell ref="AM60:AN60"/>
    <mergeCell ref="AO60:AP60"/>
    <mergeCell ref="AQ60:AR60"/>
    <mergeCell ref="AS60:AT60"/>
    <mergeCell ref="AU60:AV60"/>
    <mergeCell ref="AW93:AX93"/>
    <mergeCell ref="AA93:AB93"/>
    <mergeCell ref="AC93:AD93"/>
    <mergeCell ref="AE93:AF93"/>
    <mergeCell ref="AG93:AH93"/>
    <mergeCell ref="AI93:AJ93"/>
    <mergeCell ref="AK93:AL93"/>
    <mergeCell ref="BW93:BX93"/>
    <mergeCell ref="BY93:BZ93"/>
    <mergeCell ref="CA93:CB93"/>
    <mergeCell ref="CC93:CD93"/>
    <mergeCell ref="C94:D94"/>
    <mergeCell ref="E94:F94"/>
    <mergeCell ref="G94:H94"/>
    <mergeCell ref="I94:J94"/>
    <mergeCell ref="K94:L94"/>
    <mergeCell ref="M94:N94"/>
    <mergeCell ref="BK93:BL93"/>
    <mergeCell ref="BM93:BN93"/>
    <mergeCell ref="BO93:BP93"/>
    <mergeCell ref="BQ93:BR93"/>
    <mergeCell ref="BS93:BT93"/>
    <mergeCell ref="BU93:BV93"/>
    <mergeCell ref="AY93:AZ93"/>
    <mergeCell ref="BA93:BB93"/>
    <mergeCell ref="BC93:BD93"/>
    <mergeCell ref="BE93:BF93"/>
    <mergeCell ref="BG93:BH93"/>
    <mergeCell ref="BI93:BJ93"/>
    <mergeCell ref="AM93:AN93"/>
    <mergeCell ref="AO93:AP93"/>
    <mergeCell ref="AA94:AB94"/>
    <mergeCell ref="AC94:AD94"/>
    <mergeCell ref="AE94:AF94"/>
    <mergeCell ref="AG94:AH94"/>
    <mergeCell ref="AI94:AJ94"/>
    <mergeCell ref="AK94:AL94"/>
    <mergeCell ref="O94:P94"/>
    <mergeCell ref="Q94:R94"/>
    <mergeCell ref="S94:T94"/>
    <mergeCell ref="U94:V94"/>
    <mergeCell ref="W94:X94"/>
    <mergeCell ref="Y94:Z94"/>
    <mergeCell ref="AY94:AZ94"/>
    <mergeCell ref="BA94:BB94"/>
    <mergeCell ref="BC94:BD94"/>
    <mergeCell ref="BE94:BF94"/>
    <mergeCell ref="BG94:BH94"/>
    <mergeCell ref="BI94:BJ94"/>
    <mergeCell ref="AM94:AN94"/>
    <mergeCell ref="AO94:AP94"/>
    <mergeCell ref="AQ94:AR94"/>
    <mergeCell ref="AS94:AT94"/>
    <mergeCell ref="AU94:AV94"/>
    <mergeCell ref="AW94:AX94"/>
    <mergeCell ref="BW94:BX94"/>
    <mergeCell ref="BY94:BZ94"/>
    <mergeCell ref="CA94:CB94"/>
    <mergeCell ref="CC94:CD94"/>
    <mergeCell ref="BK94:BL94"/>
    <mergeCell ref="BM94:BN94"/>
    <mergeCell ref="BO94:BP94"/>
    <mergeCell ref="BQ94:BR94"/>
    <mergeCell ref="BS94:BT94"/>
    <mergeCell ref="BU94:BV9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U540"/>
  <sheetViews>
    <sheetView zoomScaleSheetLayoutView="100" workbookViewId="0">
      <selection activeCell="D485" sqref="D485"/>
    </sheetView>
  </sheetViews>
  <sheetFormatPr defaultRowHeight="12.75"/>
  <cols>
    <col min="10" max="10" width="7" customWidth="1"/>
    <col min="11" max="11" width="2.5703125" customWidth="1"/>
    <col min="12" max="14" width="9.140625" customWidth="1"/>
  </cols>
  <sheetData>
    <row r="1" spans="1:15" ht="15.75">
      <c r="A1" s="491" t="s">
        <v>818</v>
      </c>
      <c r="B1" s="174"/>
      <c r="C1" s="174"/>
      <c r="D1" s="174"/>
      <c r="K1" s="286"/>
    </row>
    <row r="2" spans="1:15">
      <c r="K2" s="286"/>
      <c r="L2" s="746">
        <f>Hydraulic!G13</f>
        <v>2</v>
      </c>
      <c r="M2" s="747" t="s">
        <v>1017</v>
      </c>
      <c r="N2" s="748"/>
      <c r="O2" s="749"/>
    </row>
    <row r="3" spans="1:15">
      <c r="A3" s="187" t="s">
        <v>449</v>
      </c>
      <c r="D3" s="210">
        <f>DATA!D3</f>
        <v>23.6</v>
      </c>
      <c r="E3" s="187" t="s">
        <v>1</v>
      </c>
      <c r="G3" s="2213" t="str">
        <f>DATA!F1</f>
        <v>Gate Type : VLG on R/S &amp; no FG</v>
      </c>
      <c r="H3" s="2211"/>
      <c r="I3" s="2211"/>
      <c r="J3" s="2211"/>
      <c r="K3" s="286"/>
      <c r="L3" s="750">
        <v>1</v>
      </c>
      <c r="M3" s="751" t="s">
        <v>1018</v>
      </c>
      <c r="N3" s="752"/>
      <c r="O3" s="536"/>
    </row>
    <row r="4" spans="1:15">
      <c r="A4" t="s">
        <v>415</v>
      </c>
      <c r="D4" s="210">
        <f>DATA!D4</f>
        <v>15.7</v>
      </c>
      <c r="E4" s="187" t="s">
        <v>1</v>
      </c>
      <c r="H4" s="14"/>
      <c r="K4" s="286"/>
      <c r="L4" s="3077">
        <v>2</v>
      </c>
      <c r="M4" s="2891" t="s">
        <v>1019</v>
      </c>
      <c r="N4" s="2891"/>
      <c r="O4" s="2894"/>
    </row>
    <row r="5" spans="1:15">
      <c r="A5" t="s">
        <v>416</v>
      </c>
      <c r="D5" s="210">
        <f>DATA!D5</f>
        <v>17.3</v>
      </c>
      <c r="E5" s="187" t="s">
        <v>1</v>
      </c>
      <c r="K5" s="286"/>
      <c r="L5" s="3078"/>
      <c r="M5" s="2892" t="s">
        <v>2214</v>
      </c>
      <c r="N5" s="2893"/>
      <c r="O5" s="2873" t="str">
        <f>Hydraulic!J16</f>
        <v>y</v>
      </c>
    </row>
    <row r="6" spans="1:15">
      <c r="A6" t="s">
        <v>417</v>
      </c>
      <c r="D6" s="210">
        <f>DATA!D6</f>
        <v>18.899999999999999</v>
      </c>
      <c r="E6" s="187" t="s">
        <v>1</v>
      </c>
      <c r="G6" t="s">
        <v>43</v>
      </c>
      <c r="H6" s="14">
        <f>(1-SIN(F8))/(1+SIN(F8))</f>
        <v>0.36103348349818309</v>
      </c>
      <c r="K6" s="286"/>
    </row>
    <row r="7" spans="1:15">
      <c r="A7" t="s">
        <v>418</v>
      </c>
      <c r="D7" s="210">
        <f>DATA!D7</f>
        <v>9.81</v>
      </c>
      <c r="E7" s="187" t="s">
        <v>1</v>
      </c>
      <c r="K7" s="286"/>
    </row>
    <row r="8" spans="1:15">
      <c r="A8" s="187" t="s">
        <v>501</v>
      </c>
      <c r="B8" s="73"/>
      <c r="D8" s="514">
        <f>DATA!I16</f>
        <v>28</v>
      </c>
      <c r="E8" s="187" t="s">
        <v>724</v>
      </c>
      <c r="F8" s="115">
        <f>RADIANS(D8)</f>
        <v>0.48869219055841229</v>
      </c>
      <c r="G8" t="s">
        <v>322</v>
      </c>
      <c r="K8" s="286"/>
    </row>
    <row r="9" spans="1:15">
      <c r="A9" s="187" t="s">
        <v>465</v>
      </c>
      <c r="D9" s="587">
        <f>DATA!D11</f>
        <v>0.9</v>
      </c>
      <c r="E9" s="187" t="s">
        <v>5</v>
      </c>
      <c r="F9" s="13"/>
      <c r="K9" s="286"/>
    </row>
    <row r="10" spans="1:15" ht="15.75">
      <c r="A10" s="231"/>
      <c r="D10" s="187"/>
      <c r="E10" s="187" t="s">
        <v>466</v>
      </c>
      <c r="F10" s="13"/>
      <c r="K10" s="286"/>
    </row>
    <row r="11" spans="1:15">
      <c r="A11" s="187" t="s">
        <v>1100</v>
      </c>
      <c r="D11" s="205">
        <f>IF(O5="y",DATA!D9,IF(L2=2,0,DATA!D9))</f>
        <v>7.2</v>
      </c>
      <c r="E11" s="187" t="s">
        <v>3</v>
      </c>
      <c r="F11" s="187" t="s">
        <v>410</v>
      </c>
      <c r="K11" s="286"/>
    </row>
    <row r="12" spans="1:15">
      <c r="A12" s="187" t="s">
        <v>504</v>
      </c>
      <c r="D12" s="205">
        <f>IF(O5="y",DATA!D10,IF(L2=2,0,DATA!D10))</f>
        <v>205.8</v>
      </c>
      <c r="E12" t="s">
        <v>4</v>
      </c>
      <c r="F12" t="s">
        <v>411</v>
      </c>
      <c r="K12" s="286"/>
    </row>
    <row r="13" spans="1:15">
      <c r="A13" s="187"/>
      <c r="B13" s="73"/>
      <c r="D13" s="46"/>
      <c r="F13" s="13"/>
      <c r="K13" s="286"/>
    </row>
    <row r="14" spans="1:15">
      <c r="A14" s="1" t="s">
        <v>6</v>
      </c>
      <c r="E14" s="2"/>
      <c r="F14" s="3"/>
      <c r="K14" s="286"/>
    </row>
    <row r="15" spans="1:15" ht="14.25">
      <c r="A15" s="109" t="s">
        <v>420</v>
      </c>
      <c r="B15" s="109"/>
      <c r="C15" s="784">
        <f>HeadWall!C13</f>
        <v>22</v>
      </c>
      <c r="D15" s="109" t="s">
        <v>421</v>
      </c>
      <c r="F15" s="295" t="s">
        <v>422</v>
      </c>
      <c r="K15" s="286"/>
    </row>
    <row r="16" spans="1:15" ht="14.25">
      <c r="A16" s="109" t="s">
        <v>8</v>
      </c>
      <c r="B16" s="109"/>
      <c r="C16" s="784">
        <f>HeadWall!C14</f>
        <v>414</v>
      </c>
      <c r="D16" s="109" t="s">
        <v>421</v>
      </c>
      <c r="F16" s="109" t="s">
        <v>423</v>
      </c>
      <c r="I16" s="233">
        <f>HeadWall!H14</f>
        <v>60</v>
      </c>
      <c r="J16" s="187" t="s">
        <v>98</v>
      </c>
      <c r="K16" s="286"/>
    </row>
    <row r="17" spans="1:16" ht="14.25">
      <c r="A17" s="109" t="s">
        <v>11</v>
      </c>
      <c r="B17" s="109"/>
      <c r="C17" s="288">
        <f>HeadWall!C15</f>
        <v>200000</v>
      </c>
      <c r="D17" s="109" t="s">
        <v>421</v>
      </c>
      <c r="F17" s="109" t="s">
        <v>424</v>
      </c>
      <c r="I17" s="233">
        <f>HeadWall!H15</f>
        <v>50</v>
      </c>
      <c r="J17" s="187" t="s">
        <v>98</v>
      </c>
      <c r="K17" s="286"/>
    </row>
    <row r="18" spans="1:16" ht="14.25">
      <c r="A18" s="109" t="s">
        <v>510</v>
      </c>
      <c r="B18" s="109"/>
      <c r="C18" s="287">
        <f>4730*(C15)^0.5</f>
        <v>22185.666543964824</v>
      </c>
      <c r="D18" s="109" t="s">
        <v>421</v>
      </c>
      <c r="E18" s="201"/>
      <c r="F18" s="241" t="s">
        <v>2134</v>
      </c>
      <c r="G18" s="16"/>
      <c r="H18" s="16"/>
      <c r="I18" s="16">
        <f>IF(Hydraulic!O2="y",Hydraulic!O3,0)</f>
        <v>0</v>
      </c>
      <c r="J18" t="s">
        <v>98</v>
      </c>
      <c r="K18" s="286"/>
    </row>
    <row r="19" spans="1:16">
      <c r="A19" s="109"/>
      <c r="B19" s="109"/>
      <c r="C19" s="288"/>
      <c r="D19" s="109"/>
      <c r="E19" s="201"/>
      <c r="K19" s="286"/>
    </row>
    <row r="20" spans="1:16" ht="14.25">
      <c r="A20" s="109" t="s">
        <v>511</v>
      </c>
      <c r="B20" s="109"/>
      <c r="C20" s="288">
        <f>0.45*C15</f>
        <v>9.9</v>
      </c>
      <c r="D20" s="109" t="s">
        <v>421</v>
      </c>
      <c r="E20" s="109"/>
      <c r="K20" s="286"/>
    </row>
    <row r="21" spans="1:16">
      <c r="A21" s="109" t="s">
        <v>426</v>
      </c>
      <c r="B21" s="109"/>
      <c r="C21" s="288">
        <f>0.45*C16</f>
        <v>186.3</v>
      </c>
      <c r="D21" s="109" t="s">
        <v>7</v>
      </c>
      <c r="E21" s="201"/>
      <c r="K21" s="286"/>
    </row>
    <row r="22" spans="1:16">
      <c r="A22" s="109" t="s">
        <v>10</v>
      </c>
      <c r="B22" s="109"/>
      <c r="C22" s="205">
        <f>C17/C18</f>
        <v>9.0148294442118573</v>
      </c>
      <c r="D22" s="109"/>
      <c r="E22" s="109"/>
      <c r="K22" s="286"/>
    </row>
    <row r="23" spans="1:16">
      <c r="A23" s="109" t="s">
        <v>427</v>
      </c>
      <c r="B23" s="109"/>
      <c r="C23" s="205">
        <f>C21/C20</f>
        <v>18.81818181818182</v>
      </c>
      <c r="D23" s="109"/>
      <c r="E23" s="201"/>
      <c r="K23" s="286"/>
    </row>
    <row r="24" spans="1:16">
      <c r="A24" s="109" t="s">
        <v>428</v>
      </c>
      <c r="B24" s="109"/>
      <c r="C24" s="306">
        <f>C22/(C22+C23)</f>
        <v>0.32388983567840407</v>
      </c>
      <c r="D24" s="109"/>
      <c r="E24" s="201"/>
      <c r="K24" s="286"/>
    </row>
    <row r="25" spans="1:16">
      <c r="A25" s="109" t="s">
        <v>12</v>
      </c>
      <c r="B25" s="109"/>
      <c r="C25" s="306">
        <f>1-C24/3</f>
        <v>0.89203672144053203</v>
      </c>
      <c r="D25" s="109"/>
      <c r="E25" s="201"/>
      <c r="K25" s="286"/>
    </row>
    <row r="26" spans="1:16" ht="14.25">
      <c r="A26" s="109" t="s">
        <v>9</v>
      </c>
      <c r="B26" s="109"/>
      <c r="C26" s="205">
        <f>0.5*C20*C24*C25</f>
        <v>1.4301620542760574</v>
      </c>
      <c r="D26" s="109" t="s">
        <v>421</v>
      </c>
      <c r="E26" s="201"/>
      <c r="K26" s="286"/>
    </row>
    <row r="27" spans="1:16">
      <c r="A27" s="109" t="s">
        <v>452</v>
      </c>
      <c r="B27" s="109"/>
      <c r="C27" s="306">
        <f>9.1*10^(-2)*C15^0.5</f>
        <v>0.42682783414393211</v>
      </c>
      <c r="D27" s="109" t="s">
        <v>7</v>
      </c>
      <c r="E27" s="201"/>
      <c r="K27" s="286"/>
    </row>
    <row r="28" spans="1:16" ht="14.25">
      <c r="A28" s="291" t="s">
        <v>430</v>
      </c>
      <c r="B28" s="109"/>
      <c r="C28" s="109"/>
      <c r="D28" s="307">
        <f>0.17*C15^0.5</f>
        <v>0.79737067916998317</v>
      </c>
      <c r="E28" s="109" t="s">
        <v>421</v>
      </c>
      <c r="K28" s="286"/>
    </row>
    <row r="29" spans="1:16">
      <c r="K29" s="286"/>
    </row>
    <row r="30" spans="1:16">
      <c r="A30" t="s">
        <v>24</v>
      </c>
      <c r="C30" s="308">
        <f>DATA!C14</f>
        <v>2</v>
      </c>
      <c r="E30" s="187" t="s">
        <v>358</v>
      </c>
      <c r="G30" s="133">
        <f>DATA!H34-C32</f>
        <v>7.95</v>
      </c>
      <c r="H30" s="187" t="s">
        <v>1784</v>
      </c>
      <c r="I30" s="187"/>
      <c r="J30" s="26"/>
      <c r="K30" s="286"/>
    </row>
    <row r="31" spans="1:16">
      <c r="A31" s="26" t="s">
        <v>204</v>
      </c>
      <c r="C31" s="309">
        <f>DATA!C16</f>
        <v>1</v>
      </c>
      <c r="E31" s="187" t="s">
        <v>1021</v>
      </c>
      <c r="G31" s="33">
        <f>DATA!H35</f>
        <v>1.5</v>
      </c>
      <c r="H31" s="26" t="s">
        <v>5</v>
      </c>
      <c r="J31" s="26"/>
      <c r="K31" s="286"/>
    </row>
    <row r="32" spans="1:16">
      <c r="A32" s="187" t="s">
        <v>785</v>
      </c>
      <c r="C32" s="224">
        <f>DATA!D35</f>
        <v>0.45</v>
      </c>
      <c r="D32" s="187" t="s">
        <v>5</v>
      </c>
      <c r="E32" s="187" t="s">
        <v>1022</v>
      </c>
      <c r="G32" s="33">
        <f>DATA!H36</f>
        <v>1.5</v>
      </c>
      <c r="H32" s="26" t="s">
        <v>5</v>
      </c>
      <c r="K32" s="286"/>
      <c r="L32" s="127" t="s">
        <v>199</v>
      </c>
      <c r="M32" s="761">
        <f>DATA!U41</f>
        <v>1.5</v>
      </c>
      <c r="N32" s="127" t="s">
        <v>156</v>
      </c>
      <c r="O32" s="246">
        <f>DATA!H34</f>
        <v>8.4</v>
      </c>
      <c r="P32" s="127" t="s">
        <v>5</v>
      </c>
    </row>
    <row r="33" spans="1:11">
      <c r="A33" s="187" t="s">
        <v>787</v>
      </c>
      <c r="C33" s="230">
        <f>DATA!D37</f>
        <v>0.75</v>
      </c>
      <c r="D33" s="187" t="s">
        <v>779</v>
      </c>
      <c r="E33" s="187"/>
      <c r="G33" s="224">
        <f>DATA!H37</f>
        <v>0.75</v>
      </c>
      <c r="H33" s="187" t="s">
        <v>547</v>
      </c>
      <c r="K33" s="286"/>
    </row>
    <row r="34" spans="1:11">
      <c r="A34" s="187" t="s">
        <v>780</v>
      </c>
      <c r="C34" s="230">
        <f>DATA!D38</f>
        <v>0.75</v>
      </c>
      <c r="D34" s="26" t="s">
        <v>5</v>
      </c>
      <c r="K34" s="286"/>
    </row>
    <row r="35" spans="1:11">
      <c r="A35" s="187" t="s">
        <v>786</v>
      </c>
      <c r="C35" s="230">
        <f>DATA!D39</f>
        <v>5.25</v>
      </c>
      <c r="D35" s="187" t="s">
        <v>5</v>
      </c>
      <c r="E35" s="187"/>
      <c r="K35" s="286"/>
    </row>
    <row r="36" spans="1:11">
      <c r="K36" s="286"/>
    </row>
    <row r="37" spans="1:11" ht="15.75">
      <c r="B37" s="238" t="s">
        <v>431</v>
      </c>
      <c r="C37" s="239"/>
      <c r="D37" s="240"/>
      <c r="K37" s="286"/>
    </row>
    <row r="38" spans="1:11" ht="14.25">
      <c r="B38" s="241" t="s">
        <v>432</v>
      </c>
      <c r="C38" s="16"/>
      <c r="D38" s="241" t="s">
        <v>433</v>
      </c>
      <c r="E38" s="16"/>
      <c r="F38" s="16"/>
      <c r="G38" s="16">
        <f>0.1/100</f>
        <v>1E-3</v>
      </c>
      <c r="H38" s="241" t="s">
        <v>434</v>
      </c>
      <c r="K38" s="286"/>
    </row>
    <row r="39" spans="1:11" ht="14.25">
      <c r="B39" s="16"/>
      <c r="C39" s="16"/>
      <c r="D39" s="241" t="s">
        <v>435</v>
      </c>
      <c r="E39" s="16"/>
      <c r="F39" s="16"/>
      <c r="G39" s="16">
        <f>0.2/100</f>
        <v>2E-3</v>
      </c>
      <c r="H39" s="241" t="s">
        <v>434</v>
      </c>
      <c r="K39" s="286"/>
    </row>
    <row r="40" spans="1:11" ht="14.25">
      <c r="B40" s="16"/>
      <c r="C40" s="16"/>
      <c r="D40" s="241" t="s">
        <v>436</v>
      </c>
      <c r="E40" s="16"/>
      <c r="F40" s="16"/>
      <c r="G40" s="16">
        <f>0.15/100</f>
        <v>1.5E-3</v>
      </c>
      <c r="H40" s="241" t="s">
        <v>434</v>
      </c>
      <c r="K40" s="286"/>
    </row>
    <row r="41" spans="1:11">
      <c r="B41" s="241"/>
      <c r="C41" s="242"/>
      <c r="D41" s="16"/>
      <c r="E41" s="16"/>
      <c r="F41" s="16"/>
      <c r="G41" s="16"/>
      <c r="H41" s="16"/>
      <c r="K41" s="286"/>
    </row>
    <row r="42" spans="1:11">
      <c r="B42" s="241" t="s">
        <v>437</v>
      </c>
      <c r="C42" s="242"/>
      <c r="D42" s="16"/>
      <c r="E42" s="16"/>
      <c r="F42" s="16"/>
      <c r="G42" s="16"/>
      <c r="H42" s="16"/>
      <c r="K42" s="286"/>
    </row>
    <row r="43" spans="1:11" ht="14.25">
      <c r="B43" s="241"/>
      <c r="C43" s="242"/>
      <c r="D43" s="241" t="s">
        <v>433</v>
      </c>
      <c r="E43" s="16"/>
      <c r="F43" s="16"/>
      <c r="G43" s="16">
        <f>0.15/100</f>
        <v>1.5E-3</v>
      </c>
      <c r="H43" s="241" t="s">
        <v>434</v>
      </c>
      <c r="K43" s="286"/>
    </row>
    <row r="44" spans="1:11" ht="14.25">
      <c r="B44" s="16"/>
      <c r="C44" s="16"/>
      <c r="D44" s="241" t="s">
        <v>435</v>
      </c>
      <c r="E44" s="16"/>
      <c r="F44" s="16"/>
      <c r="G44" s="16">
        <f>0.25/100</f>
        <v>2.5000000000000001E-3</v>
      </c>
      <c r="H44" s="241" t="s">
        <v>434</v>
      </c>
      <c r="K44" s="286"/>
    </row>
    <row r="45" spans="1:11" ht="14.25">
      <c r="B45" s="16"/>
      <c r="C45" s="16"/>
      <c r="D45" s="241" t="s">
        <v>436</v>
      </c>
      <c r="E45" s="16"/>
      <c r="F45" s="16"/>
      <c r="G45" s="16">
        <f>0.2/100</f>
        <v>2E-3</v>
      </c>
      <c r="H45" s="241" t="s">
        <v>434</v>
      </c>
      <c r="K45" s="286"/>
    </row>
    <row r="46" spans="1:11">
      <c r="B46" s="16"/>
      <c r="C46" s="16"/>
      <c r="D46" s="16"/>
      <c r="E46" s="16"/>
      <c r="F46" s="16"/>
      <c r="G46" s="16"/>
      <c r="H46" s="16"/>
      <c r="K46" s="286"/>
    </row>
    <row r="47" spans="1:11" ht="14.25">
      <c r="B47" s="243" t="s">
        <v>445</v>
      </c>
      <c r="C47" s="241" t="s">
        <v>433</v>
      </c>
      <c r="D47" s="16"/>
      <c r="E47" s="241" t="s">
        <v>111</v>
      </c>
      <c r="F47" s="16">
        <f>IF(B66&lt;=9,G38,G43)</f>
        <v>1E-3</v>
      </c>
      <c r="G47" s="241" t="s">
        <v>438</v>
      </c>
      <c r="H47" s="16"/>
      <c r="K47" s="286"/>
    </row>
    <row r="48" spans="1:11" ht="14.25">
      <c r="B48" s="16"/>
      <c r="C48" s="16"/>
      <c r="D48" s="16"/>
      <c r="E48" s="241" t="s">
        <v>110</v>
      </c>
      <c r="F48" s="16">
        <f>IF(E75&lt;=9,G38,G43)</f>
        <v>1.5E-3</v>
      </c>
      <c r="G48" s="241" t="s">
        <v>438</v>
      </c>
      <c r="H48" s="16"/>
      <c r="K48" s="286"/>
    </row>
    <row r="49" spans="1:11">
      <c r="B49" s="16"/>
      <c r="C49" s="16"/>
      <c r="D49" s="16"/>
      <c r="E49" s="16"/>
      <c r="F49" s="16"/>
      <c r="G49" s="241"/>
      <c r="H49" s="16"/>
      <c r="K49" s="286"/>
    </row>
    <row r="50" spans="1:11" ht="14.25">
      <c r="B50" s="16"/>
      <c r="C50" s="241" t="s">
        <v>439</v>
      </c>
      <c r="D50" s="16"/>
      <c r="E50" s="241" t="s">
        <v>111</v>
      </c>
      <c r="F50" s="16">
        <f>IF(B66&lt;=9,G39,G44)</f>
        <v>2E-3</v>
      </c>
      <c r="G50" s="241" t="s">
        <v>438</v>
      </c>
      <c r="H50" s="16"/>
      <c r="K50" s="286"/>
    </row>
    <row r="51" spans="1:11" ht="14.25">
      <c r="B51" s="16"/>
      <c r="C51" s="16"/>
      <c r="D51" s="16"/>
      <c r="E51" s="241" t="s">
        <v>110</v>
      </c>
      <c r="F51" s="16">
        <f>IF(E75&lt;=9,G39,G44)</f>
        <v>2.5000000000000001E-3</v>
      </c>
      <c r="G51" s="241" t="s">
        <v>438</v>
      </c>
      <c r="H51" s="16"/>
      <c r="K51" s="286"/>
    </row>
    <row r="52" spans="1:11">
      <c r="B52" s="241" t="s">
        <v>444</v>
      </c>
      <c r="H52" s="16">
        <v>380</v>
      </c>
      <c r="I52" s="241" t="s">
        <v>98</v>
      </c>
      <c r="J52" s="241"/>
      <c r="K52" s="286"/>
    </row>
    <row r="53" spans="1:11">
      <c r="K53" s="286"/>
    </row>
    <row r="54" spans="1:11">
      <c r="J54" s="46"/>
      <c r="K54" s="286"/>
    </row>
    <row r="55" spans="1:11">
      <c r="C55" s="179"/>
      <c r="D55" s="296">
        <f>DATA!D44</f>
        <v>300</v>
      </c>
      <c r="E55" s="179"/>
      <c r="F55" s="197">
        <f>DATA!F44</f>
        <v>300</v>
      </c>
      <c r="G55" s="179"/>
      <c r="J55" s="46"/>
      <c r="K55" s="286"/>
    </row>
    <row r="56" spans="1:11">
      <c r="C56" s="296">
        <f>DATA!C45</f>
        <v>1500</v>
      </c>
      <c r="D56" s="179"/>
      <c r="E56" s="296">
        <f>DATA!E45</f>
        <v>10000</v>
      </c>
      <c r="F56" s="179"/>
      <c r="G56" s="296">
        <f>DATA!G45</f>
        <v>1500</v>
      </c>
      <c r="J56" s="46"/>
      <c r="K56" s="286"/>
    </row>
    <row r="57" spans="1:11">
      <c r="A57" s="216" t="s">
        <v>22</v>
      </c>
      <c r="C57" s="179"/>
      <c r="D57" s="179"/>
      <c r="E57" s="179"/>
      <c r="F57" s="179"/>
      <c r="G57" s="179"/>
      <c r="I57" s="760" t="s">
        <v>23</v>
      </c>
      <c r="J57" s="780"/>
      <c r="K57" s="286"/>
    </row>
    <row r="58" spans="1:11">
      <c r="C58" s="179"/>
      <c r="D58" s="201">
        <f>DATA!D42</f>
        <v>0</v>
      </c>
      <c r="E58" s="296">
        <f>DATA!E42</f>
        <v>10000</v>
      </c>
      <c r="F58" s="201">
        <f>DATA!F42</f>
        <v>0</v>
      </c>
      <c r="G58" s="179"/>
      <c r="J58" s="46"/>
      <c r="K58" s="286"/>
    </row>
    <row r="59" spans="1:11">
      <c r="B59" s="139"/>
      <c r="C59" s="189">
        <f>DATA!B46</f>
        <v>15.4</v>
      </c>
      <c r="D59" s="179"/>
      <c r="E59" s="179"/>
      <c r="F59" s="179"/>
      <c r="G59" s="179"/>
      <c r="J59" s="46"/>
      <c r="K59" s="286"/>
    </row>
    <row r="60" spans="1:11">
      <c r="C60" s="179"/>
      <c r="D60" s="179"/>
      <c r="E60" s="179"/>
      <c r="F60" s="179"/>
      <c r="G60" s="291">
        <f>DATA!G47</f>
        <v>0</v>
      </c>
      <c r="J60" s="46"/>
      <c r="K60" s="286"/>
    </row>
    <row r="61" spans="1:11">
      <c r="C61" s="189">
        <f>DATA!C48</f>
        <v>15.4</v>
      </c>
      <c r="K61" s="286"/>
    </row>
    <row r="62" spans="1:11">
      <c r="K62" s="286"/>
    </row>
    <row r="63" spans="1:11">
      <c r="F63" s="187" t="s">
        <v>320</v>
      </c>
      <c r="K63" s="286"/>
    </row>
    <row r="64" spans="1:11">
      <c r="D64" s="109">
        <f>(C61-E66)*1000</f>
        <v>6000</v>
      </c>
      <c r="K64" s="286"/>
    </row>
    <row r="65" spans="1:14">
      <c r="K65" s="286"/>
      <c r="N65" s="33"/>
    </row>
    <row r="66" spans="1:14">
      <c r="B66" s="36">
        <f>C61-E70-C32</f>
        <v>7.95</v>
      </c>
      <c r="E66" s="205">
        <f>DATA!E53</f>
        <v>9.4</v>
      </c>
      <c r="K66" s="286"/>
    </row>
    <row r="67" spans="1:14">
      <c r="D67" s="109">
        <f>DATA!D54</f>
        <v>600</v>
      </c>
      <c r="I67" s="36">
        <f>C61-G70</f>
        <v>8.4</v>
      </c>
      <c r="J67" s="36"/>
      <c r="K67" s="286"/>
    </row>
    <row r="68" spans="1:14">
      <c r="K68" s="286"/>
    </row>
    <row r="69" spans="1:14">
      <c r="D69" s="109">
        <f>(E66-E70)*1000-D67</f>
        <v>1800.0000000000005</v>
      </c>
      <c r="K69" s="286"/>
    </row>
    <row r="70" spans="1:14">
      <c r="C70" s="179"/>
      <c r="D70" s="179"/>
      <c r="E70" s="205">
        <f>DATA!E57</f>
        <v>7</v>
      </c>
      <c r="G70" s="188">
        <f>DATA!E57-DATA!G57/1000</f>
        <v>7</v>
      </c>
      <c r="K70" s="286"/>
    </row>
    <row r="71" spans="1:14">
      <c r="B71" s="2">
        <f>DATA!B59</f>
        <v>1200</v>
      </c>
      <c r="C71" s="179"/>
      <c r="D71" s="177">
        <f>DATA!D58</f>
        <v>700</v>
      </c>
      <c r="E71" s="181"/>
      <c r="F71" s="179"/>
      <c r="G71" s="179"/>
      <c r="K71" s="286"/>
    </row>
    <row r="72" spans="1:14">
      <c r="C72" s="179"/>
      <c r="D72" s="179"/>
      <c r="E72" s="179"/>
      <c r="F72" s="179"/>
      <c r="G72" s="182"/>
      <c r="I72" s="2">
        <f>DATA!I59</f>
        <v>1200</v>
      </c>
      <c r="J72" s="2"/>
      <c r="K72" s="286"/>
    </row>
    <row r="73" spans="1:14">
      <c r="D73" s="183">
        <f>DATA!D60</f>
        <v>500</v>
      </c>
      <c r="E73" s="218"/>
      <c r="F73" s="200">
        <f>DATA!F60</f>
        <v>500</v>
      </c>
      <c r="K73" s="286"/>
    </row>
    <row r="74" spans="1:14">
      <c r="C74" s="180"/>
      <c r="D74" s="179"/>
      <c r="E74" s="181"/>
      <c r="F74" s="179"/>
      <c r="G74" s="180"/>
      <c r="K74" s="286"/>
    </row>
    <row r="75" spans="1:14">
      <c r="C75" s="179"/>
      <c r="D75" s="179"/>
      <c r="E75" s="206">
        <f>(C56+D55+E56+F55+G56)/1000</f>
        <v>13.6</v>
      </c>
      <c r="F75" s="179"/>
      <c r="G75" s="179"/>
      <c r="K75" s="286"/>
    </row>
    <row r="76" spans="1:14">
      <c r="C76" s="179"/>
      <c r="D76" s="179"/>
      <c r="E76" s="179"/>
      <c r="F76" s="179"/>
      <c r="G76" s="179"/>
      <c r="K76" s="286"/>
    </row>
    <row r="77" spans="1:14" ht="15.75">
      <c r="A77" s="437" t="s">
        <v>2044</v>
      </c>
      <c r="B77" s="174"/>
      <c r="C77" s="940" t="s">
        <v>1146</v>
      </c>
      <c r="F77" s="2600" t="str">
        <f>IF(C32=0,"No C/S Deck Slab","")</f>
        <v/>
      </c>
      <c r="G77" s="2600"/>
      <c r="I77" s="187" t="s">
        <v>1782</v>
      </c>
      <c r="K77" s="286"/>
    </row>
    <row r="78" spans="1:14">
      <c r="K78" s="286"/>
      <c r="M78" s="16"/>
    </row>
    <row r="79" spans="1:14">
      <c r="A79" t="s">
        <v>357</v>
      </c>
      <c r="G79" s="129">
        <f>C32*1000</f>
        <v>450</v>
      </c>
      <c r="H79" s="187" t="s">
        <v>98</v>
      </c>
      <c r="K79" s="286"/>
      <c r="M79" s="16"/>
      <c r="N79" s="16"/>
    </row>
    <row r="80" spans="1:14">
      <c r="A80" s="187" t="str">
        <f>"Span between Abutment &amp; Pier = "&amp;G31&amp;" + "&amp;G33&amp;" / 2 + "&amp;C34&amp;" / 2 ="</f>
        <v>Span between Abutment &amp; Pier = 1.5 + 0.75 / 2 + 0.75 / 2 =</v>
      </c>
      <c r="G80" s="33">
        <f>G31+G33/2+C34/2</f>
        <v>2.25</v>
      </c>
      <c r="H80" s="187" t="s">
        <v>1099</v>
      </c>
      <c r="I80" s="187"/>
      <c r="K80" s="286"/>
      <c r="M80" s="16"/>
      <c r="N80" s="242"/>
    </row>
    <row r="81" spans="1:18" ht="13.5" thickBot="1">
      <c r="A81" s="187" t="str">
        <f>"Span between Pier = "&amp;G32&amp;" + "&amp;C34&amp;" ="</f>
        <v>Span between Pier = 1.5 + 0.75 =</v>
      </c>
      <c r="G81" s="115">
        <f>IF(C30=2,G80,IF(C30&lt;3,0,G32+C34))</f>
        <v>2.25</v>
      </c>
      <c r="H81" s="187" t="s">
        <v>1099</v>
      </c>
      <c r="I81" s="187"/>
      <c r="K81" s="286"/>
      <c r="M81" s="16"/>
      <c r="N81" s="242"/>
    </row>
    <row r="82" spans="1:18" ht="13.5" thickBot="1">
      <c r="A82" s="187" t="s">
        <v>774</v>
      </c>
      <c r="G82" s="115">
        <f>C56/1000</f>
        <v>1.5</v>
      </c>
      <c r="H82" s="187" t="s">
        <v>5</v>
      </c>
      <c r="K82" s="286"/>
      <c r="L82" s="1896" t="s">
        <v>1414</v>
      </c>
      <c r="M82" s="1898" t="s">
        <v>1780</v>
      </c>
      <c r="N82" s="1899"/>
      <c r="O82" s="1899"/>
      <c r="P82" s="1900"/>
    </row>
    <row r="83" spans="1:18">
      <c r="K83" s="286"/>
      <c r="L83" s="1901"/>
      <c r="M83" s="1897"/>
      <c r="N83" s="1897"/>
      <c r="O83" s="1897"/>
      <c r="P83" s="1902"/>
    </row>
    <row r="84" spans="1:18">
      <c r="B84" s="187" t="str">
        <f>"Self Weight = "&amp;G79&amp;" * "&amp;D3&amp;" / 1000 = "</f>
        <v xml:space="preserve">Self Weight = 450 * 23.6 / 1000 = </v>
      </c>
      <c r="F84">
        <f>G79*D3/1000</f>
        <v>10.62</v>
      </c>
      <c r="G84" s="229" t="s">
        <v>725</v>
      </c>
      <c r="K84" s="286"/>
      <c r="L84" s="1919" t="s">
        <v>1402</v>
      </c>
      <c r="M84" s="1920"/>
      <c r="N84" s="1921">
        <v>0</v>
      </c>
      <c r="O84" s="1897"/>
      <c r="P84" s="1902"/>
    </row>
    <row r="85" spans="1:18">
      <c r="B85" s="204" t="s">
        <v>770</v>
      </c>
      <c r="C85" s="59"/>
      <c r="F85" s="212">
        <f>D11</f>
        <v>7.2</v>
      </c>
      <c r="G85" s="229" t="s">
        <v>725</v>
      </c>
      <c r="K85" s="286"/>
      <c r="L85" s="1922" t="s">
        <v>1403</v>
      </c>
      <c r="M85" s="1923"/>
      <c r="N85" s="1924">
        <v>1</v>
      </c>
      <c r="O85" s="1897"/>
      <c r="P85" s="1902"/>
    </row>
    <row r="86" spans="1:18">
      <c r="B86" s="385" t="s">
        <v>773</v>
      </c>
      <c r="F86" s="33">
        <f>SUM(F84:F85)</f>
        <v>17.82</v>
      </c>
      <c r="G86" s="229" t="s">
        <v>725</v>
      </c>
      <c r="K86" s="286"/>
      <c r="L86" s="1901"/>
      <c r="M86" s="1897"/>
      <c r="N86" s="1897"/>
      <c r="O86" s="1897"/>
      <c r="P86" s="1902"/>
    </row>
    <row r="87" spans="1:18">
      <c r="B87" s="187"/>
      <c r="F87" s="115"/>
      <c r="G87" s="187"/>
      <c r="K87" s="286"/>
      <c r="L87" s="1901" t="s">
        <v>1394</v>
      </c>
      <c r="M87" s="1897"/>
      <c r="N87" s="1897"/>
      <c r="O87" s="2587">
        <v>0</v>
      </c>
      <c r="P87" s="1903" t="s">
        <v>620</v>
      </c>
    </row>
    <row r="88" spans="1:18">
      <c r="B88" s="109" t="s">
        <v>504</v>
      </c>
      <c r="C88" s="46"/>
      <c r="D88" s="46"/>
      <c r="F88" s="205">
        <f>D12</f>
        <v>205.8</v>
      </c>
      <c r="G88" s="46" t="s">
        <v>4</v>
      </c>
      <c r="K88" s="286"/>
      <c r="L88" s="1901" t="str">
        <f>"First  End = "&amp;IF(O88=0,L84,L85)</f>
        <v>First  End = Hinged Support</v>
      </c>
      <c r="M88" s="1897"/>
      <c r="N88" s="1897"/>
      <c r="O88" s="1904">
        <v>1</v>
      </c>
      <c r="P88" s="1902"/>
    </row>
    <row r="89" spans="1:18" ht="13.5" thickBot="1">
      <c r="B89" s="109"/>
      <c r="C89" s="46"/>
      <c r="D89" s="46"/>
      <c r="E89" s="205"/>
      <c r="F89" s="46"/>
      <c r="K89" s="286"/>
      <c r="L89" s="1905" t="str">
        <f>"Last  End = "&amp;IF(O89=0,L84,L85)</f>
        <v>Last  End = Hinged Support</v>
      </c>
      <c r="M89" s="1906"/>
      <c r="N89" s="1906"/>
      <c r="O89" s="1907">
        <v>1</v>
      </c>
      <c r="P89" s="1908"/>
    </row>
    <row r="90" spans="1:18">
      <c r="B90" s="692" t="s">
        <v>1410</v>
      </c>
      <c r="C90" s="126"/>
      <c r="D90" s="126"/>
      <c r="E90" s="205"/>
      <c r="F90" s="46"/>
      <c r="K90" s="286"/>
    </row>
    <row r="91" spans="1:18" ht="13.5" thickBot="1">
      <c r="B91" t="s">
        <v>1405</v>
      </c>
      <c r="F91" s="115">
        <f>'Mom Distr-CS'!E62</f>
        <v>98.098593749999992</v>
      </c>
      <c r="G91" t="s">
        <v>620</v>
      </c>
      <c r="H91" t="str">
        <f>'Mom Distr-CS'!G62</f>
        <v>(Top Tension)</v>
      </c>
      <c r="K91" s="286"/>
    </row>
    <row r="92" spans="1:18">
      <c r="B92" t="s">
        <v>1406</v>
      </c>
      <c r="F92" s="115">
        <f>'Mom Distr-CS'!E63</f>
        <v>77.989921875000022</v>
      </c>
      <c r="G92" t="s">
        <v>620</v>
      </c>
      <c r="H92" t="str">
        <f>'Mom Distr-CS'!G63</f>
        <v>(Bottom Tension)</v>
      </c>
      <c r="K92" s="286"/>
      <c r="L92" s="1909" t="s">
        <v>1781</v>
      </c>
      <c r="M92" s="1910"/>
      <c r="N92" s="1910"/>
      <c r="O92" s="1910"/>
      <c r="P92" s="1910"/>
      <c r="Q92" s="1910"/>
      <c r="R92" s="1911"/>
    </row>
    <row r="93" spans="1:18">
      <c r="B93" t="s">
        <v>1409</v>
      </c>
      <c r="F93" s="115">
        <f>'Mom Distr-CS'!E64</f>
        <v>166.546875</v>
      </c>
      <c r="G93" t="s">
        <v>341</v>
      </c>
      <c r="J93" s="46"/>
      <c r="K93" s="286"/>
      <c r="L93" s="1912" t="str">
        <f>"End Shear = "&amp;F86&amp;" * "&amp;MAX(G80:G81)&amp;" / 2 + "&amp;F88&amp;" / 2 ="</f>
        <v>End Shear = 17.82 * 2.25 / 2 + 205.8 / 2 =</v>
      </c>
      <c r="M93" s="16"/>
      <c r="N93" s="16"/>
      <c r="O93" s="16"/>
      <c r="P93" s="16"/>
      <c r="Q93" s="785">
        <f>F86*MAX(G80:G81)/2+F88/2</f>
        <v>122.94750000000001</v>
      </c>
      <c r="R93" s="1913" t="s">
        <v>341</v>
      </c>
    </row>
    <row r="94" spans="1:18" ht="13.5" thickBot="1">
      <c r="B94" s="187" t="str">
        <f>"Depth,  d = "&amp;G79&amp;" - "&amp;I17&amp;" - "&amp;D115&amp;" / 2 ="</f>
        <v>Depth,  d = 450 - 50 - 16 / 2 =</v>
      </c>
      <c r="E94">
        <f>G79-I17-D115/2</f>
        <v>392</v>
      </c>
      <c r="F94" t="s">
        <v>98</v>
      </c>
      <c r="J94" s="46"/>
      <c r="K94" s="286"/>
      <c r="L94" s="1914" t="str">
        <f>"Max Moment = "&amp;F88&amp;" * "&amp;G81&amp;" / 4 + "&amp;F86&amp;" * "&amp;G81&amp;"^2 / 8 ="</f>
        <v>Max Moment = 205.8 * 2.25 / 4 + 17.82 * 2.25^2 / 8 =</v>
      </c>
      <c r="M94" s="1915"/>
      <c r="N94" s="1916"/>
      <c r="O94" s="1916"/>
      <c r="P94" s="1916"/>
      <c r="Q94" s="1917">
        <f>F88*G81/4+F86*G81^2/8</f>
        <v>127.03921875</v>
      </c>
      <c r="R94" s="1918" t="s">
        <v>620</v>
      </c>
    </row>
    <row r="95" spans="1:18">
      <c r="A95" s="187" t="s">
        <v>541</v>
      </c>
      <c r="D95" s="187"/>
      <c r="G95" s="9">
        <f>(F93*10^3)/(C27*1000)</f>
        <v>390.19684677789348</v>
      </c>
      <c r="H95" t="s">
        <v>98</v>
      </c>
      <c r="I95" s="126" t="str">
        <f>IF(C32=0,"",IF(E94&gt;=G95,"Ok","Not ok"))</f>
        <v>Ok</v>
      </c>
      <c r="J95" s="46"/>
      <c r="K95" s="286"/>
    </row>
    <row r="96" spans="1:18">
      <c r="A96" s="187" t="s">
        <v>579</v>
      </c>
      <c r="D96" s="187"/>
      <c r="G96" s="9">
        <f>((MAX(F92,F91)*10^6)/(C26*1000))^0.5</f>
        <v>261.90197015557624</v>
      </c>
      <c r="H96" t="s">
        <v>98</v>
      </c>
      <c r="I96" s="207" t="str">
        <f>IF(C32=0,"",IF(E94&gt;=G96,"Ok","Not ok"))</f>
        <v>Ok</v>
      </c>
      <c r="J96" s="109"/>
      <c r="K96" s="286"/>
    </row>
    <row r="97" spans="1:11">
      <c r="A97" s="187" t="s">
        <v>1783</v>
      </c>
      <c r="D97" s="2"/>
      <c r="G97" s="9">
        <f>(MAX(F92,F91)*10^6)/(C21*C25*E94)</f>
        <v>1505.8479672274552</v>
      </c>
      <c r="H97" t="s">
        <v>104</v>
      </c>
      <c r="J97" s="46"/>
      <c r="K97" s="286"/>
    </row>
    <row r="98" spans="1:11">
      <c r="K98" s="286"/>
    </row>
    <row r="99" spans="1:11">
      <c r="A99" s="255" t="s">
        <v>2064</v>
      </c>
      <c r="G99" s="107"/>
      <c r="H99" s="107"/>
      <c r="K99" s="286"/>
    </row>
    <row r="100" spans="1:11">
      <c r="K100" s="286"/>
    </row>
    <row r="101" spans="1:11">
      <c r="A101" s="3147" t="s">
        <v>486</v>
      </c>
      <c r="B101" s="3148" t="s">
        <v>487</v>
      </c>
      <c r="C101" s="3148" t="s">
        <v>488</v>
      </c>
      <c r="D101" s="3148" t="s">
        <v>489</v>
      </c>
      <c r="E101" s="3149" t="s">
        <v>490</v>
      </c>
      <c r="F101" s="3150"/>
      <c r="G101" s="3150"/>
      <c r="H101" s="3150"/>
      <c r="I101" s="3150"/>
      <c r="J101" s="496"/>
      <c r="K101" s="286"/>
    </row>
    <row r="102" spans="1:11">
      <c r="A102" s="3147"/>
      <c r="B102" s="3148"/>
      <c r="C102" s="3148"/>
      <c r="D102" s="3148"/>
      <c r="E102" s="94">
        <v>12</v>
      </c>
      <c r="F102" s="94">
        <v>16</v>
      </c>
      <c r="G102" s="94">
        <v>20</v>
      </c>
      <c r="H102" s="94">
        <v>22</v>
      </c>
      <c r="I102" s="94">
        <v>25</v>
      </c>
      <c r="J102" s="75"/>
      <c r="K102" s="286"/>
    </row>
    <row r="103" spans="1:11" ht="14.25">
      <c r="A103" s="172"/>
      <c r="B103" s="256" t="s">
        <v>491</v>
      </c>
      <c r="C103" s="256" t="s">
        <v>491</v>
      </c>
      <c r="D103" s="256" t="s">
        <v>491</v>
      </c>
      <c r="E103" s="438" t="s">
        <v>98</v>
      </c>
      <c r="F103" s="438" t="s">
        <v>98</v>
      </c>
      <c r="G103" s="438" t="s">
        <v>98</v>
      </c>
      <c r="H103" s="438" t="s">
        <v>98</v>
      </c>
      <c r="I103" s="438" t="s">
        <v>98</v>
      </c>
      <c r="J103" s="759"/>
      <c r="K103" s="286"/>
    </row>
    <row r="104" spans="1:11">
      <c r="A104" s="258" t="s">
        <v>440</v>
      </c>
      <c r="B104" s="55"/>
      <c r="C104" s="55"/>
      <c r="D104" s="55"/>
      <c r="E104" s="55"/>
      <c r="F104" s="55"/>
      <c r="G104" s="55"/>
      <c r="H104" s="55"/>
      <c r="I104" s="56"/>
      <c r="J104" s="386"/>
      <c r="K104" s="286"/>
    </row>
    <row r="105" spans="1:11">
      <c r="A105" s="259" t="s">
        <v>441</v>
      </c>
      <c r="B105" s="318">
        <f>F91*10^6/(C21*C25*E94)</f>
        <v>1505.8479672274552</v>
      </c>
      <c r="C105" s="318">
        <f>IF(G79&gt;380,G40*1000*380,G40*1000*G79)</f>
        <v>570</v>
      </c>
      <c r="D105" s="318">
        <f>MAX(B105:C105)</f>
        <v>1505.8479672274552</v>
      </c>
      <c r="E105" s="261">
        <f>PI()*(E102/2)^2*1000/$D105</f>
        <v>75.105414351666383</v>
      </c>
      <c r="F105" s="261">
        <f>PI()*(F102/2)^2*1000/$D105</f>
        <v>133.52073662518467</v>
      </c>
      <c r="G105" s="261">
        <f>PI()*(G102/2)^2*1000/$D105</f>
        <v>208.62615097685105</v>
      </c>
      <c r="H105" s="261">
        <f>PI()*(H102/2)^2*1000/$D105</f>
        <v>252.43764268198976</v>
      </c>
      <c r="I105" s="283">
        <f>PI()*(I102/2)^2*1000/$D105</f>
        <v>325.97836090132978</v>
      </c>
      <c r="J105" s="328"/>
      <c r="K105" s="286"/>
    </row>
    <row r="106" spans="1:11">
      <c r="A106" s="262" t="s">
        <v>442</v>
      </c>
      <c r="B106" s="319"/>
      <c r="C106" s="318">
        <f>IF(G79&gt;380,G40*1000*380,G40*1000*G79)</f>
        <v>570</v>
      </c>
      <c r="D106" s="319">
        <f>MAX(B106:C106)</f>
        <v>570</v>
      </c>
      <c r="E106" s="261">
        <f>PI()*(E102/2)^2*1000/$D106</f>
        <v>198.41637812146064</v>
      </c>
      <c r="F106" s="261">
        <f>PI()*(F102/2)^2*1000/$D106</f>
        <v>352.74022777148554</v>
      </c>
      <c r="G106" s="261">
        <f>PI()*(G102/2)^2*1000/$D106</f>
        <v>551.15660589294623</v>
      </c>
      <c r="H106" s="261">
        <f>PI()*(H102/2)^2*1000/$D106</f>
        <v>666.89949313046486</v>
      </c>
      <c r="I106" s="283">
        <f>PI()*(I102/2)^2*1000/$D106</f>
        <v>861.18219670772839</v>
      </c>
      <c r="J106" s="328"/>
      <c r="K106" s="286"/>
    </row>
    <row r="107" spans="1:11">
      <c r="A107" s="264" t="s">
        <v>443</v>
      </c>
      <c r="B107" s="265"/>
      <c r="C107" s="322"/>
      <c r="D107" s="322"/>
      <c r="E107" s="266"/>
      <c r="F107" s="266"/>
      <c r="G107" s="266"/>
      <c r="H107" s="266"/>
      <c r="I107" s="267"/>
      <c r="J107" s="330"/>
      <c r="K107" s="286"/>
    </row>
    <row r="108" spans="1:11">
      <c r="A108" s="259" t="s">
        <v>441</v>
      </c>
      <c r="B108" s="318">
        <f>F92*10^6/(C21*C25*E94)</f>
        <v>1197.1727710897674</v>
      </c>
      <c r="C108" s="318">
        <f>IF(G79&gt;380,G40*1000*380,G40*1000*G79)</f>
        <v>570</v>
      </c>
      <c r="D108" s="318">
        <f>MAX(B108:C108)</f>
        <v>1197.1727710897674</v>
      </c>
      <c r="E108" s="261">
        <f>PI()*(E102/2)^2*1000/$D108</f>
        <v>94.47035403777339</v>
      </c>
      <c r="F108" s="261">
        <f>PI()*(F102/2)^2*1000/$D108</f>
        <v>167.94729606715268</v>
      </c>
      <c r="G108" s="261">
        <f>PI()*(G102/2)^2*1000/$D108</f>
        <v>262.41765010492611</v>
      </c>
      <c r="H108" s="261">
        <f>PI()*(H102/2)^2*1000/$D108</f>
        <v>317.52535662696056</v>
      </c>
      <c r="I108" s="283">
        <f>PI()*(I102/2)^2*1000/$D108</f>
        <v>410.02757828894698</v>
      </c>
      <c r="J108" s="328"/>
      <c r="K108" s="286"/>
    </row>
    <row r="109" spans="1:11">
      <c r="A109" s="262" t="s">
        <v>442</v>
      </c>
      <c r="B109" s="263"/>
      <c r="C109" s="319">
        <f>IF(G79&gt;380,G40*1000*380,G40*1000*G79)</f>
        <v>570</v>
      </c>
      <c r="D109" s="319">
        <f>MAX(B109:C109)</f>
        <v>570</v>
      </c>
      <c r="E109" s="284">
        <f>PI()*(E102/2)^2*1000/$D109</f>
        <v>198.41637812146064</v>
      </c>
      <c r="F109" s="284">
        <f>PI()*(F102/2)^2*1000/$D109</f>
        <v>352.74022777148554</v>
      </c>
      <c r="G109" s="284">
        <f>PI()*(G102/2)^2*1000/$D109</f>
        <v>551.15660589294623</v>
      </c>
      <c r="H109" s="284">
        <f>PI()*(H102/2)^2*1000/$D109</f>
        <v>666.89949313046486</v>
      </c>
      <c r="I109" s="285">
        <f>PI()*(I102/2)^2*1000/$D109</f>
        <v>861.18219670772839</v>
      </c>
      <c r="J109" s="328"/>
      <c r="K109" s="286"/>
    </row>
    <row r="110" spans="1:11">
      <c r="J110" s="46"/>
      <c r="K110" s="286"/>
    </row>
    <row r="111" spans="1:11">
      <c r="B111" s="258" t="s">
        <v>440</v>
      </c>
      <c r="C111" s="55"/>
      <c r="D111" s="252"/>
      <c r="E111" s="55"/>
      <c r="F111" s="55"/>
      <c r="G111" s="56"/>
      <c r="K111" s="286"/>
    </row>
    <row r="112" spans="1:11" ht="15.75">
      <c r="B112" s="259" t="s">
        <v>441</v>
      </c>
      <c r="C112" s="268" t="s">
        <v>136</v>
      </c>
      <c r="D112" s="269">
        <v>16</v>
      </c>
      <c r="E112" s="270" t="s">
        <v>481</v>
      </c>
      <c r="F112" s="271">
        <v>100</v>
      </c>
      <c r="G112" s="272" t="s">
        <v>482</v>
      </c>
      <c r="K112" s="286"/>
    </row>
    <row r="113" spans="1:11" ht="15.75">
      <c r="B113" s="262" t="s">
        <v>442</v>
      </c>
      <c r="C113" s="278" t="s">
        <v>136</v>
      </c>
      <c r="D113" s="279">
        <v>16</v>
      </c>
      <c r="E113" s="280" t="s">
        <v>481</v>
      </c>
      <c r="F113" s="281">
        <v>200</v>
      </c>
      <c r="G113" s="282" t="s">
        <v>482</v>
      </c>
      <c r="K113" s="286"/>
    </row>
    <row r="114" spans="1:11" ht="15">
      <c r="B114" s="264" t="s">
        <v>443</v>
      </c>
      <c r="C114" s="273"/>
      <c r="D114" s="274"/>
      <c r="E114" s="275"/>
      <c r="F114" s="276"/>
      <c r="G114" s="277"/>
      <c r="K114" s="286"/>
    </row>
    <row r="115" spans="1:11" ht="15.75">
      <c r="B115" s="259" t="s">
        <v>441</v>
      </c>
      <c r="C115" s="268" t="s">
        <v>136</v>
      </c>
      <c r="D115" s="269">
        <v>16</v>
      </c>
      <c r="E115" s="270" t="s">
        <v>481</v>
      </c>
      <c r="F115" s="271">
        <v>100</v>
      </c>
      <c r="G115" s="272" t="s">
        <v>482</v>
      </c>
      <c r="K115" s="286"/>
    </row>
    <row r="116" spans="1:11" ht="15.75">
      <c r="B116" s="262" t="s">
        <v>442</v>
      </c>
      <c r="C116" s="278" t="s">
        <v>136</v>
      </c>
      <c r="D116" s="279">
        <v>16</v>
      </c>
      <c r="E116" s="280" t="s">
        <v>481</v>
      </c>
      <c r="F116" s="281">
        <v>200</v>
      </c>
      <c r="G116" s="282" t="s">
        <v>482</v>
      </c>
      <c r="K116" s="286"/>
    </row>
    <row r="117" spans="1:11">
      <c r="K117" s="286"/>
    </row>
    <row r="118" spans="1:11" ht="15.75">
      <c r="A118" s="491" t="s">
        <v>2045</v>
      </c>
      <c r="B118" s="392"/>
      <c r="C118" s="174"/>
      <c r="K118" s="286"/>
    </row>
    <row r="119" spans="1:11">
      <c r="A119" s="22" t="s">
        <v>2050</v>
      </c>
      <c r="B119" s="7"/>
      <c r="C119" s="4"/>
      <c r="G119" s="4"/>
      <c r="H119" s="8"/>
      <c r="K119" s="286"/>
    </row>
    <row r="120" spans="1:11">
      <c r="A120" s="187" t="s">
        <v>560</v>
      </c>
      <c r="C120" s="4"/>
      <c r="G120" s="4"/>
      <c r="H120" s="8"/>
      <c r="K120" s="286"/>
    </row>
    <row r="121" spans="1:11">
      <c r="K121" s="286"/>
    </row>
    <row r="122" spans="1:11">
      <c r="F122" s="291">
        <f>G33*1000</f>
        <v>750</v>
      </c>
      <c r="H122" s="207" t="s">
        <v>1790</v>
      </c>
      <c r="I122" s="126"/>
      <c r="J122" s="126"/>
      <c r="K122" s="286"/>
    </row>
    <row r="123" spans="1:11">
      <c r="B123" s="1926" t="s">
        <v>1789</v>
      </c>
      <c r="D123" s="203" t="s">
        <v>559</v>
      </c>
      <c r="E123" s="189">
        <f>C61-C32</f>
        <v>14.950000000000001</v>
      </c>
      <c r="K123" s="286"/>
    </row>
    <row r="124" spans="1:11">
      <c r="B124" s="3189" t="s">
        <v>1786</v>
      </c>
      <c r="K124" s="286"/>
    </row>
    <row r="125" spans="1:11">
      <c r="B125" s="3189"/>
      <c r="C125" s="32" t="s">
        <v>572</v>
      </c>
      <c r="G125" t="s">
        <v>120</v>
      </c>
      <c r="K125" s="286"/>
    </row>
    <row r="126" spans="1:11">
      <c r="B126" s="3189"/>
      <c r="C126" s="32"/>
      <c r="K126" s="286"/>
    </row>
    <row r="127" spans="1:11">
      <c r="B127" s="3189"/>
      <c r="C127" s="32"/>
      <c r="D127" s="205">
        <f>E123-D129</f>
        <v>3.2834633013975019</v>
      </c>
      <c r="H127" s="2592">
        <f>D64/1000-C32</f>
        <v>5.55</v>
      </c>
      <c r="K127" s="286"/>
    </row>
    <row r="128" spans="1:11">
      <c r="B128" s="3189"/>
      <c r="C128" s="17"/>
      <c r="K128" s="286"/>
    </row>
    <row r="129" spans="1:13">
      <c r="B129" s="3189"/>
      <c r="C129" s="32"/>
      <c r="D129" s="190">
        <f>DATA!C134</f>
        <v>11.666536698602499</v>
      </c>
      <c r="G129" s="19" t="s">
        <v>546</v>
      </c>
      <c r="K129" s="286"/>
    </row>
    <row r="130" spans="1:13">
      <c r="A130" s="2592">
        <f>(D64+D67+D69)/1000-C32</f>
        <v>7.95</v>
      </c>
      <c r="B130" s="3190"/>
      <c r="D130" s="37"/>
      <c r="F130" s="291">
        <f>F140</f>
        <v>750</v>
      </c>
      <c r="H130" t="s">
        <v>1787</v>
      </c>
      <c r="J130" s="36">
        <f>(D64+D67+D69)/1000-C32</f>
        <v>7.95</v>
      </c>
      <c r="K130" s="286"/>
    </row>
    <row r="131" spans="1:13">
      <c r="B131" s="3191" t="s">
        <v>1788</v>
      </c>
      <c r="C131" s="4"/>
      <c r="G131" s="189">
        <f>DATA!A135</f>
        <v>10</v>
      </c>
      <c r="K131" s="286"/>
    </row>
    <row r="132" spans="1:13">
      <c r="B132" s="3192"/>
      <c r="C132" s="17" t="s">
        <v>121</v>
      </c>
      <c r="D132" s="189">
        <f>D129-D136</f>
        <v>4.6665366986024992</v>
      </c>
      <c r="H132" s="2592">
        <f>(D69+D67)/1000</f>
        <v>2.4000000000000004</v>
      </c>
      <c r="K132" s="286"/>
    </row>
    <row r="133" spans="1:13">
      <c r="B133" s="3192"/>
      <c r="C133" s="17"/>
      <c r="D133" s="189"/>
      <c r="H133" s="2"/>
      <c r="K133" s="286"/>
    </row>
    <row r="134" spans="1:13">
      <c r="B134" s="3192"/>
      <c r="C134" s="17"/>
      <c r="D134" s="189"/>
      <c r="G134" s="205">
        <f>G131-D136</f>
        <v>3</v>
      </c>
      <c r="H134" s="18"/>
      <c r="K134" s="286"/>
    </row>
    <row r="135" spans="1:13">
      <c r="B135" s="3192"/>
      <c r="K135" s="286"/>
      <c r="M135">
        <f>+G134/J130</f>
        <v>0.37735849056603771</v>
      </c>
    </row>
    <row r="136" spans="1:13">
      <c r="B136" s="3192"/>
      <c r="D136" s="190">
        <f>E70</f>
        <v>7</v>
      </c>
      <c r="K136" s="286"/>
    </row>
    <row r="137" spans="1:13">
      <c r="B137" s="4"/>
      <c r="E137" s="1925" t="s">
        <v>45</v>
      </c>
      <c r="K137" s="286"/>
    </row>
    <row r="138" spans="1:13">
      <c r="B138" s="4"/>
      <c r="K138" s="286"/>
    </row>
    <row r="139" spans="1:13">
      <c r="B139" s="191">
        <f>C56/1000</f>
        <v>1.5</v>
      </c>
      <c r="D139" s="81"/>
      <c r="F139" s="1925"/>
      <c r="I139" s="3"/>
      <c r="J139" s="3"/>
      <c r="K139" s="286"/>
    </row>
    <row r="140" spans="1:13">
      <c r="B140" s="5"/>
      <c r="D140" s="81"/>
      <c r="F140" s="291">
        <f>C33*1000</f>
        <v>750</v>
      </c>
      <c r="I140" s="3"/>
      <c r="J140" s="3"/>
      <c r="K140" s="286"/>
    </row>
    <row r="141" spans="1:13">
      <c r="B141" s="5"/>
      <c r="D141" s="81"/>
      <c r="I141" s="3"/>
      <c r="J141" s="3"/>
      <c r="K141" s="286"/>
    </row>
    <row r="142" spans="1:13">
      <c r="K142" s="286"/>
    </row>
    <row r="143" spans="1:13">
      <c r="A143" s="51" t="s">
        <v>518</v>
      </c>
      <c r="K143" s="286"/>
    </row>
    <row r="144" spans="1:13">
      <c r="A144" s="51" t="s">
        <v>122</v>
      </c>
      <c r="B144" s="51"/>
      <c r="C144" s="51"/>
      <c r="D144" s="51"/>
      <c r="E144" s="51"/>
      <c r="F144" s="51"/>
      <c r="G144" s="51"/>
      <c r="H144" s="51"/>
      <c r="I144" s="51"/>
      <c r="J144" s="51"/>
      <c r="K144" s="286"/>
    </row>
    <row r="145" spans="1:11">
      <c r="A145" s="51" t="s">
        <v>519</v>
      </c>
      <c r="B145" s="51"/>
      <c r="C145" s="51"/>
      <c r="D145" s="51"/>
      <c r="E145" s="51"/>
      <c r="F145" s="51"/>
      <c r="G145" s="51"/>
      <c r="H145" s="51"/>
      <c r="I145" s="51"/>
      <c r="J145" s="51"/>
      <c r="K145" s="286"/>
    </row>
    <row r="146" spans="1:11">
      <c r="B146" s="51"/>
      <c r="C146" s="51"/>
      <c r="D146" s="51"/>
      <c r="E146" s="51"/>
      <c r="F146" s="51"/>
      <c r="G146" s="51"/>
      <c r="H146" s="51"/>
      <c r="I146" s="51"/>
      <c r="J146" s="51"/>
      <c r="K146" s="286"/>
    </row>
    <row r="147" spans="1:11">
      <c r="A147" s="477" t="s">
        <v>1785</v>
      </c>
      <c r="B147" s="130"/>
      <c r="C147" s="130"/>
      <c r="D147" s="130"/>
      <c r="E147" s="130"/>
      <c r="F147" s="130"/>
      <c r="G147" s="130"/>
      <c r="H147" s="970" t="str">
        <f>DATA!H88</f>
        <v>(Pre-Monsoon)</v>
      </c>
      <c r="I147" s="130"/>
      <c r="K147" s="286"/>
    </row>
    <row r="148" spans="1:11">
      <c r="B148" s="187"/>
      <c r="C148" s="187" t="s">
        <v>529</v>
      </c>
      <c r="F148" s="33">
        <f>E123</f>
        <v>14.950000000000001</v>
      </c>
      <c r="G148" s="187" t="s">
        <v>46</v>
      </c>
      <c r="K148" s="286"/>
    </row>
    <row r="149" spans="1:11">
      <c r="C149" s="187" t="s">
        <v>526</v>
      </c>
      <c r="F149" s="33">
        <f>DATA!C103</f>
        <v>8.5052681707357696</v>
      </c>
      <c r="G149" s="187" t="s">
        <v>46</v>
      </c>
      <c r="K149" s="286"/>
    </row>
    <row r="150" spans="1:11">
      <c r="C150" s="187" t="s">
        <v>527</v>
      </c>
      <c r="F150" s="33">
        <f>DATA!A100</f>
        <v>10.3</v>
      </c>
      <c r="G150" s="187" t="s">
        <v>46</v>
      </c>
      <c r="K150" s="286"/>
    </row>
    <row r="151" spans="1:11">
      <c r="C151" s="187" t="s">
        <v>530</v>
      </c>
      <c r="F151" s="33">
        <f>D136</f>
        <v>7</v>
      </c>
      <c r="G151" s="187" t="s">
        <v>46</v>
      </c>
      <c r="K151" s="286"/>
    </row>
    <row r="152" spans="1:11">
      <c r="K152" s="286"/>
    </row>
    <row r="153" spans="1:11">
      <c r="B153" s="203" t="s">
        <v>528</v>
      </c>
      <c r="C153" s="33">
        <f>F148-F149</f>
        <v>6.4447318292642315</v>
      </c>
      <c r="D153" s="187" t="s">
        <v>548</v>
      </c>
      <c r="E153" s="33">
        <f>F149-F151</f>
        <v>1.5052681707357696</v>
      </c>
      <c r="F153" s="187" t="s">
        <v>549</v>
      </c>
      <c r="G153" s="33">
        <f>F150-F151</f>
        <v>3.3000000000000007</v>
      </c>
      <c r="H153" s="187" t="s">
        <v>5</v>
      </c>
      <c r="K153" s="286"/>
    </row>
    <row r="154" spans="1:11" ht="18.75">
      <c r="B154" s="38" t="s">
        <v>553</v>
      </c>
      <c r="C154" s="187"/>
      <c r="D154" s="187"/>
      <c r="E154" s="187"/>
      <c r="F154" s="223">
        <f>(H6*D5*C153)+(H6*(D6-D7)+D7)*E153</f>
        <v>59.959678253234401</v>
      </c>
      <c r="G154" s="187" t="s">
        <v>3</v>
      </c>
      <c r="K154" s="286"/>
    </row>
    <row r="155" spans="1:11">
      <c r="K155" s="286"/>
    </row>
    <row r="156" spans="1:11">
      <c r="B156" s="187" t="s">
        <v>520</v>
      </c>
      <c r="C156">
        <f>B139/A130</f>
        <v>0.18867924528301885</v>
      </c>
      <c r="D156" s="203" t="s">
        <v>521</v>
      </c>
      <c r="E156" s="479">
        <f>VLOOKUP(C156,Table!A53:E58,2,TRUE)</f>
        <v>5.1999999999999998E-3</v>
      </c>
      <c r="G156" s="203" t="s">
        <v>522</v>
      </c>
      <c r="H156" s="18">
        <f>VLOOKUP(C156,Table!A53:E58,3,TRUE)</f>
        <v>7.1999999999999998E-3</v>
      </c>
      <c r="K156" s="286"/>
    </row>
    <row r="157" spans="1:11">
      <c r="D157" s="203" t="s">
        <v>532</v>
      </c>
      <c r="E157" s="18">
        <f>VLOOKUP(C156,Table!A53:E58,4,TRUE)</f>
        <v>9.64E-2</v>
      </c>
      <c r="G157" s="203" t="s">
        <v>533</v>
      </c>
      <c r="H157" s="18">
        <f>VLOOKUP(C156,Table!A53:E58,5,TRUE)</f>
        <v>0.27060000000000001</v>
      </c>
      <c r="K157" s="286"/>
    </row>
    <row r="158" spans="1:11">
      <c r="B158" s="187" t="s">
        <v>552</v>
      </c>
      <c r="C158" s="187"/>
      <c r="D158" s="33"/>
      <c r="E158" s="187" t="s">
        <v>550</v>
      </c>
      <c r="F158" s="187" t="s">
        <v>551</v>
      </c>
      <c r="K158" s="286"/>
    </row>
    <row r="159" spans="1:11">
      <c r="K159" s="286"/>
    </row>
    <row r="160" spans="1:11">
      <c r="B160" s="187" t="s">
        <v>523</v>
      </c>
      <c r="C160" s="33">
        <f>E156*F154*A130^2</f>
        <v>19.705928136960242</v>
      </c>
      <c r="D160" t="s">
        <v>107</v>
      </c>
      <c r="F160" s="187" t="s">
        <v>524</v>
      </c>
      <c r="G160" s="33">
        <f>H156*F154*A130^2</f>
        <v>27.285131266560342</v>
      </c>
      <c r="H160" t="s">
        <v>107</v>
      </c>
      <c r="K160" s="286"/>
    </row>
    <row r="161" spans="1:11">
      <c r="B161" s="187" t="s">
        <v>562</v>
      </c>
      <c r="C161" s="33">
        <f>E157*F154*A130</f>
        <v>45.951898219713783</v>
      </c>
      <c r="D161" s="187" t="s">
        <v>341</v>
      </c>
      <c r="F161" s="187" t="s">
        <v>563</v>
      </c>
      <c r="G161" s="33">
        <f>H157*F154*A130</f>
        <v>128.98945703583556</v>
      </c>
      <c r="H161" s="187" t="s">
        <v>341</v>
      </c>
      <c r="K161" s="286"/>
    </row>
    <row r="162" spans="1:11">
      <c r="K162" s="286"/>
    </row>
    <row r="163" spans="1:11" ht="18.75">
      <c r="B163" s="38" t="s">
        <v>525</v>
      </c>
      <c r="C163" s="187"/>
      <c r="D163" s="223">
        <f>D7*G153</f>
        <v>32.373000000000012</v>
      </c>
      <c r="E163" s="187" t="s">
        <v>3</v>
      </c>
      <c r="K163" s="286"/>
    </row>
    <row r="164" spans="1:11">
      <c r="K164" s="286"/>
    </row>
    <row r="165" spans="1:11">
      <c r="B165" s="207" t="s">
        <v>520</v>
      </c>
      <c r="C165" s="126">
        <f>B139/A130</f>
        <v>0.18867924528301885</v>
      </c>
      <c r="D165" s="203" t="s">
        <v>521</v>
      </c>
      <c r="E165" s="18">
        <f>Table!B104</f>
        <v>2.3E-3</v>
      </c>
      <c r="G165" s="203" t="s">
        <v>522</v>
      </c>
      <c r="H165" s="18">
        <f>Table!C104</f>
        <v>4.1000000000000003E-3</v>
      </c>
      <c r="K165" s="286"/>
    </row>
    <row r="166" spans="1:11">
      <c r="B166" s="207" t="s">
        <v>799</v>
      </c>
      <c r="C166" s="126">
        <f>G153/A130</f>
        <v>0.41509433962264158</v>
      </c>
      <c r="D166" s="203" t="s">
        <v>532</v>
      </c>
      <c r="E166" s="18">
        <f>Table!D104</f>
        <v>4.82E-2</v>
      </c>
      <c r="G166" s="203" t="s">
        <v>533</v>
      </c>
      <c r="H166" s="18">
        <f>Table!E104</f>
        <v>0.1925</v>
      </c>
      <c r="K166" s="286"/>
    </row>
    <row r="167" spans="1:11">
      <c r="K167" s="286"/>
    </row>
    <row r="168" spans="1:11">
      <c r="B168" s="187" t="s">
        <v>523</v>
      </c>
      <c r="C168" s="33">
        <f>E165*D163*A130^2</f>
        <v>4.7059254247500011</v>
      </c>
      <c r="D168" t="s">
        <v>107</v>
      </c>
      <c r="F168" s="187" t="s">
        <v>524</v>
      </c>
      <c r="G168" s="33">
        <f>H165*D163*A130^2</f>
        <v>8.3888235832500033</v>
      </c>
      <c r="H168" t="s">
        <v>107</v>
      </c>
      <c r="K168" s="286"/>
    </row>
    <row r="169" spans="1:11">
      <c r="B169" s="187" t="s">
        <v>562</v>
      </c>
      <c r="C169" s="33">
        <f>E166*D163*A130</f>
        <v>12.405009870000006</v>
      </c>
      <c r="D169" s="187" t="s">
        <v>341</v>
      </c>
      <c r="F169" s="187" t="s">
        <v>563</v>
      </c>
      <c r="G169" s="33">
        <f>H166*D163*A130</f>
        <v>49.542829875000017</v>
      </c>
      <c r="H169" s="187" t="s">
        <v>341</v>
      </c>
      <c r="K169" s="286"/>
    </row>
    <row r="170" spans="1:11">
      <c r="K170" s="286"/>
    </row>
    <row r="171" spans="1:11">
      <c r="B171" s="2605" t="s">
        <v>535</v>
      </c>
      <c r="C171" s="207" t="s">
        <v>523</v>
      </c>
      <c r="D171" s="246">
        <f>C160-C168</f>
        <v>15.000002712210241</v>
      </c>
      <c r="E171" s="126" t="s">
        <v>107</v>
      </c>
      <c r="F171" s="207" t="s">
        <v>524</v>
      </c>
      <c r="G171" s="246">
        <f>G160-G168</f>
        <v>18.89630768331034</v>
      </c>
      <c r="H171" s="126" t="s">
        <v>107</v>
      </c>
      <c r="K171" s="286"/>
    </row>
    <row r="172" spans="1:11">
      <c r="C172" s="187" t="s">
        <v>562</v>
      </c>
      <c r="D172" s="246">
        <f>C161-C169</f>
        <v>33.546888349713775</v>
      </c>
      <c r="E172" s="207" t="s">
        <v>341</v>
      </c>
      <c r="F172" s="187" t="s">
        <v>563</v>
      </c>
      <c r="G172" s="246">
        <f>G161-G169</f>
        <v>79.446627160835533</v>
      </c>
      <c r="H172" s="207" t="s">
        <v>341</v>
      </c>
      <c r="J172" s="46"/>
      <c r="K172" s="286"/>
    </row>
    <row r="173" spans="1:11">
      <c r="J173" s="46"/>
      <c r="K173" s="286"/>
    </row>
    <row r="174" spans="1:11">
      <c r="A174" s="477" t="s">
        <v>364</v>
      </c>
      <c r="B174" s="130"/>
      <c r="C174" s="130"/>
      <c r="D174" s="130"/>
      <c r="E174" s="130"/>
      <c r="F174" s="130"/>
      <c r="G174" s="130"/>
      <c r="H174" s="130"/>
      <c r="I174" s="46"/>
      <c r="K174" s="286"/>
    </row>
    <row r="175" spans="1:11">
      <c r="B175" s="187"/>
      <c r="C175" s="187" t="s">
        <v>529</v>
      </c>
      <c r="F175" s="33">
        <f>E123</f>
        <v>14.950000000000001</v>
      </c>
      <c r="G175" s="187" t="s">
        <v>46</v>
      </c>
      <c r="J175" s="46"/>
      <c r="K175" s="286"/>
    </row>
    <row r="176" spans="1:11">
      <c r="C176" s="187" t="s">
        <v>526</v>
      </c>
      <c r="F176" s="33">
        <f>DATA!C134</f>
        <v>11.666536698602499</v>
      </c>
      <c r="G176" s="187" t="s">
        <v>46</v>
      </c>
      <c r="J176" s="46"/>
      <c r="K176" s="286"/>
    </row>
    <row r="177" spans="2:11">
      <c r="C177" s="187" t="s">
        <v>527</v>
      </c>
      <c r="F177" s="33">
        <f>DATA!A135</f>
        <v>10</v>
      </c>
      <c r="G177" s="187" t="s">
        <v>46</v>
      </c>
      <c r="K177" s="286"/>
    </row>
    <row r="178" spans="2:11">
      <c r="C178" s="187" t="s">
        <v>530</v>
      </c>
      <c r="F178" s="33">
        <f>D136</f>
        <v>7</v>
      </c>
      <c r="G178" s="187" t="s">
        <v>46</v>
      </c>
      <c r="K178" s="286"/>
    </row>
    <row r="179" spans="2:11">
      <c r="K179" s="286"/>
    </row>
    <row r="180" spans="2:11">
      <c r="B180" s="203" t="s">
        <v>528</v>
      </c>
      <c r="C180" s="33">
        <f>F175-F176</f>
        <v>3.2834633013975019</v>
      </c>
      <c r="D180" s="187" t="s">
        <v>548</v>
      </c>
      <c r="E180" s="33">
        <f>F176-F178</f>
        <v>4.6665366986024992</v>
      </c>
      <c r="F180" s="187" t="s">
        <v>561</v>
      </c>
      <c r="G180" s="33">
        <f>F177-F178</f>
        <v>3</v>
      </c>
      <c r="H180" s="187" t="s">
        <v>5</v>
      </c>
      <c r="K180" s="286"/>
    </row>
    <row r="181" spans="2:11">
      <c r="C181" s="187"/>
      <c r="K181" s="286"/>
    </row>
    <row r="182" spans="2:11" ht="18.75">
      <c r="B182" s="38" t="s">
        <v>531</v>
      </c>
      <c r="C182" s="187"/>
      <c r="D182" s="187"/>
      <c r="E182" s="187"/>
      <c r="F182" s="223">
        <f>(H6*D5*C180)+(H6*(D6-D7)+D7)*E180</f>
        <v>81.601454204829167</v>
      </c>
      <c r="G182" s="187" t="s">
        <v>3</v>
      </c>
      <c r="K182" s="286"/>
    </row>
    <row r="183" spans="2:11">
      <c r="K183" s="286"/>
    </row>
    <row r="184" spans="2:11">
      <c r="B184" s="187" t="s">
        <v>520</v>
      </c>
      <c r="C184">
        <f>B139/A130</f>
        <v>0.18867924528301885</v>
      </c>
      <c r="D184" s="203" t="s">
        <v>521</v>
      </c>
      <c r="E184" s="18">
        <f>VLOOKUP(C184,Table!A53:E58,2,TRUE)</f>
        <v>5.1999999999999998E-3</v>
      </c>
      <c r="G184" s="203" t="s">
        <v>522</v>
      </c>
      <c r="H184" s="18">
        <f>VLOOKUP(C184,Table!A53:E58,3,TRUE)</f>
        <v>7.1999999999999998E-3</v>
      </c>
      <c r="K184" s="286"/>
    </row>
    <row r="185" spans="2:11">
      <c r="D185" s="203" t="s">
        <v>532</v>
      </c>
      <c r="E185" s="18">
        <f>VLOOKUP(C184,Table!A53:E58,4,TRUE)</f>
        <v>9.64E-2</v>
      </c>
      <c r="G185" s="203" t="s">
        <v>533</v>
      </c>
      <c r="H185" s="18">
        <f>VLOOKUP(C184,Table!A53:E58,5,TRUE)</f>
        <v>0.27060000000000001</v>
      </c>
      <c r="K185" s="286"/>
    </row>
    <row r="186" spans="2:11">
      <c r="B186" s="187" t="s">
        <v>552</v>
      </c>
      <c r="C186" s="187"/>
      <c r="D186" s="33"/>
      <c r="E186" s="187"/>
      <c r="K186" s="286"/>
    </row>
    <row r="187" spans="2:11">
      <c r="C187" s="187"/>
      <c r="D187" s="33"/>
      <c r="K187" s="286"/>
    </row>
    <row r="188" spans="2:11">
      <c r="B188" s="187" t="s">
        <v>523</v>
      </c>
      <c r="C188" s="33">
        <f>E184*F182*A130^2</f>
        <v>26.818562728779721</v>
      </c>
      <c r="D188" t="s">
        <v>107</v>
      </c>
      <c r="F188" s="187" t="s">
        <v>524</v>
      </c>
      <c r="G188" s="33">
        <f>H184*F182*A130^2</f>
        <v>37.133394547541151</v>
      </c>
      <c r="H188" t="s">
        <v>107</v>
      </c>
      <c r="K188" s="286"/>
    </row>
    <row r="189" spans="2:11">
      <c r="B189" s="187" t="s">
        <v>562</v>
      </c>
      <c r="C189" s="33">
        <f>E185*F182*A130</f>
        <v>62.537722473496977</v>
      </c>
      <c r="D189" s="187" t="s">
        <v>341</v>
      </c>
      <c r="F189" s="187" t="s">
        <v>563</v>
      </c>
      <c r="G189" s="33">
        <f>H185*F182*A130</f>
        <v>175.54676038722283</v>
      </c>
      <c r="H189" s="187" t="s">
        <v>341</v>
      </c>
      <c r="K189" s="286"/>
    </row>
    <row r="190" spans="2:11">
      <c r="K190" s="286"/>
    </row>
    <row r="191" spans="2:11" ht="18.75">
      <c r="B191" s="38" t="s">
        <v>525</v>
      </c>
      <c r="C191" s="187"/>
      <c r="D191" s="223">
        <f>D7*G180</f>
        <v>29.43</v>
      </c>
      <c r="E191" s="187" t="s">
        <v>3</v>
      </c>
      <c r="K191" s="286"/>
    </row>
    <row r="192" spans="2:11">
      <c r="K192" s="286"/>
    </row>
    <row r="193" spans="1:14">
      <c r="B193" s="207" t="s">
        <v>520</v>
      </c>
      <c r="C193" s="126">
        <f>B139/A130</f>
        <v>0.18867924528301885</v>
      </c>
      <c r="D193" s="203" t="s">
        <v>521</v>
      </c>
      <c r="E193" s="18">
        <f>Table!B113</f>
        <v>2.3E-3</v>
      </c>
      <c r="G193" s="203" t="s">
        <v>522</v>
      </c>
      <c r="H193" s="18">
        <f>Table!C113</f>
        <v>4.1000000000000003E-3</v>
      </c>
      <c r="K193" s="286"/>
    </row>
    <row r="194" spans="1:14">
      <c r="B194" s="126" t="s">
        <v>799</v>
      </c>
      <c r="C194" s="126">
        <f>G180/A130</f>
        <v>0.37735849056603771</v>
      </c>
      <c r="D194" s="203" t="s">
        <v>532</v>
      </c>
      <c r="E194" s="18">
        <f>Table!D113</f>
        <v>4.82E-2</v>
      </c>
      <c r="G194" s="203" t="s">
        <v>533</v>
      </c>
      <c r="H194" s="18">
        <f>Table!E113</f>
        <v>0.1925</v>
      </c>
      <c r="K194" s="286"/>
    </row>
    <row r="195" spans="1:14">
      <c r="K195" s="286"/>
    </row>
    <row r="196" spans="1:14">
      <c r="B196" s="187" t="s">
        <v>523</v>
      </c>
      <c r="C196" s="33">
        <f>E193*D191*G180^2</f>
        <v>0.60920099999999999</v>
      </c>
      <c r="D196" t="s">
        <v>107</v>
      </c>
      <c r="F196" s="187" t="s">
        <v>524</v>
      </c>
      <c r="G196" s="33">
        <f>H193*D191*G180^2</f>
        <v>1.0859670000000001</v>
      </c>
      <c r="H196" t="s">
        <v>107</v>
      </c>
      <c r="K196" s="286"/>
    </row>
    <row r="197" spans="1:14">
      <c r="B197" s="187" t="s">
        <v>562</v>
      </c>
      <c r="C197" s="33">
        <f>E194*D191*G180</f>
        <v>4.2555779999999999</v>
      </c>
      <c r="D197" s="187" t="s">
        <v>341</v>
      </c>
      <c r="F197" s="187" t="s">
        <v>563</v>
      </c>
      <c r="G197" s="33">
        <f>H194*D191*G180</f>
        <v>16.995825</v>
      </c>
      <c r="H197" s="187" t="s">
        <v>341</v>
      </c>
      <c r="K197" s="286"/>
    </row>
    <row r="198" spans="1:14">
      <c r="K198" s="286"/>
    </row>
    <row r="199" spans="1:14">
      <c r="B199" s="2605" t="s">
        <v>535</v>
      </c>
      <c r="C199" s="207" t="s">
        <v>523</v>
      </c>
      <c r="D199" s="246">
        <f>C188-C196</f>
        <v>26.209361728779722</v>
      </c>
      <c r="E199" s="126" t="s">
        <v>107</v>
      </c>
      <c r="F199" s="207" t="s">
        <v>524</v>
      </c>
      <c r="G199" s="246">
        <f>G188-G196</f>
        <v>36.047427547541147</v>
      </c>
      <c r="H199" s="126" t="s">
        <v>107</v>
      </c>
      <c r="K199" s="286"/>
    </row>
    <row r="200" spans="1:14">
      <c r="C200" s="187" t="s">
        <v>562</v>
      </c>
      <c r="D200" s="246">
        <f>C189-C197</f>
        <v>58.282144473496977</v>
      </c>
      <c r="E200" s="207" t="s">
        <v>341</v>
      </c>
      <c r="F200" s="187" t="s">
        <v>563</v>
      </c>
      <c r="G200" s="246">
        <f>G189-G197</f>
        <v>158.55093538722284</v>
      </c>
      <c r="H200" s="207" t="s">
        <v>341</v>
      </c>
      <c r="K200" s="286"/>
      <c r="M200" s="33"/>
      <c r="N200" s="33"/>
    </row>
    <row r="201" spans="1:14">
      <c r="K201" s="286"/>
    </row>
    <row r="202" spans="1:14">
      <c r="A202" s="392" t="s">
        <v>573</v>
      </c>
      <c r="B202" s="174"/>
      <c r="C202" s="174"/>
      <c r="D202" s="174"/>
      <c r="E202" s="174"/>
      <c r="K202" s="286"/>
    </row>
    <row r="203" spans="1:14">
      <c r="B203" s="187"/>
      <c r="C203" s="187"/>
      <c r="F203" s="33"/>
      <c r="G203" s="187"/>
      <c r="K203" s="286"/>
    </row>
    <row r="204" spans="1:14" ht="18.75">
      <c r="B204" s="38" t="s">
        <v>576</v>
      </c>
      <c r="C204" s="187"/>
      <c r="D204" s="187"/>
      <c r="E204" s="187"/>
      <c r="F204" s="223">
        <f>H6*D6*A130</f>
        <v>54.247086063019495</v>
      </c>
      <c r="G204" s="187" t="s">
        <v>3</v>
      </c>
      <c r="K204" s="286"/>
    </row>
    <row r="205" spans="1:14">
      <c r="K205" s="286"/>
    </row>
    <row r="206" spans="1:14">
      <c r="B206" s="187" t="s">
        <v>520</v>
      </c>
      <c r="C206">
        <f>B139/A130</f>
        <v>0.18867924528301885</v>
      </c>
      <c r="D206" s="203" t="s">
        <v>521</v>
      </c>
      <c r="E206" s="18">
        <f>VLOOKUP(C206,Table!A53:E58,2,TRUE)</f>
        <v>5.1999999999999998E-3</v>
      </c>
      <c r="G206" s="203" t="s">
        <v>522</v>
      </c>
      <c r="H206" s="18">
        <f>VLOOKUP(C206,Table!A53:E58,3,TRUE)</f>
        <v>7.1999999999999998E-3</v>
      </c>
      <c r="K206" s="286"/>
    </row>
    <row r="207" spans="1:14">
      <c r="D207" s="203" t="s">
        <v>532</v>
      </c>
      <c r="E207" s="18">
        <f>VLOOKUP(C206,Table!A53:E58,4,TRUE)</f>
        <v>9.64E-2</v>
      </c>
      <c r="G207" s="203" t="s">
        <v>533</v>
      </c>
      <c r="H207" s="18">
        <f>VLOOKUP(C206,Table!A53:E58,5,TRUE)</f>
        <v>0.27060000000000001</v>
      </c>
      <c r="K207" s="286"/>
    </row>
    <row r="208" spans="1:14">
      <c r="B208" s="187" t="s">
        <v>552</v>
      </c>
      <c r="C208" s="187"/>
      <c r="D208" s="33"/>
      <c r="E208" s="187" t="s">
        <v>550</v>
      </c>
      <c r="F208" s="187" t="s">
        <v>551</v>
      </c>
      <c r="K208" s="286"/>
    </row>
    <row r="209" spans="1:11">
      <c r="K209" s="286"/>
    </row>
    <row r="210" spans="1:11">
      <c r="B210" s="207" t="s">
        <v>523</v>
      </c>
      <c r="C210" s="246">
        <f>E206*F204*A130^2</f>
        <v>17.828467575869546</v>
      </c>
      <c r="D210" s="126" t="s">
        <v>107</v>
      </c>
      <c r="E210" s="126"/>
      <c r="F210" s="207" t="s">
        <v>524</v>
      </c>
      <c r="G210" s="246">
        <f>H206*F204*A130^2</f>
        <v>24.685570489665526</v>
      </c>
      <c r="H210" s="126" t="s">
        <v>107</v>
      </c>
      <c r="K210" s="286"/>
    </row>
    <row r="211" spans="1:11">
      <c r="B211" s="207" t="s">
        <v>562</v>
      </c>
      <c r="C211" s="246">
        <f>E207*F204*A130</f>
        <v>41.573881816976886</v>
      </c>
      <c r="D211" s="207" t="s">
        <v>341</v>
      </c>
      <c r="E211" s="126"/>
      <c r="F211" s="207" t="s">
        <v>563</v>
      </c>
      <c r="G211" s="246">
        <f>H207*F204*A130</f>
        <v>116.70012883479195</v>
      </c>
      <c r="H211" s="207" t="s">
        <v>341</v>
      </c>
      <c r="K211" s="286"/>
    </row>
    <row r="212" spans="1:11">
      <c r="K212" s="286"/>
    </row>
    <row r="213" spans="1:11">
      <c r="C213" s="187" t="s">
        <v>462</v>
      </c>
      <c r="D213" s="191" t="s">
        <v>123</v>
      </c>
      <c r="E213" s="191" t="s">
        <v>124</v>
      </c>
      <c r="F213" s="191" t="s">
        <v>564</v>
      </c>
      <c r="G213" s="191" t="s">
        <v>565</v>
      </c>
      <c r="K213" s="286"/>
    </row>
    <row r="214" spans="1:11">
      <c r="C214" s="187" t="s">
        <v>566</v>
      </c>
      <c r="D214" s="10">
        <f>D171</f>
        <v>15.000002712210241</v>
      </c>
      <c r="E214" s="10">
        <f>G171</f>
        <v>18.89630768331034</v>
      </c>
      <c r="F214" s="10">
        <f>D172</f>
        <v>33.546888349713775</v>
      </c>
      <c r="G214" s="10">
        <f>G172</f>
        <v>79.446627160835533</v>
      </c>
      <c r="K214" s="286"/>
    </row>
    <row r="215" spans="1:11">
      <c r="C215" s="187" t="s">
        <v>567</v>
      </c>
      <c r="D215" s="10">
        <f>D199</f>
        <v>26.209361728779722</v>
      </c>
      <c r="E215" s="10">
        <f>G199</f>
        <v>36.047427547541147</v>
      </c>
      <c r="F215" s="10">
        <f>D200</f>
        <v>58.282144473496977</v>
      </c>
      <c r="G215" s="10">
        <f>G200</f>
        <v>158.55093538722284</v>
      </c>
      <c r="K215" s="286"/>
    </row>
    <row r="216" spans="1:11">
      <c r="C216" s="187" t="s">
        <v>568</v>
      </c>
      <c r="D216" s="10">
        <f>C210</f>
        <v>17.828467575869546</v>
      </c>
      <c r="E216" s="10">
        <f>G210</f>
        <v>24.685570489665526</v>
      </c>
      <c r="F216" s="10">
        <f>C211</f>
        <v>41.573881816976886</v>
      </c>
      <c r="G216" s="10">
        <f>G211</f>
        <v>116.70012883479195</v>
      </c>
      <c r="K216" s="286"/>
    </row>
    <row r="217" spans="1:11">
      <c r="C217" s="187" t="s">
        <v>569</v>
      </c>
      <c r="D217" s="10">
        <f>MAX(D214:D216)</f>
        <v>26.209361728779722</v>
      </c>
      <c r="E217" s="10">
        <f>MAX(E214:E216)</f>
        <v>36.047427547541147</v>
      </c>
      <c r="F217" s="10">
        <f>MAX(F214:F216)</f>
        <v>58.282144473496977</v>
      </c>
      <c r="G217" s="10">
        <f>MAX(G214:G216)</f>
        <v>158.55093538722284</v>
      </c>
      <c r="K217" s="286"/>
    </row>
    <row r="218" spans="1:11">
      <c r="K218" s="286"/>
    </row>
    <row r="219" spans="1:11">
      <c r="B219" s="187" t="s">
        <v>570</v>
      </c>
      <c r="F219" s="129">
        <f>C33*1000</f>
        <v>750</v>
      </c>
      <c r="G219" s="187" t="s">
        <v>98</v>
      </c>
      <c r="K219" s="286"/>
    </row>
    <row r="220" spans="1:11">
      <c r="B220" s="187" t="s">
        <v>571</v>
      </c>
      <c r="F220" s="129">
        <f>F219-I16-D242/2</f>
        <v>680</v>
      </c>
      <c r="G220" s="187" t="s">
        <v>98</v>
      </c>
      <c r="J220" s="46"/>
      <c r="K220" s="286"/>
    </row>
    <row r="221" spans="1:11">
      <c r="J221" s="46"/>
      <c r="K221" s="286"/>
    </row>
    <row r="222" spans="1:11">
      <c r="A222" s="187" t="s">
        <v>578</v>
      </c>
      <c r="D222" s="2"/>
      <c r="G222" s="320">
        <f>(MAX(G217,F217)*10^3)/(C27*1000)</f>
        <v>371.46343959789021</v>
      </c>
      <c r="H222" s="187" t="s">
        <v>98</v>
      </c>
      <c r="I222" s="126" t="str">
        <f>IF(G222&lt;=F220,"Ok","Not Ok")</f>
        <v>Ok</v>
      </c>
      <c r="J222" s="46"/>
      <c r="K222" s="286"/>
    </row>
    <row r="223" spans="1:11">
      <c r="A223" s="187" t="s">
        <v>577</v>
      </c>
      <c r="C223" s="201"/>
      <c r="D223" s="2"/>
      <c r="G223" s="320">
        <f>((MAX(D217,E217)*10^6)/(C26*1000))^0.5</f>
        <v>158.76125134435276</v>
      </c>
      <c r="H223" s="187" t="s">
        <v>98</v>
      </c>
      <c r="I223" s="126" t="str">
        <f>IF(G223&lt;=F220,"Ok","Not Ok")</f>
        <v>Ok</v>
      </c>
      <c r="J223" s="46"/>
      <c r="K223" s="286"/>
    </row>
    <row r="224" spans="1:11">
      <c r="D224" s="17"/>
      <c r="E224" s="2"/>
      <c r="J224" s="46"/>
      <c r="K224" s="286"/>
    </row>
    <row r="225" spans="1:16">
      <c r="A225" s="187" t="s">
        <v>574</v>
      </c>
      <c r="E225" s="2"/>
      <c r="G225" s="129">
        <f>(D217*10^6)/(C21*C25*F220)</f>
        <v>231.92733855773528</v>
      </c>
      <c r="H225" s="187" t="s">
        <v>128</v>
      </c>
      <c r="K225" s="286"/>
    </row>
    <row r="226" spans="1:16">
      <c r="A226" s="187" t="s">
        <v>575</v>
      </c>
      <c r="G226" s="129">
        <f>(E217*10^6)/(C21*C25*F220)</f>
        <v>318.98464447433378</v>
      </c>
      <c r="H226" s="187" t="s">
        <v>128</v>
      </c>
      <c r="K226" s="286"/>
    </row>
    <row r="227" spans="1:16">
      <c r="K227" s="286"/>
    </row>
    <row r="228" spans="1:16">
      <c r="A228" s="255" t="s">
        <v>2063</v>
      </c>
      <c r="G228" s="107"/>
      <c r="H228" s="107"/>
      <c r="K228" s="286"/>
    </row>
    <row r="229" spans="1:16">
      <c r="K229" s="286"/>
    </row>
    <row r="230" spans="1:16">
      <c r="A230" s="3147" t="s">
        <v>486</v>
      </c>
      <c r="B230" s="3148" t="s">
        <v>487</v>
      </c>
      <c r="C230" s="3148" t="s">
        <v>488</v>
      </c>
      <c r="D230" s="3148" t="s">
        <v>489</v>
      </c>
      <c r="E230" s="3149" t="s">
        <v>490</v>
      </c>
      <c r="F230" s="3150"/>
      <c r="G230" s="3150"/>
      <c r="H230" s="3150"/>
      <c r="I230" s="3150"/>
      <c r="J230" s="496"/>
      <c r="K230" s="286"/>
    </row>
    <row r="231" spans="1:16">
      <c r="A231" s="3147"/>
      <c r="B231" s="3148"/>
      <c r="C231" s="3148"/>
      <c r="D231" s="3148"/>
      <c r="E231" s="94">
        <v>12</v>
      </c>
      <c r="F231" s="94">
        <v>16</v>
      </c>
      <c r="G231" s="94">
        <v>20</v>
      </c>
      <c r="H231" s="94">
        <v>22</v>
      </c>
      <c r="I231" s="94">
        <v>25</v>
      </c>
      <c r="J231" s="75"/>
      <c r="K231" s="286"/>
    </row>
    <row r="232" spans="1:16" ht="14.25">
      <c r="A232" s="172"/>
      <c r="B232" s="256" t="s">
        <v>491</v>
      </c>
      <c r="C232" s="256" t="s">
        <v>491</v>
      </c>
      <c r="D232" s="256" t="s">
        <v>491</v>
      </c>
      <c r="E232" s="317" t="s">
        <v>98</v>
      </c>
      <c r="F232" s="317" t="s">
        <v>98</v>
      </c>
      <c r="G232" s="317" t="s">
        <v>98</v>
      </c>
      <c r="H232" s="317" t="s">
        <v>98</v>
      </c>
      <c r="I232" s="317" t="s">
        <v>98</v>
      </c>
      <c r="J232" s="759"/>
      <c r="K232" s="286"/>
    </row>
    <row r="233" spans="1:16">
      <c r="A233" s="258" t="s">
        <v>492</v>
      </c>
      <c r="B233" s="55"/>
      <c r="C233" s="55"/>
      <c r="D233" s="55"/>
      <c r="E233" s="55"/>
      <c r="F233" s="55"/>
      <c r="G233" s="55"/>
      <c r="H233" s="55"/>
      <c r="I233" s="56"/>
      <c r="J233" s="386"/>
      <c r="K233" s="286"/>
    </row>
    <row r="234" spans="1:16">
      <c r="A234" s="259" t="s">
        <v>111</v>
      </c>
      <c r="B234" s="318">
        <f>G226</f>
        <v>318.98464447433378</v>
      </c>
      <c r="C234" s="318">
        <f>IF(F219&gt;380,F47*1000*380,F47*1000*F219)</f>
        <v>380</v>
      </c>
      <c r="D234" s="318">
        <f>MAX(B234:C234)</f>
        <v>380</v>
      </c>
      <c r="E234" s="261">
        <f>PI()*(E231/2)^2*1000/$D234</f>
        <v>297.62456718219096</v>
      </c>
      <c r="F234" s="261">
        <f>PI()*(F231/2)^2*1000/$D234</f>
        <v>529.11034165722833</v>
      </c>
      <c r="G234" s="261">
        <f>PI()*(G231/2)^2*1000/$D234</f>
        <v>826.73490883941929</v>
      </c>
      <c r="H234" s="261">
        <f>PI()*(H231/2)^2*1000/$D234</f>
        <v>1000.3492396956973</v>
      </c>
      <c r="I234" s="283">
        <f>PI()*(I231/2)^2*1000/$D234</f>
        <v>1291.7732950615925</v>
      </c>
      <c r="J234" s="328"/>
      <c r="K234" s="286"/>
    </row>
    <row r="235" spans="1:16">
      <c r="A235" s="262" t="s">
        <v>110</v>
      </c>
      <c r="B235" s="319">
        <f>G225</f>
        <v>231.92733855773528</v>
      </c>
      <c r="C235" s="318">
        <f>IF(F219&gt;380,F48*1000*380,F48*1000*F219)</f>
        <v>570</v>
      </c>
      <c r="D235" s="319">
        <f>MAX(B235:C235)</f>
        <v>570</v>
      </c>
      <c r="E235" s="261">
        <f>PI()*(E231/2)^2*1000/$D235</f>
        <v>198.41637812146064</v>
      </c>
      <c r="F235" s="261">
        <f>PI()*(F231/2)^2*1000/$D235</f>
        <v>352.74022777148554</v>
      </c>
      <c r="G235" s="261">
        <f>PI()*(G231/2)^2*1000/$D235</f>
        <v>551.15660589294623</v>
      </c>
      <c r="H235" s="261">
        <f>PI()*(H231/2)^2*1000/$D235</f>
        <v>666.89949313046486</v>
      </c>
      <c r="I235" s="283">
        <f>PI()*(I231/2)^2*1000/$D235</f>
        <v>861.18219670772839</v>
      </c>
      <c r="J235" s="328"/>
      <c r="K235" s="286"/>
      <c r="L235" s="3173" t="s">
        <v>2042</v>
      </c>
      <c r="M235" s="3174"/>
      <c r="N235" s="3174"/>
      <c r="O235" s="3174"/>
      <c r="P235" s="3175"/>
    </row>
    <row r="236" spans="1:16">
      <c r="A236" s="264" t="s">
        <v>493</v>
      </c>
      <c r="B236" s="265"/>
      <c r="C236" s="322"/>
      <c r="D236" s="322"/>
      <c r="E236" s="266"/>
      <c r="F236" s="266"/>
      <c r="G236" s="266"/>
      <c r="H236" s="266"/>
      <c r="I236" s="267"/>
      <c r="J236" s="330"/>
      <c r="K236" s="286"/>
      <c r="L236" s="3169" t="s">
        <v>486</v>
      </c>
      <c r="M236" s="3171" t="s">
        <v>442</v>
      </c>
      <c r="N236" s="3176"/>
      <c r="O236" s="3176"/>
      <c r="P236" s="3172"/>
    </row>
    <row r="237" spans="1:16">
      <c r="A237" s="259" t="s">
        <v>111</v>
      </c>
      <c r="B237" s="260"/>
      <c r="C237" s="318">
        <f>IF(F219&gt;380,F50*1000*380,F50*1000*F219)</f>
        <v>760</v>
      </c>
      <c r="D237" s="318">
        <f>MAX(B237:C237)</f>
        <v>760</v>
      </c>
      <c r="E237" s="261">
        <f>PI()*(E231/2)^2*1000/$D237</f>
        <v>148.81228359109548</v>
      </c>
      <c r="F237" s="261">
        <f>PI()*(F231/2)^2*1000/$D237</f>
        <v>264.55517082861417</v>
      </c>
      <c r="G237" s="261">
        <f>PI()*(G231/2)^2*1000/$D237</f>
        <v>413.36745441970965</v>
      </c>
      <c r="H237" s="261">
        <f>PI()*(H231/2)^2*1000/$D237</f>
        <v>500.17461984784865</v>
      </c>
      <c r="I237" s="283">
        <f>PI()*(I231/2)^2*1000/$D237</f>
        <v>645.88664753079627</v>
      </c>
      <c r="J237" s="328"/>
      <c r="K237" s="286"/>
      <c r="L237" s="3170"/>
      <c r="M237" s="3171" t="s">
        <v>492</v>
      </c>
      <c r="N237" s="3172"/>
      <c r="O237" s="3171" t="s">
        <v>493</v>
      </c>
      <c r="P237" s="3172"/>
    </row>
    <row r="238" spans="1:16">
      <c r="A238" s="262" t="s">
        <v>110</v>
      </c>
      <c r="B238" s="263"/>
      <c r="C238" s="319">
        <f>IF(F219&gt;380,F51*1000*380,F51*1000*F219)</f>
        <v>950</v>
      </c>
      <c r="D238" s="319">
        <f>MAX(B238:C238)</f>
        <v>950</v>
      </c>
      <c r="E238" s="284">
        <f>PI()*(E231/2)^2*1000/$D238</f>
        <v>119.04982687287638</v>
      </c>
      <c r="F238" s="284">
        <f>PI()*(F231/2)^2*1000/$D238</f>
        <v>211.6441366628913</v>
      </c>
      <c r="G238" s="284">
        <f>PI()*(G231/2)^2*1000/$D238</f>
        <v>330.69396353576775</v>
      </c>
      <c r="H238" s="284">
        <f>PI()*(H231/2)^2*1000/$D238</f>
        <v>400.13969587827893</v>
      </c>
      <c r="I238" s="285">
        <f>PI()*(I231/2)^2*1000/$D238</f>
        <v>516.70931802463701</v>
      </c>
      <c r="J238" s="328"/>
      <c r="K238" s="286"/>
      <c r="L238" s="3170"/>
      <c r="M238" s="926" t="s">
        <v>709</v>
      </c>
      <c r="N238" s="894" t="s">
        <v>710</v>
      </c>
      <c r="O238" s="894" t="s">
        <v>709</v>
      </c>
      <c r="P238" s="928" t="s">
        <v>710</v>
      </c>
    </row>
    <row r="239" spans="1:16">
      <c r="J239" s="46"/>
      <c r="K239" s="286"/>
      <c r="L239" s="2581" t="s">
        <v>2026</v>
      </c>
      <c r="M239" s="2582">
        <f>Barrel!D297</f>
        <v>16</v>
      </c>
      <c r="N239" s="2583">
        <f>Barrel!F297</f>
        <v>200</v>
      </c>
      <c r="O239" s="2582">
        <f>D245</f>
        <v>20</v>
      </c>
      <c r="P239" s="2584">
        <f>F245</f>
        <v>200</v>
      </c>
    </row>
    <row r="240" spans="1:16">
      <c r="J240" s="46"/>
      <c r="K240" s="286"/>
      <c r="L240" s="2577" t="s">
        <v>2040</v>
      </c>
      <c r="M240" s="2578">
        <f>D243</f>
        <v>16</v>
      </c>
      <c r="N240" s="2579">
        <f>F243</f>
        <v>200</v>
      </c>
      <c r="O240" s="2578">
        <f>D246</f>
        <v>16</v>
      </c>
      <c r="P240" s="2580">
        <f>F246</f>
        <v>200</v>
      </c>
    </row>
    <row r="241" spans="1:16">
      <c r="B241" s="258" t="s">
        <v>492</v>
      </c>
      <c r="C241" s="55"/>
      <c r="D241" s="252"/>
      <c r="E241" s="55"/>
      <c r="F241" s="55"/>
      <c r="G241" s="56"/>
      <c r="J241" s="46"/>
      <c r="K241" s="286"/>
      <c r="L241" s="900" t="s">
        <v>2041</v>
      </c>
      <c r="M241" s="901">
        <f>'RS gate'!D245</f>
        <v>16</v>
      </c>
      <c r="N241" s="888">
        <f>'RS gate'!F245</f>
        <v>200</v>
      </c>
      <c r="O241" s="901">
        <f>'RS gate'!D248</f>
        <v>16</v>
      </c>
      <c r="P241" s="889">
        <f>'RS gate'!F248</f>
        <v>200</v>
      </c>
    </row>
    <row r="242" spans="1:16" ht="15.75">
      <c r="B242" s="259" t="s">
        <v>111</v>
      </c>
      <c r="C242" s="268" t="s">
        <v>136</v>
      </c>
      <c r="D242" s="942">
        <v>20</v>
      </c>
      <c r="E242" s="270" t="s">
        <v>481</v>
      </c>
      <c r="F242" s="941">
        <v>200</v>
      </c>
      <c r="G242" s="272" t="s">
        <v>482</v>
      </c>
      <c r="K242" s="286"/>
    </row>
    <row r="243" spans="1:16" ht="15.75">
      <c r="B243" s="262" t="s">
        <v>110</v>
      </c>
      <c r="C243" s="278" t="s">
        <v>136</v>
      </c>
      <c r="D243" s="279">
        <v>16</v>
      </c>
      <c r="E243" s="280" t="s">
        <v>481</v>
      </c>
      <c r="F243" s="281">
        <v>200</v>
      </c>
      <c r="G243" s="282" t="s">
        <v>482</v>
      </c>
      <c r="K243" s="286"/>
    </row>
    <row r="244" spans="1:16" ht="15">
      <c r="B244" s="321" t="s">
        <v>493</v>
      </c>
      <c r="C244" s="273"/>
      <c r="D244" s="274"/>
      <c r="E244" s="275"/>
      <c r="F244" s="276"/>
      <c r="G244" s="277"/>
      <c r="K244" s="286"/>
    </row>
    <row r="245" spans="1:16" ht="15.75">
      <c r="B245" s="259" t="s">
        <v>111</v>
      </c>
      <c r="C245" s="268" t="s">
        <v>136</v>
      </c>
      <c r="D245" s="269">
        <v>20</v>
      </c>
      <c r="E245" s="270" t="s">
        <v>481</v>
      </c>
      <c r="F245" s="271">
        <v>200</v>
      </c>
      <c r="G245" s="272" t="s">
        <v>482</v>
      </c>
      <c r="K245" s="286"/>
    </row>
    <row r="246" spans="1:16" ht="15.75">
      <c r="B246" s="262" t="s">
        <v>110</v>
      </c>
      <c r="C246" s="278" t="s">
        <v>136</v>
      </c>
      <c r="D246" s="279">
        <v>16</v>
      </c>
      <c r="E246" s="280" t="s">
        <v>481</v>
      </c>
      <c r="F246" s="281">
        <v>200</v>
      </c>
      <c r="G246" s="282" t="s">
        <v>482</v>
      </c>
      <c r="K246" s="286"/>
    </row>
    <row r="247" spans="1:16">
      <c r="K247" s="286"/>
    </row>
    <row r="248" spans="1:16">
      <c r="A248" s="492" t="s">
        <v>2049</v>
      </c>
      <c r="K248" s="286"/>
    </row>
    <row r="249" spans="1:16">
      <c r="B249" t="s">
        <v>2265</v>
      </c>
      <c r="K249" s="286"/>
    </row>
    <row r="250" spans="1:16">
      <c r="K250" s="286"/>
    </row>
    <row r="251" spans="1:16">
      <c r="B251" t="s">
        <v>2263</v>
      </c>
      <c r="E251" s="2945">
        <f>DATA!I14</f>
        <v>20</v>
      </c>
      <c r="F251" s="187" t="s">
        <v>724</v>
      </c>
      <c r="G251" s="115">
        <f>RADIANS(E251)</f>
        <v>0.3490658503988659</v>
      </c>
      <c r="H251" t="s">
        <v>2264</v>
      </c>
      <c r="I251" s="2944">
        <f>(1-SIN(G251))/(1+SIN(G251))</f>
        <v>0.49029059656570229</v>
      </c>
      <c r="K251" s="286"/>
    </row>
    <row r="252" spans="1:16">
      <c r="B252" t="s">
        <v>105</v>
      </c>
      <c r="E252" s="17">
        <f>D64/1000</f>
        <v>6</v>
      </c>
      <c r="F252" s="187" t="s">
        <v>5</v>
      </c>
      <c r="K252" s="286"/>
    </row>
    <row r="253" spans="1:16">
      <c r="B253" s="40" t="s">
        <v>106</v>
      </c>
      <c r="E253" s="54">
        <f>((E56+E58)*G60/(2*E56))/1000</f>
        <v>0</v>
      </c>
      <c r="F253" s="187" t="s">
        <v>1092</v>
      </c>
      <c r="K253" s="286"/>
    </row>
    <row r="254" spans="1:16">
      <c r="B254" s="187" t="s">
        <v>465</v>
      </c>
      <c r="E254" s="54">
        <f>D9</f>
        <v>0.9</v>
      </c>
      <c r="F254" s="187" t="s">
        <v>1091</v>
      </c>
      <c r="K254" s="286"/>
    </row>
    <row r="255" spans="1:16">
      <c r="B255" s="40" t="s">
        <v>467</v>
      </c>
      <c r="E255" s="162">
        <f>E253+E254</f>
        <v>0.9</v>
      </c>
      <c r="F255" s="187" t="s">
        <v>5</v>
      </c>
      <c r="K255" s="286"/>
    </row>
    <row r="256" spans="1:16">
      <c r="B256" s="187" t="s">
        <v>539</v>
      </c>
      <c r="E256">
        <f>C33*1000</f>
        <v>750</v>
      </c>
      <c r="F256" t="s">
        <v>1093</v>
      </c>
      <c r="K256" s="286"/>
      <c r="P256" s="17"/>
    </row>
    <row r="257" spans="1:12">
      <c r="B257" s="187" t="str">
        <f>"Depth,  d = (( "&amp;G269&amp;" + "&amp;H269&amp;" ) - "&amp;H269&amp;" / 2 ) * 1000 ="</f>
        <v>Depth,  d = (( 1.5 + 0.3 ) - 0.3 / 2 ) * 1000 =</v>
      </c>
      <c r="F257">
        <f>((G269+H269)-H269/2)*1000</f>
        <v>1650.0000000000002</v>
      </c>
      <c r="G257" t="s">
        <v>98</v>
      </c>
      <c r="K257" s="286"/>
      <c r="L257" s="46"/>
    </row>
    <row r="258" spans="1:12">
      <c r="B258" s="187"/>
      <c r="H258" t="s">
        <v>120</v>
      </c>
      <c r="K258" s="286"/>
      <c r="L258" s="46"/>
    </row>
    <row r="259" spans="1:12">
      <c r="K259" s="286"/>
    </row>
    <row r="260" spans="1:12">
      <c r="B260" t="s">
        <v>125</v>
      </c>
      <c r="F260" s="10">
        <f>E256/1000</f>
        <v>0.75</v>
      </c>
      <c r="K260" s="286"/>
    </row>
    <row r="261" spans="1:12">
      <c r="A261" s="17" t="s">
        <v>120</v>
      </c>
      <c r="D261" s="2" t="s">
        <v>554</v>
      </c>
      <c r="E261" s="36">
        <f>E255</f>
        <v>0.9</v>
      </c>
      <c r="K261" s="286"/>
    </row>
    <row r="262" spans="1:12">
      <c r="C262" s="17"/>
      <c r="J262" s="85">
        <f>G31/2+F260</f>
        <v>1.5</v>
      </c>
      <c r="K262" s="286"/>
    </row>
    <row r="263" spans="1:12">
      <c r="B263" s="3193" t="s">
        <v>1791</v>
      </c>
      <c r="G263" t="s">
        <v>125</v>
      </c>
      <c r="K263" s="286"/>
    </row>
    <row r="264" spans="1:12">
      <c r="B264" s="3193"/>
      <c r="K264" s="286"/>
    </row>
    <row r="265" spans="1:12">
      <c r="B265" s="3193"/>
      <c r="K265" s="286"/>
    </row>
    <row r="266" spans="1:12">
      <c r="B266" s="3193"/>
      <c r="D266" s="2" t="s">
        <v>114</v>
      </c>
      <c r="E266" s="18">
        <f>E252</f>
        <v>6</v>
      </c>
      <c r="G266" s="2" t="s">
        <v>1792</v>
      </c>
      <c r="K266" s="286"/>
    </row>
    <row r="267" spans="1:12">
      <c r="B267" s="3193"/>
      <c r="K267" s="286"/>
    </row>
    <row r="268" spans="1:12">
      <c r="B268" s="3193"/>
      <c r="K268" s="286"/>
    </row>
    <row r="269" spans="1:12">
      <c r="B269" s="3193"/>
      <c r="D269" s="49" t="s">
        <v>44</v>
      </c>
      <c r="G269" s="33">
        <f>C56/1000</f>
        <v>1.5</v>
      </c>
      <c r="H269" s="33">
        <f>D55/1000</f>
        <v>0.3</v>
      </c>
      <c r="K269" s="286"/>
    </row>
    <row r="270" spans="1:12">
      <c r="K270" s="286"/>
    </row>
    <row r="271" spans="1:12">
      <c r="H271" s="783" t="s">
        <v>1094</v>
      </c>
      <c r="K271" s="286"/>
    </row>
    <row r="272" spans="1:12">
      <c r="D272" s="187" t="s">
        <v>580</v>
      </c>
      <c r="K272" s="286"/>
    </row>
    <row r="273" spans="1:12" ht="20.25">
      <c r="B273" s="38" t="s">
        <v>1089</v>
      </c>
      <c r="D273" s="2"/>
      <c r="E273" t="str">
        <f>"= "&amp;FIXED(I251,3)&amp;" * "&amp;D6&amp;" * "&amp;E255&amp;" = "</f>
        <v xml:space="preserve">= 0.490 * 18.9 * 0.9 = </v>
      </c>
      <c r="H273" s="10">
        <f>I251*D6*E255</f>
        <v>8.3398430475825958</v>
      </c>
      <c r="I273" t="s">
        <v>3</v>
      </c>
      <c r="K273" s="286"/>
    </row>
    <row r="274" spans="1:12" ht="18.75">
      <c r="B274" s="38" t="s">
        <v>1090</v>
      </c>
      <c r="D274" s="2"/>
      <c r="E274" t="str">
        <f>"= "&amp;FIXED(H273,2)&amp;" + "&amp;FIXED(I251,3)&amp;" * "&amp;D6&amp;" * "&amp;E252&amp;" ="</f>
        <v>= 8.34 + 0.490 * 18.9 * 6 =</v>
      </c>
      <c r="H274" s="10">
        <f>H273+I251*D6*E252</f>
        <v>63.938796698133238</v>
      </c>
      <c r="I274" t="s">
        <v>3</v>
      </c>
      <c r="K274" s="286"/>
    </row>
    <row r="275" spans="1:12">
      <c r="B275" s="187" t="s">
        <v>536</v>
      </c>
      <c r="D275" s="2"/>
      <c r="E275" s="33" t="str">
        <f>"= "&amp;FIXED(H274,2)&amp;" - "&amp;FIXED(H273,2)&amp;" = "</f>
        <v xml:space="preserve">= 63.94 - 8.34 = </v>
      </c>
      <c r="H275" s="10">
        <f>H274-H273</f>
        <v>55.598953650550641</v>
      </c>
      <c r="I275" t="s">
        <v>3</v>
      </c>
      <c r="K275" s="286"/>
    </row>
    <row r="276" spans="1:12">
      <c r="K276" s="286"/>
    </row>
    <row r="277" spans="1:12">
      <c r="A277" t="str">
        <f>"Vxx   = 0.5 * ( "&amp;FIXED(H273,2)&amp;" + "&amp;FIXED(H274,2)&amp;" ) * "&amp;E252&amp;" ="</f>
        <v>Vxx   = 0.5 * ( 8.34 + 63.94 ) * 6 =</v>
      </c>
      <c r="F277" s="10">
        <f>0.5*(H273+H274)*E252</f>
        <v>216.83591923714749</v>
      </c>
      <c r="G277" s="14" t="str">
        <f>"x "&amp;J262&amp;" ="</f>
        <v>x 1.5 =</v>
      </c>
      <c r="H277" s="10">
        <f>0.5*(H273+H274)*E252*J262</f>
        <v>325.25387885572127</v>
      </c>
      <c r="I277" s="187" t="s">
        <v>21</v>
      </c>
      <c r="K277" s="286"/>
      <c r="L277" s="187"/>
    </row>
    <row r="278" spans="1:12">
      <c r="A278" t="str">
        <f>"Mxx   = "&amp;FIXED(H273,2)&amp;" * "&amp;E252&amp;"^2 / 2 + 0.5*"&amp;FIXED(H275,2)&amp;" * "&amp;E252&amp;"^2 / 3 ="</f>
        <v>Mxx   = 8.34 * 6^2 / 2 + 0.5*55.60 * 6^2 / 3 =</v>
      </c>
      <c r="F278" s="10">
        <f>(H273*E252^2)/2+0.5*H275*E252^2/3</f>
        <v>483.71089675979056</v>
      </c>
      <c r="G278" s="191" t="str">
        <f>"x "&amp;J262&amp;" ="</f>
        <v>x 1.5 =</v>
      </c>
      <c r="H278" s="10">
        <f>((H273*E252^2)/2+0.5*H275*E252^2/3)*J262</f>
        <v>725.56634513968584</v>
      </c>
      <c r="I278" t="s">
        <v>107</v>
      </c>
      <c r="K278" s="286"/>
    </row>
    <row r="279" spans="1:12">
      <c r="G279" s="2"/>
      <c r="J279" s="46"/>
      <c r="K279" s="286"/>
    </row>
    <row r="280" spans="1:12">
      <c r="A280" s="187" t="s">
        <v>541</v>
      </c>
      <c r="D280" s="187"/>
      <c r="G280" s="9">
        <f>(H277*10^3)/(C27*E256)</f>
        <v>1016.0345783074097</v>
      </c>
      <c r="H280" t="s">
        <v>98</v>
      </c>
      <c r="I280" s="126" t="str">
        <f>IF(F257&gt;=G280,"&lt; "&amp;F257&amp;",  Ok","Not ok")</f>
        <v>&lt; 1650,  Ok</v>
      </c>
      <c r="J280" s="46"/>
      <c r="K280" s="286"/>
    </row>
    <row r="281" spans="1:12">
      <c r="A281" s="187" t="s">
        <v>579</v>
      </c>
      <c r="D281" s="187"/>
      <c r="G281" s="9">
        <f>((H278*10^6)/(C26*E256))^0.5</f>
        <v>822.46098944117216</v>
      </c>
      <c r="H281" t="s">
        <v>98</v>
      </c>
      <c r="I281" s="207" t="str">
        <f>IF(F257&gt;=G281,"&lt; "&amp;F257&amp;",  Ok","Not ok")</f>
        <v>&lt; 1650,  Ok</v>
      </c>
      <c r="J281" s="109"/>
      <c r="K281" s="286"/>
    </row>
    <row r="282" spans="1:12">
      <c r="A282" s="187" t="s">
        <v>540</v>
      </c>
      <c r="D282" s="2"/>
      <c r="G282" s="9">
        <f>(H278*10^6)/(C21*C25*F257)</f>
        <v>2646.0472688729233</v>
      </c>
      <c r="H282" t="s">
        <v>104</v>
      </c>
      <c r="J282" s="46"/>
      <c r="K282" s="286"/>
    </row>
    <row r="283" spans="1:12">
      <c r="J283" s="46"/>
      <c r="K283" s="286"/>
    </row>
    <row r="284" spans="1:12">
      <c r="B284" s="314" t="s">
        <v>109</v>
      </c>
      <c r="C284" s="312">
        <v>12</v>
      </c>
      <c r="D284" s="94">
        <v>16</v>
      </c>
      <c r="E284" s="94">
        <v>20</v>
      </c>
      <c r="F284" s="94">
        <v>22</v>
      </c>
      <c r="G284" s="94">
        <v>25</v>
      </c>
      <c r="K284" s="286"/>
    </row>
    <row r="285" spans="1:12">
      <c r="B285" s="106"/>
      <c r="C285" s="313" t="s">
        <v>98</v>
      </c>
      <c r="D285" s="323" t="s">
        <v>98</v>
      </c>
      <c r="E285" s="323" t="s">
        <v>98</v>
      </c>
      <c r="F285" s="323" t="s">
        <v>98</v>
      </c>
      <c r="G285" s="323" t="s">
        <v>98</v>
      </c>
      <c r="K285" s="286"/>
    </row>
    <row r="286" spans="1:12">
      <c r="B286" s="315" t="s">
        <v>542</v>
      </c>
      <c r="C286" s="310">
        <f>$G$282/(PI()*(C284/2)^2)</f>
        <v>23.396194583107512</v>
      </c>
      <c r="D286" s="316">
        <f>G282/(PI()*(D284/2)^2)</f>
        <v>13.160359452997975</v>
      </c>
      <c r="E286" s="310">
        <f>G282/(PI()*(E284/2)^2)</f>
        <v>8.4226300499187037</v>
      </c>
      <c r="F286" s="316">
        <f>G282/(PI()*(F284/2)^2)</f>
        <v>6.9608512809245484</v>
      </c>
      <c r="G286" s="311">
        <f>G282/(PI()*(G284/2)^2)</f>
        <v>5.3904832319479707</v>
      </c>
      <c r="K286" s="286"/>
    </row>
    <row r="287" spans="1:12">
      <c r="C287" s="17"/>
      <c r="D287" s="2"/>
      <c r="K287" s="286"/>
    </row>
    <row r="288" spans="1:12">
      <c r="B288" s="203" t="s">
        <v>543</v>
      </c>
      <c r="C288" s="745">
        <v>10</v>
      </c>
      <c r="D288" s="2985">
        <v>20</v>
      </c>
      <c r="E288" s="213" t="s">
        <v>2271</v>
      </c>
      <c r="F288" s="187"/>
      <c r="K288" s="286"/>
    </row>
    <row r="289" spans="1:15">
      <c r="K289" s="286"/>
    </row>
    <row r="290" spans="1:15" ht="15.75">
      <c r="A290" s="437" t="s">
        <v>2046</v>
      </c>
      <c r="B290" s="174"/>
      <c r="K290" s="286"/>
    </row>
    <row r="291" spans="1:15">
      <c r="A291" s="782" t="s">
        <v>2047</v>
      </c>
      <c r="K291" s="286"/>
    </row>
    <row r="292" spans="1:15">
      <c r="A292" s="187" t="s">
        <v>582</v>
      </c>
      <c r="K292" s="286"/>
    </row>
    <row r="293" spans="1:15">
      <c r="A293" s="187"/>
      <c r="B293" s="187"/>
      <c r="C293" s="187"/>
      <c r="D293" s="187"/>
      <c r="E293" s="187"/>
      <c r="F293" s="187"/>
      <c r="G293" s="187"/>
      <c r="H293" s="187"/>
      <c r="I293" s="187"/>
      <c r="J293" s="187"/>
      <c r="K293" s="325"/>
    </row>
    <row r="294" spans="1:15">
      <c r="A294" s="187"/>
      <c r="B294" s="203" t="s">
        <v>559</v>
      </c>
      <c r="C294" s="189">
        <f>C61-C32</f>
        <v>14.950000000000001</v>
      </c>
      <c r="D294" s="187"/>
      <c r="E294" s="187"/>
      <c r="F294" s="187"/>
      <c r="G294" s="187"/>
      <c r="H294" s="4"/>
      <c r="I294" s="187"/>
      <c r="J294" s="187"/>
      <c r="K294" s="325"/>
    </row>
    <row r="295" spans="1:15">
      <c r="A295" s="187"/>
      <c r="B295" s="109"/>
      <c r="C295" s="109"/>
      <c r="D295" s="109"/>
      <c r="E295" s="201" t="s">
        <v>127</v>
      </c>
      <c r="F295" s="109"/>
      <c r="G295" s="109"/>
      <c r="H295" s="3" t="s">
        <v>1789</v>
      </c>
      <c r="I295" s="187"/>
      <c r="J295" s="187"/>
      <c r="K295" s="325"/>
    </row>
    <row r="296" spans="1:15">
      <c r="A296" s="187"/>
      <c r="B296" s="288" t="s">
        <v>581</v>
      </c>
      <c r="C296" s="189">
        <f>MAX(DATA!A135,DATA!A100)</f>
        <v>10.3</v>
      </c>
      <c r="D296" s="109"/>
      <c r="E296" s="109"/>
      <c r="F296" s="109"/>
      <c r="G296" s="109"/>
      <c r="H296" s="3194" t="s">
        <v>127</v>
      </c>
      <c r="I296" s="187"/>
      <c r="J296" s="187"/>
      <c r="K296" s="325"/>
    </row>
    <row r="297" spans="1:15">
      <c r="A297" s="187"/>
      <c r="C297" s="109"/>
      <c r="D297" s="109"/>
      <c r="E297" s="109"/>
      <c r="F297" s="109"/>
      <c r="G297" s="109"/>
      <c r="H297" s="3194"/>
      <c r="I297" s="187"/>
      <c r="J297" s="187"/>
      <c r="K297" s="325"/>
    </row>
    <row r="298" spans="1:15">
      <c r="A298" s="187"/>
      <c r="B298" s="109"/>
      <c r="C298" s="109"/>
      <c r="D298" s="109"/>
      <c r="E298" s="109"/>
      <c r="F298" s="109"/>
      <c r="G298" s="109"/>
      <c r="H298" s="3194"/>
      <c r="I298" s="187"/>
      <c r="J298" s="187"/>
      <c r="K298" s="325"/>
    </row>
    <row r="299" spans="1:15">
      <c r="A299" s="187"/>
      <c r="B299" s="109"/>
      <c r="C299" s="109"/>
      <c r="D299" s="109"/>
      <c r="E299" s="109"/>
      <c r="F299" s="109"/>
      <c r="G299" s="190">
        <f>C294-F303</f>
        <v>7.9500000000000011</v>
      </c>
      <c r="H299" s="3194"/>
      <c r="I299" s="187"/>
      <c r="J299" s="187"/>
      <c r="K299" s="325"/>
    </row>
    <row r="300" spans="1:15">
      <c r="A300" s="187"/>
      <c r="B300" s="109"/>
      <c r="C300" s="109"/>
      <c r="D300" s="109"/>
      <c r="E300" s="189">
        <f>C296-F303</f>
        <v>3.3000000000000007</v>
      </c>
      <c r="F300" s="109"/>
      <c r="G300" s="109"/>
      <c r="H300" s="3194"/>
      <c r="I300" s="187"/>
      <c r="J300" s="187"/>
      <c r="K300" s="325"/>
    </row>
    <row r="301" spans="1:15">
      <c r="A301" s="187"/>
      <c r="B301" s="109"/>
      <c r="C301" s="109"/>
      <c r="D301" s="109"/>
      <c r="E301" s="189"/>
      <c r="F301" s="109"/>
      <c r="G301" s="109"/>
      <c r="H301" s="3194"/>
      <c r="I301" s="187"/>
      <c r="J301" s="187"/>
      <c r="K301" s="325"/>
      <c r="M301" s="109"/>
      <c r="N301" s="109"/>
      <c r="O301" s="191"/>
    </row>
    <row r="302" spans="1:15">
      <c r="A302" s="187"/>
      <c r="B302" s="109"/>
      <c r="C302" s="109"/>
      <c r="D302" s="109"/>
      <c r="E302" s="109"/>
      <c r="F302" s="109"/>
      <c r="G302" s="109"/>
      <c r="H302" s="3194"/>
      <c r="I302" s="187"/>
      <c r="J302" s="187"/>
      <c r="K302" s="325"/>
    </row>
    <row r="303" spans="1:15">
      <c r="A303" s="187"/>
      <c r="B303" s="109"/>
      <c r="C303" s="109"/>
      <c r="D303" s="109"/>
      <c r="E303" s="109"/>
      <c r="F303" s="189">
        <f>E70</f>
        <v>7</v>
      </c>
      <c r="G303" s="109"/>
      <c r="H303" s="3194"/>
      <c r="I303" s="187"/>
      <c r="J303" s="187"/>
      <c r="K303" s="325"/>
    </row>
    <row r="304" spans="1:15">
      <c r="A304" s="187"/>
      <c r="B304" s="109"/>
      <c r="C304" s="109"/>
      <c r="D304" s="109" t="s">
        <v>1096</v>
      </c>
      <c r="E304" s="109"/>
      <c r="F304" s="291"/>
      <c r="G304" s="109"/>
      <c r="H304" s="4"/>
      <c r="I304" s="187"/>
      <c r="J304" s="187"/>
      <c r="K304" s="325"/>
    </row>
    <row r="305" spans="1:15">
      <c r="A305" s="187"/>
      <c r="B305" s="109"/>
      <c r="C305" s="109"/>
      <c r="D305" s="109"/>
      <c r="E305" s="109"/>
      <c r="F305" s="109"/>
      <c r="G305" s="109"/>
      <c r="H305" s="4"/>
      <c r="I305" s="187"/>
      <c r="J305" s="187"/>
      <c r="K305" s="325"/>
    </row>
    <row r="306" spans="1:15">
      <c r="A306" s="187"/>
      <c r="B306" s="109"/>
      <c r="C306" s="109"/>
      <c r="D306" s="189">
        <f>C34</f>
        <v>0.75</v>
      </c>
      <c r="E306" s="109"/>
      <c r="F306" s="109"/>
      <c r="G306" s="109"/>
      <c r="H306" s="4"/>
      <c r="I306" s="187"/>
      <c r="J306" s="187"/>
      <c r="K306" s="325"/>
    </row>
    <row r="307" spans="1:15">
      <c r="A307" s="187"/>
      <c r="B307" s="109"/>
      <c r="C307" s="109"/>
      <c r="D307" s="109"/>
      <c r="E307" s="109"/>
      <c r="F307" s="109"/>
      <c r="G307" s="109"/>
      <c r="H307" s="191">
        <f>C56/1000</f>
        <v>1.5</v>
      </c>
      <c r="I307" s="187"/>
      <c r="J307" s="187"/>
      <c r="K307" s="325"/>
    </row>
    <row r="308" spans="1:15">
      <c r="E308" s="109"/>
      <c r="F308" s="109"/>
      <c r="I308" s="187"/>
      <c r="J308" s="187"/>
      <c r="K308" s="325"/>
    </row>
    <row r="309" spans="1:15" ht="18.75">
      <c r="B309" s="38" t="s">
        <v>583</v>
      </c>
      <c r="C309" s="187"/>
      <c r="D309" s="223">
        <f>D7*E300</f>
        <v>32.373000000000012</v>
      </c>
      <c r="E309" s="187" t="s">
        <v>3</v>
      </c>
      <c r="K309" s="286"/>
      <c r="M309" s="2"/>
      <c r="N309" s="2"/>
      <c r="O309" s="2"/>
    </row>
    <row r="310" spans="1:15">
      <c r="B310" s="207" t="s">
        <v>520</v>
      </c>
      <c r="C310" s="126">
        <f>H307/G299</f>
        <v>0.18867924528301885</v>
      </c>
      <c r="D310" s="203" t="s">
        <v>521</v>
      </c>
      <c r="E310" s="18">
        <f>Table!B122</f>
        <v>2.3E-3</v>
      </c>
      <c r="G310" s="203" t="s">
        <v>522</v>
      </c>
      <c r="H310" s="18">
        <f>Table!C122</f>
        <v>4.1000000000000003E-3</v>
      </c>
      <c r="K310" s="286"/>
      <c r="M310" s="2"/>
      <c r="N310" s="2"/>
      <c r="O310" s="2"/>
    </row>
    <row r="311" spans="1:15">
      <c r="B311" s="126" t="s">
        <v>798</v>
      </c>
      <c r="C311" s="126">
        <f>E300/G299</f>
        <v>0.41509433962264153</v>
      </c>
      <c r="D311" s="203" t="s">
        <v>532</v>
      </c>
      <c r="E311" s="18">
        <f>Table!D122</f>
        <v>4.82E-2</v>
      </c>
      <c r="G311" s="203" t="s">
        <v>533</v>
      </c>
      <c r="H311" s="18">
        <f>Table!E122</f>
        <v>0.1925</v>
      </c>
      <c r="K311" s="286"/>
      <c r="M311" s="2"/>
      <c r="N311" s="2"/>
      <c r="O311" s="2"/>
    </row>
    <row r="312" spans="1:15">
      <c r="B312" s="187" t="s">
        <v>552</v>
      </c>
      <c r="C312" s="187"/>
      <c r="D312" s="33"/>
      <c r="E312" s="187" t="s">
        <v>550</v>
      </c>
      <c r="F312" s="187" t="s">
        <v>551</v>
      </c>
      <c r="K312" s="286"/>
      <c r="M312" s="2"/>
      <c r="N312" s="2"/>
      <c r="O312" s="2"/>
    </row>
    <row r="313" spans="1:15">
      <c r="K313" s="286"/>
      <c r="M313" s="2"/>
      <c r="N313" s="2"/>
      <c r="O313" s="2"/>
    </row>
    <row r="314" spans="1:15">
      <c r="B314" s="207" t="s">
        <v>523</v>
      </c>
      <c r="C314" s="246">
        <f>E310*D309*E300^2</f>
        <v>0.81084653100000059</v>
      </c>
      <c r="D314" s="126" t="s">
        <v>107</v>
      </c>
      <c r="E314" s="126"/>
      <c r="F314" s="207" t="s">
        <v>524</v>
      </c>
      <c r="G314" s="246">
        <f>H310*D309*E300^2</f>
        <v>1.445422077000001</v>
      </c>
      <c r="H314" s="126" t="s">
        <v>107</v>
      </c>
      <c r="K314" s="286"/>
      <c r="M314" s="10"/>
      <c r="N314" s="33"/>
      <c r="O314" s="33"/>
    </row>
    <row r="315" spans="1:15">
      <c r="B315" s="207" t="s">
        <v>562</v>
      </c>
      <c r="C315" s="246">
        <f>E311*D309*E300</f>
        <v>5.1492493800000032</v>
      </c>
      <c r="D315" s="207" t="s">
        <v>341</v>
      </c>
      <c r="E315" s="126"/>
      <c r="F315" s="207" t="s">
        <v>563</v>
      </c>
      <c r="G315" s="246">
        <f>H311*D309*E300</f>
        <v>20.564948250000011</v>
      </c>
      <c r="H315" s="207" t="s">
        <v>341</v>
      </c>
      <c r="K315" s="286"/>
      <c r="M315" s="10"/>
      <c r="N315" s="33"/>
      <c r="O315" s="33"/>
    </row>
    <row r="316" spans="1:15">
      <c r="B316" s="109"/>
      <c r="C316" s="224"/>
      <c r="D316" s="109"/>
      <c r="E316" s="46"/>
      <c r="F316" s="109"/>
      <c r="G316" s="224"/>
      <c r="H316" s="109"/>
      <c r="I316" s="46"/>
      <c r="J316" s="46"/>
      <c r="K316" s="286"/>
      <c r="M316" s="2"/>
      <c r="N316" s="2"/>
      <c r="O316" s="2"/>
    </row>
    <row r="317" spans="1:15">
      <c r="B317" s="187" t="s">
        <v>584</v>
      </c>
      <c r="F317" s="129">
        <f>D306*1000</f>
        <v>750</v>
      </c>
      <c r="G317" s="187" t="s">
        <v>98</v>
      </c>
      <c r="J317" s="46"/>
      <c r="K317" s="286"/>
      <c r="M317" s="2"/>
      <c r="N317" s="2"/>
      <c r="O317" s="2"/>
    </row>
    <row r="318" spans="1:15">
      <c r="B318" s="187" t="s">
        <v>571</v>
      </c>
      <c r="F318" s="129">
        <f>F317-I17-D336/2</f>
        <v>690</v>
      </c>
      <c r="G318" s="187" t="s">
        <v>98</v>
      </c>
      <c r="J318" s="46"/>
      <c r="K318" s="286"/>
      <c r="M318" s="2"/>
      <c r="N318" s="2"/>
      <c r="O318" s="2"/>
    </row>
    <row r="319" spans="1:15">
      <c r="J319" s="46"/>
      <c r="K319" s="286"/>
      <c r="M319" s="2"/>
      <c r="N319" s="2"/>
      <c r="O319" s="2"/>
    </row>
    <row r="320" spans="1:15">
      <c r="A320" s="187" t="s">
        <v>578</v>
      </c>
      <c r="D320" s="2"/>
      <c r="G320" s="320">
        <f>(MAX(G315,C315)*10^3)/(C27*1000)</f>
        <v>48.180897788088572</v>
      </c>
      <c r="H320" s="187" t="s">
        <v>98</v>
      </c>
      <c r="I320" s="126" t="str">
        <f>IF(G320&lt;=F318,"Ok","Not Ok")</f>
        <v>Ok</v>
      </c>
      <c r="J320" s="46"/>
      <c r="K320" s="286"/>
      <c r="M320" s="2"/>
      <c r="N320" s="2"/>
      <c r="O320" s="2"/>
    </row>
    <row r="321" spans="1:15">
      <c r="A321" s="187" t="s">
        <v>577</v>
      </c>
      <c r="C321" s="201"/>
      <c r="D321" s="2"/>
      <c r="G321" s="320">
        <f>((MAX(C314,G314)*10^6)/(C26*1000))^0.5</f>
        <v>31.791038601666408</v>
      </c>
      <c r="H321" s="187" t="s">
        <v>98</v>
      </c>
      <c r="I321" s="126" t="str">
        <f>IF(G321&lt;=F318,"Ok","Not Ok")</f>
        <v>Ok</v>
      </c>
      <c r="J321" s="46"/>
      <c r="K321" s="286"/>
      <c r="M321" s="2"/>
      <c r="N321" s="2"/>
      <c r="O321" s="2"/>
    </row>
    <row r="322" spans="1:15">
      <c r="D322" s="17"/>
      <c r="E322" s="2"/>
      <c r="J322" s="46"/>
      <c r="K322" s="286"/>
      <c r="M322" s="2"/>
      <c r="N322" s="2"/>
      <c r="O322" s="2"/>
    </row>
    <row r="323" spans="1:15">
      <c r="A323" s="187" t="s">
        <v>574</v>
      </c>
      <c r="E323" s="2"/>
      <c r="G323" s="129">
        <f>(C314*10^6)/(C21*C25*F318)</f>
        <v>7.0712140622522188</v>
      </c>
      <c r="H323" s="187" t="s">
        <v>128</v>
      </c>
      <c r="K323" s="286"/>
      <c r="M323" s="2"/>
      <c r="N323" s="2"/>
      <c r="O323" s="2"/>
    </row>
    <row r="324" spans="1:15">
      <c r="A324" s="187" t="s">
        <v>575</v>
      </c>
      <c r="G324" s="129">
        <f>(G314*10^6)/(C21*C25*F318)</f>
        <v>12.605207676188739</v>
      </c>
      <c r="H324" s="187" t="s">
        <v>128</v>
      </c>
      <c r="K324" s="286"/>
      <c r="M324" s="2"/>
      <c r="N324" s="2"/>
      <c r="O324" s="2"/>
    </row>
    <row r="325" spans="1:15">
      <c r="K325" s="286"/>
      <c r="M325" s="2"/>
      <c r="N325" s="2"/>
      <c r="O325" s="2"/>
    </row>
    <row r="326" spans="1:15">
      <c r="A326" s="255" t="s">
        <v>2062</v>
      </c>
      <c r="G326" s="107"/>
      <c r="H326" s="107"/>
      <c r="K326" s="286"/>
      <c r="M326" s="2"/>
      <c r="N326" s="2"/>
      <c r="O326" s="2"/>
    </row>
    <row r="327" spans="1:15">
      <c r="K327" s="286"/>
      <c r="M327" s="2"/>
      <c r="N327" s="2"/>
      <c r="O327" s="2"/>
    </row>
    <row r="328" spans="1:15">
      <c r="A328" s="3147" t="s">
        <v>486</v>
      </c>
      <c r="B328" s="3148" t="s">
        <v>487</v>
      </c>
      <c r="C328" s="3148" t="s">
        <v>488</v>
      </c>
      <c r="D328" s="3148" t="s">
        <v>489</v>
      </c>
      <c r="E328" s="3149" t="s">
        <v>490</v>
      </c>
      <c r="F328" s="3150"/>
      <c r="G328" s="3150"/>
      <c r="H328" s="3150"/>
      <c r="I328" s="3150"/>
      <c r="J328" s="496"/>
      <c r="K328" s="286"/>
      <c r="M328" s="2"/>
      <c r="N328" s="2"/>
      <c r="O328" s="2"/>
    </row>
    <row r="329" spans="1:15">
      <c r="A329" s="3147"/>
      <c r="B329" s="3148"/>
      <c r="C329" s="3148"/>
      <c r="D329" s="3148"/>
      <c r="E329" s="94">
        <v>12</v>
      </c>
      <c r="F329" s="94">
        <v>16</v>
      </c>
      <c r="G329" s="94">
        <v>20</v>
      </c>
      <c r="H329" s="94">
        <v>22</v>
      </c>
      <c r="I329" s="94">
        <v>25</v>
      </c>
      <c r="J329" s="75"/>
      <c r="K329" s="286"/>
      <c r="M329" s="2"/>
      <c r="N329" s="2"/>
      <c r="O329" s="2"/>
    </row>
    <row r="330" spans="1:15" ht="14.25">
      <c r="A330" s="172"/>
      <c r="B330" s="256" t="s">
        <v>491</v>
      </c>
      <c r="C330" s="256" t="s">
        <v>491</v>
      </c>
      <c r="D330" s="256" t="s">
        <v>491</v>
      </c>
      <c r="E330" s="324" t="s">
        <v>98</v>
      </c>
      <c r="F330" s="324" t="s">
        <v>98</v>
      </c>
      <c r="G330" s="324" t="s">
        <v>98</v>
      </c>
      <c r="H330" s="324" t="s">
        <v>98</v>
      </c>
      <c r="I330" s="324" t="s">
        <v>98</v>
      </c>
      <c r="J330" s="759"/>
      <c r="K330" s="286"/>
      <c r="M330" s="2"/>
      <c r="N330" s="2"/>
      <c r="O330" s="2"/>
    </row>
    <row r="331" spans="1:15">
      <c r="A331" s="264" t="s">
        <v>493</v>
      </c>
      <c r="B331" s="55"/>
      <c r="C331" s="55"/>
      <c r="D331" s="55"/>
      <c r="E331" s="55"/>
      <c r="F331" s="55"/>
      <c r="G331" s="55"/>
      <c r="H331" s="55"/>
      <c r="I331" s="56"/>
      <c r="J331" s="386"/>
      <c r="K331" s="286"/>
      <c r="L331" s="3173" t="s">
        <v>2043</v>
      </c>
      <c r="M331" s="3174"/>
      <c r="N331" s="3175"/>
    </row>
    <row r="332" spans="1:15">
      <c r="A332" s="259" t="s">
        <v>111</v>
      </c>
      <c r="B332" s="318">
        <f>G324</f>
        <v>12.605207676188739</v>
      </c>
      <c r="C332" s="318">
        <f>IF(F317&gt;380,F50*1000*380,F50*1000*F317)</f>
        <v>760</v>
      </c>
      <c r="D332" s="318">
        <f>MAX(B332:C332)</f>
        <v>760</v>
      </c>
      <c r="E332" s="261">
        <f>PI()*(E329/2)^2*1000/$D332</f>
        <v>148.81228359109548</v>
      </c>
      <c r="F332" s="261">
        <f>PI()*(F329/2)^2*1000/$D332</f>
        <v>264.55517082861417</v>
      </c>
      <c r="G332" s="261">
        <f>PI()*(G329/2)^2*1000/$D332</f>
        <v>413.36745441970965</v>
      </c>
      <c r="H332" s="261">
        <f>PI()*(H329/2)^2*1000/$D332</f>
        <v>500.17461984784865</v>
      </c>
      <c r="I332" s="283">
        <f>PI()*(I329/2)^2*1000/$D332</f>
        <v>645.88664753079627</v>
      </c>
      <c r="J332" s="328"/>
      <c r="K332" s="286"/>
      <c r="L332" s="3169" t="s">
        <v>486</v>
      </c>
      <c r="M332" s="3171" t="s">
        <v>442</v>
      </c>
      <c r="N332" s="3172"/>
    </row>
    <row r="333" spans="1:15">
      <c r="A333" s="262" t="s">
        <v>110</v>
      </c>
      <c r="B333" s="319">
        <f>G323</f>
        <v>7.0712140622522188</v>
      </c>
      <c r="C333" s="319">
        <f>IF(F317&gt;380,F51*1000*380,F51*1000*F317)</f>
        <v>950</v>
      </c>
      <c r="D333" s="319">
        <f>MAX(B333:C333)</f>
        <v>950</v>
      </c>
      <c r="E333" s="284">
        <f>PI()*(E329/2)^2*1000/$D333</f>
        <v>119.04982687287638</v>
      </c>
      <c r="F333" s="284">
        <f>PI()*(F329/2)^2*1000/$D333</f>
        <v>211.6441366628913</v>
      </c>
      <c r="G333" s="284">
        <f>PI()*(G329/2)^2*1000/$D333</f>
        <v>330.69396353576775</v>
      </c>
      <c r="H333" s="284">
        <f>PI()*(H329/2)^2*1000/$D333</f>
        <v>400.13969587827893</v>
      </c>
      <c r="I333" s="285">
        <f>PI()*(I329/2)^2*1000/$D333</f>
        <v>516.70931802463701</v>
      </c>
      <c r="J333" s="328"/>
      <c r="K333" s="286"/>
      <c r="L333" s="3170"/>
      <c r="M333" s="3171" t="s">
        <v>493</v>
      </c>
      <c r="N333" s="3172"/>
    </row>
    <row r="334" spans="1:15">
      <c r="A334" s="329"/>
      <c r="B334" s="327"/>
      <c r="C334" s="328"/>
      <c r="D334" s="328"/>
      <c r="E334" s="330"/>
      <c r="F334" s="330"/>
      <c r="G334" s="330"/>
      <c r="H334" s="330"/>
      <c r="I334" s="330"/>
      <c r="J334" s="330"/>
      <c r="K334" s="286"/>
      <c r="L334" s="3170"/>
      <c r="M334" s="926" t="s">
        <v>709</v>
      </c>
      <c r="N334" s="894" t="s">
        <v>710</v>
      </c>
    </row>
    <row r="335" spans="1:15">
      <c r="B335" s="264" t="s">
        <v>493</v>
      </c>
      <c r="C335" s="55"/>
      <c r="D335" s="252"/>
      <c r="E335" s="55"/>
      <c r="F335" s="55"/>
      <c r="G335" s="56"/>
      <c r="J335" s="46"/>
      <c r="K335" s="286"/>
      <c r="L335" s="2581" t="s">
        <v>2026</v>
      </c>
      <c r="M335" s="2582">
        <f>Barrel!D327</f>
        <v>16</v>
      </c>
      <c r="N335" s="2584">
        <f>Barrel!F327</f>
        <v>200</v>
      </c>
    </row>
    <row r="336" spans="1:15" ht="15.75">
      <c r="B336" s="259" t="s">
        <v>111</v>
      </c>
      <c r="C336" s="268" t="s">
        <v>136</v>
      </c>
      <c r="D336" s="269">
        <v>20</v>
      </c>
      <c r="E336" s="507" t="s">
        <v>481</v>
      </c>
      <c r="F336" s="271">
        <v>200</v>
      </c>
      <c r="G336" s="272" t="s">
        <v>482</v>
      </c>
      <c r="J336" s="46"/>
      <c r="K336" s="286"/>
      <c r="L336" s="2577" t="s">
        <v>2040</v>
      </c>
      <c r="M336" s="2578">
        <f>D337</f>
        <v>16</v>
      </c>
      <c r="N336" s="2580">
        <f>F337</f>
        <v>200</v>
      </c>
    </row>
    <row r="337" spans="1:20" ht="15.75">
      <c r="B337" s="262" t="s">
        <v>110</v>
      </c>
      <c r="C337" s="278" t="s">
        <v>136</v>
      </c>
      <c r="D337" s="279">
        <v>16</v>
      </c>
      <c r="E337" s="280" t="s">
        <v>481</v>
      </c>
      <c r="F337" s="281">
        <v>200</v>
      </c>
      <c r="G337" s="282" t="s">
        <v>482</v>
      </c>
      <c r="J337" s="46"/>
      <c r="K337" s="286"/>
      <c r="L337" s="900" t="s">
        <v>2041</v>
      </c>
      <c r="M337" s="901">
        <f>'RS gate'!D338</f>
        <v>16</v>
      </c>
      <c r="N337" s="889">
        <f>'RS gate'!F338</f>
        <v>200</v>
      </c>
    </row>
    <row r="338" spans="1:20">
      <c r="J338" s="46"/>
      <c r="K338" s="286"/>
    </row>
    <row r="339" spans="1:20">
      <c r="A339" s="6" t="s">
        <v>2048</v>
      </c>
      <c r="K339" s="286"/>
    </row>
    <row r="340" spans="1:20" ht="15.75">
      <c r="A340" s="82"/>
      <c r="B340" s="187" t="s">
        <v>1095</v>
      </c>
      <c r="K340" s="286"/>
    </row>
    <row r="341" spans="1:20">
      <c r="K341" s="286"/>
    </row>
    <row r="342" spans="1:20">
      <c r="A342" s="17" t="s">
        <v>125</v>
      </c>
      <c r="F342" t="s">
        <v>125</v>
      </c>
      <c r="K342" s="286"/>
      <c r="S342" s="16"/>
      <c r="T342" s="16"/>
    </row>
    <row r="343" spans="1:20">
      <c r="C343" s="48" t="s">
        <v>45</v>
      </c>
      <c r="K343" s="286"/>
      <c r="M343" s="33"/>
      <c r="N343" s="33"/>
      <c r="S343" s="16"/>
      <c r="T343" s="16"/>
    </row>
    <row r="344" spans="1:20">
      <c r="B344" s="3195" t="s">
        <v>1791</v>
      </c>
      <c r="F344" t="s">
        <v>127</v>
      </c>
      <c r="K344" s="286"/>
      <c r="M344" s="33"/>
      <c r="N344" s="33"/>
    </row>
    <row r="345" spans="1:20">
      <c r="B345" s="3195"/>
      <c r="K345" s="286"/>
    </row>
    <row r="346" spans="1:20">
      <c r="A346" s="18" t="s">
        <v>127</v>
      </c>
      <c r="B346" s="3195"/>
      <c r="F346" s="9">
        <f>D306*1000</f>
        <v>750</v>
      </c>
      <c r="G346" t="s">
        <v>587</v>
      </c>
      <c r="K346" s="286"/>
    </row>
    <row r="347" spans="1:20">
      <c r="B347" s="3195"/>
      <c r="D347" s="2">
        <f>D64/1000</f>
        <v>6</v>
      </c>
      <c r="I347" s="84">
        <f>(G31+G32)/2+F346/1000</f>
        <v>2.25</v>
      </c>
      <c r="K347" s="286"/>
    </row>
    <row r="348" spans="1:20">
      <c r="B348" s="3195"/>
      <c r="K348" s="286"/>
    </row>
    <row r="349" spans="1:20">
      <c r="B349" s="3195"/>
      <c r="G349" s="33">
        <f>C56/1000</f>
        <v>1.5</v>
      </c>
      <c r="K349" s="286"/>
    </row>
    <row r="350" spans="1:20">
      <c r="B350" s="3195"/>
      <c r="C350" s="48" t="s">
        <v>44</v>
      </c>
      <c r="K350" s="286"/>
    </row>
    <row r="351" spans="1:20">
      <c r="C351" s="159"/>
      <c r="K351" s="286"/>
    </row>
    <row r="352" spans="1:20">
      <c r="K352" s="286"/>
    </row>
    <row r="353" spans="1:21">
      <c r="F353" s="187"/>
      <c r="H353" s="10">
        <f>D55/1000</f>
        <v>0.3</v>
      </c>
      <c r="K353" s="286"/>
    </row>
    <row r="354" spans="1:21">
      <c r="D354" t="s">
        <v>1097</v>
      </c>
      <c r="K354" s="286"/>
    </row>
    <row r="355" spans="1:21">
      <c r="H355" s="781" t="s">
        <v>1094</v>
      </c>
      <c r="K355" s="286"/>
    </row>
    <row r="356" spans="1:21">
      <c r="J356" s="46"/>
      <c r="K356" s="286"/>
    </row>
    <row r="357" spans="1:21">
      <c r="B357" s="2" t="s">
        <v>585</v>
      </c>
      <c r="C357" s="10">
        <f>F277</f>
        <v>216.83591923714749</v>
      </c>
      <c r="D357" s="2" t="s">
        <v>537</v>
      </c>
      <c r="E357" s="10">
        <f>I347</f>
        <v>2.25</v>
      </c>
      <c r="F357" s="2" t="s">
        <v>35</v>
      </c>
      <c r="G357" s="10">
        <f>C357*E357</f>
        <v>487.88081828358185</v>
      </c>
      <c r="H357" t="s">
        <v>21</v>
      </c>
      <c r="J357" s="46"/>
      <c r="K357" s="286"/>
    </row>
    <row r="358" spans="1:21">
      <c r="B358" s="2" t="s">
        <v>586</v>
      </c>
      <c r="C358" s="10">
        <f>F278</f>
        <v>483.71089675979056</v>
      </c>
      <c r="D358" s="2" t="s">
        <v>537</v>
      </c>
      <c r="E358" s="10">
        <f>I347</f>
        <v>2.25</v>
      </c>
      <c r="F358" s="2" t="s">
        <v>35</v>
      </c>
      <c r="G358" s="10">
        <f>C358*E358</f>
        <v>1088.3495177095288</v>
      </c>
      <c r="H358" t="s">
        <v>107</v>
      </c>
      <c r="J358" s="46"/>
      <c r="K358" s="286"/>
    </row>
    <row r="359" spans="1:21">
      <c r="B359" s="2"/>
      <c r="C359" s="10"/>
      <c r="D359" s="2"/>
      <c r="E359" s="10"/>
      <c r="F359" s="2"/>
      <c r="G359" s="10"/>
      <c r="J359" s="46"/>
      <c r="K359" s="286"/>
    </row>
    <row r="360" spans="1:21">
      <c r="A360" t="str">
        <f>"Depth,  d = (( "&amp;G349&amp;" + "&amp;H353&amp;" ) - "&amp;H353&amp;" / 2 ) * 1000 ="</f>
        <v>Depth,  d = (( 1.5 + 0.3 ) - 0.3 / 2 ) * 1000 =</v>
      </c>
      <c r="B360" s="187"/>
      <c r="G360">
        <f>((G349+H353)-H353/2)*1000</f>
        <v>1650.0000000000002</v>
      </c>
      <c r="H360" t="s">
        <v>98</v>
      </c>
      <c r="J360" s="46"/>
      <c r="K360" s="286"/>
    </row>
    <row r="361" spans="1:21">
      <c r="A361" s="187" t="s">
        <v>541</v>
      </c>
      <c r="D361" s="187"/>
      <c r="G361" s="320">
        <f>(G357*10^3)/(C27*G372)</f>
        <v>2078.2525465378831</v>
      </c>
      <c r="H361" t="s">
        <v>98</v>
      </c>
      <c r="I361" s="126" t="str">
        <f>IF(G360&gt;=G361,"Ok","Not ok, Use Stirrup")</f>
        <v>Not ok, Use Stirrup</v>
      </c>
      <c r="J361" s="126"/>
      <c r="K361" s="286"/>
    </row>
    <row r="362" spans="1:21">
      <c r="A362" s="187" t="s">
        <v>579</v>
      </c>
      <c r="D362" s="187"/>
      <c r="G362" s="320">
        <f>((G358*10^6)/(C26*F346))^0.5</f>
        <v>1007.3048787377274</v>
      </c>
      <c r="H362" t="s">
        <v>98</v>
      </c>
      <c r="I362" s="207" t="str">
        <f>IF(G360&gt;=G362,"Ok","Not ok")</f>
        <v>Ok</v>
      </c>
      <c r="J362" s="109"/>
      <c r="K362" s="286"/>
      <c r="U362" s="46"/>
    </row>
    <row r="363" spans="1:21">
      <c r="A363" s="187" t="s">
        <v>540</v>
      </c>
      <c r="D363" s="2"/>
      <c r="G363" s="320">
        <f>(G358*10^6)/(C21*C25*G360)</f>
        <v>3969.0709033093844</v>
      </c>
      <c r="H363" t="s">
        <v>104</v>
      </c>
      <c r="J363" s="46"/>
      <c r="K363" s="286"/>
    </row>
    <row r="364" spans="1:21">
      <c r="J364" s="46"/>
      <c r="K364" s="286"/>
    </row>
    <row r="365" spans="1:21">
      <c r="B365" s="314" t="s">
        <v>109</v>
      </c>
      <c r="C365" s="312">
        <v>12</v>
      </c>
      <c r="D365" s="94">
        <v>16</v>
      </c>
      <c r="E365" s="94">
        <v>20</v>
      </c>
      <c r="F365" s="94">
        <v>22</v>
      </c>
      <c r="G365" s="94">
        <v>25</v>
      </c>
      <c r="J365" s="46"/>
      <c r="K365" s="286"/>
    </row>
    <row r="366" spans="1:21">
      <c r="B366" s="106"/>
      <c r="C366" s="313" t="s">
        <v>98</v>
      </c>
      <c r="D366" s="326" t="s">
        <v>98</v>
      </c>
      <c r="E366" s="326" t="s">
        <v>98</v>
      </c>
      <c r="F366" s="326" t="s">
        <v>98</v>
      </c>
      <c r="G366" s="326" t="s">
        <v>98</v>
      </c>
      <c r="J366" s="46"/>
      <c r="K366" s="286"/>
    </row>
    <row r="367" spans="1:21">
      <c r="B367" s="315" t="s">
        <v>542</v>
      </c>
      <c r="C367" s="310">
        <f>$G$363/(PI()*(C365/2)^2)</f>
        <v>35.094291874661259</v>
      </c>
      <c r="D367" s="310">
        <f>$G$363/(PI()*(D365/2)^2)</f>
        <v>19.74053917949696</v>
      </c>
      <c r="E367" s="310">
        <f>$G$363/(PI()*(E365/2)^2)</f>
        <v>12.633945074878055</v>
      </c>
      <c r="F367" s="310">
        <f>$G$363/(PI()*(F365/2)^2)</f>
        <v>10.441276921386821</v>
      </c>
      <c r="G367" s="310">
        <f>$G$363/(PI()*(G365/2)^2)</f>
        <v>8.0857248479219539</v>
      </c>
      <c r="K367" s="286"/>
    </row>
    <row r="368" spans="1:21">
      <c r="C368" s="17"/>
      <c r="D368" s="2"/>
      <c r="K368" s="286"/>
    </row>
    <row r="369" spans="1:11">
      <c r="B369" s="203" t="s">
        <v>543</v>
      </c>
      <c r="C369" s="745">
        <v>10</v>
      </c>
      <c r="D369" s="2986">
        <v>25</v>
      </c>
      <c r="E369" s="213" t="s">
        <v>2272</v>
      </c>
      <c r="F369" s="187"/>
      <c r="K369" s="286"/>
    </row>
    <row r="370" spans="1:11">
      <c r="B370" s="187"/>
      <c r="C370" s="236"/>
      <c r="D370" s="2981"/>
      <c r="E370" s="213"/>
      <c r="F370" s="187"/>
      <c r="K370" s="286"/>
    </row>
    <row r="371" spans="1:11">
      <c r="A371" s="2982" t="str">
        <f>IF(N331&gt;=E373,"Stirrup not needed","Calculation of Stirrup :")</f>
        <v>Calculation of Stirrup :</v>
      </c>
      <c r="B371" s="2983"/>
      <c r="C371" s="2983"/>
      <c r="K371" s="286"/>
    </row>
    <row r="372" spans="1:11">
      <c r="A372" s="109" t="s">
        <v>2273</v>
      </c>
      <c r="B372" s="109"/>
      <c r="D372" s="109">
        <v>100</v>
      </c>
      <c r="E372" s="109" t="s">
        <v>2274</v>
      </c>
      <c r="F372" s="187"/>
      <c r="G372">
        <f>F346-2*D372</f>
        <v>550</v>
      </c>
      <c r="H372" s="187" t="s">
        <v>5</v>
      </c>
      <c r="K372" s="286"/>
    </row>
    <row r="373" spans="1:11">
      <c r="A373" t="str">
        <f>"Shear stress = "&amp;FIXED(G357,2)&amp;"*1000/("&amp;G372&amp;"*"&amp;G360&amp;")  ="</f>
        <v>Shear stress = 487.88*1000/(550*1650)  =</v>
      </c>
      <c r="D373" s="2"/>
      <c r="E373" s="115">
        <f>G357*1000/(G372*G360)</f>
        <v>0.53760971711689454</v>
      </c>
      <c r="F373" t="s">
        <v>1490</v>
      </c>
      <c r="G373" s="2984" t="str">
        <f>IF(C27&gt;=E373,"No Stirrup is needed.","So, Stirrup is needed.")</f>
        <v>So, Stirrup is needed.</v>
      </c>
      <c r="H373" s="2984"/>
      <c r="K373" s="286"/>
    </row>
    <row r="374" spans="1:11">
      <c r="A374" t="s">
        <v>2267</v>
      </c>
      <c r="J374" s="46"/>
      <c r="K374" s="286"/>
    </row>
    <row r="375" spans="1:11">
      <c r="A375" s="187" t="str">
        <f>"v' = v - vc = "&amp;FIXED(E373,3)&amp;" - "&amp;FIXED(C27,3)&amp;" ="</f>
        <v>v' = v - vc = 0.538 - 0.427 =</v>
      </c>
      <c r="D375" s="115">
        <f>E373-C27</f>
        <v>0.11078188297296243</v>
      </c>
      <c r="E375" t="s">
        <v>1490</v>
      </c>
      <c r="J375" s="46"/>
      <c r="K375" s="286"/>
    </row>
    <row r="376" spans="1:11">
      <c r="A376" s="30" t="s">
        <v>2268</v>
      </c>
      <c r="C376" s="203" t="s">
        <v>136</v>
      </c>
      <c r="D376" s="2979">
        <v>10</v>
      </c>
      <c r="E376" s="187" t="s">
        <v>2269</v>
      </c>
      <c r="G376" s="33">
        <f>2*PI()*D376^2/4</f>
        <v>157.07963267948966</v>
      </c>
      <c r="H376" t="s">
        <v>1348</v>
      </c>
      <c r="J376" s="46"/>
      <c r="K376" s="286"/>
    </row>
    <row r="377" spans="1:11">
      <c r="A377" t="str">
        <f>"Spacing =Av fv / v' b ="&amp;FIXED(G376,2)&amp;" * "&amp;FIXED($C$21,2)&amp;" / ("&amp;FIXED(D375,3)&amp;" * "&amp;G372&amp;") ="</f>
        <v>Spacing =Av fv / v' b =157.08 * 186.30 / (0.111 * 550) =</v>
      </c>
      <c r="F377" s="129" t="str">
        <f>IF(D375&gt;0,TRUNC(G376*$C$21/(D375*G372),0)&amp;" mm c/c","Stirrup not needed.")</f>
        <v>480 mm c/c</v>
      </c>
      <c r="H377" s="17" t="s">
        <v>543</v>
      </c>
      <c r="I377" s="2980">
        <v>200</v>
      </c>
      <c r="J377" s="187" t="s">
        <v>2270</v>
      </c>
      <c r="K377" s="286"/>
    </row>
    <row r="378" spans="1:11">
      <c r="K378" s="286"/>
    </row>
    <row r="379" spans="1:11" ht="15.75">
      <c r="A379" s="437" t="s">
        <v>772</v>
      </c>
      <c r="B379" s="174"/>
      <c r="C379" s="940" t="s">
        <v>1146</v>
      </c>
      <c r="K379" s="286"/>
    </row>
    <row r="380" spans="1:11">
      <c r="K380" s="286"/>
    </row>
    <row r="381" spans="1:11">
      <c r="A381" s="187" t="str">
        <f>"Span between Abutment &amp; Pier = "&amp;G31&amp;" + "&amp;C33&amp;IF(C30&gt;1," / 2 + "," + ")&amp;C34&amp;" / 2 ="</f>
        <v>Span between Abutment &amp; Pier = 1.5 + 0.75 / 2 + 0.75 / 2 =</v>
      </c>
      <c r="G381" s="115">
        <f>IF(C30&gt;1,G31+C33/2+C34/2,G31+C33)</f>
        <v>2.25</v>
      </c>
      <c r="H381" s="187" t="s">
        <v>1099</v>
      </c>
      <c r="K381" s="286"/>
    </row>
    <row r="382" spans="1:11">
      <c r="A382" s="187" t="str">
        <f>"Span between Pier = "&amp;G32&amp;" + "&amp;C34&amp;" ="</f>
        <v>Span between Pier = 1.5 + 0.75 =</v>
      </c>
      <c r="G382" s="115">
        <f>G32+C34</f>
        <v>2.25</v>
      </c>
      <c r="H382" s="187" t="s">
        <v>1099</v>
      </c>
      <c r="K382" s="286"/>
    </row>
    <row r="383" spans="1:11">
      <c r="B383" s="187"/>
      <c r="E383" s="115"/>
      <c r="F383" s="187"/>
      <c r="K383" s="286"/>
    </row>
    <row r="384" spans="1:11">
      <c r="A384" s="144" t="s">
        <v>765</v>
      </c>
      <c r="E384" s="144" t="s">
        <v>766</v>
      </c>
      <c r="K384" s="286"/>
    </row>
    <row r="385" spans="1:21">
      <c r="A385" s="187" t="s">
        <v>721</v>
      </c>
      <c r="C385" s="33">
        <f>C33*H132*B139*D3+0.5*(C33+G33)*(H127-C32)*B139*D3</f>
        <v>199.125</v>
      </c>
      <c r="D385" t="s">
        <v>21</v>
      </c>
      <c r="E385" s="187" t="s">
        <v>338</v>
      </c>
      <c r="G385" s="33">
        <f>F346*G349*(B66-C32)*D3/1000</f>
        <v>199.125</v>
      </c>
      <c r="H385" t="s">
        <v>21</v>
      </c>
      <c r="K385" s="286"/>
      <c r="L385" s="33"/>
    </row>
    <row r="386" spans="1:21">
      <c r="A386" s="187" t="s">
        <v>722</v>
      </c>
      <c r="C386" s="33">
        <f>0.5*(C33-G33)*H127*B139*D6</f>
        <v>0</v>
      </c>
      <c r="D386" t="s">
        <v>21</v>
      </c>
      <c r="E386" s="187" t="s">
        <v>723</v>
      </c>
      <c r="G386" s="33">
        <f>(M32+C34)*B139*C32*D3</f>
        <v>35.842500000000001</v>
      </c>
      <c r="H386" t="s">
        <v>21</v>
      </c>
      <c r="K386" s="286"/>
    </row>
    <row r="387" spans="1:21">
      <c r="A387" s="187" t="s">
        <v>723</v>
      </c>
      <c r="C387" s="33">
        <f>(M32/2+G33)*B139*C32*D3</f>
        <v>23.895</v>
      </c>
      <c r="D387" t="s">
        <v>21</v>
      </c>
      <c r="E387" s="187" t="s">
        <v>720</v>
      </c>
      <c r="G387" s="33">
        <f>D12</f>
        <v>205.8</v>
      </c>
      <c r="H387" t="s">
        <v>21</v>
      </c>
      <c r="K387" s="286"/>
    </row>
    <row r="388" spans="1:21">
      <c r="A388" s="187" t="s">
        <v>720</v>
      </c>
      <c r="C388" s="33">
        <f>D12/2</f>
        <v>102.9</v>
      </c>
      <c r="D388" t="s">
        <v>21</v>
      </c>
      <c r="E388" s="204" t="s">
        <v>770</v>
      </c>
      <c r="F388" s="59"/>
      <c r="G388" s="212">
        <f>(M32+C34)*B139*D11</f>
        <v>24.3</v>
      </c>
      <c r="H388" t="s">
        <v>21</v>
      </c>
      <c r="K388" s="286"/>
    </row>
    <row r="389" spans="1:21">
      <c r="A389" s="204" t="s">
        <v>770</v>
      </c>
      <c r="B389" s="59"/>
      <c r="C389" s="212">
        <f>(G31/2+G33)*B139*D11</f>
        <v>16.2</v>
      </c>
      <c r="D389" t="s">
        <v>21</v>
      </c>
      <c r="E389" s="187" t="s">
        <v>767</v>
      </c>
      <c r="G389" s="54">
        <f>IF(C30&gt;1,SUM(G385:G388),0)</f>
        <v>465.06750000000005</v>
      </c>
      <c r="H389" s="187" t="s">
        <v>21</v>
      </c>
      <c r="K389" s="286"/>
    </row>
    <row r="390" spans="1:21">
      <c r="A390" s="187" t="s">
        <v>767</v>
      </c>
      <c r="C390" s="33">
        <f>SUM(C385:C389)</f>
        <v>342.12</v>
      </c>
      <c r="D390" s="187" t="s">
        <v>21</v>
      </c>
      <c r="E390" s="187" t="s">
        <v>768</v>
      </c>
      <c r="F390" s="191"/>
      <c r="G390" s="54">
        <f>C56/1000</f>
        <v>1.5</v>
      </c>
      <c r="H390" s="187" t="s">
        <v>5</v>
      </c>
      <c r="K390" s="286"/>
    </row>
    <row r="391" spans="1:21">
      <c r="A391" s="187" t="s">
        <v>769</v>
      </c>
      <c r="C391" s="54">
        <f>C56/1000</f>
        <v>1.5</v>
      </c>
      <c r="D391" s="18" t="s">
        <v>5</v>
      </c>
      <c r="E391" s="187" t="s">
        <v>726</v>
      </c>
      <c r="G391" s="54">
        <f>G389/G390</f>
        <v>310.04500000000002</v>
      </c>
      <c r="H391" s="187" t="s">
        <v>725</v>
      </c>
      <c r="K391" s="286"/>
    </row>
    <row r="392" spans="1:21">
      <c r="A392" s="187" t="s">
        <v>726</v>
      </c>
      <c r="C392" s="33">
        <f>C390/C391</f>
        <v>228.08</v>
      </c>
      <c r="D392" s="187" t="s">
        <v>725</v>
      </c>
      <c r="K392" s="286"/>
    </row>
    <row r="393" spans="1:21">
      <c r="D393" s="2"/>
      <c r="K393" s="286"/>
    </row>
    <row r="394" spans="1:21">
      <c r="A394" t="s">
        <v>752</v>
      </c>
      <c r="C394" s="115">
        <f>C35</f>
        <v>5.25</v>
      </c>
      <c r="D394" t="s">
        <v>5</v>
      </c>
      <c r="E394" s="126" t="s">
        <v>24</v>
      </c>
      <c r="F394" s="126"/>
      <c r="G394" s="440">
        <f>C30</f>
        <v>2</v>
      </c>
      <c r="H394" t="s">
        <v>888</v>
      </c>
      <c r="K394" s="286"/>
    </row>
    <row r="395" spans="1:21">
      <c r="A395" t="s">
        <v>727</v>
      </c>
      <c r="C395" s="33">
        <f>(2*C392+C31*G391)/C394</f>
        <v>145.94380952380953</v>
      </c>
      <c r="D395" s="187" t="s">
        <v>725</v>
      </c>
      <c r="E395" s="127" t="s">
        <v>204</v>
      </c>
      <c r="F395" s="126"/>
      <c r="G395" s="440">
        <f>C31</f>
        <v>1</v>
      </c>
      <c r="H395" t="s">
        <v>889</v>
      </c>
      <c r="K395" s="286"/>
    </row>
    <row r="396" spans="1:21">
      <c r="A396" t="s">
        <v>733</v>
      </c>
      <c r="C396" s="33">
        <f>E217</f>
        <v>36.047427547541147</v>
      </c>
      <c r="D396" t="s">
        <v>620</v>
      </c>
      <c r="K396" s="286"/>
    </row>
    <row r="397" spans="1:21">
      <c r="K397" s="286"/>
    </row>
    <row r="398" spans="1:21">
      <c r="A398" t="s">
        <v>750</v>
      </c>
      <c r="C398" t="s">
        <v>751</v>
      </c>
      <c r="E398" t="s">
        <v>751</v>
      </c>
      <c r="G398" t="s">
        <v>751</v>
      </c>
      <c r="I398" t="s">
        <v>750</v>
      </c>
      <c r="K398" s="286"/>
      <c r="O398" s="46"/>
      <c r="P398" s="46"/>
      <c r="Q398" s="46"/>
      <c r="R398" s="140"/>
      <c r="S398" s="46"/>
      <c r="T398" s="46"/>
      <c r="U398" s="46"/>
    </row>
    <row r="399" spans="1:21">
      <c r="A399" s="10">
        <f>C392</f>
        <v>228.08</v>
      </c>
      <c r="C399" s="33">
        <f>IF(C30&gt;1,G391,0)</f>
        <v>310.04500000000002</v>
      </c>
      <c r="E399" s="36">
        <f>IF(C30&gt;2,G391,0)</f>
        <v>0</v>
      </c>
      <c r="G399" s="36">
        <f>IF(C30&gt;3,G391,0)</f>
        <v>0</v>
      </c>
      <c r="I399" s="36">
        <f>C392</f>
        <v>228.08</v>
      </c>
      <c r="J399" s="36"/>
      <c r="K399" s="286"/>
      <c r="O399" s="46"/>
      <c r="P399" s="112"/>
      <c r="Q399" s="46"/>
      <c r="R399" s="140"/>
      <c r="S399" s="90"/>
      <c r="T399" s="90"/>
      <c r="U399" s="46"/>
    </row>
    <row r="400" spans="1:21">
      <c r="K400" s="286"/>
      <c r="O400" s="46"/>
      <c r="P400" s="46"/>
      <c r="Q400" s="46"/>
      <c r="R400" s="46"/>
      <c r="S400" s="90"/>
      <c r="T400" s="90"/>
      <c r="U400" s="46"/>
    </row>
    <row r="401" spans="1:21">
      <c r="A401" t="s">
        <v>642</v>
      </c>
      <c r="K401" s="286"/>
      <c r="O401" s="46"/>
      <c r="P401" s="46"/>
      <c r="Q401" s="224"/>
      <c r="R401" s="46"/>
      <c r="S401" s="44"/>
      <c r="T401" s="44"/>
      <c r="U401" s="46"/>
    </row>
    <row r="402" spans="1:21">
      <c r="I402" s="17" t="s">
        <v>642</v>
      </c>
      <c r="J402" s="17"/>
      <c r="K402" s="286"/>
      <c r="O402" s="46"/>
      <c r="P402" s="46"/>
      <c r="Q402" s="224"/>
      <c r="R402" s="46"/>
      <c r="S402" s="44"/>
      <c r="T402" s="44"/>
      <c r="U402" s="46"/>
    </row>
    <row r="403" spans="1:21">
      <c r="K403" s="286"/>
      <c r="O403" s="46"/>
      <c r="P403" s="46"/>
      <c r="Q403" s="224"/>
      <c r="R403" s="46"/>
      <c r="S403" s="44"/>
      <c r="T403" s="44"/>
      <c r="U403" s="46"/>
    </row>
    <row r="404" spans="1:21">
      <c r="D404" t="s">
        <v>727</v>
      </c>
      <c r="F404" s="36">
        <f>C395</f>
        <v>145.94380952380953</v>
      </c>
      <c r="K404" s="286"/>
      <c r="O404" s="46"/>
      <c r="P404" s="46"/>
      <c r="Q404" s="224"/>
      <c r="R404" s="46"/>
      <c r="S404" s="44"/>
      <c r="T404" s="44"/>
      <c r="U404" s="46"/>
    </row>
    <row r="405" spans="1:21">
      <c r="K405" s="286"/>
      <c r="O405" s="46"/>
      <c r="P405" s="46"/>
      <c r="Q405" s="224"/>
      <c r="R405" s="46"/>
      <c r="S405" s="44"/>
      <c r="T405" s="44"/>
      <c r="U405" s="46"/>
    </row>
    <row r="406" spans="1:21">
      <c r="A406" s="2">
        <v>1</v>
      </c>
      <c r="C406" s="18">
        <v>2</v>
      </c>
      <c r="E406" s="2">
        <v>3</v>
      </c>
      <c r="G406" s="18">
        <v>4</v>
      </c>
      <c r="H406">
        <v>5</v>
      </c>
      <c r="K406" s="286"/>
      <c r="O406" s="46"/>
      <c r="P406" s="46"/>
      <c r="Q406" s="224"/>
      <c r="R406" s="46"/>
      <c r="S406" s="44"/>
      <c r="T406" s="44"/>
      <c r="U406" s="46"/>
    </row>
    <row r="407" spans="1:21">
      <c r="A407" s="85">
        <f>C33/2</f>
        <v>0.375</v>
      </c>
      <c r="B407" s="115">
        <f>C429</f>
        <v>2.25</v>
      </c>
      <c r="C407" s="115"/>
      <c r="D407" s="85">
        <f>C430</f>
        <v>2.25</v>
      </c>
      <c r="E407" s="115"/>
      <c r="F407" s="85" t="str">
        <f>C431</f>
        <v/>
      </c>
      <c r="G407" s="115"/>
      <c r="H407" s="85" t="str">
        <f>C432</f>
        <v/>
      </c>
      <c r="I407">
        <f>C33/2</f>
        <v>0.375</v>
      </c>
      <c r="K407" s="286"/>
      <c r="O407" s="46"/>
      <c r="P407" s="46"/>
      <c r="Q407" s="224"/>
      <c r="R407" s="46"/>
      <c r="S407" s="44"/>
      <c r="T407" s="44"/>
      <c r="U407" s="46"/>
    </row>
    <row r="408" spans="1:21">
      <c r="K408" s="286"/>
      <c r="O408" s="46"/>
      <c r="P408" s="46"/>
      <c r="Q408" s="224"/>
      <c r="R408" s="46"/>
      <c r="S408" s="44"/>
      <c r="T408" s="44"/>
      <c r="U408" s="46"/>
    </row>
    <row r="409" spans="1:21">
      <c r="K409" s="286"/>
      <c r="O409" s="46"/>
      <c r="P409" s="46"/>
      <c r="Q409" s="46"/>
      <c r="R409" s="46"/>
      <c r="S409" s="46"/>
      <c r="T409" s="46"/>
      <c r="U409" s="46"/>
    </row>
    <row r="410" spans="1:21">
      <c r="C410" s="115">
        <f>F430</f>
        <v>1.0622067527619894</v>
      </c>
      <c r="D410" t="s">
        <v>5</v>
      </c>
      <c r="E410" s="84" t="str">
        <f>F431</f>
        <v/>
      </c>
      <c r="F410" t="s">
        <v>5</v>
      </c>
      <c r="G410" s="115" t="str">
        <f>F432</f>
        <v/>
      </c>
      <c r="H410" t="s">
        <v>5</v>
      </c>
      <c r="K410" s="286"/>
      <c r="O410" s="46"/>
      <c r="P410" s="46"/>
      <c r="Q410" s="46"/>
      <c r="R410" s="46"/>
      <c r="S410" s="46"/>
      <c r="T410" s="46"/>
      <c r="U410" s="46"/>
    </row>
    <row r="411" spans="1:21">
      <c r="A411" s="115">
        <f>F429</f>
        <v>1.1877932472380106</v>
      </c>
      <c r="B411" t="s">
        <v>5</v>
      </c>
      <c r="K411" s="286"/>
      <c r="O411" s="46"/>
      <c r="P411" s="46"/>
      <c r="Q411" s="46"/>
      <c r="R411" s="90"/>
      <c r="S411" s="90"/>
      <c r="T411" s="90"/>
      <c r="U411" s="46"/>
    </row>
    <row r="412" spans="1:21">
      <c r="C412" s="2" t="s">
        <v>735</v>
      </c>
      <c r="E412" s="2" t="s">
        <v>737</v>
      </c>
      <c r="G412" t="s">
        <v>739</v>
      </c>
      <c r="I412" s="2" t="s">
        <v>741</v>
      </c>
      <c r="J412" s="2"/>
      <c r="K412" s="286"/>
      <c r="O412" s="46"/>
      <c r="P412" s="224"/>
      <c r="Q412" s="46"/>
      <c r="R412" s="44"/>
      <c r="S412" s="44"/>
      <c r="T412" s="46"/>
      <c r="U412" s="46"/>
    </row>
    <row r="413" spans="1:21">
      <c r="K413" s="286"/>
      <c r="O413" s="46"/>
      <c r="P413" s="224"/>
      <c r="Q413" s="46"/>
      <c r="R413" s="44"/>
      <c r="S413" s="44"/>
      <c r="T413" s="46"/>
      <c r="U413" s="46"/>
    </row>
    <row r="414" spans="1:21">
      <c r="K414" s="286"/>
      <c r="L414" t="s">
        <v>887</v>
      </c>
      <c r="O414" s="46"/>
      <c r="P414" s="224"/>
      <c r="Q414" s="46"/>
      <c r="R414" s="44"/>
      <c r="S414" s="44"/>
      <c r="T414" s="46"/>
      <c r="U414" s="46"/>
    </row>
    <row r="415" spans="1:21">
      <c r="A415" t="s">
        <v>734</v>
      </c>
      <c r="B415" s="17" t="s">
        <v>736</v>
      </c>
      <c r="D415" s="17" t="s">
        <v>738</v>
      </c>
      <c r="F415" s="17" t="s">
        <v>740</v>
      </c>
      <c r="K415" s="286"/>
      <c r="O415" s="46"/>
      <c r="P415" s="224"/>
      <c r="Q415" s="46"/>
      <c r="R415" s="44"/>
      <c r="S415" s="44"/>
      <c r="T415" s="46"/>
      <c r="U415" s="46"/>
    </row>
    <row r="416" spans="1:21">
      <c r="K416" s="286"/>
      <c r="O416" s="46"/>
      <c r="P416" s="224"/>
      <c r="Q416" s="46"/>
      <c r="R416" s="44"/>
      <c r="S416" s="44"/>
      <c r="T416" s="46"/>
      <c r="U416" s="46"/>
    </row>
    <row r="417" spans="1:21">
      <c r="K417" s="286"/>
      <c r="O417" s="46"/>
      <c r="P417" s="224"/>
      <c r="Q417" s="46"/>
      <c r="R417" s="44"/>
      <c r="S417" s="44"/>
      <c r="T417" s="46"/>
      <c r="U417" s="46"/>
    </row>
    <row r="418" spans="1:21">
      <c r="A418" s="2">
        <v>1</v>
      </c>
      <c r="C418" s="18">
        <v>2</v>
      </c>
      <c r="E418" s="18">
        <v>3</v>
      </c>
      <c r="G418" s="18">
        <v>4</v>
      </c>
      <c r="I418" s="2">
        <v>5</v>
      </c>
      <c r="J418" s="2"/>
      <c r="K418" s="286"/>
      <c r="O418" s="46"/>
      <c r="P418" s="224"/>
      <c r="Q418" s="46"/>
      <c r="R418" s="44"/>
      <c r="S418" s="44"/>
      <c r="T418" s="46"/>
      <c r="U418" s="46"/>
    </row>
    <row r="419" spans="1:21">
      <c r="C419" s="2" t="s">
        <v>743</v>
      </c>
      <c r="E419" s="2" t="s">
        <v>744</v>
      </c>
      <c r="G419" t="s">
        <v>745</v>
      </c>
      <c r="K419" s="286"/>
      <c r="O419" s="46"/>
      <c r="P419" s="224"/>
      <c r="Q419" s="46"/>
      <c r="R419" s="44"/>
      <c r="S419" s="44"/>
      <c r="T419" s="46"/>
      <c r="U419" s="46"/>
    </row>
    <row r="420" spans="1:21">
      <c r="A420" t="s">
        <v>742</v>
      </c>
      <c r="K420" s="286"/>
      <c r="O420" s="46"/>
      <c r="P420" s="224"/>
      <c r="Q420" s="46"/>
      <c r="R420" s="44"/>
      <c r="S420" s="44"/>
      <c r="T420" s="46"/>
      <c r="U420" s="46"/>
    </row>
    <row r="421" spans="1:21">
      <c r="K421" s="286"/>
      <c r="L421" s="2"/>
      <c r="M421" s="2"/>
    </row>
    <row r="422" spans="1:21">
      <c r="K422" s="286"/>
      <c r="L422" s="2"/>
      <c r="M422" s="2"/>
    </row>
    <row r="423" spans="1:21">
      <c r="B423" t="s">
        <v>746</v>
      </c>
      <c r="H423" t="s">
        <v>749</v>
      </c>
      <c r="K423" s="286"/>
    </row>
    <row r="424" spans="1:21">
      <c r="D424" t="s">
        <v>747</v>
      </c>
      <c r="F424" t="s">
        <v>748</v>
      </c>
      <c r="K424" s="286"/>
    </row>
    <row r="425" spans="1:21">
      <c r="K425" s="286"/>
    </row>
    <row r="426" spans="1:21">
      <c r="K426" s="286"/>
      <c r="L426" t="s">
        <v>803</v>
      </c>
    </row>
    <row r="427" spans="1:21">
      <c r="A427" s="3069" t="s">
        <v>789</v>
      </c>
      <c r="B427" s="3071"/>
      <c r="C427" s="3196" t="s">
        <v>791</v>
      </c>
      <c r="D427" s="3069" t="s">
        <v>792</v>
      </c>
      <c r="E427" s="3068"/>
      <c r="F427" s="381" t="s">
        <v>756</v>
      </c>
      <c r="G427" s="3069" t="s">
        <v>793</v>
      </c>
      <c r="H427" s="3070"/>
      <c r="I427" s="3071"/>
      <c r="J427" s="775"/>
      <c r="K427" s="286"/>
      <c r="L427" s="3066" t="s">
        <v>753</v>
      </c>
      <c r="M427" s="3068"/>
      <c r="N427" s="3067" t="s">
        <v>755</v>
      </c>
      <c r="O427" s="3068"/>
    </row>
    <row r="428" spans="1:21">
      <c r="A428" s="351" t="s">
        <v>790</v>
      </c>
      <c r="B428" s="256" t="s">
        <v>790</v>
      </c>
      <c r="C428" s="3197"/>
      <c r="D428" s="77" t="s">
        <v>753</v>
      </c>
      <c r="E428" s="156" t="s">
        <v>754</v>
      </c>
      <c r="F428" s="104" t="s">
        <v>757</v>
      </c>
      <c r="G428" s="77" t="s">
        <v>753</v>
      </c>
      <c r="H428" s="104" t="s">
        <v>755</v>
      </c>
      <c r="I428" s="451" t="s">
        <v>794</v>
      </c>
      <c r="J428" s="779"/>
      <c r="K428" s="286"/>
      <c r="L428" s="452" t="s">
        <v>758</v>
      </c>
      <c r="M428" s="453" t="s">
        <v>759</v>
      </c>
      <c r="N428" s="454" t="s">
        <v>758</v>
      </c>
      <c r="O428" s="458" t="s">
        <v>759</v>
      </c>
    </row>
    <row r="429" spans="1:21">
      <c r="A429" s="367">
        <v>1</v>
      </c>
      <c r="B429" s="123">
        <f>A429+1</f>
        <v>2</v>
      </c>
      <c r="C429" s="442">
        <f>G381</f>
        <v>2.25</v>
      </c>
      <c r="D429" s="107">
        <f>-A399+A407*C395</f>
        <v>-173.35107142857143</v>
      </c>
      <c r="E429" s="352">
        <f>IF(A429=G394,-D429,D429+C429*$C$395)</f>
        <v>155.02250000000001</v>
      </c>
      <c r="F429" s="441">
        <f>C429*ABS(D429)/(ABS(D429)+E429)</f>
        <v>1.1877932472380106</v>
      </c>
      <c r="G429" s="107">
        <f>+C396+C395*A407^2/2</f>
        <v>46.309101654684007</v>
      </c>
      <c r="H429" s="103">
        <f>G429+0.5*D429*F429</f>
        <v>-56.643514367481579</v>
      </c>
      <c r="I429" s="155">
        <f>IF(A429&lt;=$G$394,H429+0.5*E429*(C429-F429),"")</f>
        <v>25.689458797541171</v>
      </c>
      <c r="J429" s="107"/>
      <c r="K429" s="286"/>
      <c r="L429" s="352">
        <f>IF(G429&gt;0,G429,"")</f>
        <v>46.309101654684007</v>
      </c>
      <c r="M429" s="379" t="str">
        <f>IF(G429&lt;0,ABS(G429),"")</f>
        <v/>
      </c>
      <c r="N429" s="107" t="str">
        <f>IF(H429&gt;0,H429,"")</f>
        <v/>
      </c>
      <c r="O429" s="103">
        <f>IF(H429&lt;0,ABS(H429),"")</f>
        <v>56.643514367481579</v>
      </c>
    </row>
    <row r="430" spans="1:21">
      <c r="A430" s="367">
        <f>+A429+1</f>
        <v>2</v>
      </c>
      <c r="B430" s="123">
        <f t="shared" ref="B430:B449" si="0">A430+1</f>
        <v>3</v>
      </c>
      <c r="C430" s="442">
        <f t="shared" ref="C430:C448" si="1">IF(A430&lt;=$G$394,IF(A430&lt;$G$394,$G$382,$G$381),"")</f>
        <v>2.25</v>
      </c>
      <c r="D430" s="107">
        <f t="shared" ref="D430:D448" si="2">IF(A430&lt;=$G$394,E429-$G$391,"")</f>
        <v>-155.02250000000001</v>
      </c>
      <c r="E430" s="352">
        <f t="shared" ref="E430:E448" si="3">IF(A430&lt;=$G$394,D430+C430*$C$395,"")</f>
        <v>173.35107142857143</v>
      </c>
      <c r="F430" s="441">
        <f t="shared" ref="F430:F448" si="4">IF(A430&lt;=$G$394,C430*ABS(D430)/(ABS(D430)+E430),"")</f>
        <v>1.0622067527619894</v>
      </c>
      <c r="G430" s="107">
        <f>IF(A430&lt;=$G$394,H429+0.5*E429*(C429-F429),"")</f>
        <v>25.689458797541171</v>
      </c>
      <c r="H430" s="103">
        <f t="shared" ref="H430:H448" si="5">IF(A430&lt;=$G$394,G430+0.5*D430*F430,"")</f>
        <v>-56.643514367481579</v>
      </c>
      <c r="I430" s="155">
        <f t="shared" ref="I430:I448" si="6">IF(A430&lt;=$G$394,H430+0.5*E430*(C430-F430),"")</f>
        <v>46.309101654684007</v>
      </c>
      <c r="J430" s="107"/>
      <c r="K430" s="286"/>
      <c r="L430" s="352">
        <f t="shared" ref="L430:L448" si="7">IF(G430&gt;0,G430,"")</f>
        <v>25.689458797541171</v>
      </c>
      <c r="M430" s="103" t="str">
        <f t="shared" ref="M430:M449" si="8">IF(G430&lt;0,ABS(G430),"")</f>
        <v/>
      </c>
      <c r="N430" s="107" t="str">
        <f t="shared" ref="N430:N449" si="9">IF(H430&gt;0,H430,"")</f>
        <v/>
      </c>
      <c r="O430" s="103">
        <f t="shared" ref="O430:O449" si="10">IF(H430&lt;0,ABS(H430),"")</f>
        <v>56.643514367481579</v>
      </c>
    </row>
    <row r="431" spans="1:21">
      <c r="A431" s="367">
        <f t="shared" ref="A431:A442" si="11">+A430+1</f>
        <v>3</v>
      </c>
      <c r="B431" s="123">
        <f t="shared" si="0"/>
        <v>4</v>
      </c>
      <c r="C431" s="442" t="str">
        <f t="shared" si="1"/>
        <v/>
      </c>
      <c r="D431" s="107" t="str">
        <f t="shared" si="2"/>
        <v/>
      </c>
      <c r="E431" s="446" t="str">
        <f t="shared" si="3"/>
        <v/>
      </c>
      <c r="F431" s="447" t="str">
        <f t="shared" si="4"/>
        <v/>
      </c>
      <c r="G431" s="448" t="str">
        <f t="shared" ref="G431:G449" si="12">IF(A431&lt;=$G$394,H430+0.5*E430*(C430-F430),"")</f>
        <v/>
      </c>
      <c r="H431" s="449" t="str">
        <f t="shared" si="5"/>
        <v/>
      </c>
      <c r="I431" s="450" t="str">
        <f t="shared" si="6"/>
        <v/>
      </c>
      <c r="J431" s="448"/>
      <c r="K431" s="286"/>
      <c r="L431" s="352" t="str">
        <f t="shared" si="7"/>
        <v/>
      </c>
      <c r="M431" s="103" t="str">
        <f t="shared" si="8"/>
        <v/>
      </c>
      <c r="N431" s="107" t="str">
        <f t="shared" si="9"/>
        <v/>
      </c>
      <c r="O431" s="103" t="str">
        <f t="shared" si="10"/>
        <v/>
      </c>
    </row>
    <row r="432" spans="1:21">
      <c r="A432" s="367">
        <f t="shared" si="11"/>
        <v>4</v>
      </c>
      <c r="B432" s="123">
        <f t="shared" si="0"/>
        <v>5</v>
      </c>
      <c r="C432" s="442" t="str">
        <f t="shared" si="1"/>
        <v/>
      </c>
      <c r="D432" s="107" t="str">
        <f t="shared" si="2"/>
        <v/>
      </c>
      <c r="E432" s="446" t="str">
        <f t="shared" si="3"/>
        <v/>
      </c>
      <c r="F432" s="447" t="str">
        <f t="shared" si="4"/>
        <v/>
      </c>
      <c r="G432" s="448" t="str">
        <f t="shared" si="12"/>
        <v/>
      </c>
      <c r="H432" s="449" t="str">
        <f t="shared" si="5"/>
        <v/>
      </c>
      <c r="I432" s="450" t="str">
        <f t="shared" si="6"/>
        <v/>
      </c>
      <c r="J432" s="448"/>
      <c r="K432" s="286"/>
      <c r="L432" s="352" t="str">
        <f t="shared" si="7"/>
        <v/>
      </c>
      <c r="M432" s="103" t="str">
        <f t="shared" si="8"/>
        <v/>
      </c>
      <c r="N432" s="107" t="str">
        <f t="shared" si="9"/>
        <v/>
      </c>
      <c r="O432" s="103" t="str">
        <f t="shared" si="10"/>
        <v/>
      </c>
    </row>
    <row r="433" spans="1:15">
      <c r="A433" s="367">
        <f t="shared" si="11"/>
        <v>5</v>
      </c>
      <c r="B433" s="123">
        <f t="shared" si="0"/>
        <v>6</v>
      </c>
      <c r="C433" s="442" t="str">
        <f t="shared" si="1"/>
        <v/>
      </c>
      <c r="D433" s="107" t="str">
        <f t="shared" si="2"/>
        <v/>
      </c>
      <c r="E433" s="352" t="str">
        <f t="shared" si="3"/>
        <v/>
      </c>
      <c r="F433" s="441" t="str">
        <f t="shared" si="4"/>
        <v/>
      </c>
      <c r="G433" s="107" t="str">
        <f t="shared" si="12"/>
        <v/>
      </c>
      <c r="H433" s="103" t="str">
        <f t="shared" si="5"/>
        <v/>
      </c>
      <c r="I433" s="155" t="str">
        <f t="shared" si="6"/>
        <v/>
      </c>
      <c r="J433" s="107"/>
      <c r="K433" s="286"/>
      <c r="L433" s="352" t="str">
        <f t="shared" si="7"/>
        <v/>
      </c>
      <c r="M433" s="103" t="str">
        <f t="shared" si="8"/>
        <v/>
      </c>
      <c r="N433" s="107" t="str">
        <f t="shared" si="9"/>
        <v/>
      </c>
      <c r="O433" s="103" t="str">
        <f t="shared" si="10"/>
        <v/>
      </c>
    </row>
    <row r="434" spans="1:15">
      <c r="A434" s="367">
        <f t="shared" si="11"/>
        <v>6</v>
      </c>
      <c r="B434" s="123">
        <f t="shared" si="0"/>
        <v>7</v>
      </c>
      <c r="C434" s="442" t="str">
        <f t="shared" si="1"/>
        <v/>
      </c>
      <c r="D434" s="107" t="str">
        <f t="shared" si="2"/>
        <v/>
      </c>
      <c r="E434" s="352" t="str">
        <f t="shared" si="3"/>
        <v/>
      </c>
      <c r="F434" s="441" t="str">
        <f t="shared" si="4"/>
        <v/>
      </c>
      <c r="G434" s="107" t="str">
        <f t="shared" si="12"/>
        <v/>
      </c>
      <c r="H434" s="103" t="str">
        <f t="shared" si="5"/>
        <v/>
      </c>
      <c r="I434" s="155" t="str">
        <f t="shared" si="6"/>
        <v/>
      </c>
      <c r="J434" s="107"/>
      <c r="K434" s="286"/>
      <c r="L434" s="352" t="str">
        <f t="shared" si="7"/>
        <v/>
      </c>
      <c r="M434" s="103" t="str">
        <f t="shared" si="8"/>
        <v/>
      </c>
      <c r="N434" s="107" t="str">
        <f t="shared" si="9"/>
        <v/>
      </c>
      <c r="O434" s="103" t="str">
        <f t="shared" si="10"/>
        <v/>
      </c>
    </row>
    <row r="435" spans="1:15">
      <c r="A435" s="367">
        <f t="shared" si="11"/>
        <v>7</v>
      </c>
      <c r="B435" s="123">
        <f t="shared" si="0"/>
        <v>8</v>
      </c>
      <c r="C435" s="442" t="str">
        <f t="shared" si="1"/>
        <v/>
      </c>
      <c r="D435" s="107" t="str">
        <f t="shared" si="2"/>
        <v/>
      </c>
      <c r="E435" s="352" t="str">
        <f t="shared" si="3"/>
        <v/>
      </c>
      <c r="F435" s="441" t="str">
        <f t="shared" si="4"/>
        <v/>
      </c>
      <c r="G435" s="107" t="str">
        <f t="shared" si="12"/>
        <v/>
      </c>
      <c r="H435" s="103" t="str">
        <f t="shared" si="5"/>
        <v/>
      </c>
      <c r="I435" s="155" t="str">
        <f t="shared" si="6"/>
        <v/>
      </c>
      <c r="J435" s="107"/>
      <c r="K435" s="286"/>
      <c r="L435" s="352" t="str">
        <f t="shared" si="7"/>
        <v/>
      </c>
      <c r="M435" s="103" t="str">
        <f t="shared" si="8"/>
        <v/>
      </c>
      <c r="N435" s="107" t="str">
        <f t="shared" si="9"/>
        <v/>
      </c>
      <c r="O435" s="103" t="str">
        <f t="shared" si="10"/>
        <v/>
      </c>
    </row>
    <row r="436" spans="1:15">
      <c r="A436" s="367">
        <f t="shared" si="11"/>
        <v>8</v>
      </c>
      <c r="B436" s="123">
        <f t="shared" si="0"/>
        <v>9</v>
      </c>
      <c r="C436" s="442" t="str">
        <f t="shared" si="1"/>
        <v/>
      </c>
      <c r="D436" s="107" t="str">
        <f t="shared" si="2"/>
        <v/>
      </c>
      <c r="E436" s="352" t="str">
        <f t="shared" si="3"/>
        <v/>
      </c>
      <c r="F436" s="441" t="str">
        <f t="shared" si="4"/>
        <v/>
      </c>
      <c r="G436" s="107" t="str">
        <f t="shared" si="12"/>
        <v/>
      </c>
      <c r="H436" s="103" t="str">
        <f t="shared" si="5"/>
        <v/>
      </c>
      <c r="I436" s="155" t="str">
        <f t="shared" si="6"/>
        <v/>
      </c>
      <c r="J436" s="107"/>
      <c r="K436" s="286"/>
      <c r="L436" s="352" t="str">
        <f t="shared" si="7"/>
        <v/>
      </c>
      <c r="M436" s="103" t="str">
        <f t="shared" si="8"/>
        <v/>
      </c>
      <c r="N436" s="107" t="str">
        <f t="shared" si="9"/>
        <v/>
      </c>
      <c r="O436" s="103" t="str">
        <f t="shared" si="10"/>
        <v/>
      </c>
    </row>
    <row r="437" spans="1:15">
      <c r="A437" s="367">
        <f t="shared" si="11"/>
        <v>9</v>
      </c>
      <c r="B437" s="123">
        <f t="shared" si="0"/>
        <v>10</v>
      </c>
      <c r="C437" s="442" t="str">
        <f t="shared" si="1"/>
        <v/>
      </c>
      <c r="D437" s="107" t="str">
        <f t="shared" si="2"/>
        <v/>
      </c>
      <c r="E437" s="352" t="str">
        <f t="shared" si="3"/>
        <v/>
      </c>
      <c r="F437" s="441" t="str">
        <f t="shared" si="4"/>
        <v/>
      </c>
      <c r="G437" s="107" t="str">
        <f t="shared" si="12"/>
        <v/>
      </c>
      <c r="H437" s="103" t="str">
        <f t="shared" si="5"/>
        <v/>
      </c>
      <c r="I437" s="155" t="str">
        <f t="shared" si="6"/>
        <v/>
      </c>
      <c r="J437" s="107"/>
      <c r="K437" s="286"/>
      <c r="L437" s="352" t="str">
        <f t="shared" si="7"/>
        <v/>
      </c>
      <c r="M437" s="103" t="str">
        <f t="shared" si="8"/>
        <v/>
      </c>
      <c r="N437" s="107" t="str">
        <f t="shared" si="9"/>
        <v/>
      </c>
      <c r="O437" s="103" t="str">
        <f t="shared" si="10"/>
        <v/>
      </c>
    </row>
    <row r="438" spans="1:15">
      <c r="A438" s="367">
        <f t="shared" si="11"/>
        <v>10</v>
      </c>
      <c r="B438" s="123">
        <f t="shared" si="0"/>
        <v>11</v>
      </c>
      <c r="C438" s="442" t="str">
        <f t="shared" si="1"/>
        <v/>
      </c>
      <c r="D438" s="107" t="str">
        <f t="shared" si="2"/>
        <v/>
      </c>
      <c r="E438" s="352" t="str">
        <f t="shared" si="3"/>
        <v/>
      </c>
      <c r="F438" s="441" t="str">
        <f t="shared" si="4"/>
        <v/>
      </c>
      <c r="G438" s="107" t="str">
        <f t="shared" si="12"/>
        <v/>
      </c>
      <c r="H438" s="103" t="str">
        <f t="shared" si="5"/>
        <v/>
      </c>
      <c r="I438" s="155" t="str">
        <f t="shared" si="6"/>
        <v/>
      </c>
      <c r="J438" s="107"/>
      <c r="K438" s="286"/>
      <c r="L438" s="352" t="str">
        <f t="shared" si="7"/>
        <v/>
      </c>
      <c r="M438" s="103" t="str">
        <f t="shared" si="8"/>
        <v/>
      </c>
      <c r="N438" s="107" t="str">
        <f t="shared" si="9"/>
        <v/>
      </c>
      <c r="O438" s="103" t="str">
        <f t="shared" si="10"/>
        <v/>
      </c>
    </row>
    <row r="439" spans="1:15">
      <c r="A439" s="367">
        <f t="shared" si="11"/>
        <v>11</v>
      </c>
      <c r="B439" s="123">
        <f t="shared" si="0"/>
        <v>12</v>
      </c>
      <c r="C439" s="442" t="str">
        <f t="shared" si="1"/>
        <v/>
      </c>
      <c r="D439" s="107" t="str">
        <f t="shared" si="2"/>
        <v/>
      </c>
      <c r="E439" s="352" t="str">
        <f t="shared" si="3"/>
        <v/>
      </c>
      <c r="F439" s="441" t="str">
        <f t="shared" si="4"/>
        <v/>
      </c>
      <c r="G439" s="107" t="str">
        <f t="shared" si="12"/>
        <v/>
      </c>
      <c r="H439" s="103" t="str">
        <f t="shared" si="5"/>
        <v/>
      </c>
      <c r="I439" s="155" t="str">
        <f t="shared" si="6"/>
        <v/>
      </c>
      <c r="J439" s="107"/>
      <c r="K439" s="286"/>
      <c r="L439" s="352" t="str">
        <f t="shared" si="7"/>
        <v/>
      </c>
      <c r="M439" s="103" t="str">
        <f t="shared" si="8"/>
        <v/>
      </c>
      <c r="N439" s="107" t="str">
        <f t="shared" si="9"/>
        <v/>
      </c>
      <c r="O439" s="103" t="str">
        <f t="shared" si="10"/>
        <v/>
      </c>
    </row>
    <row r="440" spans="1:15">
      <c r="A440" s="367">
        <f t="shared" si="11"/>
        <v>12</v>
      </c>
      <c r="B440" s="123">
        <f t="shared" si="0"/>
        <v>13</v>
      </c>
      <c r="C440" s="442" t="str">
        <f t="shared" si="1"/>
        <v/>
      </c>
      <c r="D440" s="107" t="str">
        <f t="shared" si="2"/>
        <v/>
      </c>
      <c r="E440" s="352" t="str">
        <f t="shared" si="3"/>
        <v/>
      </c>
      <c r="F440" s="441" t="str">
        <f t="shared" si="4"/>
        <v/>
      </c>
      <c r="G440" s="107" t="str">
        <f t="shared" si="12"/>
        <v/>
      </c>
      <c r="H440" s="103" t="str">
        <f t="shared" si="5"/>
        <v/>
      </c>
      <c r="I440" s="155" t="str">
        <f t="shared" si="6"/>
        <v/>
      </c>
      <c r="J440" s="107"/>
      <c r="K440" s="286"/>
      <c r="L440" s="352" t="str">
        <f t="shared" si="7"/>
        <v/>
      </c>
      <c r="M440" s="103" t="str">
        <f t="shared" si="8"/>
        <v/>
      </c>
      <c r="N440" s="107" t="str">
        <f t="shared" si="9"/>
        <v/>
      </c>
      <c r="O440" s="103" t="str">
        <f t="shared" si="10"/>
        <v/>
      </c>
    </row>
    <row r="441" spans="1:15">
      <c r="A441" s="367">
        <f t="shared" si="11"/>
        <v>13</v>
      </c>
      <c r="B441" s="123">
        <f t="shared" si="0"/>
        <v>14</v>
      </c>
      <c r="C441" s="442" t="str">
        <f t="shared" si="1"/>
        <v/>
      </c>
      <c r="D441" s="107" t="str">
        <f t="shared" si="2"/>
        <v/>
      </c>
      <c r="E441" s="352" t="str">
        <f t="shared" si="3"/>
        <v/>
      </c>
      <c r="F441" s="441" t="str">
        <f t="shared" si="4"/>
        <v/>
      </c>
      <c r="G441" s="107" t="str">
        <f t="shared" si="12"/>
        <v/>
      </c>
      <c r="H441" s="103" t="str">
        <f t="shared" si="5"/>
        <v/>
      </c>
      <c r="I441" s="155" t="str">
        <f t="shared" si="6"/>
        <v/>
      </c>
      <c r="J441" s="107"/>
      <c r="K441" s="286"/>
      <c r="L441" s="352" t="str">
        <f t="shared" si="7"/>
        <v/>
      </c>
      <c r="M441" s="103" t="str">
        <f t="shared" si="8"/>
        <v/>
      </c>
      <c r="N441" s="107" t="str">
        <f t="shared" si="9"/>
        <v/>
      </c>
      <c r="O441" s="103" t="str">
        <f t="shared" si="10"/>
        <v/>
      </c>
    </row>
    <row r="442" spans="1:15">
      <c r="A442" s="367">
        <f t="shared" si="11"/>
        <v>14</v>
      </c>
      <c r="B442" s="123">
        <f t="shared" si="0"/>
        <v>15</v>
      </c>
      <c r="C442" s="442" t="str">
        <f t="shared" si="1"/>
        <v/>
      </c>
      <c r="D442" s="107" t="str">
        <f t="shared" si="2"/>
        <v/>
      </c>
      <c r="E442" s="352" t="str">
        <f t="shared" si="3"/>
        <v/>
      </c>
      <c r="F442" s="441" t="str">
        <f t="shared" si="4"/>
        <v/>
      </c>
      <c r="G442" s="107" t="str">
        <f t="shared" si="12"/>
        <v/>
      </c>
      <c r="H442" s="103" t="str">
        <f t="shared" si="5"/>
        <v/>
      </c>
      <c r="I442" s="155" t="str">
        <f t="shared" si="6"/>
        <v/>
      </c>
      <c r="J442" s="107"/>
      <c r="K442" s="286"/>
      <c r="L442" s="352" t="str">
        <f t="shared" si="7"/>
        <v/>
      </c>
      <c r="M442" s="103" t="str">
        <f t="shared" si="8"/>
        <v/>
      </c>
      <c r="N442" s="107" t="str">
        <f t="shared" si="9"/>
        <v/>
      </c>
      <c r="O442" s="103" t="str">
        <f t="shared" si="10"/>
        <v/>
      </c>
    </row>
    <row r="443" spans="1:15">
      <c r="A443" s="367">
        <f t="shared" ref="A443:A449" si="13">+A442+1</f>
        <v>15</v>
      </c>
      <c r="B443" s="123">
        <f t="shared" si="0"/>
        <v>16</v>
      </c>
      <c r="C443" s="442" t="str">
        <f t="shared" si="1"/>
        <v/>
      </c>
      <c r="D443" s="107" t="str">
        <f t="shared" si="2"/>
        <v/>
      </c>
      <c r="E443" s="352" t="str">
        <f t="shared" si="3"/>
        <v/>
      </c>
      <c r="F443" s="441" t="str">
        <f t="shared" si="4"/>
        <v/>
      </c>
      <c r="G443" s="107" t="str">
        <f t="shared" si="12"/>
        <v/>
      </c>
      <c r="H443" s="103" t="str">
        <f t="shared" si="5"/>
        <v/>
      </c>
      <c r="I443" s="155" t="str">
        <f t="shared" si="6"/>
        <v/>
      </c>
      <c r="J443" s="107"/>
      <c r="K443" s="286"/>
      <c r="L443" s="352" t="str">
        <f t="shared" si="7"/>
        <v/>
      </c>
      <c r="M443" s="103" t="str">
        <f t="shared" si="8"/>
        <v/>
      </c>
      <c r="N443" s="107" t="str">
        <f t="shared" si="9"/>
        <v/>
      </c>
      <c r="O443" s="103" t="str">
        <f t="shared" si="10"/>
        <v/>
      </c>
    </row>
    <row r="444" spans="1:15">
      <c r="A444" s="367">
        <f t="shared" si="13"/>
        <v>16</v>
      </c>
      <c r="B444" s="123">
        <f t="shared" si="0"/>
        <v>17</v>
      </c>
      <c r="C444" s="442" t="str">
        <f t="shared" si="1"/>
        <v/>
      </c>
      <c r="D444" s="107" t="str">
        <f t="shared" si="2"/>
        <v/>
      </c>
      <c r="E444" s="352" t="str">
        <f t="shared" si="3"/>
        <v/>
      </c>
      <c r="F444" s="441" t="str">
        <f t="shared" si="4"/>
        <v/>
      </c>
      <c r="G444" s="107" t="str">
        <f t="shared" si="12"/>
        <v/>
      </c>
      <c r="H444" s="103" t="str">
        <f t="shared" si="5"/>
        <v/>
      </c>
      <c r="I444" s="155" t="str">
        <f t="shared" si="6"/>
        <v/>
      </c>
      <c r="J444" s="107"/>
      <c r="K444" s="286"/>
      <c r="L444" s="352" t="str">
        <f t="shared" si="7"/>
        <v/>
      </c>
      <c r="M444" s="103" t="str">
        <f t="shared" si="8"/>
        <v/>
      </c>
      <c r="N444" s="107" t="str">
        <f t="shared" si="9"/>
        <v/>
      </c>
      <c r="O444" s="103" t="str">
        <f t="shared" si="10"/>
        <v/>
      </c>
    </row>
    <row r="445" spans="1:15">
      <c r="A445" s="367">
        <f t="shared" si="13"/>
        <v>17</v>
      </c>
      <c r="B445" s="123">
        <f t="shared" si="0"/>
        <v>18</v>
      </c>
      <c r="C445" s="442" t="str">
        <f t="shared" si="1"/>
        <v/>
      </c>
      <c r="D445" s="107" t="str">
        <f t="shared" si="2"/>
        <v/>
      </c>
      <c r="E445" s="352" t="str">
        <f t="shared" si="3"/>
        <v/>
      </c>
      <c r="F445" s="441" t="str">
        <f t="shared" si="4"/>
        <v/>
      </c>
      <c r="G445" s="107" t="str">
        <f t="shared" si="12"/>
        <v/>
      </c>
      <c r="H445" s="103" t="str">
        <f t="shared" si="5"/>
        <v/>
      </c>
      <c r="I445" s="155" t="str">
        <f t="shared" si="6"/>
        <v/>
      </c>
      <c r="J445" s="107"/>
      <c r="K445" s="286"/>
      <c r="L445" s="352" t="str">
        <f t="shared" si="7"/>
        <v/>
      </c>
      <c r="M445" s="103" t="str">
        <f t="shared" si="8"/>
        <v/>
      </c>
      <c r="N445" s="107" t="str">
        <f t="shared" si="9"/>
        <v/>
      </c>
      <c r="O445" s="103" t="str">
        <f t="shared" si="10"/>
        <v/>
      </c>
    </row>
    <row r="446" spans="1:15">
      <c r="A446" s="367">
        <f t="shared" si="13"/>
        <v>18</v>
      </c>
      <c r="B446" s="123">
        <f t="shared" si="0"/>
        <v>19</v>
      </c>
      <c r="C446" s="442" t="str">
        <f t="shared" si="1"/>
        <v/>
      </c>
      <c r="D446" s="107" t="str">
        <f t="shared" si="2"/>
        <v/>
      </c>
      <c r="E446" s="352" t="str">
        <f t="shared" si="3"/>
        <v/>
      </c>
      <c r="F446" s="441" t="str">
        <f t="shared" si="4"/>
        <v/>
      </c>
      <c r="G446" s="107" t="str">
        <f t="shared" si="12"/>
        <v/>
      </c>
      <c r="H446" s="103" t="str">
        <f t="shared" si="5"/>
        <v/>
      </c>
      <c r="I446" s="155" t="str">
        <f t="shared" si="6"/>
        <v/>
      </c>
      <c r="J446" s="107"/>
      <c r="K446" s="286"/>
      <c r="L446" s="352" t="str">
        <f t="shared" si="7"/>
        <v/>
      </c>
      <c r="M446" s="103" t="str">
        <f t="shared" si="8"/>
        <v/>
      </c>
      <c r="N446" s="107" t="str">
        <f t="shared" si="9"/>
        <v/>
      </c>
      <c r="O446" s="103" t="str">
        <f t="shared" si="10"/>
        <v/>
      </c>
    </row>
    <row r="447" spans="1:15">
      <c r="A447" s="367">
        <f t="shared" si="13"/>
        <v>19</v>
      </c>
      <c r="B447" s="123">
        <f t="shared" si="0"/>
        <v>20</v>
      </c>
      <c r="C447" s="442" t="str">
        <f t="shared" si="1"/>
        <v/>
      </c>
      <c r="D447" s="107" t="str">
        <f t="shared" si="2"/>
        <v/>
      </c>
      <c r="E447" s="352" t="str">
        <f t="shared" si="3"/>
        <v/>
      </c>
      <c r="F447" s="441" t="str">
        <f t="shared" si="4"/>
        <v/>
      </c>
      <c r="G447" s="107" t="str">
        <f t="shared" si="12"/>
        <v/>
      </c>
      <c r="H447" s="103" t="str">
        <f t="shared" si="5"/>
        <v/>
      </c>
      <c r="I447" s="155" t="str">
        <f t="shared" si="6"/>
        <v/>
      </c>
      <c r="J447" s="107"/>
      <c r="K447" s="286"/>
      <c r="L447" s="352" t="str">
        <f t="shared" si="7"/>
        <v/>
      </c>
      <c r="M447" s="103" t="str">
        <f t="shared" si="8"/>
        <v/>
      </c>
      <c r="N447" s="107" t="str">
        <f t="shared" si="9"/>
        <v/>
      </c>
      <c r="O447" s="103" t="str">
        <f t="shared" si="10"/>
        <v/>
      </c>
    </row>
    <row r="448" spans="1:15">
      <c r="A448" s="367">
        <f t="shared" si="13"/>
        <v>20</v>
      </c>
      <c r="B448" s="123">
        <f t="shared" si="0"/>
        <v>21</v>
      </c>
      <c r="C448" s="442" t="str">
        <f t="shared" si="1"/>
        <v/>
      </c>
      <c r="D448" s="107" t="str">
        <f t="shared" si="2"/>
        <v/>
      </c>
      <c r="E448" s="352" t="str">
        <f t="shared" si="3"/>
        <v/>
      </c>
      <c r="F448" s="441" t="str">
        <f t="shared" si="4"/>
        <v/>
      </c>
      <c r="G448" s="107" t="str">
        <f t="shared" si="12"/>
        <v/>
      </c>
      <c r="H448" s="103" t="str">
        <f t="shared" si="5"/>
        <v/>
      </c>
      <c r="I448" s="155" t="str">
        <f t="shared" si="6"/>
        <v/>
      </c>
      <c r="J448" s="107"/>
      <c r="K448" s="286"/>
      <c r="L448" s="352" t="str">
        <f t="shared" si="7"/>
        <v/>
      </c>
      <c r="M448" s="103" t="str">
        <f t="shared" si="8"/>
        <v/>
      </c>
      <c r="N448" s="107" t="str">
        <f t="shared" si="9"/>
        <v/>
      </c>
      <c r="O448" s="103" t="str">
        <f t="shared" si="10"/>
        <v/>
      </c>
    </row>
    <row r="449" spans="1:15">
      <c r="A449" s="156">
        <f t="shared" si="13"/>
        <v>21</v>
      </c>
      <c r="B449" s="104">
        <f t="shared" si="0"/>
        <v>22</v>
      </c>
      <c r="C449" s="60"/>
      <c r="D449" s="59"/>
      <c r="E449" s="91"/>
      <c r="F449" s="106"/>
      <c r="G449" s="121" t="str">
        <f t="shared" si="12"/>
        <v/>
      </c>
      <c r="H449" s="106"/>
      <c r="I449" s="60"/>
      <c r="J449" s="16"/>
      <c r="K449" s="286"/>
      <c r="L449" s="353" t="str">
        <f t="shared" ref="L449" si="14">IF(G449&gt;0,G449,"")</f>
        <v/>
      </c>
      <c r="M449" s="138" t="str">
        <f t="shared" si="8"/>
        <v/>
      </c>
      <c r="N449" s="121" t="str">
        <f t="shared" si="9"/>
        <v/>
      </c>
      <c r="O449" s="138" t="str">
        <f t="shared" si="10"/>
        <v/>
      </c>
    </row>
    <row r="450" spans="1:15">
      <c r="K450" s="286"/>
      <c r="L450" s="455">
        <f>MAX(L429:L449)</f>
        <v>46.309101654684007</v>
      </c>
      <c r="M450" s="457">
        <f t="shared" ref="M450:O450" si="15">MAX(M429:M449)</f>
        <v>0</v>
      </c>
      <c r="N450" s="456">
        <f t="shared" si="15"/>
        <v>0</v>
      </c>
      <c r="O450" s="457">
        <f t="shared" si="15"/>
        <v>56.643514367481579</v>
      </c>
    </row>
    <row r="451" spans="1:15">
      <c r="K451" s="286"/>
    </row>
    <row r="452" spans="1:15">
      <c r="A452" t="s">
        <v>760</v>
      </c>
      <c r="D452" s="33">
        <f>MAX(L450,N450)</f>
        <v>46.309101654684007</v>
      </c>
      <c r="E452" t="s">
        <v>620</v>
      </c>
      <c r="F452" t="s">
        <v>357</v>
      </c>
      <c r="I452">
        <f>B71</f>
        <v>1200</v>
      </c>
      <c r="J452" s="187" t="s">
        <v>98</v>
      </c>
      <c r="K452" s="286"/>
    </row>
    <row r="453" spans="1:15">
      <c r="A453" t="s">
        <v>761</v>
      </c>
      <c r="D453" s="33">
        <f>MAX(M450,O450)</f>
        <v>56.643514367481579</v>
      </c>
      <c r="E453" t="s">
        <v>620</v>
      </c>
      <c r="F453" s="187" t="str">
        <f>"Depth,  d = "&amp;I452&amp;" - "&amp;I16&amp;" - "&amp;D484&amp;" / 2 ="</f>
        <v>Depth,  d = 1200 - 60 - 20 / 2 =</v>
      </c>
      <c r="I453">
        <f>I452-I16-D484/2</f>
        <v>1130</v>
      </c>
      <c r="J453" t="s">
        <v>98</v>
      </c>
      <c r="K453" s="286"/>
    </row>
    <row r="454" spans="1:15">
      <c r="A454" t="s">
        <v>762</v>
      </c>
      <c r="D454" s="33">
        <f>MAX(MAX(D429:D448),MAX(E429:E448))</f>
        <v>173.35107142857143</v>
      </c>
      <c r="E454" t="s">
        <v>341</v>
      </c>
      <c r="F454" s="187" t="s">
        <v>2136</v>
      </c>
      <c r="I454">
        <f>I453-I18</f>
        <v>1130</v>
      </c>
      <c r="J454" t="s">
        <v>98</v>
      </c>
      <c r="K454" s="286"/>
    </row>
    <row r="455" spans="1:15">
      <c r="J455" s="46"/>
      <c r="K455" s="286"/>
    </row>
    <row r="456" spans="1:15">
      <c r="A456" s="187" t="s">
        <v>541</v>
      </c>
      <c r="D456" s="187"/>
      <c r="G456" s="9">
        <f>(D454*10^3)/(C27*1000)</f>
        <v>406.13816054487933</v>
      </c>
      <c r="H456" t="s">
        <v>98</v>
      </c>
      <c r="I456" s="126" t="str">
        <f>IF(I453&gt;=G456,"ok","Not ok")</f>
        <v>ok</v>
      </c>
      <c r="J456" s="46"/>
      <c r="K456" s="286"/>
    </row>
    <row r="457" spans="1:15">
      <c r="A457" s="187" t="s">
        <v>579</v>
      </c>
      <c r="D457" s="187"/>
      <c r="G457" s="9">
        <f>((MAX(D452:D453)*10^6)/(C26*1000))^0.5</f>
        <v>199.01346896708941</v>
      </c>
      <c r="H457" t="s">
        <v>98</v>
      </c>
      <c r="I457" s="207" t="str">
        <f>IF(I453&gt;=G457,"ok","Not ok")</f>
        <v>ok</v>
      </c>
      <c r="J457" s="109"/>
      <c r="K457" s="286"/>
    </row>
    <row r="458" spans="1:15">
      <c r="A458" s="187" t="s">
        <v>763</v>
      </c>
      <c r="D458" s="2"/>
      <c r="G458" s="9">
        <f>(D453*10^6)/(C21*C25*I453)</f>
        <v>301.63112888002246</v>
      </c>
      <c r="H458" t="s">
        <v>104</v>
      </c>
      <c r="J458" s="46"/>
      <c r="K458" s="286"/>
    </row>
    <row r="459" spans="1:15">
      <c r="A459" s="187" t="s">
        <v>764</v>
      </c>
      <c r="D459" s="2"/>
      <c r="G459" s="9">
        <f>(D452*10^6)/(C21*C25*I454)</f>
        <v>246.59957570607733</v>
      </c>
      <c r="H459" t="s">
        <v>104</v>
      </c>
      <c r="K459" s="286"/>
    </row>
    <row r="460" spans="1:15">
      <c r="K460" s="286"/>
    </row>
    <row r="461" spans="1:15" ht="14.25">
      <c r="B461" s="243" t="s">
        <v>545</v>
      </c>
      <c r="C461" s="241" t="s">
        <v>440</v>
      </c>
      <c r="D461" s="16"/>
      <c r="E461" s="241" t="s">
        <v>441</v>
      </c>
      <c r="F461" s="16">
        <f>IF(C35&lt;=9,G40,G45)</f>
        <v>1.5E-3</v>
      </c>
      <c r="G461" s="241" t="s">
        <v>438</v>
      </c>
      <c r="K461" s="286"/>
    </row>
    <row r="462" spans="1:15" ht="14.25">
      <c r="B462" s="16"/>
      <c r="C462" s="16"/>
      <c r="D462" s="16"/>
      <c r="E462" s="241" t="s">
        <v>442</v>
      </c>
      <c r="F462" s="16">
        <f>IF(E75&lt;=9,G40,G45)</f>
        <v>2E-3</v>
      </c>
      <c r="G462" s="241" t="s">
        <v>438</v>
      </c>
      <c r="K462" s="286"/>
    </row>
    <row r="463" spans="1:15">
      <c r="B463" s="16"/>
      <c r="C463" s="16"/>
      <c r="D463" s="16"/>
      <c r="E463" s="16"/>
      <c r="F463" s="16"/>
      <c r="G463" s="241"/>
      <c r="K463" s="286"/>
    </row>
    <row r="464" spans="1:15" ht="14.25">
      <c r="B464" s="16"/>
      <c r="C464" s="241" t="s">
        <v>443</v>
      </c>
      <c r="D464" s="16"/>
      <c r="E464" s="241" t="s">
        <v>441</v>
      </c>
      <c r="F464" s="16">
        <f>IF(C35&lt;=9,G38,G43)</f>
        <v>1E-3</v>
      </c>
      <c r="G464" s="241" t="s">
        <v>438</v>
      </c>
      <c r="K464" s="286"/>
    </row>
    <row r="465" spans="1:16" ht="14.25">
      <c r="B465" s="16"/>
      <c r="C465" s="16"/>
      <c r="D465" s="16"/>
      <c r="E465" s="241" t="s">
        <v>442</v>
      </c>
      <c r="F465" s="16">
        <f>IF(E75&lt;=9,G38,G43)</f>
        <v>1.5E-3</v>
      </c>
      <c r="G465" s="241" t="s">
        <v>438</v>
      </c>
      <c r="K465" s="286"/>
    </row>
    <row r="466" spans="1:16">
      <c r="K466" s="286"/>
    </row>
    <row r="467" spans="1:16">
      <c r="A467" s="255" t="s">
        <v>771</v>
      </c>
      <c r="G467" s="107"/>
      <c r="H467" s="107"/>
      <c r="K467" s="286"/>
    </row>
    <row r="468" spans="1:16">
      <c r="K468" s="286"/>
    </row>
    <row r="469" spans="1:16">
      <c r="A469" s="3147" t="s">
        <v>486</v>
      </c>
      <c r="B469" s="3148" t="s">
        <v>487</v>
      </c>
      <c r="C469" s="3148" t="s">
        <v>488</v>
      </c>
      <c r="D469" s="3148" t="s">
        <v>489</v>
      </c>
      <c r="E469" s="3149" t="s">
        <v>490</v>
      </c>
      <c r="F469" s="3150"/>
      <c r="G469" s="3150"/>
      <c r="H469" s="3150"/>
      <c r="I469" s="3150"/>
      <c r="J469" s="496"/>
      <c r="K469" s="286"/>
    </row>
    <row r="470" spans="1:16">
      <c r="A470" s="3147"/>
      <c r="B470" s="3148"/>
      <c r="C470" s="3148"/>
      <c r="D470" s="3148"/>
      <c r="E470" s="94">
        <v>12</v>
      </c>
      <c r="F470" s="94">
        <v>16</v>
      </c>
      <c r="G470" s="94">
        <v>20</v>
      </c>
      <c r="H470" s="94">
        <v>22</v>
      </c>
      <c r="I470" s="94">
        <v>25</v>
      </c>
      <c r="J470" s="75"/>
      <c r="K470" s="286"/>
    </row>
    <row r="471" spans="1:16" ht="14.25">
      <c r="A471" s="172"/>
      <c r="B471" s="256" t="s">
        <v>491</v>
      </c>
      <c r="C471" s="256" t="s">
        <v>491</v>
      </c>
      <c r="D471" s="256" t="s">
        <v>491</v>
      </c>
      <c r="E471" s="436" t="s">
        <v>98</v>
      </c>
      <c r="F471" s="436" t="s">
        <v>98</v>
      </c>
      <c r="G471" s="436" t="s">
        <v>98</v>
      </c>
      <c r="H471" s="436" t="s">
        <v>98</v>
      </c>
      <c r="I471" s="436" t="s">
        <v>98</v>
      </c>
      <c r="J471" s="759"/>
      <c r="K471" s="286"/>
    </row>
    <row r="472" spans="1:16">
      <c r="A472" s="258" t="s">
        <v>440</v>
      </c>
      <c r="B472" s="55"/>
      <c r="C472" s="55"/>
      <c r="D472" s="55"/>
      <c r="E472" s="55"/>
      <c r="F472" s="55"/>
      <c r="G472" s="55"/>
      <c r="H472" s="55"/>
      <c r="I472" s="56"/>
      <c r="J472" s="386"/>
      <c r="K472" s="286"/>
    </row>
    <row r="473" spans="1:16">
      <c r="A473" s="259" t="s">
        <v>441</v>
      </c>
      <c r="B473" s="318">
        <f>G458</f>
        <v>301.63112888002246</v>
      </c>
      <c r="C473" s="318">
        <f>IF(I452&gt;380,F461*1000*380,F461*1000*I452)</f>
        <v>570</v>
      </c>
      <c r="D473" s="318">
        <f>MAX(B473:C473)</f>
        <v>570</v>
      </c>
      <c r="E473" s="261">
        <f>PI()*(E470/2)^2*1000/$D473</f>
        <v>198.41637812146064</v>
      </c>
      <c r="F473" s="261">
        <f>PI()*(F470/2)^2*1000/$D473</f>
        <v>352.74022777148554</v>
      </c>
      <c r="G473" s="261">
        <f>PI()*(G470/2)^2*1000/$D473</f>
        <v>551.15660589294623</v>
      </c>
      <c r="H473" s="261">
        <f>PI()*(H470/2)^2*1000/$D473</f>
        <v>666.89949313046486</v>
      </c>
      <c r="I473" s="283">
        <f>PI()*(I470/2)^2*1000/$D473</f>
        <v>861.18219670772839</v>
      </c>
      <c r="J473" s="328"/>
      <c r="K473" s="286"/>
    </row>
    <row r="474" spans="1:16">
      <c r="A474" s="262" t="s">
        <v>442</v>
      </c>
      <c r="B474" s="319"/>
      <c r="C474" s="318">
        <f>IF(I452&gt;380,F462*1000*380,F462*1000*I452)</f>
        <v>760</v>
      </c>
      <c r="D474" s="319">
        <f>MAX(B474:C474)</f>
        <v>760</v>
      </c>
      <c r="E474" s="261">
        <f>PI()*(E470/2)^2*1000/$D474</f>
        <v>148.81228359109548</v>
      </c>
      <c r="F474" s="261">
        <f>PI()*(F470/2)^2*1000/$D474</f>
        <v>264.55517082861417</v>
      </c>
      <c r="G474" s="261">
        <f>PI()*(G470/2)^2*1000/$D474</f>
        <v>413.36745441970965</v>
      </c>
      <c r="H474" s="261">
        <f>PI()*(H470/2)^2*1000/$D474</f>
        <v>500.17461984784865</v>
      </c>
      <c r="I474" s="283">
        <f>PI()*(I470/2)^2*1000/$D474</f>
        <v>645.88664753079627</v>
      </c>
      <c r="J474" s="328"/>
      <c r="K474" s="286"/>
    </row>
    <row r="475" spans="1:16">
      <c r="A475" s="264" t="s">
        <v>443</v>
      </c>
      <c r="B475" s="265"/>
      <c r="C475" s="322"/>
      <c r="D475" s="322"/>
      <c r="E475" s="266"/>
      <c r="F475" s="266"/>
      <c r="G475" s="266"/>
      <c r="H475" s="266"/>
      <c r="I475" s="267"/>
      <c r="J475" s="330"/>
      <c r="K475" s="286"/>
    </row>
    <row r="476" spans="1:16">
      <c r="A476" s="259" t="s">
        <v>441</v>
      </c>
      <c r="B476" s="318">
        <f>G459</f>
        <v>246.59957570607733</v>
      </c>
      <c r="C476" s="318">
        <f>IF(I452&gt;380,F464*1000*380,F464*1000*I452)</f>
        <v>380</v>
      </c>
      <c r="D476" s="318">
        <f>MAX(B476:C476)</f>
        <v>380</v>
      </c>
      <c r="E476" s="261">
        <f>PI()*(E470/2)^2*1000/$D476</f>
        <v>297.62456718219096</v>
      </c>
      <c r="F476" s="261">
        <f>PI()*(F470/2)^2*1000/$D476</f>
        <v>529.11034165722833</v>
      </c>
      <c r="G476" s="261">
        <f>PI()*(G470/2)^2*1000/$D476</f>
        <v>826.73490883941929</v>
      </c>
      <c r="H476" s="261">
        <f>PI()*(H470/2)^2*1000/$D476</f>
        <v>1000.3492396956973</v>
      </c>
      <c r="I476" s="283">
        <f>PI()*(I470/2)^2*1000/$D476</f>
        <v>1291.7732950615925</v>
      </c>
      <c r="J476" s="328"/>
      <c r="K476" s="286"/>
    </row>
    <row r="477" spans="1:16">
      <c r="A477" s="262" t="s">
        <v>442</v>
      </c>
      <c r="B477" s="263"/>
      <c r="C477" s="319">
        <f>IF(I452&gt;380,F465*1000*380,F465*1000*I452)</f>
        <v>570</v>
      </c>
      <c r="D477" s="319">
        <f>MAX(B477:C477)</f>
        <v>570</v>
      </c>
      <c r="E477" s="284">
        <f>PI()*(E470/2)^2*1000/$D477</f>
        <v>198.41637812146064</v>
      </c>
      <c r="F477" s="284">
        <f>PI()*(F470/2)^2*1000/$D477</f>
        <v>352.74022777148554</v>
      </c>
      <c r="G477" s="284">
        <f>PI()*(G470/2)^2*1000/$D477</f>
        <v>551.15660589294623</v>
      </c>
      <c r="H477" s="284">
        <f>PI()*(H470/2)^2*1000/$D477</f>
        <v>666.89949313046486</v>
      </c>
      <c r="I477" s="285">
        <f>PI()*(I470/2)^2*1000/$D477</f>
        <v>861.18219670772839</v>
      </c>
      <c r="J477" s="328"/>
      <c r="K477" s="286"/>
      <c r="L477" s="3173" t="s">
        <v>1140</v>
      </c>
      <c r="M477" s="3174"/>
      <c r="N477" s="3174"/>
      <c r="O477" s="3174"/>
      <c r="P477" s="3175"/>
    </row>
    <row r="478" spans="1:16">
      <c r="K478" s="286"/>
      <c r="L478" s="3169" t="s">
        <v>486</v>
      </c>
      <c r="M478" s="3171" t="s">
        <v>442</v>
      </c>
      <c r="N478" s="3176"/>
      <c r="O478" s="3176"/>
      <c r="P478" s="3172"/>
    </row>
    <row r="479" spans="1:16">
      <c r="K479" s="286"/>
      <c r="L479" s="3170"/>
      <c r="M479" s="3171" t="s">
        <v>440</v>
      </c>
      <c r="N479" s="3172"/>
      <c r="O479" s="3171" t="s">
        <v>443</v>
      </c>
      <c r="P479" s="3172"/>
    </row>
    <row r="480" spans="1:16">
      <c r="B480" s="258" t="s">
        <v>440</v>
      </c>
      <c r="C480" s="55"/>
      <c r="D480" s="252"/>
      <c r="E480" s="55"/>
      <c r="F480" s="55"/>
      <c r="G480" s="56"/>
      <c r="K480" s="286"/>
      <c r="L480" s="3170"/>
      <c r="M480" s="926" t="s">
        <v>709</v>
      </c>
      <c r="N480" s="902" t="s">
        <v>710</v>
      </c>
      <c r="O480" s="902" t="s">
        <v>709</v>
      </c>
      <c r="P480" s="928" t="s">
        <v>710</v>
      </c>
    </row>
    <row r="481" spans="1:16" ht="15.75">
      <c r="B481" s="259" t="s">
        <v>441</v>
      </c>
      <c r="C481" s="268" t="s">
        <v>136</v>
      </c>
      <c r="D481" s="269">
        <v>16</v>
      </c>
      <c r="E481" s="270" t="s">
        <v>481</v>
      </c>
      <c r="F481" s="271">
        <v>200</v>
      </c>
      <c r="G481" s="272" t="s">
        <v>482</v>
      </c>
      <c r="K481" s="286"/>
      <c r="L481" s="2581" t="s">
        <v>2026</v>
      </c>
      <c r="M481" s="2582">
        <f>Barrel!D245</f>
        <v>16</v>
      </c>
      <c r="N481" s="2583">
        <f>Barrel!F245</f>
        <v>200</v>
      </c>
      <c r="O481" s="2582">
        <f>Barrel!D248</f>
        <v>16</v>
      </c>
      <c r="P481" s="2584">
        <f>Barrel!F248</f>
        <v>250</v>
      </c>
    </row>
    <row r="482" spans="1:16" ht="15.75">
      <c r="B482" s="262" t="s">
        <v>442</v>
      </c>
      <c r="C482" s="278" t="s">
        <v>136</v>
      </c>
      <c r="D482" s="279">
        <v>16</v>
      </c>
      <c r="E482" s="280" t="s">
        <v>481</v>
      </c>
      <c r="F482" s="281">
        <v>200</v>
      </c>
      <c r="G482" s="282" t="s">
        <v>482</v>
      </c>
      <c r="K482" s="286"/>
      <c r="L482" s="2577" t="s">
        <v>2040</v>
      </c>
      <c r="M482" s="2578">
        <f>D482</f>
        <v>16</v>
      </c>
      <c r="N482" s="2579">
        <f>F482</f>
        <v>200</v>
      </c>
      <c r="O482" s="2578">
        <f>D485</f>
        <v>16</v>
      </c>
      <c r="P482" s="2580">
        <f>F485</f>
        <v>250</v>
      </c>
    </row>
    <row r="483" spans="1:16" ht="15">
      <c r="B483" s="264" t="s">
        <v>443</v>
      </c>
      <c r="C483" s="273"/>
      <c r="D483" s="274"/>
      <c r="E483" s="275"/>
      <c r="F483" s="276"/>
      <c r="G483" s="277"/>
      <c r="K483" s="286"/>
      <c r="L483" s="900" t="s">
        <v>2041</v>
      </c>
      <c r="M483" s="901">
        <f>'RS gate'!D483</f>
        <v>16</v>
      </c>
      <c r="N483" s="888">
        <f>'RS gate'!F483</f>
        <v>200</v>
      </c>
      <c r="O483" s="901">
        <f>'RS gate'!D486</f>
        <v>16</v>
      </c>
      <c r="P483" s="889">
        <f>'RS gate'!F486</f>
        <v>250</v>
      </c>
    </row>
    <row r="484" spans="1:16" ht="15.75">
      <c r="B484" s="259" t="s">
        <v>441</v>
      </c>
      <c r="C484" s="268" t="s">
        <v>136</v>
      </c>
      <c r="D484" s="3047">
        <f>D242</f>
        <v>20</v>
      </c>
      <c r="E484" s="270" t="s">
        <v>481</v>
      </c>
      <c r="F484" s="941">
        <f>F242</f>
        <v>200</v>
      </c>
      <c r="G484" s="272" t="s">
        <v>482</v>
      </c>
      <c r="K484" s="286"/>
    </row>
    <row r="485" spans="1:16" ht="15.75">
      <c r="B485" s="262" t="s">
        <v>442</v>
      </c>
      <c r="C485" s="278" t="s">
        <v>136</v>
      </c>
      <c r="D485" s="279">
        <v>16</v>
      </c>
      <c r="E485" s="280" t="s">
        <v>481</v>
      </c>
      <c r="F485" s="281">
        <v>250</v>
      </c>
      <c r="G485" s="282" t="s">
        <v>482</v>
      </c>
      <c r="K485" s="286"/>
    </row>
    <row r="486" spans="1:16">
      <c r="K486" s="286"/>
    </row>
    <row r="487" spans="1:16">
      <c r="K487" s="286"/>
    </row>
    <row r="488" spans="1:16">
      <c r="A488" s="286"/>
      <c r="B488" s="286"/>
      <c r="C488" s="286"/>
      <c r="D488" s="286"/>
      <c r="E488" s="286"/>
      <c r="F488" s="286"/>
      <c r="G488" s="286"/>
      <c r="H488" s="286"/>
      <c r="I488" s="286"/>
      <c r="J488" s="286"/>
      <c r="K488" s="286"/>
    </row>
    <row r="494" spans="1:16">
      <c r="K494" s="286"/>
    </row>
    <row r="495" spans="1:16">
      <c r="A495" s="17" t="s">
        <v>1376</v>
      </c>
      <c r="B495" s="36">
        <f>F86</f>
        <v>17.82</v>
      </c>
      <c r="C495" s="17" t="s">
        <v>1376</v>
      </c>
      <c r="D495" s="36">
        <f>F86</f>
        <v>17.82</v>
      </c>
      <c r="E495" s="17" t="s">
        <v>1376</v>
      </c>
      <c r="F495" s="36">
        <f>F86</f>
        <v>17.82</v>
      </c>
      <c r="G495" s="17" t="s">
        <v>1376</v>
      </c>
      <c r="H495" s="36">
        <f>F86</f>
        <v>17.82</v>
      </c>
      <c r="J495" s="36"/>
      <c r="K495" s="286"/>
    </row>
    <row r="496" spans="1:16">
      <c r="A496" s="17" t="s">
        <v>1375</v>
      </c>
      <c r="B496" s="36">
        <f>F88</f>
        <v>205.8</v>
      </c>
      <c r="C496" s="17" t="s">
        <v>1375</v>
      </c>
      <c r="D496" s="36">
        <f>F88</f>
        <v>205.8</v>
      </c>
      <c r="E496" s="17" t="s">
        <v>1375</v>
      </c>
      <c r="F496" s="36">
        <f>F88</f>
        <v>205.8</v>
      </c>
      <c r="G496" s="17" t="s">
        <v>1375</v>
      </c>
      <c r="H496" s="36">
        <f>F88</f>
        <v>205.8</v>
      </c>
      <c r="K496" s="286"/>
    </row>
    <row r="497" spans="1:11">
      <c r="A497" t="s">
        <v>642</v>
      </c>
      <c r="K497" s="286"/>
    </row>
    <row r="498" spans="1:11">
      <c r="I498" s="17" t="s">
        <v>642</v>
      </c>
      <c r="J498" s="17"/>
      <c r="K498" s="286"/>
    </row>
    <row r="499" spans="1:11">
      <c r="K499" s="286"/>
    </row>
    <row r="500" spans="1:11">
      <c r="B500" s="10">
        <f>G80</f>
        <v>2.25</v>
      </c>
      <c r="D500" s="10">
        <f>G81</f>
        <v>2.25</v>
      </c>
      <c r="F500" s="36">
        <f>D500</f>
        <v>2.25</v>
      </c>
      <c r="H500" s="36">
        <f>B500</f>
        <v>2.25</v>
      </c>
      <c r="K500" s="286"/>
    </row>
    <row r="501" spans="1:11">
      <c r="I501" s="36"/>
      <c r="K501" s="286"/>
    </row>
    <row r="502" spans="1:11">
      <c r="F502" s="36"/>
      <c r="K502" s="286"/>
    </row>
    <row r="503" spans="1:11">
      <c r="F503" s="36"/>
      <c r="K503" s="286"/>
    </row>
    <row r="504" spans="1:11">
      <c r="F504" s="36"/>
      <c r="K504" s="286"/>
    </row>
    <row r="505" spans="1:11">
      <c r="F505" s="36"/>
      <c r="K505" s="286"/>
    </row>
    <row r="506" spans="1:11">
      <c r="F506" s="36"/>
      <c r="K506" s="286"/>
    </row>
    <row r="507" spans="1:11">
      <c r="F507" s="36"/>
      <c r="K507" s="286"/>
    </row>
    <row r="508" spans="1:11">
      <c r="F508" s="36"/>
      <c r="K508" s="286"/>
    </row>
    <row r="509" spans="1:11">
      <c r="F509" s="36"/>
      <c r="K509" s="286"/>
    </row>
    <row r="510" spans="1:11">
      <c r="F510" s="36"/>
      <c r="K510" s="286"/>
    </row>
    <row r="511" spans="1:11">
      <c r="F511" s="36"/>
      <c r="K511" s="286"/>
    </row>
    <row r="512" spans="1:11">
      <c r="F512" s="36"/>
      <c r="K512" s="286"/>
    </row>
    <row r="513" spans="1:11">
      <c r="F513" s="36"/>
      <c r="K513" s="286"/>
    </row>
    <row r="514" spans="1:11">
      <c r="F514" s="36"/>
      <c r="K514" s="286"/>
    </row>
    <row r="515" spans="1:11">
      <c r="F515" s="36"/>
      <c r="K515" s="286"/>
    </row>
    <row r="516" spans="1:11">
      <c r="F516" s="36"/>
      <c r="K516" s="286"/>
    </row>
    <row r="517" spans="1:11">
      <c r="F517" s="36"/>
      <c r="K517" s="286"/>
    </row>
    <row r="518" spans="1:11">
      <c r="F518" s="36"/>
      <c r="K518" s="286"/>
    </row>
    <row r="519" spans="1:11">
      <c r="F519" s="36"/>
      <c r="K519" s="286"/>
    </row>
    <row r="520" spans="1:11">
      <c r="F520" s="36"/>
      <c r="K520" s="286"/>
    </row>
    <row r="521" spans="1:11">
      <c r="K521" s="286"/>
    </row>
    <row r="522" spans="1:11">
      <c r="A522" s="2">
        <v>1</v>
      </c>
      <c r="C522" s="18">
        <v>2</v>
      </c>
      <c r="E522" s="2">
        <v>3</v>
      </c>
      <c r="G522" s="18">
        <v>4</v>
      </c>
      <c r="H522">
        <v>5</v>
      </c>
      <c r="K522" s="286"/>
    </row>
    <row r="523" spans="1:11">
      <c r="A523" s="85">
        <f>C174/2</f>
        <v>0</v>
      </c>
      <c r="B523" s="115">
        <f>C545</f>
        <v>0</v>
      </c>
      <c r="C523" s="115"/>
      <c r="D523" s="85">
        <f>C546</f>
        <v>0</v>
      </c>
      <c r="E523" s="115"/>
      <c r="F523" s="85">
        <f>C547</f>
        <v>0</v>
      </c>
      <c r="G523" s="115"/>
      <c r="H523" s="85">
        <f>C548</f>
        <v>0</v>
      </c>
      <c r="I523">
        <f>C174/2</f>
        <v>0</v>
      </c>
      <c r="K523" s="286"/>
    </row>
    <row r="524" spans="1:11">
      <c r="K524" s="286"/>
    </row>
    <row r="525" spans="1:11">
      <c r="K525" s="286"/>
    </row>
    <row r="526" spans="1:11">
      <c r="C526" s="115">
        <f>F546</f>
        <v>0</v>
      </c>
      <c r="D526" t="s">
        <v>5</v>
      </c>
      <c r="E526" s="84">
        <f>F547</f>
        <v>0</v>
      </c>
      <c r="F526" t="s">
        <v>5</v>
      </c>
      <c r="G526" s="115">
        <f>F548</f>
        <v>0</v>
      </c>
      <c r="H526" t="s">
        <v>5</v>
      </c>
      <c r="K526" s="286"/>
    </row>
    <row r="527" spans="1:11">
      <c r="A527" s="115">
        <f>F545</f>
        <v>0</v>
      </c>
      <c r="B527" t="s">
        <v>5</v>
      </c>
      <c r="K527" s="286"/>
    </row>
    <row r="528" spans="1:11">
      <c r="C528" s="2" t="s">
        <v>735</v>
      </c>
      <c r="E528" s="2" t="s">
        <v>737</v>
      </c>
      <c r="G528" t="s">
        <v>739</v>
      </c>
      <c r="I528" s="2" t="s">
        <v>741</v>
      </c>
      <c r="J528" s="2"/>
      <c r="K528" s="286"/>
    </row>
    <row r="529" spans="1:11">
      <c r="K529" s="286"/>
    </row>
    <row r="530" spans="1:11">
      <c r="K530" s="286"/>
    </row>
    <row r="531" spans="1:11">
      <c r="A531" t="s">
        <v>734</v>
      </c>
      <c r="B531" s="17" t="s">
        <v>736</v>
      </c>
      <c r="D531" s="17" t="s">
        <v>738</v>
      </c>
      <c r="F531" s="17" t="s">
        <v>740</v>
      </c>
      <c r="K531" s="286"/>
    </row>
    <row r="532" spans="1:11">
      <c r="K532" s="286"/>
    </row>
    <row r="533" spans="1:11">
      <c r="K533" s="286"/>
    </row>
    <row r="534" spans="1:11">
      <c r="A534" s="2">
        <v>1</v>
      </c>
      <c r="C534" s="18">
        <v>2</v>
      </c>
      <c r="E534" s="18">
        <v>3</v>
      </c>
      <c r="G534" s="18">
        <v>4</v>
      </c>
      <c r="I534" s="2">
        <v>5</v>
      </c>
      <c r="J534" s="2"/>
      <c r="K534" s="286"/>
    </row>
    <row r="535" spans="1:11">
      <c r="C535" s="2" t="s">
        <v>743</v>
      </c>
      <c r="E535" s="2" t="s">
        <v>744</v>
      </c>
      <c r="G535" t="s">
        <v>745</v>
      </c>
      <c r="K535" s="286"/>
    </row>
    <row r="536" spans="1:11">
      <c r="A536" t="s">
        <v>742</v>
      </c>
      <c r="K536" s="286"/>
    </row>
    <row r="537" spans="1:11">
      <c r="K537" s="286"/>
    </row>
    <row r="538" spans="1:11">
      <c r="K538" s="286"/>
    </row>
    <row r="539" spans="1:11">
      <c r="B539" t="s">
        <v>746</v>
      </c>
      <c r="H539" t="s">
        <v>749</v>
      </c>
      <c r="K539" s="286"/>
    </row>
    <row r="540" spans="1:11">
      <c r="D540" t="s">
        <v>747</v>
      </c>
      <c r="F540" t="s">
        <v>748</v>
      </c>
      <c r="K540" s="286"/>
    </row>
  </sheetData>
  <sheetProtection selectLockedCells="1"/>
  <mergeCells count="46">
    <mergeCell ref="L477:P477"/>
    <mergeCell ref="L478:L480"/>
    <mergeCell ref="M478:P478"/>
    <mergeCell ref="M479:N479"/>
    <mergeCell ref="O479:P479"/>
    <mergeCell ref="A101:A102"/>
    <mergeCell ref="B101:B102"/>
    <mergeCell ref="C101:C102"/>
    <mergeCell ref="D101:D102"/>
    <mergeCell ref="E101:I101"/>
    <mergeCell ref="A230:A231"/>
    <mergeCell ref="B230:B231"/>
    <mergeCell ref="C230:C231"/>
    <mergeCell ref="D230:D231"/>
    <mergeCell ref="E230:I230"/>
    <mergeCell ref="A328:A329"/>
    <mergeCell ref="B328:B329"/>
    <mergeCell ref="C328:C329"/>
    <mergeCell ref="D328:D329"/>
    <mergeCell ref="E328:I328"/>
    <mergeCell ref="A469:A470"/>
    <mergeCell ref="B469:B470"/>
    <mergeCell ref="C469:C470"/>
    <mergeCell ref="D469:D470"/>
    <mergeCell ref="E469:I469"/>
    <mergeCell ref="L427:M427"/>
    <mergeCell ref="B344:B350"/>
    <mergeCell ref="L235:P235"/>
    <mergeCell ref="L236:L238"/>
    <mergeCell ref="M236:P236"/>
    <mergeCell ref="M237:N237"/>
    <mergeCell ref="O237:P237"/>
    <mergeCell ref="L331:N331"/>
    <mergeCell ref="L332:L334"/>
    <mergeCell ref="M332:N332"/>
    <mergeCell ref="M333:N333"/>
    <mergeCell ref="N427:O427"/>
    <mergeCell ref="C427:C428"/>
    <mergeCell ref="D427:E427"/>
    <mergeCell ref="A427:B427"/>
    <mergeCell ref="G427:I427"/>
    <mergeCell ref="L4:L5"/>
    <mergeCell ref="B124:B130"/>
    <mergeCell ref="B131:B136"/>
    <mergeCell ref="B263:B269"/>
    <mergeCell ref="H296:H303"/>
  </mergeCells>
  <printOptions horizontalCentered="1"/>
  <pageMargins left="0.7" right="0.7" top="0.75" bottom="0.75" header="0.3" footer="0.3"/>
  <pageSetup paperSize="9" orientation="portrait" horizontalDpi="300" verticalDpi="300" r:id="rId1"/>
  <headerFooter>
    <oddFooter>&amp;C&amp;F         &amp;A                   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U489"/>
  <sheetViews>
    <sheetView workbookViewId="0">
      <selection activeCell="D38" sqref="D38"/>
    </sheetView>
  </sheetViews>
  <sheetFormatPr defaultRowHeight="12.75"/>
  <cols>
    <col min="11" max="11" width="2.85546875" customWidth="1"/>
  </cols>
  <sheetData>
    <row r="1" spans="1:15" ht="15.75">
      <c r="A1" s="491" t="s">
        <v>1128</v>
      </c>
      <c r="B1" s="174"/>
      <c r="C1" s="174"/>
      <c r="D1" s="174"/>
      <c r="K1" s="286"/>
    </row>
    <row r="2" spans="1:15">
      <c r="K2" s="286"/>
      <c r="L2" s="746">
        <f>Hydraulic!G13</f>
        <v>2</v>
      </c>
      <c r="M2" s="747" t="s">
        <v>1017</v>
      </c>
      <c r="N2" s="748"/>
      <c r="O2" s="749"/>
    </row>
    <row r="3" spans="1:15">
      <c r="A3" s="187" t="s">
        <v>449</v>
      </c>
      <c r="D3" s="210">
        <f>DATA!D3</f>
        <v>23.6</v>
      </c>
      <c r="E3" s="187" t="s">
        <v>1</v>
      </c>
      <c r="G3" s="2213" t="str">
        <f>DATA!F1</f>
        <v>Gate Type : VLG on R/S &amp; no FG</v>
      </c>
      <c r="H3" s="2213"/>
      <c r="I3" s="2213"/>
      <c r="J3" s="2213"/>
      <c r="K3" s="286"/>
      <c r="L3" s="750">
        <v>1</v>
      </c>
      <c r="M3" s="751" t="s">
        <v>1018</v>
      </c>
      <c r="N3" s="752"/>
      <c r="O3" s="536"/>
    </row>
    <row r="4" spans="1:15">
      <c r="A4" t="s">
        <v>415</v>
      </c>
      <c r="D4" s="210">
        <f>DATA!D4</f>
        <v>15.7</v>
      </c>
      <c r="E4" s="187" t="s">
        <v>1</v>
      </c>
      <c r="H4" s="14"/>
      <c r="K4" s="286"/>
      <c r="L4" s="3077">
        <v>2</v>
      </c>
      <c r="M4" s="2891" t="s">
        <v>1019</v>
      </c>
      <c r="N4" s="2891"/>
      <c r="O4" s="2894"/>
    </row>
    <row r="5" spans="1:15">
      <c r="A5" t="s">
        <v>416</v>
      </c>
      <c r="D5" s="210">
        <f>DATA!D5</f>
        <v>17.3</v>
      </c>
      <c r="E5" s="187" t="s">
        <v>1</v>
      </c>
      <c r="K5" s="286"/>
      <c r="L5" s="3078"/>
      <c r="M5" s="2892" t="s">
        <v>2214</v>
      </c>
      <c r="N5" s="2893"/>
      <c r="O5" s="2873" t="str">
        <f>Hydraulic!J16</f>
        <v>y</v>
      </c>
    </row>
    <row r="6" spans="1:15">
      <c r="A6" t="s">
        <v>417</v>
      </c>
      <c r="D6" s="210">
        <f>DATA!D6</f>
        <v>18.899999999999999</v>
      </c>
      <c r="E6" s="187" t="s">
        <v>1</v>
      </c>
      <c r="G6" t="s">
        <v>43</v>
      </c>
      <c r="H6" s="14">
        <f>(1-SIN(F8))/(1+SIN(F8))</f>
        <v>0.36103348349818309</v>
      </c>
      <c r="K6" s="286"/>
    </row>
    <row r="7" spans="1:15">
      <c r="A7" t="s">
        <v>418</v>
      </c>
      <c r="D7" s="210">
        <f>DATA!D7</f>
        <v>9.81</v>
      </c>
      <c r="E7" s="187" t="s">
        <v>1</v>
      </c>
      <c r="K7" s="286"/>
    </row>
    <row r="8" spans="1:15">
      <c r="A8" s="187" t="s">
        <v>501</v>
      </c>
      <c r="B8" s="73"/>
      <c r="D8" s="514">
        <f>DATA!I16</f>
        <v>28</v>
      </c>
      <c r="E8" s="187" t="s">
        <v>724</v>
      </c>
      <c r="F8" s="115">
        <f>RADIANS(D8)</f>
        <v>0.48869219055841229</v>
      </c>
      <c r="G8" t="s">
        <v>322</v>
      </c>
      <c r="K8" s="286"/>
    </row>
    <row r="9" spans="1:15">
      <c r="A9" s="187" t="s">
        <v>465</v>
      </c>
      <c r="D9" s="587">
        <f>DATA!D11</f>
        <v>0.9</v>
      </c>
      <c r="E9" s="187" t="s">
        <v>5</v>
      </c>
      <c r="F9" s="13"/>
      <c r="K9" s="286"/>
    </row>
    <row r="10" spans="1:15" ht="15.75">
      <c r="A10" s="231"/>
      <c r="D10" s="187"/>
      <c r="E10" s="187" t="s">
        <v>466</v>
      </c>
      <c r="F10" s="13"/>
      <c r="K10" s="286"/>
    </row>
    <row r="11" spans="1:15">
      <c r="A11" s="187" t="s">
        <v>1100</v>
      </c>
      <c r="D11" s="205">
        <f>IF(L2=2,DATA!D9,0)</f>
        <v>7.2</v>
      </c>
      <c r="E11" s="187" t="s">
        <v>3</v>
      </c>
      <c r="F11" s="187" t="s">
        <v>410</v>
      </c>
      <c r="K11" s="286"/>
      <c r="M11" s="2606"/>
    </row>
    <row r="12" spans="1:15">
      <c r="A12" s="187" t="s">
        <v>504</v>
      </c>
      <c r="D12" s="205">
        <f>IF(L2=2,DATA!D10,0)</f>
        <v>205.8</v>
      </c>
      <c r="E12" t="s">
        <v>4</v>
      </c>
      <c r="F12" t="s">
        <v>411</v>
      </c>
      <c r="K12" s="286"/>
    </row>
    <row r="13" spans="1:15">
      <c r="A13" s="187"/>
      <c r="B13" s="73"/>
      <c r="D13" s="46"/>
      <c r="F13" s="13"/>
      <c r="K13" s="286"/>
    </row>
    <row r="14" spans="1:15">
      <c r="A14" s="1" t="s">
        <v>6</v>
      </c>
      <c r="E14" s="2"/>
      <c r="F14" s="3"/>
      <c r="K14" s="286"/>
    </row>
    <row r="15" spans="1:15" ht="14.25">
      <c r="A15" s="109" t="s">
        <v>420</v>
      </c>
      <c r="B15" s="109"/>
      <c r="C15" s="784">
        <f>HeadWall!C13</f>
        <v>22</v>
      </c>
      <c r="D15" s="109" t="s">
        <v>421</v>
      </c>
      <c r="F15" s="295" t="s">
        <v>422</v>
      </c>
      <c r="K15" s="286"/>
    </row>
    <row r="16" spans="1:15" ht="14.25">
      <c r="A16" s="109" t="s">
        <v>8</v>
      </c>
      <c r="B16" s="109"/>
      <c r="C16" s="784">
        <f>HeadWall!C14</f>
        <v>414</v>
      </c>
      <c r="D16" s="109" t="s">
        <v>421</v>
      </c>
      <c r="F16" s="109" t="s">
        <v>423</v>
      </c>
      <c r="I16" s="233">
        <f>HeadWall!H14</f>
        <v>60</v>
      </c>
      <c r="J16" s="187" t="s">
        <v>98</v>
      </c>
      <c r="K16" s="286"/>
    </row>
    <row r="17" spans="1:16" ht="14.25">
      <c r="A17" s="109" t="s">
        <v>11</v>
      </c>
      <c r="B17" s="109"/>
      <c r="C17" s="288">
        <f>HeadWall!C15</f>
        <v>200000</v>
      </c>
      <c r="D17" s="109" t="s">
        <v>421</v>
      </c>
      <c r="F17" s="109" t="s">
        <v>424</v>
      </c>
      <c r="I17" s="233">
        <f>HeadWall!H15</f>
        <v>50</v>
      </c>
      <c r="J17" s="187" t="s">
        <v>98</v>
      </c>
      <c r="K17" s="286"/>
    </row>
    <row r="18" spans="1:16" ht="14.25">
      <c r="A18" s="109" t="s">
        <v>510</v>
      </c>
      <c r="B18" s="109"/>
      <c r="C18" s="287">
        <f>4730*(C15)^0.5</f>
        <v>22185.666543964824</v>
      </c>
      <c r="D18" s="109" t="s">
        <v>421</v>
      </c>
      <c r="E18" s="201"/>
      <c r="F18" s="241" t="s">
        <v>2134</v>
      </c>
      <c r="G18" s="16"/>
      <c r="H18" s="16"/>
      <c r="I18" s="16">
        <f>IF(Hydraulic!O2="y",Hydraulic!O3,0)</f>
        <v>0</v>
      </c>
      <c r="J18" t="s">
        <v>98</v>
      </c>
      <c r="K18" s="286"/>
    </row>
    <row r="19" spans="1:16">
      <c r="A19" s="109"/>
      <c r="B19" s="109"/>
      <c r="C19" s="288"/>
      <c r="D19" s="109"/>
      <c r="E19" s="201"/>
      <c r="K19" s="286"/>
    </row>
    <row r="20" spans="1:16" ht="14.25">
      <c r="A20" s="109" t="s">
        <v>511</v>
      </c>
      <c r="B20" s="109"/>
      <c r="C20" s="288">
        <f>0.45*C15</f>
        <v>9.9</v>
      </c>
      <c r="D20" s="109" t="s">
        <v>421</v>
      </c>
      <c r="E20" s="109"/>
      <c r="K20" s="286"/>
    </row>
    <row r="21" spans="1:16">
      <c r="A21" s="109" t="s">
        <v>426</v>
      </c>
      <c r="B21" s="109"/>
      <c r="C21" s="288">
        <f>0.45*C16</f>
        <v>186.3</v>
      </c>
      <c r="D21" s="109" t="s">
        <v>7</v>
      </c>
      <c r="E21" s="201"/>
      <c r="K21" s="286"/>
    </row>
    <row r="22" spans="1:16">
      <c r="A22" s="109" t="s">
        <v>10</v>
      </c>
      <c r="B22" s="109"/>
      <c r="C22" s="205">
        <f>C17/C18</f>
        <v>9.0148294442118573</v>
      </c>
      <c r="D22" s="109"/>
      <c r="E22" s="109"/>
      <c r="K22" s="286"/>
    </row>
    <row r="23" spans="1:16">
      <c r="A23" s="109" t="s">
        <v>427</v>
      </c>
      <c r="B23" s="109"/>
      <c r="C23" s="205">
        <f>C21/C20</f>
        <v>18.81818181818182</v>
      </c>
      <c r="D23" s="109"/>
      <c r="E23" s="201"/>
      <c r="K23" s="286"/>
    </row>
    <row r="24" spans="1:16">
      <c r="A24" s="109" t="s">
        <v>428</v>
      </c>
      <c r="B24" s="109"/>
      <c r="C24" s="306">
        <f>C22/(C22+C23)</f>
        <v>0.32388983567840407</v>
      </c>
      <c r="D24" s="109"/>
      <c r="E24" s="201"/>
      <c r="K24" s="286"/>
    </row>
    <row r="25" spans="1:16">
      <c r="A25" s="109" t="s">
        <v>12</v>
      </c>
      <c r="B25" s="109"/>
      <c r="C25" s="306">
        <f>1-C24/3</f>
        <v>0.89203672144053203</v>
      </c>
      <c r="D25" s="109"/>
      <c r="E25" s="201"/>
      <c r="K25" s="286"/>
    </row>
    <row r="26" spans="1:16" ht="14.25">
      <c r="A26" s="109" t="s">
        <v>9</v>
      </c>
      <c r="B26" s="109"/>
      <c r="C26" s="205">
        <f>0.5*C20*C24*C25</f>
        <v>1.4301620542760574</v>
      </c>
      <c r="D26" s="109" t="s">
        <v>421</v>
      </c>
      <c r="E26" s="201"/>
      <c r="K26" s="286"/>
    </row>
    <row r="27" spans="1:16">
      <c r="A27" s="109" t="s">
        <v>452</v>
      </c>
      <c r="B27" s="109"/>
      <c r="C27" s="306">
        <f>9.1*10^(-2)*C15^0.5</f>
        <v>0.42682783414393211</v>
      </c>
      <c r="D27" s="109" t="s">
        <v>7</v>
      </c>
      <c r="E27" s="201"/>
      <c r="K27" s="286"/>
    </row>
    <row r="28" spans="1:16" ht="14.25">
      <c r="A28" s="291" t="s">
        <v>430</v>
      </c>
      <c r="B28" s="109"/>
      <c r="C28" s="109"/>
      <c r="D28" s="307">
        <f>0.17*C15^0.5</f>
        <v>0.79737067916998317</v>
      </c>
      <c r="E28" s="109" t="s">
        <v>421</v>
      </c>
      <c r="K28" s="286"/>
    </row>
    <row r="29" spans="1:16">
      <c r="K29" s="286"/>
    </row>
    <row r="30" spans="1:16">
      <c r="A30" t="s">
        <v>24</v>
      </c>
      <c r="C30" s="308">
        <f>DATA!C14</f>
        <v>2</v>
      </c>
      <c r="E30" s="187" t="s">
        <v>358</v>
      </c>
      <c r="G30" s="133">
        <f>DATA!H27</f>
        <v>8.4</v>
      </c>
      <c r="H30" s="26" t="s">
        <v>5</v>
      </c>
      <c r="J30" s="26"/>
      <c r="K30" s="286"/>
      <c r="L30" s="127" t="s">
        <v>199</v>
      </c>
      <c r="M30" s="761">
        <f>DATA!U41</f>
        <v>1.5</v>
      </c>
      <c r="N30" s="127" t="s">
        <v>156</v>
      </c>
      <c r="O30" s="246">
        <f>DATA!H34</f>
        <v>8.4</v>
      </c>
      <c r="P30" s="127" t="s">
        <v>5</v>
      </c>
    </row>
    <row r="31" spans="1:16">
      <c r="A31" s="26" t="s">
        <v>204</v>
      </c>
      <c r="C31" s="309">
        <f>DATA!C16</f>
        <v>1</v>
      </c>
      <c r="E31" s="187" t="s">
        <v>1021</v>
      </c>
      <c r="G31" s="33">
        <f>DATA!H28</f>
        <v>1.5</v>
      </c>
      <c r="H31" s="26" t="s">
        <v>5</v>
      </c>
      <c r="J31" s="26"/>
      <c r="K31" s="286"/>
    </row>
    <row r="32" spans="1:16">
      <c r="A32" s="187" t="s">
        <v>785</v>
      </c>
      <c r="C32" s="224">
        <f>DATA!D28</f>
        <v>0.45</v>
      </c>
      <c r="D32" s="187" t="s">
        <v>5</v>
      </c>
      <c r="E32" s="187" t="s">
        <v>1022</v>
      </c>
      <c r="G32" s="33">
        <f>DATA!H29</f>
        <v>1.5</v>
      </c>
      <c r="H32" s="26" t="s">
        <v>5</v>
      </c>
      <c r="K32" s="286"/>
    </row>
    <row r="33" spans="1:11">
      <c r="A33" s="187" t="s">
        <v>787</v>
      </c>
      <c r="C33" s="230">
        <f>DATA!D30</f>
        <v>0.75</v>
      </c>
      <c r="D33" s="187" t="s">
        <v>779</v>
      </c>
      <c r="E33" s="187"/>
      <c r="G33" s="224">
        <f>DATA!H30</f>
        <v>0.75</v>
      </c>
      <c r="H33" s="187" t="s">
        <v>547</v>
      </c>
      <c r="K33" s="286"/>
    </row>
    <row r="34" spans="1:11">
      <c r="A34" s="187" t="s">
        <v>780</v>
      </c>
      <c r="C34" s="230">
        <f>DATA!D31</f>
        <v>0.75</v>
      </c>
      <c r="D34" s="26" t="s">
        <v>5</v>
      </c>
      <c r="K34" s="286"/>
    </row>
    <row r="35" spans="1:11">
      <c r="A35" s="187" t="s">
        <v>786</v>
      </c>
      <c r="C35" s="230">
        <f>DATA!D32</f>
        <v>5.25</v>
      </c>
      <c r="D35" s="187" t="s">
        <v>5</v>
      </c>
      <c r="E35" s="187"/>
      <c r="K35" s="286"/>
    </row>
    <row r="36" spans="1:11">
      <c r="K36" s="286"/>
    </row>
    <row r="37" spans="1:11" ht="15.75">
      <c r="B37" s="238" t="s">
        <v>431</v>
      </c>
      <c r="C37" s="239"/>
      <c r="D37" s="240"/>
      <c r="K37" s="286"/>
    </row>
    <row r="38" spans="1:11" ht="14.25">
      <c r="B38" s="241" t="s">
        <v>432</v>
      </c>
      <c r="C38" s="16"/>
      <c r="D38" s="241" t="s">
        <v>433</v>
      </c>
      <c r="E38" s="16"/>
      <c r="F38" s="16"/>
      <c r="G38" s="16">
        <f>0.1/100</f>
        <v>1E-3</v>
      </c>
      <c r="H38" s="241" t="s">
        <v>434</v>
      </c>
      <c r="K38" s="286"/>
    </row>
    <row r="39" spans="1:11" ht="14.25">
      <c r="B39" s="16"/>
      <c r="C39" s="16"/>
      <c r="D39" s="241" t="s">
        <v>435</v>
      </c>
      <c r="E39" s="16"/>
      <c r="F39" s="16"/>
      <c r="G39" s="16">
        <f>0.2/100</f>
        <v>2E-3</v>
      </c>
      <c r="H39" s="241" t="s">
        <v>434</v>
      </c>
      <c r="K39" s="286"/>
    </row>
    <row r="40" spans="1:11" ht="14.25">
      <c r="B40" s="16"/>
      <c r="C40" s="16"/>
      <c r="D40" s="241" t="s">
        <v>436</v>
      </c>
      <c r="E40" s="16"/>
      <c r="F40" s="16"/>
      <c r="G40" s="16">
        <f>0.15/100</f>
        <v>1.5E-3</v>
      </c>
      <c r="H40" s="241" t="s">
        <v>434</v>
      </c>
      <c r="K40" s="286"/>
    </row>
    <row r="41" spans="1:11">
      <c r="B41" s="241"/>
      <c r="C41" s="242"/>
      <c r="D41" s="16"/>
      <c r="E41" s="16"/>
      <c r="F41" s="16"/>
      <c r="G41" s="16"/>
      <c r="H41" s="16"/>
      <c r="K41" s="286"/>
    </row>
    <row r="42" spans="1:11">
      <c r="B42" s="241" t="s">
        <v>437</v>
      </c>
      <c r="C42" s="242"/>
      <c r="D42" s="16"/>
      <c r="E42" s="16"/>
      <c r="F42" s="16"/>
      <c r="G42" s="16"/>
      <c r="H42" s="16"/>
      <c r="K42" s="286"/>
    </row>
    <row r="43" spans="1:11" ht="14.25">
      <c r="B43" s="241"/>
      <c r="C43" s="242"/>
      <c r="D43" s="241" t="s">
        <v>433</v>
      </c>
      <c r="E43" s="16"/>
      <c r="F43" s="16"/>
      <c r="G43" s="16">
        <f>0.15/100</f>
        <v>1.5E-3</v>
      </c>
      <c r="H43" s="241" t="s">
        <v>434</v>
      </c>
      <c r="K43" s="286"/>
    </row>
    <row r="44" spans="1:11" ht="14.25">
      <c r="B44" s="16"/>
      <c r="C44" s="16"/>
      <c r="D44" s="241" t="s">
        <v>435</v>
      </c>
      <c r="E44" s="16"/>
      <c r="F44" s="16"/>
      <c r="G44" s="16">
        <f>0.25/100</f>
        <v>2.5000000000000001E-3</v>
      </c>
      <c r="H44" s="241" t="s">
        <v>434</v>
      </c>
      <c r="K44" s="286"/>
    </row>
    <row r="45" spans="1:11" ht="14.25">
      <c r="B45" s="16"/>
      <c r="C45" s="16"/>
      <c r="D45" s="241" t="s">
        <v>436</v>
      </c>
      <c r="E45" s="16"/>
      <c r="F45" s="16"/>
      <c r="G45" s="16">
        <f>0.2/100</f>
        <v>2E-3</v>
      </c>
      <c r="H45" s="241" t="s">
        <v>434</v>
      </c>
      <c r="K45" s="286"/>
    </row>
    <row r="46" spans="1:11">
      <c r="B46" s="16"/>
      <c r="C46" s="16"/>
      <c r="D46" s="16"/>
      <c r="E46" s="16"/>
      <c r="F46" s="16"/>
      <c r="G46" s="16"/>
      <c r="H46" s="16"/>
      <c r="K46" s="286"/>
    </row>
    <row r="47" spans="1:11" ht="14.25">
      <c r="B47" s="243" t="s">
        <v>445</v>
      </c>
      <c r="C47" s="241" t="s">
        <v>433</v>
      </c>
      <c r="D47" s="16"/>
      <c r="E47" s="241" t="s">
        <v>111</v>
      </c>
      <c r="F47" s="16">
        <f>IF(B66&lt;=9,G38,G43)</f>
        <v>1E-3</v>
      </c>
      <c r="G47" s="241" t="s">
        <v>438</v>
      </c>
      <c r="H47" s="16"/>
      <c r="K47" s="286"/>
    </row>
    <row r="48" spans="1:11" ht="14.25">
      <c r="B48" s="16"/>
      <c r="C48" s="16"/>
      <c r="D48" s="16"/>
      <c r="E48" s="241" t="s">
        <v>110</v>
      </c>
      <c r="F48" s="16">
        <f>IF(E75&lt;=9,G38,G43)</f>
        <v>1.5E-3</v>
      </c>
      <c r="G48" s="241" t="s">
        <v>438</v>
      </c>
      <c r="H48" s="16"/>
      <c r="K48" s="286"/>
    </row>
    <row r="49" spans="1:11">
      <c r="B49" s="16"/>
      <c r="C49" s="16"/>
      <c r="D49" s="16"/>
      <c r="E49" s="16"/>
      <c r="F49" s="16"/>
      <c r="G49" s="241"/>
      <c r="H49" s="16"/>
      <c r="K49" s="286"/>
    </row>
    <row r="50" spans="1:11" ht="14.25">
      <c r="B50" s="16"/>
      <c r="C50" s="241" t="s">
        <v>439</v>
      </c>
      <c r="D50" s="16"/>
      <c r="E50" s="241" t="s">
        <v>111</v>
      </c>
      <c r="F50" s="16">
        <f>IF(B66&lt;=9,G39,G44)</f>
        <v>2E-3</v>
      </c>
      <c r="G50" s="241" t="s">
        <v>438</v>
      </c>
      <c r="H50" s="16"/>
      <c r="K50" s="286"/>
    </row>
    <row r="51" spans="1:11" ht="14.25">
      <c r="B51" s="16"/>
      <c r="C51" s="16"/>
      <c r="D51" s="16"/>
      <c r="E51" s="241" t="s">
        <v>110</v>
      </c>
      <c r="F51" s="16">
        <f>IF(E75&lt;=9,G39,G44)</f>
        <v>2.5000000000000001E-3</v>
      </c>
      <c r="G51" s="241" t="s">
        <v>438</v>
      </c>
      <c r="H51" s="16"/>
      <c r="K51" s="286"/>
    </row>
    <row r="52" spans="1:11">
      <c r="B52" s="241" t="s">
        <v>444</v>
      </c>
      <c r="H52" s="16">
        <v>380</v>
      </c>
      <c r="I52" s="241" t="s">
        <v>98</v>
      </c>
      <c r="J52" s="241"/>
      <c r="K52" s="286"/>
    </row>
    <row r="53" spans="1:11">
      <c r="K53" s="286"/>
    </row>
    <row r="54" spans="1:11">
      <c r="J54" s="46"/>
      <c r="K54" s="286"/>
    </row>
    <row r="55" spans="1:11">
      <c r="C55" s="179"/>
      <c r="D55" s="296">
        <f>DATA!D44</f>
        <v>300</v>
      </c>
      <c r="E55" s="179"/>
      <c r="F55" s="197">
        <f>DATA!F44</f>
        <v>300</v>
      </c>
      <c r="G55" s="179"/>
      <c r="J55" s="46"/>
      <c r="K55" s="286"/>
    </row>
    <row r="56" spans="1:11">
      <c r="C56" s="296">
        <f>DATA!C45</f>
        <v>1500</v>
      </c>
      <c r="D56" s="179"/>
      <c r="E56" s="296">
        <f>DATA!E45</f>
        <v>10000</v>
      </c>
      <c r="F56" s="179"/>
      <c r="G56" s="296">
        <f>DATA!G45</f>
        <v>1500</v>
      </c>
      <c r="J56" s="46"/>
      <c r="K56" s="286"/>
    </row>
    <row r="57" spans="1:11">
      <c r="A57" s="216" t="s">
        <v>22</v>
      </c>
      <c r="C57" s="179"/>
      <c r="D57" s="179"/>
      <c r="E57" s="179"/>
      <c r="F57" s="179"/>
      <c r="G57" s="179"/>
      <c r="I57" s="760" t="s">
        <v>23</v>
      </c>
      <c r="J57" s="780"/>
      <c r="K57" s="286"/>
    </row>
    <row r="58" spans="1:11">
      <c r="C58" s="179"/>
      <c r="D58" s="201">
        <f>DATA!D42</f>
        <v>0</v>
      </c>
      <c r="E58" s="296">
        <f>DATA!E42</f>
        <v>10000</v>
      </c>
      <c r="F58" s="201">
        <f>DATA!F42</f>
        <v>0</v>
      </c>
      <c r="G58" s="179"/>
      <c r="J58" s="46"/>
      <c r="K58" s="286"/>
    </row>
    <row r="59" spans="1:11">
      <c r="B59" s="139"/>
      <c r="C59" s="189">
        <f>DATA!B46</f>
        <v>15.4</v>
      </c>
      <c r="D59" s="179"/>
      <c r="E59" s="179"/>
      <c r="F59" s="179"/>
      <c r="G59" s="179"/>
      <c r="J59" s="46"/>
      <c r="K59" s="286"/>
    </row>
    <row r="60" spans="1:11">
      <c r="C60" s="179"/>
      <c r="D60" s="179"/>
      <c r="E60" s="179"/>
      <c r="F60" s="179"/>
      <c r="G60" s="291">
        <f>DATA!G47</f>
        <v>0</v>
      </c>
      <c r="J60" s="46"/>
      <c r="K60" s="286"/>
    </row>
    <row r="61" spans="1:11">
      <c r="C61" s="189">
        <f>DATA!C48</f>
        <v>15.4</v>
      </c>
      <c r="K61" s="286"/>
    </row>
    <row r="62" spans="1:11">
      <c r="K62" s="286"/>
    </row>
    <row r="63" spans="1:11">
      <c r="F63" s="187" t="s">
        <v>320</v>
      </c>
      <c r="K63" s="286"/>
    </row>
    <row r="64" spans="1:11">
      <c r="D64" s="109">
        <f>(C61-E66)*1000</f>
        <v>6000</v>
      </c>
      <c r="K64" s="286"/>
    </row>
    <row r="65" spans="1:14">
      <c r="K65" s="286"/>
    </row>
    <row r="66" spans="1:14">
      <c r="B66" s="36">
        <f>C61-E70</f>
        <v>8.4</v>
      </c>
      <c r="E66" s="205">
        <f>DATA!E53</f>
        <v>9.4</v>
      </c>
      <c r="K66" s="286"/>
    </row>
    <row r="67" spans="1:14">
      <c r="D67" s="109">
        <f>DATA!D54</f>
        <v>600</v>
      </c>
      <c r="I67" s="36">
        <f>C61-G70</f>
        <v>8.4</v>
      </c>
      <c r="J67" s="36"/>
      <c r="K67" s="286"/>
    </row>
    <row r="68" spans="1:14">
      <c r="K68" s="286"/>
    </row>
    <row r="69" spans="1:14">
      <c r="D69" s="109">
        <f>(E66-E70)*1000-D67</f>
        <v>1800.0000000000005</v>
      </c>
      <c r="K69" s="286"/>
    </row>
    <row r="70" spans="1:14">
      <c r="C70" s="179"/>
      <c r="D70" s="179"/>
      <c r="E70" s="205">
        <f>DATA!E57</f>
        <v>7</v>
      </c>
      <c r="G70" s="188">
        <f>DATA!E57-DATA!G57/1000</f>
        <v>7</v>
      </c>
      <c r="K70" s="286"/>
    </row>
    <row r="71" spans="1:14">
      <c r="B71" s="2">
        <f>DATA!B59</f>
        <v>1200</v>
      </c>
      <c r="C71" s="179"/>
      <c r="D71" s="177">
        <f>DATA!D58</f>
        <v>700</v>
      </c>
      <c r="E71" s="181"/>
      <c r="F71" s="179"/>
      <c r="G71" s="179"/>
      <c r="K71" s="286"/>
    </row>
    <row r="72" spans="1:14">
      <c r="C72" s="179"/>
      <c r="D72" s="179"/>
      <c r="E72" s="179"/>
      <c r="F72" s="179"/>
      <c r="G72" s="182"/>
      <c r="I72" s="2">
        <f>DATA!I59</f>
        <v>1200</v>
      </c>
      <c r="J72" s="2"/>
      <c r="K72" s="286"/>
    </row>
    <row r="73" spans="1:14">
      <c r="D73" s="183">
        <f>DATA!D60</f>
        <v>500</v>
      </c>
      <c r="E73" s="218"/>
      <c r="F73" s="200">
        <f>DATA!F60</f>
        <v>500</v>
      </c>
      <c r="K73" s="286"/>
    </row>
    <row r="74" spans="1:14">
      <c r="C74" s="180"/>
      <c r="D74" s="179"/>
      <c r="E74" s="181"/>
      <c r="F74" s="179"/>
      <c r="G74" s="180"/>
      <c r="K74" s="286"/>
    </row>
    <row r="75" spans="1:14">
      <c r="C75" s="179"/>
      <c r="D75" s="179"/>
      <c r="E75" s="206">
        <f>(C56+D55+E56+F55+G56)/1000</f>
        <v>13.6</v>
      </c>
      <c r="F75" s="179"/>
      <c r="G75" s="179"/>
      <c r="K75" s="286"/>
    </row>
    <row r="76" spans="1:14">
      <c r="C76" s="179"/>
      <c r="D76" s="179"/>
      <c r="E76" s="179"/>
      <c r="F76" s="179"/>
      <c r="G76" s="179"/>
      <c r="K76" s="286"/>
    </row>
    <row r="77" spans="1:14" ht="15.75">
      <c r="A77" s="437" t="s">
        <v>2051</v>
      </c>
      <c r="B77" s="174"/>
      <c r="C77" s="174"/>
      <c r="F77" s="2600" t="str">
        <f>IF(C32=0,"No R/S Deck Slab","")</f>
        <v/>
      </c>
      <c r="G77" s="2600"/>
      <c r="K77" s="286"/>
      <c r="L77" t="s">
        <v>1098</v>
      </c>
    </row>
    <row r="78" spans="1:14">
      <c r="K78" s="286"/>
      <c r="M78" s="16"/>
      <c r="N78" s="16"/>
    </row>
    <row r="79" spans="1:14">
      <c r="A79" t="s">
        <v>357</v>
      </c>
      <c r="G79" s="129">
        <f>C32*1000</f>
        <v>450</v>
      </c>
      <c r="H79" s="187" t="s">
        <v>98</v>
      </c>
      <c r="K79" s="286"/>
      <c r="L79" s="423" t="s">
        <v>1794</v>
      </c>
      <c r="M79" s="55"/>
      <c r="N79" s="56"/>
    </row>
    <row r="80" spans="1:14">
      <c r="A80" s="187" t="str">
        <f>"Span between Abutment &amp; Pier = "&amp;G31&amp;" + "&amp;G33&amp;" / 2 + "&amp;C34&amp;" / 2 ="</f>
        <v>Span between Abutment &amp; Pier = 1.5 + 0.75 / 2 + 0.75 / 2 =</v>
      </c>
      <c r="G80" s="33">
        <f>G31+G33/2+C34/2</f>
        <v>2.25</v>
      </c>
      <c r="H80" s="187" t="s">
        <v>1099</v>
      </c>
      <c r="I80" s="187"/>
      <c r="K80" s="286"/>
      <c r="L80" s="1928" t="s">
        <v>1795</v>
      </c>
      <c r="M80" s="59"/>
      <c r="N80" s="1930"/>
    </row>
    <row r="81" spans="1:18" ht="13.5" thickBot="1">
      <c r="A81" s="187" t="str">
        <f>"Span between Pier = "&amp;G32&amp;" + "&amp;C34&amp;" ="</f>
        <v>Span between Pier = 1.5 + 0.75 =</v>
      </c>
      <c r="G81" s="115">
        <f>G32+C34</f>
        <v>2.25</v>
      </c>
      <c r="H81" s="187" t="s">
        <v>1099</v>
      </c>
      <c r="I81" s="187"/>
      <c r="K81" s="286"/>
      <c r="M81" s="16"/>
      <c r="N81" s="242"/>
    </row>
    <row r="82" spans="1:18" ht="13.5" thickBot="1">
      <c r="A82" s="187" t="s">
        <v>774</v>
      </c>
      <c r="G82" s="115">
        <f>C56/1000</f>
        <v>1.5</v>
      </c>
      <c r="H82" s="187" t="s">
        <v>5</v>
      </c>
      <c r="K82" s="286"/>
      <c r="L82" s="1896" t="s">
        <v>1414</v>
      </c>
      <c r="M82" s="1898" t="s">
        <v>1780</v>
      </c>
      <c r="N82" s="1899"/>
      <c r="O82" s="1899"/>
      <c r="P82" s="1900"/>
    </row>
    <row r="83" spans="1:18">
      <c r="K83" s="286"/>
      <c r="L83" s="1901"/>
      <c r="M83" s="1897"/>
      <c r="N83" s="1897"/>
      <c r="O83" s="1897"/>
      <c r="P83" s="1902"/>
    </row>
    <row r="84" spans="1:18">
      <c r="B84" s="187" t="str">
        <f>"Self Weight = "&amp;G79&amp;" * "&amp;D3&amp;" / 1000 = "</f>
        <v xml:space="preserve">Self Weight = 450 * 23.6 / 1000 = </v>
      </c>
      <c r="F84">
        <f>G79*D3/1000</f>
        <v>10.62</v>
      </c>
      <c r="G84" s="229" t="s">
        <v>725</v>
      </c>
      <c r="K84" s="286"/>
      <c r="L84" s="1919" t="s">
        <v>1402</v>
      </c>
      <c r="M84" s="1920"/>
      <c r="N84" s="1921">
        <v>0</v>
      </c>
      <c r="O84" s="1897"/>
      <c r="P84" s="1902"/>
    </row>
    <row r="85" spans="1:18">
      <c r="B85" s="204" t="s">
        <v>770</v>
      </c>
      <c r="C85" s="59"/>
      <c r="F85" s="212">
        <f>D11</f>
        <v>7.2</v>
      </c>
      <c r="G85" s="229" t="s">
        <v>725</v>
      </c>
      <c r="K85" s="286"/>
      <c r="L85" s="1922" t="s">
        <v>1403</v>
      </c>
      <c r="M85" s="1923"/>
      <c r="N85" s="1924">
        <v>1</v>
      </c>
      <c r="O85" s="1897"/>
      <c r="P85" s="1902"/>
    </row>
    <row r="86" spans="1:18">
      <c r="B86" s="385" t="s">
        <v>773</v>
      </c>
      <c r="F86" s="33">
        <f>SUM(F84:F85)</f>
        <v>17.82</v>
      </c>
      <c r="G86" s="229" t="s">
        <v>725</v>
      </c>
      <c r="K86" s="286"/>
      <c r="L86" s="1901"/>
      <c r="M86" s="1897"/>
      <c r="N86" s="1897"/>
      <c r="O86" s="1897"/>
      <c r="P86" s="1902"/>
    </row>
    <row r="87" spans="1:18">
      <c r="B87" s="187"/>
      <c r="F87" s="115"/>
      <c r="G87" s="187"/>
      <c r="K87" s="286"/>
      <c r="L87" s="1901" t="s">
        <v>1394</v>
      </c>
      <c r="M87" s="1897"/>
      <c r="N87" s="1897"/>
      <c r="O87" s="2587">
        <v>0</v>
      </c>
      <c r="P87" s="1903" t="s">
        <v>620</v>
      </c>
    </row>
    <row r="88" spans="1:18">
      <c r="B88" s="109" t="s">
        <v>504</v>
      </c>
      <c r="C88" s="46"/>
      <c r="D88" s="46"/>
      <c r="F88" s="205">
        <f>D12</f>
        <v>205.8</v>
      </c>
      <c r="G88" s="46" t="s">
        <v>4</v>
      </c>
      <c r="K88" s="286"/>
      <c r="L88" s="1901" t="str">
        <f>"First  End = "&amp;IF(O88=0,L84,L85)</f>
        <v>First  End = Hinged Support</v>
      </c>
      <c r="M88" s="1897"/>
      <c r="N88" s="1897"/>
      <c r="O88" s="1904">
        <v>1</v>
      </c>
      <c r="P88" s="1902"/>
    </row>
    <row r="89" spans="1:18" ht="13.5" thickBot="1">
      <c r="B89" s="109"/>
      <c r="C89" s="46"/>
      <c r="D89" s="46"/>
      <c r="E89" s="205"/>
      <c r="F89" s="46"/>
      <c r="K89" s="286"/>
      <c r="L89" s="1905" t="str">
        <f>"Last  End = "&amp;IF(O89=0,L84,L85)</f>
        <v>Last  End = Hinged Support</v>
      </c>
      <c r="M89" s="1906"/>
      <c r="N89" s="1906"/>
      <c r="O89" s="1907">
        <v>1</v>
      </c>
      <c r="P89" s="1908"/>
    </row>
    <row r="90" spans="1:18">
      <c r="B90" s="692" t="s">
        <v>1410</v>
      </c>
      <c r="C90" s="126"/>
      <c r="D90" s="126"/>
      <c r="E90" s="205"/>
      <c r="F90" s="46"/>
      <c r="K90" s="286"/>
    </row>
    <row r="91" spans="1:18">
      <c r="B91" t="s">
        <v>1405</v>
      </c>
      <c r="F91" s="115">
        <f>'Mom Distr-CS'!E62</f>
        <v>98.098593749999992</v>
      </c>
      <c r="G91" t="s">
        <v>620</v>
      </c>
      <c r="H91" t="str">
        <f>'Mom Distr-CS'!G62</f>
        <v>(Top Tension)</v>
      </c>
      <c r="K91" s="286"/>
    </row>
    <row r="92" spans="1:18">
      <c r="B92" t="s">
        <v>1406</v>
      </c>
      <c r="F92" s="115">
        <f>'Mom Distr-CS'!E63</f>
        <v>77.989921875000022</v>
      </c>
      <c r="G92" t="s">
        <v>620</v>
      </c>
      <c r="H92" t="str">
        <f>'Mom Distr-CS'!G63</f>
        <v>(Bottom Tension)</v>
      </c>
      <c r="K92" s="286"/>
    </row>
    <row r="93" spans="1:18">
      <c r="B93" t="s">
        <v>1409</v>
      </c>
      <c r="F93" s="115">
        <f>'Mom Distr-CS'!E64</f>
        <v>166.546875</v>
      </c>
      <c r="G93" t="s">
        <v>341</v>
      </c>
      <c r="K93" s="286"/>
    </row>
    <row r="94" spans="1:18">
      <c r="B94" s="109"/>
      <c r="C94" s="46"/>
      <c r="D94" s="46"/>
      <c r="E94" s="205"/>
      <c r="F94" s="46"/>
      <c r="J94" s="46"/>
      <c r="K94" s="286"/>
      <c r="L94" s="109" t="str">
        <f>"End Shear = "&amp;F86&amp;" * "&amp;MAX(G80:G81)&amp;" / 2 + "&amp;F88&amp;" / 2 ="</f>
        <v>End Shear = 17.82 * 2.25 / 2 + 205.8 / 2 =</v>
      </c>
      <c r="Q94" s="224">
        <f>F86*MAX(G80:G81)/2+F88/2</f>
        <v>122.94750000000001</v>
      </c>
      <c r="R94" s="46" t="s">
        <v>341</v>
      </c>
    </row>
    <row r="95" spans="1:18">
      <c r="B95" s="187" t="str">
        <f>"Depth,  d = "&amp;G79&amp;" - "&amp;I17&amp;" - "&amp;D116&amp;" / 2 ="</f>
        <v>Depth,  d = 450 - 50 - 16 / 2 =</v>
      </c>
      <c r="E95">
        <f>G79-I17-D116/2</f>
        <v>392</v>
      </c>
      <c r="F95" t="s">
        <v>98</v>
      </c>
      <c r="J95" s="46"/>
      <c r="K95" s="286"/>
      <c r="L95" s="109" t="str">
        <f>"Max Moment = "&amp;F88&amp;" * "&amp;G81&amp;" / 4 + "&amp;F86&amp;" * "&amp;G81&amp;"^2 / 8 ="</f>
        <v>Max Moment = 205.8 * 2.25 / 4 + 17.82 * 2.25^2 / 8 =</v>
      </c>
      <c r="M95" s="46"/>
      <c r="Q95" s="224">
        <f>F88*G81/4+F86*G81^2/8</f>
        <v>127.03921875</v>
      </c>
      <c r="R95" s="229" t="s">
        <v>620</v>
      </c>
    </row>
    <row r="96" spans="1:18">
      <c r="A96" s="187" t="s">
        <v>541</v>
      </c>
      <c r="D96" s="187"/>
      <c r="G96" s="9">
        <f>(F93*10^3)/(C27*1000)</f>
        <v>390.19684677789348</v>
      </c>
      <c r="H96" t="s">
        <v>98</v>
      </c>
      <c r="I96" s="126" t="str">
        <f>IF(C32=0,"",IF(E95&gt;=G96,"ok","Not ok"))</f>
        <v>ok</v>
      </c>
      <c r="J96" s="46"/>
      <c r="K96" s="286"/>
    </row>
    <row r="97" spans="1:11">
      <c r="A97" s="187" t="s">
        <v>579</v>
      </c>
      <c r="D97" s="187"/>
      <c r="G97" s="9">
        <f>((MAX(F91,F92)*10^6)/(C26*1000))^0.5</f>
        <v>261.90197015557624</v>
      </c>
      <c r="H97" t="s">
        <v>98</v>
      </c>
      <c r="I97" s="207" t="str">
        <f>IF(C32=0,"",IF(E95&gt;=G97,"ok","Not ok"))</f>
        <v>ok</v>
      </c>
      <c r="J97" s="109"/>
      <c r="K97" s="286"/>
    </row>
    <row r="98" spans="1:11">
      <c r="A98" s="187" t="s">
        <v>764</v>
      </c>
      <c r="D98" s="2"/>
      <c r="G98" s="9">
        <f>(MAX(F91,F92)*10^6)/(C21*C25*E95)</f>
        <v>1505.8479672274552</v>
      </c>
      <c r="H98" t="s">
        <v>104</v>
      </c>
      <c r="J98" s="46"/>
      <c r="K98" s="286"/>
    </row>
    <row r="99" spans="1:11">
      <c r="K99" s="286"/>
    </row>
    <row r="100" spans="1:11">
      <c r="A100" s="255" t="s">
        <v>2059</v>
      </c>
      <c r="G100" s="107"/>
      <c r="H100" s="107"/>
      <c r="K100" s="286"/>
    </row>
    <row r="101" spans="1:11">
      <c r="K101" s="286"/>
    </row>
    <row r="102" spans="1:11">
      <c r="A102" s="3147" t="s">
        <v>486</v>
      </c>
      <c r="B102" s="3148" t="s">
        <v>487</v>
      </c>
      <c r="C102" s="3148" t="s">
        <v>488</v>
      </c>
      <c r="D102" s="3148" t="s">
        <v>489</v>
      </c>
      <c r="E102" s="3149" t="s">
        <v>490</v>
      </c>
      <c r="F102" s="3150"/>
      <c r="G102" s="3150"/>
      <c r="H102" s="3150"/>
      <c r="I102" s="3150"/>
      <c r="J102" s="496"/>
      <c r="K102" s="286"/>
    </row>
    <row r="103" spans="1:11">
      <c r="A103" s="3147"/>
      <c r="B103" s="3148"/>
      <c r="C103" s="3148"/>
      <c r="D103" s="3148"/>
      <c r="E103" s="94">
        <v>12</v>
      </c>
      <c r="F103" s="94">
        <v>16</v>
      </c>
      <c r="G103" s="94">
        <v>20</v>
      </c>
      <c r="H103" s="94">
        <v>22</v>
      </c>
      <c r="I103" s="94">
        <v>25</v>
      </c>
      <c r="J103" s="75"/>
      <c r="K103" s="286"/>
    </row>
    <row r="104" spans="1:11" ht="14.25">
      <c r="A104" s="172"/>
      <c r="B104" s="256" t="s">
        <v>491</v>
      </c>
      <c r="C104" s="256" t="s">
        <v>491</v>
      </c>
      <c r="D104" s="256" t="s">
        <v>491</v>
      </c>
      <c r="E104" s="828" t="s">
        <v>98</v>
      </c>
      <c r="F104" s="828" t="s">
        <v>98</v>
      </c>
      <c r="G104" s="828" t="s">
        <v>98</v>
      </c>
      <c r="H104" s="828" t="s">
        <v>98</v>
      </c>
      <c r="I104" s="828" t="s">
        <v>98</v>
      </c>
      <c r="J104" s="759"/>
      <c r="K104" s="286"/>
    </row>
    <row r="105" spans="1:11">
      <c r="A105" s="258" t="s">
        <v>440</v>
      </c>
      <c r="B105" s="55"/>
      <c r="C105" s="55"/>
      <c r="D105" s="55"/>
      <c r="E105" s="55"/>
      <c r="F105" s="55"/>
      <c r="G105" s="55"/>
      <c r="H105" s="55"/>
      <c r="I105" s="56"/>
      <c r="J105" s="386"/>
      <c r="K105" s="286"/>
    </row>
    <row r="106" spans="1:11">
      <c r="A106" s="259" t="s">
        <v>441</v>
      </c>
      <c r="B106" s="318">
        <f>(F91*10^6)/(C21*C25*E95)</f>
        <v>1505.8479672274552</v>
      </c>
      <c r="C106" s="318">
        <f>IF(G79&gt;380,G40*1000*380,G40*1000*G79)</f>
        <v>570</v>
      </c>
      <c r="D106" s="318">
        <f>MAX(B106:C106)</f>
        <v>1505.8479672274552</v>
      </c>
      <c r="E106" s="261">
        <f>PI()*(E103/2)^2*1000/$D106</f>
        <v>75.105414351666383</v>
      </c>
      <c r="F106" s="261">
        <f>PI()*(F103/2)^2*1000/$D106</f>
        <v>133.52073662518467</v>
      </c>
      <c r="G106" s="261">
        <f>PI()*(G103/2)^2*1000/$D106</f>
        <v>208.62615097685105</v>
      </c>
      <c r="H106" s="261">
        <f>PI()*(H103/2)^2*1000/$D106</f>
        <v>252.43764268198976</v>
      </c>
      <c r="I106" s="283">
        <f>PI()*(I103/2)^2*1000/$D106</f>
        <v>325.97836090132978</v>
      </c>
      <c r="J106" s="328"/>
      <c r="K106" s="286"/>
    </row>
    <row r="107" spans="1:11">
      <c r="A107" s="262" t="s">
        <v>442</v>
      </c>
      <c r="B107" s="319"/>
      <c r="C107" s="318">
        <f>IF(G79&gt;380,G40*1000*380,G40*1000*G79)</f>
        <v>570</v>
      </c>
      <c r="D107" s="319">
        <f>MAX(B107:C107)</f>
        <v>570</v>
      </c>
      <c r="E107" s="261">
        <f>PI()*(E103/2)^2*1000/$D107</f>
        <v>198.41637812146064</v>
      </c>
      <c r="F107" s="261">
        <f>PI()*(F103/2)^2*1000/$D107</f>
        <v>352.74022777148554</v>
      </c>
      <c r="G107" s="261">
        <f>PI()*(G103/2)^2*1000/$D107</f>
        <v>551.15660589294623</v>
      </c>
      <c r="H107" s="261">
        <f>PI()*(H103/2)^2*1000/$D107</f>
        <v>666.89949313046486</v>
      </c>
      <c r="I107" s="283">
        <f>PI()*(I103/2)^2*1000/$D107</f>
        <v>861.18219670772839</v>
      </c>
      <c r="J107" s="328"/>
      <c r="K107" s="286"/>
    </row>
    <row r="108" spans="1:11">
      <c r="A108" s="264" t="s">
        <v>443</v>
      </c>
      <c r="B108" s="265"/>
      <c r="C108" s="322"/>
      <c r="D108" s="322"/>
      <c r="E108" s="266"/>
      <c r="F108" s="266"/>
      <c r="G108" s="266"/>
      <c r="H108" s="266"/>
      <c r="I108" s="267"/>
      <c r="J108" s="330"/>
      <c r="K108" s="286"/>
    </row>
    <row r="109" spans="1:11">
      <c r="A109" s="259" t="s">
        <v>441</v>
      </c>
      <c r="B109" s="318">
        <f>(F92*10^6)/(C21*C25*E95)</f>
        <v>1197.1727710897674</v>
      </c>
      <c r="C109" s="318">
        <f>IF(G79&gt;380,G40*1000*380,G40*1000*G79)</f>
        <v>570</v>
      </c>
      <c r="D109" s="318">
        <f>MAX(B109:C109)</f>
        <v>1197.1727710897674</v>
      </c>
      <c r="E109" s="261">
        <f>PI()*(E103/2)^2*1000/$D109</f>
        <v>94.47035403777339</v>
      </c>
      <c r="F109" s="261">
        <f>PI()*(F103/2)^2*1000/$D109</f>
        <v>167.94729606715268</v>
      </c>
      <c r="G109" s="261">
        <f>PI()*(G103/2)^2*1000/$D109</f>
        <v>262.41765010492611</v>
      </c>
      <c r="H109" s="261">
        <f>PI()*(H103/2)^2*1000/$D109</f>
        <v>317.52535662696056</v>
      </c>
      <c r="I109" s="283">
        <f>PI()*(I103/2)^2*1000/$D109</f>
        <v>410.02757828894698</v>
      </c>
      <c r="J109" s="328"/>
      <c r="K109" s="286"/>
    </row>
    <row r="110" spans="1:11">
      <c r="A110" s="262" t="s">
        <v>442</v>
      </c>
      <c r="B110" s="263"/>
      <c r="C110" s="319">
        <f>IF(G79&gt;380,G40*1000*380,G40*1000*G79)</f>
        <v>570</v>
      </c>
      <c r="D110" s="319">
        <f>MAX(B110:C110)</f>
        <v>570</v>
      </c>
      <c r="E110" s="284">
        <f>PI()*(E103/2)^2*1000/$D110</f>
        <v>198.41637812146064</v>
      </c>
      <c r="F110" s="284">
        <f>PI()*(F103/2)^2*1000/$D110</f>
        <v>352.74022777148554</v>
      </c>
      <c r="G110" s="284">
        <f>PI()*(G103/2)^2*1000/$D110</f>
        <v>551.15660589294623</v>
      </c>
      <c r="H110" s="284">
        <f>PI()*(H103/2)^2*1000/$D110</f>
        <v>666.89949313046486</v>
      </c>
      <c r="I110" s="285">
        <f>PI()*(I103/2)^2*1000/$D110</f>
        <v>861.18219670772839</v>
      </c>
      <c r="J110" s="328"/>
      <c r="K110" s="286"/>
    </row>
    <row r="111" spans="1:11">
      <c r="J111" s="46"/>
      <c r="K111" s="286"/>
    </row>
    <row r="112" spans="1:11">
      <c r="B112" s="258" t="s">
        <v>440</v>
      </c>
      <c r="C112" s="55"/>
      <c r="D112" s="252"/>
      <c r="E112" s="55"/>
      <c r="F112" s="55"/>
      <c r="G112" s="56"/>
      <c r="K112" s="286"/>
    </row>
    <row r="113" spans="1:11" ht="15.75">
      <c r="B113" s="259" t="s">
        <v>441</v>
      </c>
      <c r="C113" s="268" t="s">
        <v>136</v>
      </c>
      <c r="D113" s="269">
        <v>16</v>
      </c>
      <c r="E113" s="833" t="s">
        <v>481</v>
      </c>
      <c r="F113" s="271">
        <v>100</v>
      </c>
      <c r="G113" s="272" t="s">
        <v>482</v>
      </c>
      <c r="K113" s="286"/>
    </row>
    <row r="114" spans="1:11" ht="15.75">
      <c r="B114" s="262" t="s">
        <v>442</v>
      </c>
      <c r="C114" s="278" t="s">
        <v>136</v>
      </c>
      <c r="D114" s="279">
        <v>16</v>
      </c>
      <c r="E114" s="280" t="s">
        <v>481</v>
      </c>
      <c r="F114" s="281">
        <v>200</v>
      </c>
      <c r="G114" s="282" t="s">
        <v>482</v>
      </c>
      <c r="K114" s="286"/>
    </row>
    <row r="115" spans="1:11" ht="15">
      <c r="B115" s="264" t="s">
        <v>443</v>
      </c>
      <c r="C115" s="273"/>
      <c r="D115" s="274"/>
      <c r="E115" s="275"/>
      <c r="F115" s="276"/>
      <c r="G115" s="277"/>
      <c r="K115" s="286"/>
    </row>
    <row r="116" spans="1:11" ht="15.75">
      <c r="B116" s="259" t="s">
        <v>441</v>
      </c>
      <c r="C116" s="268" t="s">
        <v>136</v>
      </c>
      <c r="D116" s="269">
        <v>16</v>
      </c>
      <c r="E116" s="833" t="s">
        <v>481</v>
      </c>
      <c r="F116" s="271">
        <v>100</v>
      </c>
      <c r="G116" s="272" t="s">
        <v>482</v>
      </c>
      <c r="K116" s="286"/>
    </row>
    <row r="117" spans="1:11" ht="15.75">
      <c r="B117" s="262" t="s">
        <v>442</v>
      </c>
      <c r="C117" s="278" t="s">
        <v>136</v>
      </c>
      <c r="D117" s="279">
        <v>16</v>
      </c>
      <c r="E117" s="280" t="s">
        <v>481</v>
      </c>
      <c r="F117" s="281">
        <v>200</v>
      </c>
      <c r="G117" s="282" t="s">
        <v>482</v>
      </c>
      <c r="K117" s="286"/>
    </row>
    <row r="118" spans="1:11">
      <c r="K118" s="286"/>
    </row>
    <row r="119" spans="1:11">
      <c r="C119" s="179"/>
      <c r="D119" s="179"/>
      <c r="E119" s="179"/>
      <c r="F119" s="179"/>
      <c r="G119" s="179"/>
      <c r="K119" s="286"/>
    </row>
    <row r="120" spans="1:11">
      <c r="A120" s="392" t="s">
        <v>2052</v>
      </c>
      <c r="B120" s="392"/>
      <c r="K120" s="286"/>
    </row>
    <row r="121" spans="1:11">
      <c r="A121" s="22" t="s">
        <v>2053</v>
      </c>
      <c r="B121" s="832"/>
      <c r="C121" s="4"/>
      <c r="G121" s="4"/>
      <c r="H121" s="8"/>
      <c r="K121" s="286"/>
    </row>
    <row r="122" spans="1:11">
      <c r="A122" s="187" t="s">
        <v>560</v>
      </c>
      <c r="C122" s="4"/>
      <c r="G122" s="4"/>
      <c r="H122" s="8"/>
      <c r="K122" s="286"/>
    </row>
    <row r="123" spans="1:11">
      <c r="G123" s="126"/>
      <c r="H123" s="1929" t="s">
        <v>1793</v>
      </c>
      <c r="I123" s="126" t="str">
        <f>DATA!H88</f>
        <v>(Pre-Monsoon)</v>
      </c>
      <c r="J123" s="126"/>
      <c r="K123" s="286"/>
    </row>
    <row r="124" spans="1:11">
      <c r="F124" s="291">
        <f>G33*1000</f>
        <v>750</v>
      </c>
      <c r="K124" s="286"/>
    </row>
    <row r="125" spans="1:11">
      <c r="B125" s="1926" t="s">
        <v>1789</v>
      </c>
      <c r="D125" s="203" t="s">
        <v>559</v>
      </c>
      <c r="E125" s="189">
        <f>C61-C32</f>
        <v>14.950000000000001</v>
      </c>
      <c r="K125" s="286"/>
    </row>
    <row r="126" spans="1:11">
      <c r="B126" s="3189" t="s">
        <v>1786</v>
      </c>
      <c r="K126" s="286"/>
    </row>
    <row r="127" spans="1:11">
      <c r="B127" s="3189"/>
      <c r="K127" s="286"/>
    </row>
    <row r="128" spans="1:11">
      <c r="B128" s="3189"/>
      <c r="D128" s="205">
        <f>E125-D131</f>
        <v>7.0552681707357721</v>
      </c>
      <c r="H128" s="2">
        <f>D64/1000-C32</f>
        <v>5.55</v>
      </c>
      <c r="K128" s="286"/>
    </row>
    <row r="129" spans="1:13">
      <c r="B129" s="3189"/>
      <c r="C129" s="32" t="s">
        <v>1127</v>
      </c>
      <c r="G129" t="s">
        <v>120</v>
      </c>
      <c r="K129" s="286"/>
    </row>
    <row r="130" spans="1:13">
      <c r="B130" s="3189"/>
      <c r="C130" s="17"/>
      <c r="K130" s="286"/>
    </row>
    <row r="131" spans="1:13">
      <c r="B131" s="3189"/>
      <c r="C131" s="32"/>
      <c r="D131" s="190">
        <f>DATA!F103</f>
        <v>7.894731829264229</v>
      </c>
      <c r="G131" s="19" t="s">
        <v>1126</v>
      </c>
      <c r="K131" s="286"/>
      <c r="L131" s="33"/>
    </row>
    <row r="132" spans="1:13">
      <c r="A132" s="2592">
        <f>I67-C32</f>
        <v>7.95</v>
      </c>
      <c r="B132" s="3190"/>
      <c r="D132" s="37"/>
      <c r="F132" s="291">
        <f>F142</f>
        <v>750</v>
      </c>
      <c r="I132" s="36">
        <f>A132</f>
        <v>7.95</v>
      </c>
      <c r="J132" s="36">
        <f>C61-G70</f>
        <v>8.4</v>
      </c>
      <c r="K132" s="286"/>
    </row>
    <row r="133" spans="1:13">
      <c r="B133" s="3191" t="s">
        <v>1788</v>
      </c>
      <c r="C133" s="4"/>
      <c r="G133" s="189">
        <f>DATA!I105</f>
        <v>6.1</v>
      </c>
      <c r="K133" s="286"/>
    </row>
    <row r="134" spans="1:13">
      <c r="B134" s="3192"/>
      <c r="C134" s="17" t="s">
        <v>121</v>
      </c>
      <c r="D134" s="189">
        <f>D131-D138</f>
        <v>0.89473182926422901</v>
      </c>
      <c r="H134" s="10">
        <f>E66-G70</f>
        <v>2.4000000000000004</v>
      </c>
      <c r="K134" s="286"/>
    </row>
    <row r="135" spans="1:13">
      <c r="B135" s="3192"/>
      <c r="C135" s="17"/>
      <c r="D135" s="189"/>
      <c r="G135" s="205">
        <f>IF(G133&lt;D138,0,G133-D138)</f>
        <v>0</v>
      </c>
      <c r="H135" s="1927"/>
      <c r="K135" s="286"/>
    </row>
    <row r="136" spans="1:13">
      <c r="B136" s="3192"/>
      <c r="C136" s="17"/>
      <c r="D136" s="189"/>
      <c r="H136" s="1927"/>
      <c r="K136" s="286"/>
    </row>
    <row r="137" spans="1:13">
      <c r="B137" s="3192"/>
      <c r="K137" s="286"/>
      <c r="M137">
        <f>+G135/A132</f>
        <v>0</v>
      </c>
    </row>
    <row r="138" spans="1:13">
      <c r="B138" s="3192"/>
      <c r="D138" s="190">
        <f>G70</f>
        <v>7</v>
      </c>
      <c r="K138" s="286"/>
    </row>
    <row r="139" spans="1:13">
      <c r="B139" s="4"/>
      <c r="E139" s="63" t="s">
        <v>45</v>
      </c>
      <c r="K139" s="286"/>
    </row>
    <row r="140" spans="1:13">
      <c r="B140" s="4"/>
      <c r="K140" s="286"/>
    </row>
    <row r="141" spans="1:13">
      <c r="B141" s="191">
        <f>G56/1000</f>
        <v>1.5</v>
      </c>
      <c r="D141" s="81"/>
      <c r="F141" s="63"/>
      <c r="I141" s="3"/>
      <c r="J141" s="3"/>
      <c r="K141" s="286"/>
    </row>
    <row r="142" spans="1:13">
      <c r="B142" s="5"/>
      <c r="D142" s="81"/>
      <c r="F142" s="291">
        <f>C33*1000</f>
        <v>750</v>
      </c>
      <c r="I142" s="3"/>
      <c r="J142" s="3"/>
      <c r="K142" s="286"/>
    </row>
    <row r="143" spans="1:13">
      <c r="B143" s="5"/>
      <c r="D143" s="81"/>
      <c r="I143" s="3"/>
      <c r="J143" s="3"/>
      <c r="K143" s="286"/>
    </row>
    <row r="144" spans="1:13">
      <c r="K144" s="286"/>
    </row>
    <row r="145" spans="1:11">
      <c r="A145" s="51" t="s">
        <v>518</v>
      </c>
      <c r="K145" s="286"/>
    </row>
    <row r="146" spans="1:11">
      <c r="A146" s="51" t="s">
        <v>122</v>
      </c>
      <c r="B146" s="51"/>
      <c r="C146" s="51"/>
      <c r="D146" s="51"/>
      <c r="E146" s="51"/>
      <c r="F146" s="51"/>
      <c r="G146" s="51"/>
      <c r="H146" s="51"/>
      <c r="I146" s="51"/>
      <c r="J146" s="51"/>
      <c r="K146" s="286"/>
    </row>
    <row r="147" spans="1:11">
      <c r="A147" s="51" t="s">
        <v>519</v>
      </c>
      <c r="B147" s="51"/>
      <c r="C147" s="51"/>
      <c r="D147" s="51"/>
      <c r="E147" s="51"/>
      <c r="F147" s="51"/>
      <c r="G147" s="51"/>
      <c r="H147" s="51"/>
      <c r="I147" s="51"/>
      <c r="J147" s="51"/>
      <c r="K147" s="286"/>
    </row>
    <row r="148" spans="1:11">
      <c r="B148" s="51"/>
      <c r="C148" s="51"/>
      <c r="D148" s="51"/>
      <c r="E148" s="51"/>
      <c r="F148" s="51"/>
      <c r="G148" s="51"/>
      <c r="H148" s="51"/>
      <c r="I148" s="51"/>
      <c r="J148" s="51"/>
      <c r="K148" s="286"/>
    </row>
    <row r="149" spans="1:11">
      <c r="A149" s="477" t="s">
        <v>365</v>
      </c>
      <c r="B149" s="130"/>
      <c r="C149" s="130"/>
      <c r="D149" s="130"/>
      <c r="E149" s="130"/>
      <c r="F149" s="130"/>
      <c r="G149" s="130"/>
      <c r="H149" s="130"/>
      <c r="I149" s="130"/>
      <c r="K149" s="286"/>
    </row>
    <row r="150" spans="1:11">
      <c r="B150" s="187"/>
      <c r="C150" s="187" t="s">
        <v>529</v>
      </c>
      <c r="F150" s="33">
        <f>E125</f>
        <v>14.950000000000001</v>
      </c>
      <c r="G150" s="187" t="s">
        <v>46</v>
      </c>
      <c r="K150" s="286"/>
    </row>
    <row r="151" spans="1:11">
      <c r="C151" s="187" t="s">
        <v>526</v>
      </c>
      <c r="F151" s="33">
        <f>DATA!F103</f>
        <v>7.894731829264229</v>
      </c>
      <c r="G151" s="187" t="s">
        <v>46</v>
      </c>
      <c r="K151" s="286"/>
    </row>
    <row r="152" spans="1:11">
      <c r="C152" s="187" t="s">
        <v>527</v>
      </c>
      <c r="F152" s="33">
        <f>DATA!I105</f>
        <v>6.1</v>
      </c>
      <c r="G152" s="187" t="s">
        <v>46</v>
      </c>
      <c r="K152" s="286"/>
    </row>
    <row r="153" spans="1:11">
      <c r="C153" s="187" t="s">
        <v>530</v>
      </c>
      <c r="F153" s="33">
        <f>D138</f>
        <v>7</v>
      </c>
      <c r="G153" s="187" t="s">
        <v>46</v>
      </c>
      <c r="K153" s="286"/>
    </row>
    <row r="154" spans="1:11">
      <c r="K154" s="286"/>
    </row>
    <row r="155" spans="1:11">
      <c r="B155" s="203" t="s">
        <v>528</v>
      </c>
      <c r="C155" s="33">
        <f>F150-F151</f>
        <v>7.0552681707357721</v>
      </c>
      <c r="D155" s="187" t="s">
        <v>548</v>
      </c>
      <c r="E155" s="33">
        <f>F151-F153</f>
        <v>0.89473182926422901</v>
      </c>
      <c r="F155" s="187" t="s">
        <v>549</v>
      </c>
      <c r="G155" s="33">
        <f>IF(G133&lt;D138,0,G133-D138)</f>
        <v>0</v>
      </c>
      <c r="H155" s="187" t="s">
        <v>5</v>
      </c>
      <c r="K155" s="286"/>
    </row>
    <row r="156" spans="1:11" ht="18.75">
      <c r="B156" s="38" t="s">
        <v>553</v>
      </c>
      <c r="C156" s="187"/>
      <c r="D156" s="187"/>
      <c r="E156" s="187"/>
      <c r="F156" s="223">
        <f>(H6*D5*C155)+(H6*(D6-D7)+D7)*E155</f>
        <v>55.779998293762624</v>
      </c>
      <c r="G156" s="187" t="s">
        <v>3</v>
      </c>
      <c r="K156" s="286"/>
    </row>
    <row r="157" spans="1:11">
      <c r="K157" s="286"/>
    </row>
    <row r="158" spans="1:11">
      <c r="B158" s="187" t="s">
        <v>520</v>
      </c>
      <c r="C158">
        <f>B141/A132</f>
        <v>0.18867924528301885</v>
      </c>
      <c r="D158" s="203" t="s">
        <v>521</v>
      </c>
      <c r="E158" s="479">
        <f>VLOOKUP(C158,Table!A53:E58,2,TRUE)</f>
        <v>5.1999999999999998E-3</v>
      </c>
      <c r="G158" s="203" t="s">
        <v>522</v>
      </c>
      <c r="H158" s="18">
        <f>VLOOKUP(C158,Table!A53:E58,3,TRUE)</f>
        <v>7.1999999999999998E-3</v>
      </c>
      <c r="K158" s="286"/>
    </row>
    <row r="159" spans="1:11">
      <c r="D159" s="203" t="s">
        <v>532</v>
      </c>
      <c r="E159" s="18">
        <f>VLOOKUP(C158,Table!A53:E58,4,TRUE)</f>
        <v>9.64E-2</v>
      </c>
      <c r="G159" s="203" t="s">
        <v>533</v>
      </c>
      <c r="H159" s="18">
        <f>VLOOKUP(C158,Table!A53:E58,5,TRUE)</f>
        <v>0.27060000000000001</v>
      </c>
      <c r="K159" s="286"/>
    </row>
    <row r="160" spans="1:11">
      <c r="B160" s="187" t="s">
        <v>552</v>
      </c>
      <c r="C160" s="187"/>
      <c r="D160" s="33"/>
      <c r="E160" s="187" t="s">
        <v>550</v>
      </c>
      <c r="F160" s="187" t="s">
        <v>551</v>
      </c>
      <c r="K160" s="286"/>
    </row>
    <row r="161" spans="1:11">
      <c r="K161" s="286"/>
    </row>
    <row r="162" spans="1:11">
      <c r="B162" s="187" t="s">
        <v>523</v>
      </c>
      <c r="C162" s="33">
        <f>E158*F156*J132^2</f>
        <v>20.466350733961033</v>
      </c>
      <c r="D162" t="s">
        <v>107</v>
      </c>
      <c r="F162" s="187" t="s">
        <v>524</v>
      </c>
      <c r="G162" s="33">
        <f>H158*F156*J132^2</f>
        <v>28.338024093176813</v>
      </c>
      <c r="H162" t="s">
        <v>107</v>
      </c>
      <c r="K162" s="286"/>
    </row>
    <row r="163" spans="1:11">
      <c r="B163" s="187" t="s">
        <v>562</v>
      </c>
      <c r="C163" s="33">
        <f>E159*F156*J132</f>
        <v>45.168411418357223</v>
      </c>
      <c r="D163" s="187" t="s">
        <v>341</v>
      </c>
      <c r="F163" s="187" t="s">
        <v>563</v>
      </c>
      <c r="G163" s="33">
        <f>H159*F156*J132</f>
        <v>126.79016732165421</v>
      </c>
      <c r="H163" s="187" t="s">
        <v>341</v>
      </c>
      <c r="K163" s="286"/>
    </row>
    <row r="164" spans="1:11">
      <c r="K164" s="286"/>
    </row>
    <row r="165" spans="1:11" ht="18.75">
      <c r="B165" s="38" t="s">
        <v>525</v>
      </c>
      <c r="C165" s="187"/>
      <c r="D165" s="223">
        <f>D7*G155</f>
        <v>0</v>
      </c>
      <c r="E165" s="187" t="s">
        <v>3</v>
      </c>
      <c r="K165" s="286"/>
    </row>
    <row r="166" spans="1:11">
      <c r="K166" s="286"/>
    </row>
    <row r="167" spans="1:11">
      <c r="B167" s="207" t="s">
        <v>520</v>
      </c>
      <c r="C167" s="126">
        <f>B141/A132</f>
        <v>0.18867924528301885</v>
      </c>
      <c r="D167" s="203" t="s">
        <v>521</v>
      </c>
      <c r="E167" s="18">
        <f>Table!B104</f>
        <v>2.3E-3</v>
      </c>
      <c r="G167" s="203" t="s">
        <v>522</v>
      </c>
      <c r="H167" s="18">
        <f>Table!C104</f>
        <v>4.1000000000000003E-3</v>
      </c>
      <c r="K167" s="286"/>
    </row>
    <row r="168" spans="1:11">
      <c r="B168" s="207" t="s">
        <v>799</v>
      </c>
      <c r="C168" s="2601">
        <f>G155/A132</f>
        <v>0</v>
      </c>
      <c r="D168" s="203" t="s">
        <v>532</v>
      </c>
      <c r="E168" s="18">
        <f>Table!D104</f>
        <v>4.82E-2</v>
      </c>
      <c r="G168" s="203" t="s">
        <v>533</v>
      </c>
      <c r="H168" s="18">
        <f>Table!E104</f>
        <v>0.1925</v>
      </c>
      <c r="K168" s="286"/>
    </row>
    <row r="169" spans="1:11">
      <c r="K169" s="286"/>
    </row>
    <row r="170" spans="1:11">
      <c r="B170" s="187" t="s">
        <v>523</v>
      </c>
      <c r="C170" s="33">
        <f>E167*D165*J132^2</f>
        <v>0</v>
      </c>
      <c r="D170" t="s">
        <v>107</v>
      </c>
      <c r="F170" s="187" t="s">
        <v>524</v>
      </c>
      <c r="G170" s="33">
        <f>H167*D165*J132^2</f>
        <v>0</v>
      </c>
      <c r="H170" t="s">
        <v>107</v>
      </c>
      <c r="K170" s="286"/>
    </row>
    <row r="171" spans="1:11">
      <c r="B171" s="187" t="s">
        <v>562</v>
      </c>
      <c r="C171" s="33">
        <f>E168*D165*J132</f>
        <v>0</v>
      </c>
      <c r="D171" s="187" t="s">
        <v>341</v>
      </c>
      <c r="F171" s="187" t="s">
        <v>563</v>
      </c>
      <c r="G171" s="33">
        <f>H168*D165*J132</f>
        <v>0</v>
      </c>
      <c r="H171" s="187" t="s">
        <v>341</v>
      </c>
      <c r="K171" s="286"/>
    </row>
    <row r="172" spans="1:11">
      <c r="K172" s="286"/>
    </row>
    <row r="173" spans="1:11">
      <c r="B173" s="2605" t="s">
        <v>535</v>
      </c>
      <c r="C173" s="207" t="s">
        <v>523</v>
      </c>
      <c r="D173" s="246">
        <f>C162-C170</f>
        <v>20.466350733961033</v>
      </c>
      <c r="E173" s="126" t="s">
        <v>107</v>
      </c>
      <c r="F173" s="207" t="s">
        <v>524</v>
      </c>
      <c r="G173" s="246">
        <f>G162-G170</f>
        <v>28.338024093176813</v>
      </c>
      <c r="H173" s="126" t="s">
        <v>107</v>
      </c>
      <c r="K173" s="286"/>
    </row>
    <row r="174" spans="1:11">
      <c r="C174" s="187" t="s">
        <v>562</v>
      </c>
      <c r="D174" s="246">
        <f>C163-C171</f>
        <v>45.168411418357223</v>
      </c>
      <c r="E174" s="207" t="s">
        <v>341</v>
      </c>
      <c r="F174" s="187" t="s">
        <v>563</v>
      </c>
      <c r="G174" s="246">
        <f>G163-G171</f>
        <v>126.79016732165421</v>
      </c>
      <c r="H174" s="207" t="s">
        <v>341</v>
      </c>
      <c r="J174" s="46"/>
      <c r="K174" s="286"/>
    </row>
    <row r="175" spans="1:11">
      <c r="J175" s="46"/>
      <c r="K175" s="286"/>
    </row>
    <row r="176" spans="1:11">
      <c r="A176" s="477" t="s">
        <v>364</v>
      </c>
      <c r="B176" s="130"/>
      <c r="C176" s="130"/>
      <c r="D176" s="130"/>
      <c r="E176" s="130"/>
      <c r="F176" s="130"/>
      <c r="G176" s="130"/>
      <c r="H176" s="130"/>
      <c r="I176" s="46"/>
      <c r="K176" s="286"/>
    </row>
    <row r="177" spans="2:11">
      <c r="B177" s="187"/>
      <c r="C177" s="187" t="s">
        <v>529</v>
      </c>
      <c r="F177" s="33">
        <f>E125</f>
        <v>14.950000000000001</v>
      </c>
      <c r="G177" s="187" t="s">
        <v>46</v>
      </c>
      <c r="J177" s="46"/>
      <c r="K177" s="286"/>
    </row>
    <row r="178" spans="2:11">
      <c r="C178" s="187" t="s">
        <v>526</v>
      </c>
      <c r="F178" s="33">
        <f>DATA!F134</f>
        <v>12.233463301397501</v>
      </c>
      <c r="G178" s="187" t="s">
        <v>46</v>
      </c>
      <c r="J178" s="46"/>
      <c r="K178" s="286"/>
    </row>
    <row r="179" spans="2:11">
      <c r="C179" s="187" t="s">
        <v>527</v>
      </c>
      <c r="F179" s="33">
        <f>DATA!I130</f>
        <v>13.9</v>
      </c>
      <c r="G179" s="187" t="s">
        <v>46</v>
      </c>
      <c r="K179" s="286"/>
    </row>
    <row r="180" spans="2:11">
      <c r="C180" s="187" t="s">
        <v>530</v>
      </c>
      <c r="F180" s="33">
        <f>D138</f>
        <v>7</v>
      </c>
      <c r="G180" s="187" t="s">
        <v>46</v>
      </c>
      <c r="K180" s="286"/>
    </row>
    <row r="181" spans="2:11">
      <c r="K181" s="286"/>
    </row>
    <row r="182" spans="2:11">
      <c r="B182" s="203" t="s">
        <v>528</v>
      </c>
      <c r="C182" s="33">
        <f>F177-F178</f>
        <v>2.7165366986024999</v>
      </c>
      <c r="D182" s="187" t="s">
        <v>548</v>
      </c>
      <c r="E182" s="33">
        <f>F178-F180</f>
        <v>5.2334633013975012</v>
      </c>
      <c r="F182" s="187" t="s">
        <v>561</v>
      </c>
      <c r="G182" s="33">
        <f>F179-F180</f>
        <v>6.9</v>
      </c>
      <c r="H182" s="187" t="s">
        <v>5</v>
      </c>
      <c r="K182" s="286"/>
    </row>
    <row r="183" spans="2:11">
      <c r="C183" s="187"/>
      <c r="K183" s="286"/>
    </row>
    <row r="184" spans="2:11" ht="18.75">
      <c r="B184" s="38" t="s">
        <v>531</v>
      </c>
      <c r="C184" s="187"/>
      <c r="D184" s="187"/>
      <c r="E184" s="187"/>
      <c r="F184" s="223">
        <f>(H6*D5*C182)+(H6*(D6-D7)+D7)*E182</f>
        <v>85.482585595767247</v>
      </c>
      <c r="G184" s="187" t="s">
        <v>3</v>
      </c>
      <c r="K184" s="286"/>
    </row>
    <row r="185" spans="2:11">
      <c r="K185" s="286"/>
    </row>
    <row r="186" spans="2:11">
      <c r="B186" s="187" t="s">
        <v>520</v>
      </c>
      <c r="C186">
        <f>B141/A132</f>
        <v>0.18867924528301885</v>
      </c>
      <c r="D186" s="203" t="s">
        <v>521</v>
      </c>
      <c r="E186" s="18">
        <f>VLOOKUP(C186,Table!A53:E58,2,TRUE)</f>
        <v>5.1999999999999998E-3</v>
      </c>
      <c r="G186" s="203" t="s">
        <v>522</v>
      </c>
      <c r="H186" s="18">
        <f>VLOOKUP(C186,Table!A53:E58,3,TRUE)</f>
        <v>7.1999999999999998E-3</v>
      </c>
      <c r="K186" s="286"/>
    </row>
    <row r="187" spans="2:11">
      <c r="D187" s="203" t="s">
        <v>532</v>
      </c>
      <c r="E187" s="18">
        <f>VLOOKUP(C186,Table!A53:E58,4,TRUE)</f>
        <v>9.64E-2</v>
      </c>
      <c r="G187" s="203" t="s">
        <v>533</v>
      </c>
      <c r="H187" s="18">
        <f>VLOOKUP(C186,Table!A53:E58,5,TRUE)</f>
        <v>0.27060000000000001</v>
      </c>
      <c r="K187" s="286"/>
    </row>
    <row r="188" spans="2:11">
      <c r="B188" s="187" t="s">
        <v>534</v>
      </c>
      <c r="C188" s="187"/>
      <c r="D188" s="33"/>
      <c r="E188" s="187"/>
      <c r="K188" s="286"/>
    </row>
    <row r="189" spans="2:11">
      <c r="C189" s="187"/>
      <c r="D189" s="33"/>
      <c r="K189" s="286"/>
    </row>
    <row r="190" spans="2:11">
      <c r="B190" s="187" t="s">
        <v>523</v>
      </c>
      <c r="C190" s="33">
        <f>E186*F184*J132^2</f>
        <v>31.364586446114153</v>
      </c>
      <c r="D190" t="s">
        <v>107</v>
      </c>
      <c r="F190" s="187" t="s">
        <v>524</v>
      </c>
      <c r="G190" s="33">
        <f>H186*F184*J132^2</f>
        <v>43.427888925388828</v>
      </c>
      <c r="H190" t="s">
        <v>107</v>
      </c>
      <c r="K190" s="286"/>
    </row>
    <row r="191" spans="2:11">
      <c r="B191" s="187" t="s">
        <v>562</v>
      </c>
      <c r="C191" s="33">
        <f>E187*F184*J132</f>
        <v>69.220378512028489</v>
      </c>
      <c r="D191" s="187" t="s">
        <v>341</v>
      </c>
      <c r="F191" s="187" t="s">
        <v>563</v>
      </c>
      <c r="G191" s="33">
        <f>H187*F184*J132</f>
        <v>194.30533636260279</v>
      </c>
      <c r="H191" s="187" t="s">
        <v>341</v>
      </c>
      <c r="K191" s="286"/>
    </row>
    <row r="192" spans="2:11">
      <c r="K192" s="286"/>
    </row>
    <row r="193" spans="1:14" ht="18.75">
      <c r="B193" s="38" t="s">
        <v>525</v>
      </c>
      <c r="C193" s="187"/>
      <c r="D193" s="223">
        <f>D7*G182</f>
        <v>67.689000000000007</v>
      </c>
      <c r="E193" s="187" t="s">
        <v>3</v>
      </c>
      <c r="K193" s="286"/>
    </row>
    <row r="194" spans="1:14">
      <c r="K194" s="286"/>
    </row>
    <row r="195" spans="1:14">
      <c r="B195" s="207" t="s">
        <v>520</v>
      </c>
      <c r="C195" s="126">
        <f>B141/A132</f>
        <v>0.18867924528301885</v>
      </c>
      <c r="D195" s="203" t="s">
        <v>521</v>
      </c>
      <c r="E195" s="18">
        <f>Table!B113</f>
        <v>2.3E-3</v>
      </c>
      <c r="G195" s="203" t="s">
        <v>522</v>
      </c>
      <c r="H195" s="18">
        <f>Table!C113</f>
        <v>4.1000000000000003E-3</v>
      </c>
      <c r="K195" s="286"/>
    </row>
    <row r="196" spans="1:14">
      <c r="B196" s="126" t="s">
        <v>799</v>
      </c>
      <c r="C196" s="2602">
        <f>G182/A132</f>
        <v>0.86792452830188682</v>
      </c>
      <c r="D196" s="203" t="s">
        <v>532</v>
      </c>
      <c r="E196" s="18">
        <f>Table!D113</f>
        <v>4.82E-2</v>
      </c>
      <c r="G196" s="203" t="s">
        <v>533</v>
      </c>
      <c r="H196" s="18">
        <f>Table!E113</f>
        <v>0.1925</v>
      </c>
      <c r="K196" s="286"/>
    </row>
    <row r="197" spans="1:14">
      <c r="K197" s="286"/>
    </row>
    <row r="198" spans="1:14">
      <c r="B198" s="187" t="s">
        <v>523</v>
      </c>
      <c r="C198" s="33">
        <f>E195*D193*G182^2</f>
        <v>7.4121485670000018</v>
      </c>
      <c r="D198" t="s">
        <v>107</v>
      </c>
      <c r="F198" s="187" t="s">
        <v>524</v>
      </c>
      <c r="G198" s="33">
        <f>H195*D193*G182^2</f>
        <v>13.212960489000006</v>
      </c>
      <c r="H198" t="s">
        <v>107</v>
      </c>
      <c r="K198" s="286"/>
    </row>
    <row r="199" spans="1:14">
      <c r="B199" s="187" t="s">
        <v>562</v>
      </c>
      <c r="C199" s="33">
        <f>E196*D193*G182</f>
        <v>22.512007620000002</v>
      </c>
      <c r="D199" s="187" t="s">
        <v>341</v>
      </c>
      <c r="F199" s="187" t="s">
        <v>563</v>
      </c>
      <c r="G199" s="33">
        <f>H196*D193*G182</f>
        <v>89.907914250000019</v>
      </c>
      <c r="H199" s="187" t="s">
        <v>341</v>
      </c>
      <c r="K199" s="286"/>
    </row>
    <row r="200" spans="1:14">
      <c r="K200" s="286"/>
    </row>
    <row r="201" spans="1:14">
      <c r="B201" s="2605" t="s">
        <v>535</v>
      </c>
      <c r="C201" s="207" t="s">
        <v>523</v>
      </c>
      <c r="D201" s="246">
        <f>C190-C198</f>
        <v>23.95243787911415</v>
      </c>
      <c r="E201" s="126" t="s">
        <v>107</v>
      </c>
      <c r="F201" s="207" t="s">
        <v>524</v>
      </c>
      <c r="G201" s="246">
        <f>G190-G198</f>
        <v>30.214928436388824</v>
      </c>
      <c r="H201" s="126" t="s">
        <v>107</v>
      </c>
      <c r="K201" s="286"/>
    </row>
    <row r="202" spans="1:14">
      <c r="C202" s="187" t="s">
        <v>562</v>
      </c>
      <c r="D202" s="246">
        <f>C191-C199</f>
        <v>46.708370892028483</v>
      </c>
      <c r="E202" s="207" t="s">
        <v>341</v>
      </c>
      <c r="F202" s="187" t="s">
        <v>563</v>
      </c>
      <c r="G202" s="246">
        <f>G191-G199</f>
        <v>104.39742211260277</v>
      </c>
      <c r="H202" s="207" t="s">
        <v>341</v>
      </c>
      <c r="K202" s="286"/>
      <c r="M202" s="33"/>
      <c r="N202" s="33"/>
    </row>
    <row r="203" spans="1:14">
      <c r="K203" s="286"/>
    </row>
    <row r="204" spans="1:14">
      <c r="A204" s="392" t="s">
        <v>573</v>
      </c>
      <c r="B204" s="174"/>
      <c r="C204" s="174"/>
      <c r="D204" s="174"/>
      <c r="E204" s="174"/>
      <c r="K204" s="286"/>
    </row>
    <row r="205" spans="1:14">
      <c r="B205" s="187"/>
      <c r="C205" s="187"/>
      <c r="F205" s="33"/>
      <c r="G205" s="187"/>
      <c r="K205" s="286"/>
    </row>
    <row r="206" spans="1:14" ht="18.75">
      <c r="B206" s="38" t="s">
        <v>576</v>
      </c>
      <c r="C206" s="187"/>
      <c r="D206" s="187"/>
      <c r="E206" s="187"/>
      <c r="F206" s="223">
        <f>H6*D6*J132</f>
        <v>57.317675840171546</v>
      </c>
      <c r="G206" s="187" t="s">
        <v>3</v>
      </c>
      <c r="K206" s="286"/>
    </row>
    <row r="207" spans="1:14">
      <c r="K207" s="286"/>
    </row>
    <row r="208" spans="1:14">
      <c r="B208" s="187" t="s">
        <v>520</v>
      </c>
      <c r="C208">
        <f>B141/A132</f>
        <v>0.18867924528301885</v>
      </c>
      <c r="D208" s="203" t="s">
        <v>521</v>
      </c>
      <c r="E208" s="18">
        <f>VLOOKUP(C208,Table!A53:E58,2,TRUE)</f>
        <v>5.1999999999999998E-3</v>
      </c>
      <c r="G208" s="203" t="s">
        <v>522</v>
      </c>
      <c r="H208" s="18">
        <f>VLOOKUP(C208,Table!A53:E58,3,TRUE)</f>
        <v>7.1999999999999998E-3</v>
      </c>
      <c r="K208" s="286"/>
    </row>
    <row r="209" spans="1:11">
      <c r="D209" s="203" t="s">
        <v>532</v>
      </c>
      <c r="E209" s="18">
        <f>VLOOKUP(C208,Table!A53:E58,4,TRUE)</f>
        <v>9.64E-2</v>
      </c>
      <c r="G209" s="203" t="s">
        <v>533</v>
      </c>
      <c r="H209" s="18">
        <f>VLOOKUP(C208,Table!A53:E58,5,TRUE)</f>
        <v>0.27060000000000001</v>
      </c>
      <c r="K209" s="286"/>
    </row>
    <row r="210" spans="1:11">
      <c r="B210" s="187" t="s">
        <v>552</v>
      </c>
      <c r="C210" s="187"/>
      <c r="D210" s="33"/>
      <c r="E210" s="187" t="s">
        <v>550</v>
      </c>
      <c r="F210" s="187" t="s">
        <v>551</v>
      </c>
      <c r="K210" s="286"/>
    </row>
    <row r="211" spans="1:11">
      <c r="K211" s="286"/>
    </row>
    <row r="212" spans="1:11">
      <c r="B212" s="207" t="s">
        <v>523</v>
      </c>
      <c r="C212" s="246">
        <f>E208*F206*J132^2</f>
        <v>21.030543077869019</v>
      </c>
      <c r="D212" s="126" t="s">
        <v>107</v>
      </c>
      <c r="E212" s="126"/>
      <c r="F212" s="207" t="s">
        <v>524</v>
      </c>
      <c r="G212" s="246">
        <f>H208*F206*J132^2</f>
        <v>29.119213492434032</v>
      </c>
      <c r="H212" s="126" t="s">
        <v>107</v>
      </c>
      <c r="K212" s="286"/>
    </row>
    <row r="213" spans="1:11">
      <c r="B213" s="207" t="s">
        <v>562</v>
      </c>
      <c r="C213" s="246">
        <f>E209*F206*J132</f>
        <v>46.413561188337312</v>
      </c>
      <c r="D213" s="207" t="s">
        <v>341</v>
      </c>
      <c r="E213" s="126"/>
      <c r="F213" s="207" t="s">
        <v>563</v>
      </c>
      <c r="G213" s="246">
        <f>H209*F206*J132</f>
        <v>130.28536989174353</v>
      </c>
      <c r="H213" s="207" t="s">
        <v>341</v>
      </c>
      <c r="K213" s="286"/>
    </row>
    <row r="214" spans="1:11">
      <c r="K214" s="286"/>
    </row>
    <row r="215" spans="1:11">
      <c r="C215" s="187" t="s">
        <v>462</v>
      </c>
      <c r="D215" s="191" t="s">
        <v>123</v>
      </c>
      <c r="E215" s="191" t="s">
        <v>124</v>
      </c>
      <c r="F215" s="191" t="s">
        <v>564</v>
      </c>
      <c r="G215" s="191" t="s">
        <v>565</v>
      </c>
      <c r="K215" s="286"/>
    </row>
    <row r="216" spans="1:11">
      <c r="C216" s="187" t="s">
        <v>566</v>
      </c>
      <c r="D216" s="10">
        <f>D173</f>
        <v>20.466350733961033</v>
      </c>
      <c r="E216" s="10">
        <f>G173</f>
        <v>28.338024093176813</v>
      </c>
      <c r="F216" s="10">
        <f>D174</f>
        <v>45.168411418357223</v>
      </c>
      <c r="G216" s="10">
        <f>G174</f>
        <v>126.79016732165421</v>
      </c>
      <c r="K216" s="286"/>
    </row>
    <row r="217" spans="1:11">
      <c r="C217" s="187" t="s">
        <v>567</v>
      </c>
      <c r="D217" s="10">
        <f>D201</f>
        <v>23.95243787911415</v>
      </c>
      <c r="E217" s="10">
        <f>G201</f>
        <v>30.214928436388824</v>
      </c>
      <c r="F217" s="10">
        <f>D202</f>
        <v>46.708370892028483</v>
      </c>
      <c r="G217" s="10">
        <f>G202</f>
        <v>104.39742211260277</v>
      </c>
      <c r="K217" s="286"/>
    </row>
    <row r="218" spans="1:11">
      <c r="C218" s="187" t="s">
        <v>568</v>
      </c>
      <c r="D218" s="10">
        <f>C212</f>
        <v>21.030543077869019</v>
      </c>
      <c r="E218" s="10">
        <f>G212</f>
        <v>29.119213492434032</v>
      </c>
      <c r="F218" s="10">
        <f>C213</f>
        <v>46.413561188337312</v>
      </c>
      <c r="G218" s="10">
        <f>G213</f>
        <v>130.28536989174353</v>
      </c>
      <c r="K218" s="286"/>
    </row>
    <row r="219" spans="1:11">
      <c r="C219" s="187" t="s">
        <v>569</v>
      </c>
      <c r="D219" s="10">
        <f>MAX(D216:D218)</f>
        <v>23.95243787911415</v>
      </c>
      <c r="E219" s="10">
        <f>MAX(E216:E218)</f>
        <v>30.214928436388824</v>
      </c>
      <c r="F219" s="10">
        <f>MAX(F216:F218)</f>
        <v>46.708370892028483</v>
      </c>
      <c r="G219" s="10">
        <f>MAX(G216:G218)</f>
        <v>130.28536989174353</v>
      </c>
      <c r="K219" s="286"/>
    </row>
    <row r="220" spans="1:11">
      <c r="K220" s="286"/>
    </row>
    <row r="221" spans="1:11">
      <c r="B221" s="187" t="s">
        <v>570</v>
      </c>
      <c r="F221" s="129">
        <f>C33*1000</f>
        <v>750</v>
      </c>
      <c r="G221" s="187" t="s">
        <v>98</v>
      </c>
      <c r="K221" s="286"/>
    </row>
    <row r="222" spans="1:11">
      <c r="B222" s="187" t="s">
        <v>571</v>
      </c>
      <c r="F222" s="129">
        <f>F221-I16-D244/2</f>
        <v>680</v>
      </c>
      <c r="G222" s="187" t="s">
        <v>98</v>
      </c>
      <c r="J222" s="46"/>
      <c r="K222" s="286"/>
    </row>
    <row r="223" spans="1:11">
      <c r="J223" s="46"/>
      <c r="K223" s="286"/>
    </row>
    <row r="224" spans="1:11">
      <c r="A224" s="187" t="s">
        <v>578</v>
      </c>
      <c r="D224" s="2"/>
      <c r="G224" s="320">
        <f>(MAX(G219,F219)*10^3)/(C27*1000)</f>
        <v>305.24103507225715</v>
      </c>
      <c r="H224" s="187" t="s">
        <v>98</v>
      </c>
      <c r="I224" s="126" t="str">
        <f>IF(G224&lt;=F222,"Ok","Not Ok")</f>
        <v>Ok</v>
      </c>
      <c r="J224" s="46"/>
      <c r="K224" s="286"/>
    </row>
    <row r="225" spans="1:16">
      <c r="A225" s="187" t="s">
        <v>577</v>
      </c>
      <c r="C225" s="201"/>
      <c r="D225" s="2"/>
      <c r="G225" s="320">
        <f>((MAX(D219,E219)*10^6)/(C26*1000))^0.5</f>
        <v>145.3510453452503</v>
      </c>
      <c r="H225" s="187" t="s">
        <v>98</v>
      </c>
      <c r="I225" s="126" t="str">
        <f>IF(G225&lt;=F222,"Ok","Not Ok")</f>
        <v>Ok</v>
      </c>
      <c r="J225" s="46"/>
      <c r="K225" s="286"/>
    </row>
    <row r="226" spans="1:16">
      <c r="D226" s="17"/>
      <c r="E226" s="2"/>
      <c r="J226" s="46"/>
      <c r="K226" s="286"/>
    </row>
    <row r="227" spans="1:16">
      <c r="A227" s="187" t="s">
        <v>574</v>
      </c>
      <c r="E227" s="2"/>
      <c r="G227" s="129">
        <f>(D219*10^6)/(C21*C25*F222)</f>
        <v>211.95575942516763</v>
      </c>
      <c r="H227" s="187" t="s">
        <v>128</v>
      </c>
      <c r="K227" s="286"/>
    </row>
    <row r="228" spans="1:16">
      <c r="A228" s="187" t="s">
        <v>575</v>
      </c>
      <c r="G228" s="129">
        <f>(E219*10^6)/(C21*C25*F222)</f>
        <v>267.37270481749971</v>
      </c>
      <c r="H228" s="187" t="s">
        <v>128</v>
      </c>
      <c r="K228" s="286"/>
    </row>
    <row r="229" spans="1:16">
      <c r="K229" s="286"/>
    </row>
    <row r="230" spans="1:16">
      <c r="A230" s="255" t="s">
        <v>2060</v>
      </c>
      <c r="G230" s="107"/>
      <c r="H230" s="107"/>
      <c r="K230" s="286"/>
    </row>
    <row r="231" spans="1:16">
      <c r="K231" s="286"/>
    </row>
    <row r="232" spans="1:16">
      <c r="A232" s="3147" t="s">
        <v>486</v>
      </c>
      <c r="B232" s="3148" t="s">
        <v>487</v>
      </c>
      <c r="C232" s="3148" t="s">
        <v>488</v>
      </c>
      <c r="D232" s="3148" t="s">
        <v>489</v>
      </c>
      <c r="E232" s="3149" t="s">
        <v>490</v>
      </c>
      <c r="F232" s="3150"/>
      <c r="G232" s="3150"/>
      <c r="H232" s="3150"/>
      <c r="I232" s="3150"/>
      <c r="J232" s="496"/>
      <c r="K232" s="286"/>
    </row>
    <row r="233" spans="1:16">
      <c r="A233" s="3147"/>
      <c r="B233" s="3148"/>
      <c r="C233" s="3148"/>
      <c r="D233" s="3148"/>
      <c r="E233" s="94">
        <v>12</v>
      </c>
      <c r="F233" s="94">
        <v>16</v>
      </c>
      <c r="G233" s="94">
        <v>20</v>
      </c>
      <c r="H233" s="94">
        <v>22</v>
      </c>
      <c r="I233" s="94">
        <v>25</v>
      </c>
      <c r="J233" s="75"/>
      <c r="K233" s="286"/>
    </row>
    <row r="234" spans="1:16" ht="14.25">
      <c r="A234" s="172"/>
      <c r="B234" s="256" t="s">
        <v>491</v>
      </c>
      <c r="C234" s="256" t="s">
        <v>491</v>
      </c>
      <c r="D234" s="256" t="s">
        <v>491</v>
      </c>
      <c r="E234" s="828" t="s">
        <v>98</v>
      </c>
      <c r="F234" s="828" t="s">
        <v>98</v>
      </c>
      <c r="G234" s="828" t="s">
        <v>98</v>
      </c>
      <c r="H234" s="828" t="s">
        <v>98</v>
      </c>
      <c r="I234" s="828" t="s">
        <v>98</v>
      </c>
      <c r="J234" s="759"/>
      <c r="K234" s="286"/>
    </row>
    <row r="235" spans="1:16">
      <c r="A235" s="258" t="s">
        <v>492</v>
      </c>
      <c r="B235" s="55"/>
      <c r="C235" s="55"/>
      <c r="D235" s="55"/>
      <c r="E235" s="55"/>
      <c r="F235" s="55"/>
      <c r="G235" s="55"/>
      <c r="H235" s="55"/>
      <c r="I235" s="56"/>
      <c r="J235" s="386"/>
      <c r="K235" s="286"/>
    </row>
    <row r="236" spans="1:16">
      <c r="A236" s="259" t="s">
        <v>111</v>
      </c>
      <c r="B236" s="318">
        <f>G228</f>
        <v>267.37270481749971</v>
      </c>
      <c r="C236" s="318">
        <f>IF(F221&gt;380,F47*1000*380,F47*1000*F221)</f>
        <v>380</v>
      </c>
      <c r="D236" s="318">
        <f>MAX(B236:C236)</f>
        <v>380</v>
      </c>
      <c r="E236" s="261">
        <f>PI()*(E233/2)^2*1000/$D236</f>
        <v>297.62456718219096</v>
      </c>
      <c r="F236" s="261">
        <f>PI()*(F233/2)^2*1000/$D236</f>
        <v>529.11034165722833</v>
      </c>
      <c r="G236" s="261">
        <f>PI()*(G233/2)^2*1000/$D236</f>
        <v>826.73490883941929</v>
      </c>
      <c r="H236" s="261">
        <f>PI()*(H233/2)^2*1000/$D236</f>
        <v>1000.3492396956973</v>
      </c>
      <c r="I236" s="283">
        <f>PI()*(I233/2)^2*1000/$D236</f>
        <v>1291.7732950615925</v>
      </c>
      <c r="J236" s="328"/>
      <c r="K236" s="286"/>
    </row>
    <row r="237" spans="1:16">
      <c r="A237" s="262" t="s">
        <v>110</v>
      </c>
      <c r="B237" s="319">
        <f>G227</f>
        <v>211.95575942516763</v>
      </c>
      <c r="C237" s="318">
        <f>IF(F221&gt;380,F48*1000*380,F48*1000*F221)</f>
        <v>570</v>
      </c>
      <c r="D237" s="319">
        <f>MAX(B237:C237)</f>
        <v>570</v>
      </c>
      <c r="E237" s="261">
        <f>PI()*(E233/2)^2*1000/$D237</f>
        <v>198.41637812146064</v>
      </c>
      <c r="F237" s="261">
        <f>PI()*(F233/2)^2*1000/$D237</f>
        <v>352.74022777148554</v>
      </c>
      <c r="G237" s="261">
        <f>PI()*(G233/2)^2*1000/$D237</f>
        <v>551.15660589294623</v>
      </c>
      <c r="H237" s="261">
        <f>PI()*(H233/2)^2*1000/$D237</f>
        <v>666.89949313046486</v>
      </c>
      <c r="I237" s="283">
        <f>PI()*(I233/2)^2*1000/$D237</f>
        <v>861.18219670772839</v>
      </c>
      <c r="J237" s="328"/>
      <c r="K237" s="286"/>
    </row>
    <row r="238" spans="1:16">
      <c r="A238" s="264" t="s">
        <v>493</v>
      </c>
      <c r="B238" s="265"/>
      <c r="C238" s="322"/>
      <c r="D238" s="322"/>
      <c r="E238" s="266"/>
      <c r="F238" s="266"/>
      <c r="G238" s="266"/>
      <c r="H238" s="266"/>
      <c r="I238" s="267"/>
      <c r="J238" s="330"/>
      <c r="K238" s="286"/>
      <c r="L238" s="3173" t="s">
        <v>2042</v>
      </c>
      <c r="M238" s="3174"/>
      <c r="N238" s="3174"/>
      <c r="O238" s="3174"/>
      <c r="P238" s="3175"/>
    </row>
    <row r="239" spans="1:16">
      <c r="A239" s="259" t="s">
        <v>111</v>
      </c>
      <c r="B239" s="260"/>
      <c r="C239" s="318">
        <f>IF(F221&gt;380,F50*1000*380,F50*1000*F221)</f>
        <v>760</v>
      </c>
      <c r="D239" s="318">
        <f>MAX(B239:C239)</f>
        <v>760</v>
      </c>
      <c r="E239" s="261">
        <f>PI()*(E233/2)^2*1000/$D239</f>
        <v>148.81228359109548</v>
      </c>
      <c r="F239" s="261">
        <f>PI()*(F233/2)^2*1000/$D239</f>
        <v>264.55517082861417</v>
      </c>
      <c r="G239" s="261">
        <f>PI()*(G233/2)^2*1000/$D239</f>
        <v>413.36745441970965</v>
      </c>
      <c r="H239" s="261">
        <f>PI()*(H233/2)^2*1000/$D239</f>
        <v>500.17461984784865</v>
      </c>
      <c r="I239" s="283">
        <f>PI()*(I233/2)^2*1000/$D239</f>
        <v>645.88664753079627</v>
      </c>
      <c r="J239" s="328"/>
      <c r="K239" s="286"/>
      <c r="L239" s="3169" t="s">
        <v>486</v>
      </c>
      <c r="M239" s="3171" t="s">
        <v>442</v>
      </c>
      <c r="N239" s="3176"/>
      <c r="O239" s="3176"/>
      <c r="P239" s="3172"/>
    </row>
    <row r="240" spans="1:16">
      <c r="A240" s="262" t="s">
        <v>110</v>
      </c>
      <c r="B240" s="263"/>
      <c r="C240" s="319">
        <f>IF(F221&gt;380,F51*1000*380,F51*1000*F221)</f>
        <v>950</v>
      </c>
      <c r="D240" s="319">
        <f>MAX(B240:C240)</f>
        <v>950</v>
      </c>
      <c r="E240" s="284">
        <f>PI()*(E233/2)^2*1000/$D240</f>
        <v>119.04982687287638</v>
      </c>
      <c r="F240" s="284">
        <f>PI()*(F233/2)^2*1000/$D240</f>
        <v>211.6441366628913</v>
      </c>
      <c r="G240" s="284">
        <f>PI()*(G233/2)^2*1000/$D240</f>
        <v>330.69396353576775</v>
      </c>
      <c r="H240" s="284">
        <f>PI()*(H233/2)^2*1000/$D240</f>
        <v>400.13969587827893</v>
      </c>
      <c r="I240" s="285">
        <f>PI()*(I233/2)^2*1000/$D240</f>
        <v>516.70931802463701</v>
      </c>
      <c r="J240" s="328"/>
      <c r="K240" s="286"/>
      <c r="L240" s="3170"/>
      <c r="M240" s="3171" t="s">
        <v>492</v>
      </c>
      <c r="N240" s="3172"/>
      <c r="O240" s="3171" t="s">
        <v>493</v>
      </c>
      <c r="P240" s="3172"/>
    </row>
    <row r="241" spans="1:16">
      <c r="J241" s="46"/>
      <c r="K241" s="286"/>
      <c r="L241" s="3170"/>
      <c r="M241" s="926" t="s">
        <v>709</v>
      </c>
      <c r="N241" s="894" t="s">
        <v>710</v>
      </c>
      <c r="O241" s="894" t="s">
        <v>709</v>
      </c>
      <c r="P241" s="928" t="s">
        <v>710</v>
      </c>
    </row>
    <row r="242" spans="1:16">
      <c r="J242" s="46"/>
      <c r="K242" s="286"/>
      <c r="L242" s="2581" t="s">
        <v>2026</v>
      </c>
      <c r="M242" s="2582">
        <f>Barrel!D297</f>
        <v>16</v>
      </c>
      <c r="N242" s="2583">
        <f>Barrel!F297</f>
        <v>200</v>
      </c>
      <c r="O242" s="2582">
        <f>Barrel!D300</f>
        <v>16</v>
      </c>
      <c r="P242" s="2584">
        <f>Barrel!F300</f>
        <v>200</v>
      </c>
    </row>
    <row r="243" spans="1:16">
      <c r="B243" s="258" t="s">
        <v>492</v>
      </c>
      <c r="C243" s="55"/>
      <c r="D243" s="252"/>
      <c r="E243" s="55"/>
      <c r="F243" s="55"/>
      <c r="G243" s="56"/>
      <c r="J243" s="46"/>
      <c r="K243" s="286"/>
      <c r="L243" s="897" t="s">
        <v>2040</v>
      </c>
      <c r="M243" s="2582">
        <f>'CS gate'!D243</f>
        <v>16</v>
      </c>
      <c r="N243" s="2583">
        <f>'CS gate'!F243</f>
        <v>200</v>
      </c>
      <c r="O243" s="2582">
        <f>'CS gate'!D246</f>
        <v>16</v>
      </c>
      <c r="P243" s="2584">
        <f>'CS gate'!F246</f>
        <v>200</v>
      </c>
    </row>
    <row r="244" spans="1:16" ht="15.75">
      <c r="B244" s="259" t="s">
        <v>111</v>
      </c>
      <c r="C244" s="268" t="s">
        <v>136</v>
      </c>
      <c r="D244" s="942">
        <v>20</v>
      </c>
      <c r="E244" s="833" t="s">
        <v>481</v>
      </c>
      <c r="F244" s="941">
        <v>200</v>
      </c>
      <c r="G244" s="272" t="s">
        <v>482</v>
      </c>
      <c r="K244" s="286"/>
      <c r="L244" s="2604" t="s">
        <v>2041</v>
      </c>
      <c r="M244" s="2603">
        <f>D245</f>
        <v>16</v>
      </c>
      <c r="N244" s="2579">
        <f>F245</f>
        <v>200</v>
      </c>
      <c r="O244" s="2578">
        <f>D248</f>
        <v>16</v>
      </c>
      <c r="P244" s="2580">
        <f>F248</f>
        <v>200</v>
      </c>
    </row>
    <row r="245" spans="1:16" ht="15.75">
      <c r="B245" s="262" t="s">
        <v>110</v>
      </c>
      <c r="C245" s="278" t="s">
        <v>136</v>
      </c>
      <c r="D245" s="279">
        <v>16</v>
      </c>
      <c r="E245" s="280" t="s">
        <v>481</v>
      </c>
      <c r="F245" s="281">
        <v>200</v>
      </c>
      <c r="G245" s="282" t="s">
        <v>482</v>
      </c>
      <c r="K245" s="286"/>
    </row>
    <row r="246" spans="1:16" ht="15">
      <c r="B246" s="321" t="s">
        <v>493</v>
      </c>
      <c r="C246" s="273"/>
      <c r="D246" s="274"/>
      <c r="E246" s="275"/>
      <c r="F246" s="276"/>
      <c r="G246" s="277"/>
      <c r="K246" s="286"/>
    </row>
    <row r="247" spans="1:16" ht="15.75">
      <c r="B247" s="259" t="s">
        <v>111</v>
      </c>
      <c r="C247" s="268" t="s">
        <v>136</v>
      </c>
      <c r="D247" s="269">
        <v>20</v>
      </c>
      <c r="E247" s="833" t="s">
        <v>481</v>
      </c>
      <c r="F247" s="271">
        <v>200</v>
      </c>
      <c r="G247" s="272" t="s">
        <v>482</v>
      </c>
      <c r="K247" s="286"/>
    </row>
    <row r="248" spans="1:16" ht="15.75">
      <c r="B248" s="262" t="s">
        <v>110</v>
      </c>
      <c r="C248" s="278" t="s">
        <v>136</v>
      </c>
      <c r="D248" s="279">
        <v>16</v>
      </c>
      <c r="E248" s="280" t="s">
        <v>481</v>
      </c>
      <c r="F248" s="281">
        <v>200</v>
      </c>
      <c r="G248" s="282" t="s">
        <v>482</v>
      </c>
      <c r="K248" s="286"/>
    </row>
    <row r="249" spans="1:16">
      <c r="K249" s="286"/>
    </row>
    <row r="250" spans="1:16">
      <c r="A250" s="492" t="s">
        <v>2054</v>
      </c>
      <c r="K250" s="286"/>
    </row>
    <row r="251" spans="1:16">
      <c r="B251" t="s">
        <v>2265</v>
      </c>
      <c r="K251" s="286"/>
    </row>
    <row r="252" spans="1:16">
      <c r="K252" s="286"/>
    </row>
    <row r="253" spans="1:16">
      <c r="B253" t="s">
        <v>2263</v>
      </c>
      <c r="E253" s="2945">
        <f>DATA!I14</f>
        <v>20</v>
      </c>
      <c r="F253" s="187" t="s">
        <v>724</v>
      </c>
      <c r="G253" s="115">
        <f>RADIANS(E253)</f>
        <v>0.3490658503988659</v>
      </c>
      <c r="H253" t="s">
        <v>2264</v>
      </c>
      <c r="I253" s="2944">
        <f>(1-SIN(G253))/(1+SIN(G253))</f>
        <v>0.49029059656570229</v>
      </c>
      <c r="K253" s="286"/>
    </row>
    <row r="254" spans="1:16">
      <c r="B254" t="s">
        <v>105</v>
      </c>
      <c r="E254" s="17">
        <f>D64/1000</f>
        <v>6</v>
      </c>
      <c r="F254" s="187" t="s">
        <v>5</v>
      </c>
      <c r="K254" s="286"/>
    </row>
    <row r="255" spans="1:16">
      <c r="B255" s="40" t="s">
        <v>106</v>
      </c>
      <c r="E255" s="54">
        <f>((E56+E58)*G60/(2*E56))/1000</f>
        <v>0</v>
      </c>
      <c r="F255" s="187" t="s">
        <v>1092</v>
      </c>
      <c r="K255" s="286"/>
    </row>
    <row r="256" spans="1:16">
      <c r="B256" s="187" t="s">
        <v>465</v>
      </c>
      <c r="E256" s="54">
        <f>D9</f>
        <v>0.9</v>
      </c>
      <c r="F256" s="187" t="s">
        <v>1091</v>
      </c>
      <c r="K256" s="286"/>
    </row>
    <row r="257" spans="1:16">
      <c r="B257" s="40" t="s">
        <v>467</v>
      </c>
      <c r="E257" s="162">
        <f>E255+E256</f>
        <v>0.9</v>
      </c>
      <c r="F257" s="187" t="s">
        <v>5</v>
      </c>
      <c r="K257" s="286"/>
    </row>
    <row r="258" spans="1:16">
      <c r="B258" s="187" t="s">
        <v>539</v>
      </c>
      <c r="E258">
        <f>C33*1000</f>
        <v>750</v>
      </c>
      <c r="F258" t="s">
        <v>1093</v>
      </c>
      <c r="K258" s="286"/>
      <c r="P258" s="17"/>
    </row>
    <row r="259" spans="1:16">
      <c r="B259" s="187" t="str">
        <f>"Depth,  d = (( "&amp;G270&amp;" + "&amp;H270&amp;" ) - "&amp;H270&amp;" / 2 ) * 1000 ="</f>
        <v>Depth,  d = (( 1.5 + 0.3 ) - 0.3 / 2 ) * 1000 =</v>
      </c>
      <c r="F259">
        <f>((G270+H270)-H270/2)*1000</f>
        <v>1650.0000000000002</v>
      </c>
      <c r="G259" t="s">
        <v>98</v>
      </c>
      <c r="K259" s="286"/>
      <c r="L259" s="46"/>
    </row>
    <row r="260" spans="1:16">
      <c r="K260" s="286"/>
    </row>
    <row r="261" spans="1:16">
      <c r="B261" t="s">
        <v>125</v>
      </c>
      <c r="K261" s="286"/>
    </row>
    <row r="262" spans="1:16">
      <c r="A262" s="17" t="s">
        <v>120</v>
      </c>
      <c r="D262" s="2" t="s">
        <v>554</v>
      </c>
      <c r="E262" s="36">
        <f>E257</f>
        <v>0.9</v>
      </c>
      <c r="H262" t="s">
        <v>120</v>
      </c>
      <c r="K262" s="286"/>
    </row>
    <row r="263" spans="1:16">
      <c r="C263" s="17"/>
      <c r="K263" s="286"/>
    </row>
    <row r="264" spans="1:16">
      <c r="F264" s="10">
        <f>E258/1000</f>
        <v>0.75</v>
      </c>
      <c r="K264" s="286"/>
    </row>
    <row r="265" spans="1:16">
      <c r="K265" s="286"/>
    </row>
    <row r="266" spans="1:16">
      <c r="B266" s="17"/>
      <c r="K266" s="286"/>
    </row>
    <row r="267" spans="1:16">
      <c r="D267" s="2" t="s">
        <v>114</v>
      </c>
      <c r="E267" s="18">
        <f>E254</f>
        <v>6</v>
      </c>
      <c r="G267" t="s">
        <v>125</v>
      </c>
      <c r="J267" s="85">
        <f>G31/2+F264</f>
        <v>1.5</v>
      </c>
      <c r="K267" s="286"/>
    </row>
    <row r="268" spans="1:16">
      <c r="K268" s="286"/>
    </row>
    <row r="269" spans="1:16">
      <c r="K269" s="286"/>
    </row>
    <row r="270" spans="1:16">
      <c r="D270" s="49" t="s">
        <v>44</v>
      </c>
      <c r="G270" s="33">
        <f>C56/1000</f>
        <v>1.5</v>
      </c>
      <c r="H270" s="33">
        <f>D55/1000</f>
        <v>0.3</v>
      </c>
      <c r="K270" s="286"/>
    </row>
    <row r="271" spans="1:16">
      <c r="K271" s="286"/>
    </row>
    <row r="272" spans="1:16">
      <c r="H272" s="783" t="s">
        <v>1094</v>
      </c>
      <c r="K272" s="286"/>
    </row>
    <row r="273" spans="1:12">
      <c r="D273" s="187" t="s">
        <v>580</v>
      </c>
      <c r="K273" s="286"/>
    </row>
    <row r="274" spans="1:12" ht="20.25">
      <c r="B274" s="38" t="s">
        <v>1089</v>
      </c>
      <c r="D274" s="2"/>
      <c r="E274" t="str">
        <f>"= "&amp;FIXED(I253,3)&amp;" * "&amp;D6&amp;" * "&amp;E257&amp;" = "</f>
        <v xml:space="preserve">= 0.490 * 18.9 * 0.9 = </v>
      </c>
      <c r="H274" s="10">
        <f>I253*D6*E257</f>
        <v>8.3398430475825958</v>
      </c>
      <c r="I274" t="s">
        <v>3</v>
      </c>
      <c r="K274" s="286"/>
    </row>
    <row r="275" spans="1:12" ht="18.75">
      <c r="B275" s="38" t="s">
        <v>1090</v>
      </c>
      <c r="D275" s="2"/>
      <c r="E275" t="str">
        <f>"= "&amp;FIXED(H274,2)&amp;" + "&amp;FIXED(I253,3)&amp;" * "&amp;D6&amp;" * "&amp;E254&amp;" ="</f>
        <v>= 8.34 + 0.490 * 18.9 * 6 =</v>
      </c>
      <c r="H275" s="10">
        <f>H274+I253*D6*E254</f>
        <v>63.938796698133238</v>
      </c>
      <c r="I275" t="s">
        <v>3</v>
      </c>
      <c r="K275" s="286"/>
    </row>
    <row r="276" spans="1:12">
      <c r="B276" s="187" t="s">
        <v>536</v>
      </c>
      <c r="D276" s="2"/>
      <c r="E276" s="33" t="str">
        <f>"= "&amp;FIXED(H275,2)&amp;" - "&amp;FIXED(H274,2)&amp;" = "</f>
        <v xml:space="preserve">= 63.94 - 8.34 = </v>
      </c>
      <c r="H276" s="10">
        <f>H275-H274</f>
        <v>55.598953650550641</v>
      </c>
      <c r="I276" t="s">
        <v>3</v>
      </c>
      <c r="K276" s="286"/>
    </row>
    <row r="277" spans="1:12">
      <c r="K277" s="286"/>
    </row>
    <row r="278" spans="1:12">
      <c r="A278" t="str">
        <f>"Vxx   = 0.5 * ( "&amp;FIXED(H274,2)&amp;" + "&amp;FIXED(H275,2)&amp;" ) * "&amp;E254&amp;" ="</f>
        <v>Vxx   = 0.5 * ( 8.34 + 63.94 ) * 6 =</v>
      </c>
      <c r="F278" s="10">
        <f>0.5*(H274+H275)*E254</f>
        <v>216.83591923714749</v>
      </c>
      <c r="G278" s="14" t="str">
        <f>"x "&amp;J267&amp;" ="</f>
        <v>x 1.5 =</v>
      </c>
      <c r="H278" s="10">
        <f>0.5*(H274+H275)*E254*J267</f>
        <v>325.25387885572127</v>
      </c>
      <c r="I278" s="187" t="s">
        <v>21</v>
      </c>
      <c r="K278" s="286"/>
      <c r="L278" s="187"/>
    </row>
    <row r="279" spans="1:12">
      <c r="A279" t="str">
        <f>"Mxx   = "&amp;FIXED(H274,2)&amp;" * "&amp;E254&amp;"^2 / 2 + 0.5*"&amp;FIXED(H276,2)&amp;" * "&amp;E254&amp;"^2 / 3 ="</f>
        <v>Mxx   = 8.34 * 6^2 / 2 + 0.5*55.60 * 6^2 / 3 =</v>
      </c>
      <c r="F279" s="10">
        <f>(H274*E254^2)/2+0.5*H276*E254^2/3</f>
        <v>483.71089675979056</v>
      </c>
      <c r="G279" s="191" t="str">
        <f>"x "&amp;J267&amp;" ="</f>
        <v>x 1.5 =</v>
      </c>
      <c r="H279" s="10">
        <f>((H274*E254^2)/2+0.5*H276*E254^2/3)*J267</f>
        <v>725.56634513968584</v>
      </c>
      <c r="I279" t="s">
        <v>107</v>
      </c>
      <c r="K279" s="286"/>
    </row>
    <row r="280" spans="1:12">
      <c r="G280" s="2"/>
      <c r="J280" s="46"/>
      <c r="K280" s="286"/>
    </row>
    <row r="281" spans="1:12">
      <c r="A281" s="187" t="s">
        <v>541</v>
      </c>
      <c r="D281" s="187"/>
      <c r="G281" s="9">
        <f>(H278*10^3)/(C27*E258)</f>
        <v>1016.0345783074097</v>
      </c>
      <c r="H281" t="s">
        <v>98</v>
      </c>
      <c r="I281" s="126" t="str">
        <f>IF(F259&gt;=G281,"&lt; "&amp;F259&amp;",  Ok","Not ok")</f>
        <v>&lt; 1650,  Ok</v>
      </c>
      <c r="J281" s="46"/>
      <c r="K281" s="286"/>
    </row>
    <row r="282" spans="1:12">
      <c r="A282" s="187" t="s">
        <v>579</v>
      </c>
      <c r="D282" s="187"/>
      <c r="G282" s="9">
        <f>((H279*10^6)/(C26*E258))^0.5</f>
        <v>822.46098944117216</v>
      </c>
      <c r="H282" t="s">
        <v>98</v>
      </c>
      <c r="I282" s="207" t="str">
        <f>IF(F259&gt;=G282,"&lt; "&amp;F259&amp;",  Ok","Not ok")</f>
        <v>&lt; 1650,  Ok</v>
      </c>
      <c r="J282" s="109"/>
      <c r="K282" s="286"/>
    </row>
    <row r="283" spans="1:12">
      <c r="A283" s="187" t="s">
        <v>540</v>
      </c>
      <c r="D283" s="2"/>
      <c r="G283" s="9">
        <f>(H279*10^6)/(C21*C25*F259)</f>
        <v>2646.0472688729233</v>
      </c>
      <c r="H283" t="s">
        <v>104</v>
      </c>
      <c r="J283" s="46"/>
      <c r="K283" s="286"/>
    </row>
    <row r="284" spans="1:12">
      <c r="J284" s="46"/>
      <c r="K284" s="286"/>
    </row>
    <row r="285" spans="1:12">
      <c r="B285" s="314" t="s">
        <v>109</v>
      </c>
      <c r="C285" s="829">
        <v>12</v>
      </c>
      <c r="D285" s="94">
        <v>16</v>
      </c>
      <c r="E285" s="94">
        <v>20</v>
      </c>
      <c r="F285" s="94">
        <v>22</v>
      </c>
      <c r="G285" s="94">
        <v>25</v>
      </c>
      <c r="K285" s="286"/>
    </row>
    <row r="286" spans="1:12">
      <c r="B286" s="830"/>
      <c r="C286" s="313" t="s">
        <v>98</v>
      </c>
      <c r="D286" s="828" t="s">
        <v>98</v>
      </c>
      <c r="E286" s="828" t="s">
        <v>98</v>
      </c>
      <c r="F286" s="828" t="s">
        <v>98</v>
      </c>
      <c r="G286" s="828" t="s">
        <v>98</v>
      </c>
      <c r="K286" s="286"/>
    </row>
    <row r="287" spans="1:12">
      <c r="B287" s="315" t="s">
        <v>542</v>
      </c>
      <c r="C287" s="310">
        <f>$G$283/(PI()*(C285/2)^2)</f>
        <v>23.396194583107512</v>
      </c>
      <c r="D287" s="316">
        <f>G283/(PI()*(D285/2)^2)</f>
        <v>13.160359452997975</v>
      </c>
      <c r="E287" s="310">
        <f>G283/(PI()*(E285/2)^2)</f>
        <v>8.4226300499187037</v>
      </c>
      <c r="F287" s="316">
        <f>G283/(PI()*(F285/2)^2)</f>
        <v>6.9608512809245484</v>
      </c>
      <c r="G287" s="311">
        <f>G283/(PI()*(G285/2)^2)</f>
        <v>5.3904832319479707</v>
      </c>
      <c r="K287" s="286"/>
    </row>
    <row r="288" spans="1:12">
      <c r="C288" s="17"/>
      <c r="D288" s="2"/>
      <c r="K288" s="286"/>
    </row>
    <row r="289" spans="1:15">
      <c r="B289" s="203" t="s">
        <v>543</v>
      </c>
      <c r="C289" s="745">
        <v>10</v>
      </c>
      <c r="D289" s="2985">
        <v>20</v>
      </c>
      <c r="E289" s="213" t="s">
        <v>2271</v>
      </c>
      <c r="F289" s="187"/>
      <c r="K289" s="286"/>
    </row>
    <row r="290" spans="1:15">
      <c r="K290" s="286"/>
    </row>
    <row r="291" spans="1:15" ht="15.75">
      <c r="A291" s="437" t="s">
        <v>2055</v>
      </c>
      <c r="B291" s="174"/>
      <c r="K291" s="286"/>
    </row>
    <row r="292" spans="1:15">
      <c r="A292" s="782" t="s">
        <v>2056</v>
      </c>
      <c r="K292" s="286"/>
    </row>
    <row r="293" spans="1:15">
      <c r="A293" s="187" t="s">
        <v>582</v>
      </c>
      <c r="K293" s="286"/>
    </row>
    <row r="294" spans="1:15">
      <c r="A294" s="187"/>
      <c r="B294" s="187"/>
      <c r="C294" s="187"/>
      <c r="D294" s="187"/>
      <c r="E294" s="187"/>
      <c r="F294" s="187"/>
      <c r="G294" s="187"/>
      <c r="H294" s="187"/>
      <c r="I294" s="187"/>
      <c r="J294" s="187"/>
      <c r="K294" s="325"/>
    </row>
    <row r="295" spans="1:15">
      <c r="A295" s="187"/>
      <c r="B295" s="203" t="s">
        <v>559</v>
      </c>
      <c r="C295" s="189">
        <f>C61-C32</f>
        <v>14.950000000000001</v>
      </c>
      <c r="D295" s="187"/>
      <c r="E295" s="187"/>
      <c r="F295" s="187"/>
      <c r="G295" s="187"/>
      <c r="H295" s="4"/>
      <c r="I295" s="187"/>
      <c r="J295" s="187"/>
      <c r="K295" s="325"/>
    </row>
    <row r="296" spans="1:15">
      <c r="A296" s="187"/>
      <c r="B296" s="109"/>
      <c r="C296" s="109"/>
      <c r="D296" s="109"/>
      <c r="E296" s="201" t="s">
        <v>127</v>
      </c>
      <c r="F296" s="109"/>
      <c r="G296" s="109"/>
      <c r="H296" s="4"/>
      <c r="I296" s="187"/>
      <c r="J296" s="187"/>
      <c r="K296" s="325"/>
    </row>
    <row r="297" spans="1:15">
      <c r="A297" s="187"/>
      <c r="B297" s="288" t="s">
        <v>581</v>
      </c>
      <c r="C297" s="189">
        <f>MAX(DATA!A135,DATA!A100)</f>
        <v>10.3</v>
      </c>
      <c r="D297" s="109"/>
      <c r="E297" s="109"/>
      <c r="F297" s="109"/>
      <c r="G297" s="109"/>
      <c r="H297" s="4"/>
      <c r="I297" s="187"/>
      <c r="J297" s="187"/>
      <c r="K297" s="325"/>
    </row>
    <row r="298" spans="1:15">
      <c r="A298" s="187"/>
      <c r="C298" s="109"/>
      <c r="D298" s="109"/>
      <c r="E298" s="109"/>
      <c r="F298" s="109"/>
      <c r="G298" s="109"/>
      <c r="H298" s="4"/>
      <c r="I298" s="187"/>
      <c r="J298" s="187"/>
      <c r="K298" s="325"/>
    </row>
    <row r="299" spans="1:15">
      <c r="A299" s="187"/>
      <c r="B299" s="109"/>
      <c r="C299" s="109"/>
      <c r="D299" s="109"/>
      <c r="E299" s="109"/>
      <c r="F299" s="109"/>
      <c r="G299" s="109"/>
      <c r="H299" s="4"/>
      <c r="I299" s="187"/>
      <c r="J299" s="187"/>
      <c r="K299" s="325"/>
    </row>
    <row r="300" spans="1:15">
      <c r="A300" s="187"/>
      <c r="B300" s="109"/>
      <c r="C300" s="109"/>
      <c r="D300" s="109"/>
      <c r="E300" s="109"/>
      <c r="F300" s="109"/>
      <c r="G300" s="190">
        <f>C295-F304</f>
        <v>7.9500000000000011</v>
      </c>
      <c r="H300" s="4"/>
      <c r="I300" s="187"/>
      <c r="J300" s="187"/>
      <c r="K300" s="325"/>
    </row>
    <row r="301" spans="1:15">
      <c r="A301" s="187"/>
      <c r="B301" s="109"/>
      <c r="C301" s="109"/>
      <c r="D301" s="109"/>
      <c r="E301" s="189">
        <f>C297-F304</f>
        <v>3.3000000000000007</v>
      </c>
      <c r="F301" s="109"/>
      <c r="G301" s="109"/>
      <c r="H301" s="4"/>
      <c r="I301" s="187"/>
      <c r="J301" s="187"/>
      <c r="K301" s="325"/>
    </row>
    <row r="302" spans="1:15">
      <c r="A302" s="187"/>
      <c r="B302" s="109"/>
      <c r="C302" s="109"/>
      <c r="D302" s="109"/>
      <c r="E302" s="189"/>
      <c r="F302" s="109"/>
      <c r="G302" s="109"/>
      <c r="H302" s="4"/>
      <c r="I302" s="187"/>
      <c r="J302" s="187"/>
      <c r="K302" s="325"/>
      <c r="M302" s="109"/>
      <c r="N302" s="109"/>
      <c r="O302" s="191"/>
    </row>
    <row r="303" spans="1:15">
      <c r="A303" s="187"/>
      <c r="B303" s="109"/>
      <c r="C303" s="109"/>
      <c r="D303" s="109"/>
      <c r="E303" s="109"/>
      <c r="F303" s="109"/>
      <c r="G303" s="109"/>
      <c r="H303" s="4"/>
      <c r="I303" s="187"/>
      <c r="J303" s="187"/>
      <c r="K303" s="325"/>
    </row>
    <row r="304" spans="1:15">
      <c r="A304" s="187"/>
      <c r="B304" s="109"/>
      <c r="C304" s="109"/>
      <c r="D304" s="109"/>
      <c r="E304" s="109"/>
      <c r="F304" s="189">
        <f>G70</f>
        <v>7</v>
      </c>
      <c r="G304" s="109"/>
      <c r="H304" s="4"/>
      <c r="I304" s="187"/>
      <c r="J304" s="187"/>
      <c r="K304" s="325"/>
    </row>
    <row r="305" spans="1:15">
      <c r="A305" s="187"/>
      <c r="B305" s="109"/>
      <c r="C305" s="109"/>
      <c r="D305" s="109" t="s">
        <v>1096</v>
      </c>
      <c r="E305" s="109"/>
      <c r="F305" s="291"/>
      <c r="G305" s="109"/>
      <c r="H305" s="4"/>
      <c r="I305" s="187"/>
      <c r="J305" s="187"/>
      <c r="K305" s="325"/>
    </row>
    <row r="306" spans="1:15">
      <c r="A306" s="187"/>
      <c r="B306" s="109"/>
      <c r="C306" s="109"/>
      <c r="D306" s="109"/>
      <c r="E306" s="109"/>
      <c r="F306" s="109"/>
      <c r="G306" s="109"/>
      <c r="H306" s="4"/>
      <c r="I306" s="187"/>
      <c r="J306" s="187"/>
      <c r="K306" s="325"/>
    </row>
    <row r="307" spans="1:15">
      <c r="A307" s="187"/>
      <c r="B307" s="109"/>
      <c r="C307" s="109"/>
      <c r="D307" s="189">
        <f>C34</f>
        <v>0.75</v>
      </c>
      <c r="E307" s="109"/>
      <c r="F307" s="109"/>
      <c r="G307" s="109"/>
      <c r="H307" s="4"/>
      <c r="I307" s="187"/>
      <c r="J307" s="187"/>
      <c r="K307" s="325"/>
    </row>
    <row r="308" spans="1:15">
      <c r="A308" s="187"/>
      <c r="B308" s="109"/>
      <c r="C308" s="109"/>
      <c r="D308" s="109"/>
      <c r="E308" s="109"/>
      <c r="F308" s="109"/>
      <c r="G308" s="109"/>
      <c r="H308" s="191">
        <f>C56/1000</f>
        <v>1.5</v>
      </c>
      <c r="I308" s="187"/>
      <c r="J308" s="187"/>
      <c r="K308" s="325"/>
    </row>
    <row r="309" spans="1:15">
      <c r="E309" s="109"/>
      <c r="F309" s="109"/>
      <c r="I309" s="187"/>
      <c r="J309" s="187"/>
      <c r="K309" s="325"/>
    </row>
    <row r="310" spans="1:15" ht="18.75">
      <c r="B310" s="38" t="s">
        <v>583</v>
      </c>
      <c r="C310" s="187"/>
      <c r="D310" s="223">
        <f>D7*E301</f>
        <v>32.373000000000012</v>
      </c>
      <c r="E310" s="187" t="s">
        <v>3</v>
      </c>
      <c r="K310" s="286"/>
      <c r="M310" s="2"/>
      <c r="N310" s="2"/>
      <c r="O310" s="2"/>
    </row>
    <row r="311" spans="1:15">
      <c r="B311" s="207" t="s">
        <v>520</v>
      </c>
      <c r="C311" s="126">
        <f>H308/G300</f>
        <v>0.18867924528301885</v>
      </c>
      <c r="D311" s="203" t="s">
        <v>521</v>
      </c>
      <c r="E311" s="18">
        <f>Table!B122</f>
        <v>2.3E-3</v>
      </c>
      <c r="G311" s="203" t="s">
        <v>522</v>
      </c>
      <c r="H311" s="18">
        <f>Table!C122</f>
        <v>4.1000000000000003E-3</v>
      </c>
      <c r="K311" s="286"/>
      <c r="M311" s="2"/>
      <c r="N311" s="2"/>
      <c r="O311" s="2"/>
    </row>
    <row r="312" spans="1:15">
      <c r="B312" s="126" t="s">
        <v>798</v>
      </c>
      <c r="C312" s="126">
        <f>E301/G300</f>
        <v>0.41509433962264153</v>
      </c>
      <c r="D312" s="203" t="s">
        <v>532</v>
      </c>
      <c r="E312" s="18">
        <f>Table!D122</f>
        <v>4.82E-2</v>
      </c>
      <c r="G312" s="203" t="s">
        <v>533</v>
      </c>
      <c r="H312" s="18">
        <f>Table!E122</f>
        <v>0.1925</v>
      </c>
      <c r="K312" s="286"/>
      <c r="M312" s="2"/>
      <c r="N312" s="2"/>
      <c r="O312" s="2"/>
    </row>
    <row r="313" spans="1:15">
      <c r="B313" s="187" t="s">
        <v>552</v>
      </c>
      <c r="C313" s="187"/>
      <c r="D313" s="33"/>
      <c r="E313" s="187" t="s">
        <v>550</v>
      </c>
      <c r="F313" s="187" t="s">
        <v>551</v>
      </c>
      <c r="K313" s="286"/>
      <c r="M313" s="2"/>
      <c r="N313" s="2"/>
      <c r="O313" s="2"/>
    </row>
    <row r="314" spans="1:15">
      <c r="K314" s="286"/>
      <c r="M314" s="2"/>
      <c r="N314" s="2"/>
      <c r="O314" s="2"/>
    </row>
    <row r="315" spans="1:15">
      <c r="B315" s="207" t="s">
        <v>523</v>
      </c>
      <c r="C315" s="246">
        <f>E311*D310*E301^2</f>
        <v>0.81084653100000059</v>
      </c>
      <c r="D315" s="126" t="s">
        <v>107</v>
      </c>
      <c r="E315" s="126"/>
      <c r="F315" s="207" t="s">
        <v>524</v>
      </c>
      <c r="G315" s="246">
        <f>H311*D310*E301^2</f>
        <v>1.445422077000001</v>
      </c>
      <c r="H315" s="126" t="s">
        <v>107</v>
      </c>
      <c r="K315" s="286"/>
      <c r="M315" s="10"/>
      <c r="N315" s="33"/>
      <c r="O315" s="33"/>
    </row>
    <row r="316" spans="1:15">
      <c r="B316" s="207" t="s">
        <v>562</v>
      </c>
      <c r="C316" s="246">
        <f>E312*D310*E301</f>
        <v>5.1492493800000032</v>
      </c>
      <c r="D316" s="207" t="s">
        <v>341</v>
      </c>
      <c r="E316" s="126"/>
      <c r="F316" s="207" t="s">
        <v>563</v>
      </c>
      <c r="G316" s="246">
        <f>H312*D310*E301</f>
        <v>20.564948250000011</v>
      </c>
      <c r="H316" s="207" t="s">
        <v>341</v>
      </c>
      <c r="K316" s="286"/>
      <c r="M316" s="10"/>
      <c r="N316" s="33"/>
      <c r="O316" s="33"/>
    </row>
    <row r="317" spans="1:15">
      <c r="B317" s="109"/>
      <c r="C317" s="224"/>
      <c r="D317" s="109"/>
      <c r="E317" s="46"/>
      <c r="F317" s="109"/>
      <c r="G317" s="224"/>
      <c r="H317" s="109"/>
      <c r="I317" s="46"/>
      <c r="J317" s="46"/>
      <c r="K317" s="286"/>
      <c r="M317" s="2"/>
      <c r="N317" s="2"/>
      <c r="O317" s="2"/>
    </row>
    <row r="318" spans="1:15">
      <c r="B318" s="187" t="s">
        <v>584</v>
      </c>
      <c r="F318" s="129">
        <f>D307*1000</f>
        <v>750</v>
      </c>
      <c r="G318" s="187" t="s">
        <v>98</v>
      </c>
      <c r="J318" s="46"/>
      <c r="K318" s="286"/>
      <c r="M318" s="2"/>
      <c r="N318" s="2"/>
      <c r="O318" s="2"/>
    </row>
    <row r="319" spans="1:15">
      <c r="B319" s="187" t="s">
        <v>571</v>
      </c>
      <c r="F319" s="129">
        <f>F318-I17-D337/2</f>
        <v>690</v>
      </c>
      <c r="G319" s="187" t="s">
        <v>98</v>
      </c>
      <c r="J319" s="46"/>
      <c r="K319" s="286"/>
      <c r="M319" s="2"/>
      <c r="N319" s="2"/>
      <c r="O319" s="2"/>
    </row>
    <row r="320" spans="1:15">
      <c r="J320" s="46"/>
      <c r="K320" s="286"/>
      <c r="M320" s="2"/>
      <c r="N320" s="2"/>
      <c r="O320" s="2"/>
    </row>
    <row r="321" spans="1:15">
      <c r="A321" s="187" t="s">
        <v>578</v>
      </c>
      <c r="D321" s="2"/>
      <c r="G321" s="320">
        <f>(MAX(G316,C316)*10^3)/(C27*1000)</f>
        <v>48.180897788088572</v>
      </c>
      <c r="H321" s="187" t="s">
        <v>98</v>
      </c>
      <c r="I321" s="126" t="str">
        <f>IF(G321&lt;=F319,"Ok","Not Ok")</f>
        <v>Ok</v>
      </c>
      <c r="J321" s="46"/>
      <c r="K321" s="286"/>
      <c r="M321" s="2"/>
      <c r="N321" s="2"/>
      <c r="O321" s="2"/>
    </row>
    <row r="322" spans="1:15">
      <c r="A322" s="187" t="s">
        <v>577</v>
      </c>
      <c r="C322" s="201"/>
      <c r="D322" s="2"/>
      <c r="G322" s="320">
        <f>((MAX(C315,G315)*10^6)/(C26*1000))^0.5</f>
        <v>31.791038601666408</v>
      </c>
      <c r="H322" s="187" t="s">
        <v>98</v>
      </c>
      <c r="I322" s="126" t="str">
        <f>IF(G322&lt;=F319,"Ok","Not Ok")</f>
        <v>Ok</v>
      </c>
      <c r="J322" s="46"/>
      <c r="K322" s="286"/>
      <c r="M322" s="2"/>
      <c r="N322" s="2"/>
      <c r="O322" s="2"/>
    </row>
    <row r="323" spans="1:15">
      <c r="D323" s="17"/>
      <c r="E323" s="2"/>
      <c r="J323" s="46"/>
      <c r="K323" s="286"/>
      <c r="M323" s="2"/>
      <c r="N323" s="2"/>
      <c r="O323" s="2"/>
    </row>
    <row r="324" spans="1:15">
      <c r="A324" s="187" t="s">
        <v>574</v>
      </c>
      <c r="E324" s="2"/>
      <c r="G324" s="129">
        <f>(C315*10^6)/(C21*C25*F319)</f>
        <v>7.0712140622522188</v>
      </c>
      <c r="H324" s="187" t="s">
        <v>128</v>
      </c>
      <c r="K324" s="286"/>
      <c r="M324" s="2"/>
      <c r="N324" s="2"/>
      <c r="O324" s="2"/>
    </row>
    <row r="325" spans="1:15">
      <c r="A325" s="187" t="s">
        <v>575</v>
      </c>
      <c r="G325" s="129">
        <f>(G315*10^6)/(C21*C25*F319)</f>
        <v>12.605207676188739</v>
      </c>
      <c r="H325" s="187" t="s">
        <v>128</v>
      </c>
      <c r="K325" s="286"/>
      <c r="M325" s="2"/>
      <c r="N325" s="2"/>
      <c r="O325" s="2"/>
    </row>
    <row r="326" spans="1:15">
      <c r="K326" s="286"/>
      <c r="M326" s="2"/>
      <c r="N326" s="2"/>
      <c r="O326" s="2"/>
    </row>
    <row r="327" spans="1:15">
      <c r="A327" s="255" t="s">
        <v>2061</v>
      </c>
      <c r="G327" s="107"/>
      <c r="H327" s="107"/>
      <c r="K327" s="286"/>
      <c r="M327" s="2"/>
      <c r="N327" s="2"/>
      <c r="O327" s="2"/>
    </row>
    <row r="328" spans="1:15">
      <c r="K328" s="286"/>
      <c r="M328" s="2"/>
      <c r="N328" s="2"/>
      <c r="O328" s="2"/>
    </row>
    <row r="329" spans="1:15">
      <c r="A329" s="3147" t="s">
        <v>486</v>
      </c>
      <c r="B329" s="3148" t="s">
        <v>487</v>
      </c>
      <c r="C329" s="3148" t="s">
        <v>488</v>
      </c>
      <c r="D329" s="3148" t="s">
        <v>489</v>
      </c>
      <c r="E329" s="3149" t="s">
        <v>490</v>
      </c>
      <c r="F329" s="3150"/>
      <c r="G329" s="3150"/>
      <c r="H329" s="3150"/>
      <c r="I329" s="3150"/>
      <c r="J329" s="496"/>
      <c r="K329" s="286"/>
      <c r="M329" s="2"/>
      <c r="N329" s="2"/>
      <c r="O329" s="2"/>
    </row>
    <row r="330" spans="1:15">
      <c r="A330" s="3147"/>
      <c r="B330" s="3148"/>
      <c r="C330" s="3148"/>
      <c r="D330" s="3148"/>
      <c r="E330" s="94">
        <v>12</v>
      </c>
      <c r="F330" s="94">
        <v>16</v>
      </c>
      <c r="G330" s="94">
        <v>20</v>
      </c>
      <c r="H330" s="94">
        <v>22</v>
      </c>
      <c r="I330" s="94">
        <v>25</v>
      </c>
      <c r="J330" s="75"/>
      <c r="K330" s="286"/>
      <c r="M330" s="2"/>
      <c r="N330" s="2"/>
      <c r="O330" s="2"/>
    </row>
    <row r="331" spans="1:15" ht="14.25">
      <c r="A331" s="172"/>
      <c r="B331" s="256" t="s">
        <v>491</v>
      </c>
      <c r="C331" s="256" t="s">
        <v>491</v>
      </c>
      <c r="D331" s="256" t="s">
        <v>491</v>
      </c>
      <c r="E331" s="828" t="s">
        <v>98</v>
      </c>
      <c r="F331" s="828" t="s">
        <v>98</v>
      </c>
      <c r="G331" s="828" t="s">
        <v>98</v>
      </c>
      <c r="H331" s="828" t="s">
        <v>98</v>
      </c>
      <c r="I331" s="828" t="s">
        <v>98</v>
      </c>
      <c r="J331" s="759"/>
      <c r="K331" s="286"/>
      <c r="M331" s="2"/>
      <c r="N331" s="2"/>
      <c r="O331" s="2"/>
    </row>
    <row r="332" spans="1:15">
      <c r="A332" s="264" t="s">
        <v>493</v>
      </c>
      <c r="B332" s="55"/>
      <c r="C332" s="55"/>
      <c r="D332" s="55"/>
      <c r="E332" s="55"/>
      <c r="F332" s="55"/>
      <c r="G332" s="55"/>
      <c r="H332" s="55"/>
      <c r="I332" s="56"/>
      <c r="J332" s="386"/>
      <c r="K332" s="286"/>
    </row>
    <row r="333" spans="1:15">
      <c r="A333" s="259" t="s">
        <v>111</v>
      </c>
      <c r="B333" s="318">
        <f>G325</f>
        <v>12.605207676188739</v>
      </c>
      <c r="C333" s="318">
        <f>IF(F318&gt;380,F50*1000*380,F50*1000*F318)</f>
        <v>760</v>
      </c>
      <c r="D333" s="318">
        <f>MAX(B333:C333)</f>
        <v>760</v>
      </c>
      <c r="E333" s="261">
        <f>PI()*(E330/2)^2*1000/$D333</f>
        <v>148.81228359109548</v>
      </c>
      <c r="F333" s="261">
        <f>PI()*(F330/2)^2*1000/$D333</f>
        <v>264.55517082861417</v>
      </c>
      <c r="G333" s="261">
        <f>PI()*(G330/2)^2*1000/$D333</f>
        <v>413.36745441970965</v>
      </c>
      <c r="H333" s="261">
        <f>PI()*(H330/2)^2*1000/$D333</f>
        <v>500.17461984784865</v>
      </c>
      <c r="I333" s="283">
        <f>PI()*(I330/2)^2*1000/$D333</f>
        <v>645.88664753079627</v>
      </c>
      <c r="J333" s="328"/>
      <c r="K333" s="286"/>
      <c r="L333" s="3173" t="s">
        <v>2043</v>
      </c>
      <c r="M333" s="3174"/>
      <c r="N333" s="3175"/>
    </row>
    <row r="334" spans="1:15">
      <c r="A334" s="262" t="s">
        <v>110</v>
      </c>
      <c r="B334" s="319">
        <f>G324</f>
        <v>7.0712140622522188</v>
      </c>
      <c r="C334" s="319">
        <f>IF(F318&gt;380,F51*1000*380,F51*1000*F318)</f>
        <v>950</v>
      </c>
      <c r="D334" s="319">
        <f>MAX(B334:C334)</f>
        <v>950</v>
      </c>
      <c r="E334" s="284">
        <f>PI()*(E330/2)^2*1000/$D334</f>
        <v>119.04982687287638</v>
      </c>
      <c r="F334" s="284">
        <f>PI()*(F330/2)^2*1000/$D334</f>
        <v>211.6441366628913</v>
      </c>
      <c r="G334" s="284">
        <f>PI()*(G330/2)^2*1000/$D334</f>
        <v>330.69396353576775</v>
      </c>
      <c r="H334" s="284">
        <f>PI()*(H330/2)^2*1000/$D334</f>
        <v>400.13969587827893</v>
      </c>
      <c r="I334" s="285">
        <f>PI()*(I330/2)^2*1000/$D334</f>
        <v>516.70931802463701</v>
      </c>
      <c r="J334" s="328"/>
      <c r="K334" s="286"/>
      <c r="L334" s="3169" t="s">
        <v>486</v>
      </c>
      <c r="M334" s="3171" t="s">
        <v>442</v>
      </c>
      <c r="N334" s="3172"/>
    </row>
    <row r="335" spans="1:15">
      <c r="A335" s="329"/>
      <c r="B335" s="327"/>
      <c r="C335" s="328"/>
      <c r="D335" s="328"/>
      <c r="E335" s="330"/>
      <c r="F335" s="330"/>
      <c r="G335" s="330"/>
      <c r="H335" s="330"/>
      <c r="I335" s="330"/>
      <c r="J335" s="330"/>
      <c r="K335" s="286"/>
      <c r="L335" s="3170"/>
      <c r="M335" s="3171" t="s">
        <v>493</v>
      </c>
      <c r="N335" s="3172"/>
    </row>
    <row r="336" spans="1:15">
      <c r="B336" s="264" t="s">
        <v>493</v>
      </c>
      <c r="C336" s="55"/>
      <c r="D336" s="252"/>
      <c r="E336" s="55"/>
      <c r="F336" s="55"/>
      <c r="G336" s="56"/>
      <c r="J336" s="46"/>
      <c r="K336" s="286"/>
      <c r="L336" s="3170"/>
      <c r="M336" s="926" t="s">
        <v>709</v>
      </c>
      <c r="N336" s="894" t="s">
        <v>710</v>
      </c>
    </row>
    <row r="337" spans="1:20" ht="15.75">
      <c r="B337" s="259" t="s">
        <v>111</v>
      </c>
      <c r="C337" s="268" t="s">
        <v>136</v>
      </c>
      <c r="D337" s="269">
        <v>20</v>
      </c>
      <c r="E337" s="833" t="s">
        <v>481</v>
      </c>
      <c r="F337" s="271">
        <v>200</v>
      </c>
      <c r="G337" s="272" t="s">
        <v>482</v>
      </c>
      <c r="J337" s="46"/>
      <c r="K337" s="286"/>
      <c r="L337" s="897" t="s">
        <v>2026</v>
      </c>
      <c r="M337" s="898">
        <f>Barrel!D327</f>
        <v>16</v>
      </c>
      <c r="N337" s="2585">
        <f>Barrel!F327</f>
        <v>200</v>
      </c>
    </row>
    <row r="338" spans="1:20" ht="15.75">
      <c r="B338" s="262" t="s">
        <v>110</v>
      </c>
      <c r="C338" s="278" t="s">
        <v>136</v>
      </c>
      <c r="D338" s="279">
        <v>16</v>
      </c>
      <c r="E338" s="280" t="s">
        <v>481</v>
      </c>
      <c r="F338" s="281">
        <v>200</v>
      </c>
      <c r="G338" s="282" t="s">
        <v>482</v>
      </c>
      <c r="J338" s="46"/>
      <c r="K338" s="286"/>
      <c r="L338" s="895" t="s">
        <v>2040</v>
      </c>
      <c r="M338" s="899">
        <f>'CS gate'!D337</f>
        <v>16</v>
      </c>
      <c r="N338" s="886">
        <f>'CS gate'!F337</f>
        <v>200</v>
      </c>
    </row>
    <row r="339" spans="1:20">
      <c r="J339" s="46"/>
      <c r="K339" s="286"/>
      <c r="L339" s="2031" t="s">
        <v>2041</v>
      </c>
      <c r="M339" s="2032">
        <f>'RS gate'!D338</f>
        <v>16</v>
      </c>
      <c r="N339" s="2576">
        <f>'RS gate'!F338</f>
        <v>200</v>
      </c>
    </row>
    <row r="340" spans="1:20">
      <c r="A340" s="6" t="s">
        <v>2057</v>
      </c>
      <c r="K340" s="286"/>
    </row>
    <row r="341" spans="1:20" ht="15.75">
      <c r="A341" s="82"/>
      <c r="B341" s="187" t="s">
        <v>1095</v>
      </c>
      <c r="K341" s="286"/>
    </row>
    <row r="342" spans="1:20">
      <c r="K342" s="286"/>
    </row>
    <row r="343" spans="1:20">
      <c r="A343" s="17" t="s">
        <v>125</v>
      </c>
      <c r="F343" t="s">
        <v>125</v>
      </c>
      <c r="K343" s="286"/>
      <c r="S343" s="16"/>
      <c r="T343" s="16"/>
    </row>
    <row r="344" spans="1:20">
      <c r="C344" s="48" t="s">
        <v>45</v>
      </c>
      <c r="K344" s="286"/>
      <c r="M344" s="33"/>
      <c r="N344" s="33"/>
      <c r="S344" s="16"/>
      <c r="T344" s="16"/>
    </row>
    <row r="345" spans="1:20">
      <c r="F345" t="s">
        <v>127</v>
      </c>
      <c r="K345" s="286"/>
      <c r="M345" s="33"/>
      <c r="N345" s="33"/>
    </row>
    <row r="346" spans="1:20">
      <c r="K346" s="286"/>
    </row>
    <row r="347" spans="1:20">
      <c r="A347" s="18" t="s">
        <v>127</v>
      </c>
      <c r="F347" s="9">
        <f>D307*1000</f>
        <v>750</v>
      </c>
      <c r="G347" t="s">
        <v>587</v>
      </c>
      <c r="K347" s="286"/>
    </row>
    <row r="348" spans="1:20">
      <c r="D348" s="2">
        <f>D64/1000</f>
        <v>6</v>
      </c>
      <c r="I348" s="84">
        <f>(G31+G32)/2+F347/1000</f>
        <v>2.25</v>
      </c>
      <c r="K348" s="286"/>
    </row>
    <row r="349" spans="1:20">
      <c r="K349" s="286"/>
    </row>
    <row r="350" spans="1:20">
      <c r="G350" s="33">
        <f>C56/1000</f>
        <v>1.5</v>
      </c>
      <c r="K350" s="286"/>
    </row>
    <row r="351" spans="1:20">
      <c r="C351" s="48" t="s">
        <v>44</v>
      </c>
      <c r="K351" s="286"/>
    </row>
    <row r="352" spans="1:20">
      <c r="K352" s="286"/>
    </row>
    <row r="353" spans="1:11">
      <c r="K353" s="286"/>
    </row>
    <row r="354" spans="1:11">
      <c r="F354" s="187"/>
      <c r="H354" s="10">
        <f>D55/1000</f>
        <v>0.3</v>
      </c>
      <c r="K354" s="286"/>
    </row>
    <row r="355" spans="1:11">
      <c r="D355" t="s">
        <v>1097</v>
      </c>
      <c r="K355" s="286"/>
    </row>
    <row r="356" spans="1:11">
      <c r="H356" s="781" t="s">
        <v>1094</v>
      </c>
      <c r="K356" s="286"/>
    </row>
    <row r="357" spans="1:11">
      <c r="J357" s="46"/>
      <c r="K357" s="286"/>
    </row>
    <row r="358" spans="1:11">
      <c r="B358" s="2" t="s">
        <v>585</v>
      </c>
      <c r="C358" s="10">
        <f>F278</f>
        <v>216.83591923714749</v>
      </c>
      <c r="D358" s="2" t="s">
        <v>537</v>
      </c>
      <c r="E358" s="10">
        <f>I348</f>
        <v>2.25</v>
      </c>
      <c r="F358" s="2" t="s">
        <v>35</v>
      </c>
      <c r="G358" s="10">
        <f>C358*E358</f>
        <v>487.88081828358185</v>
      </c>
      <c r="H358" t="s">
        <v>21</v>
      </c>
      <c r="J358" s="46"/>
      <c r="K358" s="286"/>
    </row>
    <row r="359" spans="1:11">
      <c r="B359" s="2" t="s">
        <v>586</v>
      </c>
      <c r="C359" s="10">
        <f>F279</f>
        <v>483.71089675979056</v>
      </c>
      <c r="D359" s="2" t="s">
        <v>537</v>
      </c>
      <c r="E359" s="10">
        <f>I348</f>
        <v>2.25</v>
      </c>
      <c r="F359" s="2" t="s">
        <v>35</v>
      </c>
      <c r="G359" s="10">
        <f>C359*E359</f>
        <v>1088.3495177095288</v>
      </c>
      <c r="H359" t="s">
        <v>107</v>
      </c>
      <c r="J359" s="46"/>
      <c r="K359" s="286"/>
    </row>
    <row r="360" spans="1:11">
      <c r="B360" s="2"/>
      <c r="C360" s="10"/>
      <c r="D360" s="2"/>
      <c r="E360" s="10"/>
      <c r="F360" s="2"/>
      <c r="G360" s="10"/>
      <c r="J360" s="46"/>
      <c r="K360" s="286"/>
    </row>
    <row r="361" spans="1:11">
      <c r="A361" t="str">
        <f>"Depth,  d = (( "&amp;G350&amp;" + "&amp;H354&amp;" ) - "&amp;H354&amp;" / 2 ) * 1000 ="</f>
        <v>Depth,  d = (( 1.5 + 0.3 ) - 0.3 / 2 ) * 1000 =</v>
      </c>
      <c r="B361" s="187"/>
      <c r="G361">
        <f>((G350+H354)-H354/2)*1000</f>
        <v>1650.0000000000002</v>
      </c>
      <c r="H361" t="s">
        <v>98</v>
      </c>
      <c r="J361" s="46"/>
      <c r="K361" s="286"/>
    </row>
    <row r="362" spans="1:11">
      <c r="A362" s="187" t="s">
        <v>541</v>
      </c>
      <c r="D362" s="187"/>
      <c r="G362" s="320">
        <f>(G358*10^3)/(C27*G373)</f>
        <v>2078.2525465378831</v>
      </c>
      <c r="H362" t="s">
        <v>98</v>
      </c>
      <c r="I362" s="126" t="str">
        <f>IF(G361&gt;=G362,"Ok","Not ok, Use Stirrup")</f>
        <v>Not ok, Use Stirrup</v>
      </c>
      <c r="J362" s="126"/>
      <c r="K362" s="286"/>
    </row>
    <row r="363" spans="1:11">
      <c r="A363" s="187" t="s">
        <v>579</v>
      </c>
      <c r="D363" s="187"/>
      <c r="G363" s="320">
        <f>((G359*10^6)/(C26*F347))^0.5</f>
        <v>1007.3048787377274</v>
      </c>
      <c r="H363" t="s">
        <v>98</v>
      </c>
      <c r="I363" s="207" t="str">
        <f>IF(G361&gt;=G363,"Ok","Not ok")</f>
        <v>Ok</v>
      </c>
      <c r="J363" s="109"/>
      <c r="K363" s="286"/>
    </row>
    <row r="364" spans="1:11">
      <c r="A364" s="187" t="s">
        <v>540</v>
      </c>
      <c r="D364" s="2"/>
      <c r="G364" s="320">
        <f>(G359*10^6)/(C21*C25*G361)</f>
        <v>3969.0709033093844</v>
      </c>
      <c r="H364" t="s">
        <v>104</v>
      </c>
      <c r="J364" s="46"/>
      <c r="K364" s="286"/>
    </row>
    <row r="365" spans="1:11">
      <c r="J365" s="46"/>
      <c r="K365" s="286"/>
    </row>
    <row r="366" spans="1:11">
      <c r="B366" s="314" t="s">
        <v>109</v>
      </c>
      <c r="C366" s="829">
        <v>12</v>
      </c>
      <c r="D366" s="94">
        <v>16</v>
      </c>
      <c r="E366" s="94">
        <v>20</v>
      </c>
      <c r="F366" s="94">
        <v>22</v>
      </c>
      <c r="G366" s="94">
        <v>25</v>
      </c>
      <c r="J366" s="46"/>
      <c r="K366" s="286"/>
    </row>
    <row r="367" spans="1:11">
      <c r="B367" s="830"/>
      <c r="C367" s="313" t="s">
        <v>98</v>
      </c>
      <c r="D367" s="828" t="s">
        <v>98</v>
      </c>
      <c r="E367" s="828" t="s">
        <v>98</v>
      </c>
      <c r="F367" s="828" t="s">
        <v>98</v>
      </c>
      <c r="G367" s="828" t="s">
        <v>98</v>
      </c>
      <c r="J367" s="46"/>
      <c r="K367" s="286"/>
    </row>
    <row r="368" spans="1:11">
      <c r="B368" s="315" t="s">
        <v>542</v>
      </c>
      <c r="C368" s="310">
        <f>$G$364/(PI()*(C366/2)^2)</f>
        <v>35.094291874661259</v>
      </c>
      <c r="D368" s="310">
        <f>$G$364/(PI()*(D366/2)^2)</f>
        <v>19.74053917949696</v>
      </c>
      <c r="E368" s="310">
        <f>$G$364/(PI()*(E366/2)^2)</f>
        <v>12.633945074878055</v>
      </c>
      <c r="F368" s="310">
        <f>$G$364/(PI()*(F366/2)^2)</f>
        <v>10.441276921386821</v>
      </c>
      <c r="G368" s="310">
        <f>$G$364/(PI()*(G366/2)^2)</f>
        <v>8.0857248479219539</v>
      </c>
      <c r="K368" s="286"/>
    </row>
    <row r="369" spans="1:11">
      <c r="C369" s="17"/>
      <c r="D369" s="2"/>
      <c r="K369" s="286"/>
    </row>
    <row r="370" spans="1:11">
      <c r="B370" s="203" t="s">
        <v>543</v>
      </c>
      <c r="C370" s="745">
        <v>10</v>
      </c>
      <c r="D370" s="2985">
        <v>25</v>
      </c>
      <c r="E370" s="213" t="s">
        <v>2271</v>
      </c>
      <c r="F370" s="187"/>
      <c r="K370" s="286"/>
    </row>
    <row r="371" spans="1:11">
      <c r="K371" s="286"/>
    </row>
    <row r="372" spans="1:11">
      <c r="A372" s="2987" t="str">
        <f>IF(N332&gt;=E374,"Stirrup not needed","Calculation of Stirrup :")</f>
        <v>Calculation of Stirrup :</v>
      </c>
      <c r="B372" s="2988"/>
      <c r="C372" s="2988"/>
      <c r="K372" s="286"/>
    </row>
    <row r="373" spans="1:11">
      <c r="A373" s="109" t="s">
        <v>2273</v>
      </c>
      <c r="B373" s="109"/>
      <c r="D373" s="109">
        <v>100</v>
      </c>
      <c r="E373" s="109" t="s">
        <v>2274</v>
      </c>
      <c r="F373" s="187"/>
      <c r="G373">
        <f>F347-2*D373</f>
        <v>550</v>
      </c>
      <c r="H373" s="187" t="s">
        <v>5</v>
      </c>
      <c r="K373" s="286"/>
    </row>
    <row r="374" spans="1:11">
      <c r="A374" t="str">
        <f>"Shear stress = "&amp;FIXED(G358,2)&amp;"*1000/("&amp;G373&amp;"*"&amp;G361&amp;")  ="</f>
        <v>Shear stress = 487.88*1000/(550*1650)  =</v>
      </c>
      <c r="D374" s="2"/>
      <c r="E374" s="115">
        <f>G358*1000/(G373*G361)</f>
        <v>0.53760971711689454</v>
      </c>
      <c r="F374" t="s">
        <v>1490</v>
      </c>
      <c r="G374" s="2984" t="str">
        <f>IF(C28&gt;=E374,"No Stirrup is needed.","So, Stirrup is needed.")</f>
        <v>So, Stirrup is needed.</v>
      </c>
      <c r="H374" s="2984"/>
      <c r="K374" s="286"/>
    </row>
    <row r="375" spans="1:11">
      <c r="A375" t="s">
        <v>2267</v>
      </c>
      <c r="J375" s="46"/>
      <c r="K375" s="286"/>
    </row>
    <row r="376" spans="1:11">
      <c r="A376" s="187" t="str">
        <f>"v' = v - vc = "&amp;FIXED(E374,3)&amp;" - "&amp;FIXED(C27,3)&amp;" ="</f>
        <v>v' = v - vc = 0.538 - 0.427 =</v>
      </c>
      <c r="D376" s="115">
        <f>E374-C27</f>
        <v>0.11078188297296243</v>
      </c>
      <c r="E376" t="s">
        <v>1490</v>
      </c>
      <c r="J376" s="46"/>
      <c r="K376" s="286"/>
    </row>
    <row r="377" spans="1:11">
      <c r="A377" s="30" t="s">
        <v>2268</v>
      </c>
      <c r="C377" s="203" t="s">
        <v>136</v>
      </c>
      <c r="D377" s="2979">
        <v>10</v>
      </c>
      <c r="E377" s="187" t="s">
        <v>2269</v>
      </c>
      <c r="G377" s="33">
        <f>2*PI()*D377^2/4</f>
        <v>157.07963267948966</v>
      </c>
      <c r="H377" t="s">
        <v>1348</v>
      </c>
      <c r="J377" s="46"/>
      <c r="K377" s="286"/>
    </row>
    <row r="378" spans="1:11">
      <c r="A378" t="str">
        <f>"Spacing =Av fv / v' b ="&amp;FIXED(G377,2)&amp;" * "&amp;FIXED($C$21,2)&amp;" / ("&amp;FIXED(D376,3)&amp;" * "&amp;G373&amp;") ="</f>
        <v>Spacing =Av fv / v' b =157.08 * 186.30 / (0.111 * 550) =</v>
      </c>
      <c r="F378" s="129" t="str">
        <f>IF(D376&gt;0,TRUNC(G377*$C$21/(D376*G373),0)&amp;" mm c/c","Stirrup not needed.")</f>
        <v>480 mm c/c</v>
      </c>
      <c r="H378" s="17" t="s">
        <v>543</v>
      </c>
      <c r="I378" s="2980">
        <v>200</v>
      </c>
      <c r="J378" s="187" t="s">
        <v>2270</v>
      </c>
      <c r="K378" s="286"/>
    </row>
    <row r="379" spans="1:11">
      <c r="K379" s="286"/>
    </row>
    <row r="380" spans="1:11" ht="15.75">
      <c r="A380" s="437" t="s">
        <v>1133</v>
      </c>
      <c r="B380" s="174"/>
      <c r="C380" s="174"/>
      <c r="K380" s="286"/>
    </row>
    <row r="381" spans="1:11">
      <c r="K381" s="286"/>
    </row>
    <row r="382" spans="1:11">
      <c r="A382" s="187" t="str">
        <f>"Span between Abutment &amp; Pier = "&amp;G31&amp;" + "&amp;C33&amp;IF(C30&gt;1," / 2 + "," + ")&amp;C34&amp;" / 2 ="</f>
        <v>Span between Abutment &amp; Pier = 1.5 + 0.75 / 2 + 0.75 / 2 =</v>
      </c>
      <c r="G382">
        <f>IF(C30&gt;1,G31+C33/2+C34/2,G31+C33)</f>
        <v>2.25</v>
      </c>
      <c r="H382" s="187" t="s">
        <v>1099</v>
      </c>
      <c r="K382" s="286"/>
    </row>
    <row r="383" spans="1:11">
      <c r="A383" s="187" t="str">
        <f>"Span between Pier = "&amp;G32&amp;" + "&amp;C34&amp;" ="</f>
        <v>Span between Pier = 1.5 + 0.75 =</v>
      </c>
      <c r="G383" s="115">
        <f>G32+C34</f>
        <v>2.25</v>
      </c>
      <c r="H383" s="187" t="s">
        <v>1099</v>
      </c>
      <c r="K383" s="286"/>
    </row>
    <row r="384" spans="1:11">
      <c r="B384" s="187"/>
      <c r="E384" s="115"/>
      <c r="F384" s="187"/>
      <c r="K384" s="286"/>
    </row>
    <row r="385" spans="1:21">
      <c r="A385" s="144" t="s">
        <v>765</v>
      </c>
      <c r="E385" s="144" t="s">
        <v>766</v>
      </c>
      <c r="K385" s="286"/>
    </row>
    <row r="386" spans="1:21">
      <c r="A386" s="187" t="s">
        <v>721</v>
      </c>
      <c r="C386" s="33">
        <f>C33*H134*B141*D3+0.5*(C33+G33)*(H128-C32)*B141*D3</f>
        <v>199.125</v>
      </c>
      <c r="D386" t="s">
        <v>21</v>
      </c>
      <c r="E386" s="187" t="s">
        <v>338</v>
      </c>
      <c r="G386" s="33">
        <f>F347*G350*(B66-C32)*D3/1000</f>
        <v>211.07249999999999</v>
      </c>
      <c r="H386" t="s">
        <v>21</v>
      </c>
      <c r="K386" s="286"/>
      <c r="L386" s="33"/>
    </row>
    <row r="387" spans="1:21">
      <c r="A387" s="187" t="s">
        <v>722</v>
      </c>
      <c r="C387" s="33">
        <f>0.5*(C33-G33)*H128*B141*D6</f>
        <v>0</v>
      </c>
      <c r="D387" t="s">
        <v>21</v>
      </c>
      <c r="E387" s="187" t="s">
        <v>723</v>
      </c>
      <c r="G387" s="33">
        <f>(M30+C34)*B141*C32*D3</f>
        <v>35.842500000000001</v>
      </c>
      <c r="H387" t="s">
        <v>21</v>
      </c>
      <c r="K387" s="286"/>
    </row>
    <row r="388" spans="1:21">
      <c r="A388" s="187" t="s">
        <v>723</v>
      </c>
      <c r="C388" s="33">
        <f>(M30/2+G33)*B141*C32*D3</f>
        <v>23.895</v>
      </c>
      <c r="D388" t="s">
        <v>21</v>
      </c>
      <c r="E388" s="187" t="s">
        <v>720</v>
      </c>
      <c r="G388" s="33">
        <f>D12</f>
        <v>205.8</v>
      </c>
      <c r="H388" t="s">
        <v>21</v>
      </c>
      <c r="K388" s="286"/>
    </row>
    <row r="389" spans="1:21">
      <c r="A389" s="187" t="s">
        <v>720</v>
      </c>
      <c r="C389" s="33">
        <f>D12/2</f>
        <v>102.9</v>
      </c>
      <c r="D389" t="s">
        <v>21</v>
      </c>
      <c r="E389" s="204" t="s">
        <v>770</v>
      </c>
      <c r="F389" s="59"/>
      <c r="G389" s="212">
        <f>(M30+C34)*B141*D11</f>
        <v>24.3</v>
      </c>
      <c r="H389" t="s">
        <v>21</v>
      </c>
      <c r="K389" s="286"/>
    </row>
    <row r="390" spans="1:21">
      <c r="A390" s="204" t="s">
        <v>770</v>
      </c>
      <c r="B390" s="59"/>
      <c r="C390" s="212">
        <f>(G31/2+G33)*B141*D11</f>
        <v>16.2</v>
      </c>
      <c r="D390" t="s">
        <v>21</v>
      </c>
      <c r="E390" s="187" t="s">
        <v>767</v>
      </c>
      <c r="G390" s="54">
        <f>IF(C30&gt;1,SUM(G386:G389),0)</f>
        <v>477.01500000000004</v>
      </c>
      <c r="H390" s="187" t="s">
        <v>21</v>
      </c>
      <c r="K390" s="286"/>
    </row>
    <row r="391" spans="1:21">
      <c r="A391" s="187" t="s">
        <v>767</v>
      </c>
      <c r="C391" s="33">
        <f>SUM(C386:C390)</f>
        <v>342.12</v>
      </c>
      <c r="D391" s="187" t="s">
        <v>21</v>
      </c>
      <c r="E391" s="187" t="s">
        <v>768</v>
      </c>
      <c r="F391" s="191"/>
      <c r="G391" s="54">
        <f>C56/1000</f>
        <v>1.5</v>
      </c>
      <c r="H391" s="187" t="s">
        <v>5</v>
      </c>
      <c r="K391" s="286"/>
    </row>
    <row r="392" spans="1:21">
      <c r="A392" s="187" t="s">
        <v>769</v>
      </c>
      <c r="C392" s="54">
        <f>C56/1000</f>
        <v>1.5</v>
      </c>
      <c r="D392" s="18" t="s">
        <v>5</v>
      </c>
      <c r="E392" s="187" t="s">
        <v>726</v>
      </c>
      <c r="G392" s="54">
        <f>G390/G391</f>
        <v>318.01000000000005</v>
      </c>
      <c r="H392" s="187" t="s">
        <v>725</v>
      </c>
      <c r="K392" s="286"/>
    </row>
    <row r="393" spans="1:21">
      <c r="A393" s="187" t="s">
        <v>726</v>
      </c>
      <c r="C393" s="33">
        <f>C391/C392</f>
        <v>228.08</v>
      </c>
      <c r="D393" s="187" t="s">
        <v>725</v>
      </c>
      <c r="K393" s="286"/>
    </row>
    <row r="394" spans="1:21">
      <c r="D394" s="2"/>
      <c r="K394" s="286"/>
    </row>
    <row r="395" spans="1:21">
      <c r="A395" t="s">
        <v>752</v>
      </c>
      <c r="C395" s="115">
        <f>C35</f>
        <v>5.25</v>
      </c>
      <c r="D395" t="s">
        <v>5</v>
      </c>
      <c r="E395" s="126" t="s">
        <v>24</v>
      </c>
      <c r="F395" s="126"/>
      <c r="G395" s="440">
        <f>C30</f>
        <v>2</v>
      </c>
      <c r="H395" t="s">
        <v>888</v>
      </c>
      <c r="K395" s="286"/>
    </row>
    <row r="396" spans="1:21">
      <c r="A396" t="s">
        <v>727</v>
      </c>
      <c r="C396" s="33">
        <f>(2*C393+C31*G392)/C395</f>
        <v>147.46095238095239</v>
      </c>
      <c r="D396" s="187" t="s">
        <v>725</v>
      </c>
      <c r="E396" s="127" t="s">
        <v>204</v>
      </c>
      <c r="F396" s="126"/>
      <c r="G396" s="440">
        <f>C31</f>
        <v>1</v>
      </c>
      <c r="H396" t="s">
        <v>889</v>
      </c>
      <c r="K396" s="286"/>
    </row>
    <row r="397" spans="1:21">
      <c r="A397" t="s">
        <v>733</v>
      </c>
      <c r="C397" s="33">
        <f>E219</f>
        <v>30.214928436388824</v>
      </c>
      <c r="D397" t="s">
        <v>620</v>
      </c>
      <c r="K397" s="286"/>
    </row>
    <row r="398" spans="1:21">
      <c r="K398" s="286"/>
    </row>
    <row r="399" spans="1:21">
      <c r="A399" t="s">
        <v>750</v>
      </c>
      <c r="C399" t="s">
        <v>751</v>
      </c>
      <c r="E399" t="s">
        <v>751</v>
      </c>
      <c r="G399" t="s">
        <v>751</v>
      </c>
      <c r="I399" t="s">
        <v>750</v>
      </c>
      <c r="K399" s="286"/>
      <c r="O399" s="46"/>
      <c r="P399" s="46"/>
      <c r="Q399" s="46"/>
      <c r="R399" s="140"/>
      <c r="S399" s="46"/>
      <c r="T399" s="46"/>
      <c r="U399" s="46"/>
    </row>
    <row r="400" spans="1:21">
      <c r="A400" s="10">
        <f>C393</f>
        <v>228.08</v>
      </c>
      <c r="C400" s="33">
        <f>IF(C30&gt;1,G392,0)</f>
        <v>318.01000000000005</v>
      </c>
      <c r="E400" s="36">
        <f>IF(C30&gt;2,G392,0)</f>
        <v>0</v>
      </c>
      <c r="G400" s="36">
        <f>IF(C30&gt;3,G392,0)</f>
        <v>0</v>
      </c>
      <c r="I400" s="36">
        <f>C393</f>
        <v>228.08</v>
      </c>
      <c r="J400" s="36"/>
      <c r="K400" s="286"/>
      <c r="O400" s="46"/>
      <c r="P400" s="112"/>
      <c r="Q400" s="46"/>
      <c r="R400" s="140"/>
      <c r="S400" s="90"/>
      <c r="T400" s="90"/>
      <c r="U400" s="46"/>
    </row>
    <row r="401" spans="1:21">
      <c r="K401" s="286"/>
      <c r="O401" s="46"/>
      <c r="P401" s="46"/>
      <c r="Q401" s="46"/>
      <c r="R401" s="46"/>
      <c r="S401" s="90"/>
      <c r="T401" s="90"/>
      <c r="U401" s="46"/>
    </row>
    <row r="402" spans="1:21">
      <c r="A402" t="s">
        <v>642</v>
      </c>
      <c r="K402" s="286"/>
      <c r="O402" s="46"/>
      <c r="P402" s="46"/>
      <c r="Q402" s="224"/>
      <c r="R402" s="46"/>
      <c r="S402" s="44"/>
      <c r="T402" s="44"/>
      <c r="U402" s="46"/>
    </row>
    <row r="403" spans="1:21">
      <c r="I403" s="17" t="s">
        <v>642</v>
      </c>
      <c r="J403" s="17"/>
      <c r="K403" s="286"/>
      <c r="O403" s="46"/>
      <c r="P403" s="46"/>
      <c r="Q403" s="224"/>
      <c r="R403" s="46"/>
      <c r="S403" s="44"/>
      <c r="T403" s="44"/>
      <c r="U403" s="46"/>
    </row>
    <row r="404" spans="1:21">
      <c r="K404" s="286"/>
      <c r="O404" s="46"/>
      <c r="P404" s="46"/>
      <c r="Q404" s="224"/>
      <c r="R404" s="46"/>
      <c r="S404" s="44"/>
      <c r="T404" s="44"/>
      <c r="U404" s="46"/>
    </row>
    <row r="405" spans="1:21">
      <c r="D405" t="s">
        <v>727</v>
      </c>
      <c r="F405" s="36">
        <f>C396</f>
        <v>147.46095238095239</v>
      </c>
      <c r="K405" s="286"/>
      <c r="O405" s="46"/>
      <c r="P405" s="46"/>
      <c r="Q405" s="224"/>
      <c r="R405" s="46"/>
      <c r="S405" s="44"/>
      <c r="T405" s="44"/>
      <c r="U405" s="46"/>
    </row>
    <row r="406" spans="1:21">
      <c r="K406" s="286"/>
      <c r="O406" s="46"/>
      <c r="P406" s="46"/>
      <c r="Q406" s="224"/>
      <c r="R406" s="46"/>
      <c r="S406" s="44"/>
      <c r="T406" s="44"/>
      <c r="U406" s="46"/>
    </row>
    <row r="407" spans="1:21">
      <c r="A407" s="2">
        <v>1</v>
      </c>
      <c r="C407" s="18">
        <v>2</v>
      </c>
      <c r="E407" s="2">
        <v>3</v>
      </c>
      <c r="G407" s="18">
        <v>4</v>
      </c>
      <c r="H407">
        <v>5</v>
      </c>
      <c r="K407" s="286"/>
      <c r="O407" s="46"/>
      <c r="P407" s="46"/>
      <c r="Q407" s="224"/>
      <c r="R407" s="46"/>
      <c r="S407" s="44"/>
      <c r="T407" s="44"/>
      <c r="U407" s="46"/>
    </row>
    <row r="408" spans="1:21">
      <c r="A408" s="85">
        <f>C33/2</f>
        <v>0.375</v>
      </c>
      <c r="B408" s="115">
        <f>C430</f>
        <v>2.25</v>
      </c>
      <c r="C408" s="115"/>
      <c r="D408" s="85">
        <f>C431</f>
        <v>2.25</v>
      </c>
      <c r="E408" s="115"/>
      <c r="F408" s="85" t="str">
        <f>C432</f>
        <v/>
      </c>
      <c r="G408" s="115"/>
      <c r="H408" s="85" t="str">
        <f>C433</f>
        <v/>
      </c>
      <c r="I408">
        <f>C33/2</f>
        <v>0.375</v>
      </c>
      <c r="K408" s="286"/>
      <c r="O408" s="46"/>
      <c r="P408" s="46"/>
      <c r="Q408" s="224"/>
      <c r="R408" s="46"/>
      <c r="S408" s="44"/>
      <c r="T408" s="44"/>
      <c r="U408" s="46"/>
    </row>
    <row r="409" spans="1:21">
      <c r="K409" s="286"/>
      <c r="O409" s="46"/>
      <c r="P409" s="46"/>
      <c r="Q409" s="224"/>
      <c r="R409" s="46"/>
      <c r="S409" s="44"/>
      <c r="T409" s="44"/>
      <c r="U409" s="46"/>
    </row>
    <row r="410" spans="1:21">
      <c r="K410" s="286"/>
      <c r="O410" s="46"/>
      <c r="P410" s="46"/>
      <c r="Q410" s="46"/>
      <c r="R410" s="46"/>
      <c r="S410" s="46"/>
      <c r="T410" s="46"/>
      <c r="U410" s="46"/>
    </row>
    <row r="411" spans="1:21">
      <c r="C411" s="115">
        <f>F431</f>
        <v>1.078285454099229</v>
      </c>
      <c r="D411" t="s">
        <v>5</v>
      </c>
      <c r="E411" s="84" t="str">
        <f>F432</f>
        <v/>
      </c>
      <c r="F411" t="s">
        <v>5</v>
      </c>
      <c r="G411" s="115" t="str">
        <f>F433</f>
        <v/>
      </c>
      <c r="H411" t="s">
        <v>5</v>
      </c>
      <c r="K411" s="286"/>
      <c r="O411" s="46"/>
      <c r="P411" s="46"/>
      <c r="Q411" s="46"/>
      <c r="R411" s="46"/>
      <c r="S411" s="46"/>
      <c r="T411" s="46"/>
      <c r="U411" s="46"/>
    </row>
    <row r="412" spans="1:21">
      <c r="A412" s="115">
        <f>F430</f>
        <v>1.1717145459007712</v>
      </c>
      <c r="B412" t="s">
        <v>5</v>
      </c>
      <c r="K412" s="286"/>
      <c r="O412" s="46"/>
      <c r="P412" s="46"/>
      <c r="Q412" s="46"/>
      <c r="R412" s="90"/>
      <c r="S412" s="90"/>
      <c r="T412" s="90"/>
      <c r="U412" s="46"/>
    </row>
    <row r="413" spans="1:21">
      <c r="C413" s="2" t="s">
        <v>735</v>
      </c>
      <c r="E413" s="2" t="s">
        <v>737</v>
      </c>
      <c r="G413" t="s">
        <v>739</v>
      </c>
      <c r="I413" s="2" t="s">
        <v>741</v>
      </c>
      <c r="J413" s="2"/>
      <c r="K413" s="286"/>
      <c r="O413" s="46"/>
      <c r="P413" s="224"/>
      <c r="Q413" s="46"/>
      <c r="R413" s="44"/>
      <c r="S413" s="44"/>
      <c r="T413" s="46"/>
      <c r="U413" s="46"/>
    </row>
    <row r="414" spans="1:21">
      <c r="K414" s="286"/>
      <c r="O414" s="46"/>
      <c r="P414" s="224"/>
      <c r="Q414" s="46"/>
      <c r="R414" s="44"/>
      <c r="S414" s="44"/>
      <c r="T414" s="46"/>
      <c r="U414" s="46"/>
    </row>
    <row r="415" spans="1:21">
      <c r="K415" s="286"/>
      <c r="L415" t="s">
        <v>887</v>
      </c>
      <c r="O415" s="46"/>
      <c r="P415" s="224"/>
      <c r="Q415" s="46"/>
      <c r="R415" s="44"/>
      <c r="S415" s="44"/>
      <c r="T415" s="46"/>
      <c r="U415" s="46"/>
    </row>
    <row r="416" spans="1:21">
      <c r="A416" t="s">
        <v>734</v>
      </c>
      <c r="B416" s="17" t="s">
        <v>736</v>
      </c>
      <c r="D416" s="17" t="s">
        <v>738</v>
      </c>
      <c r="F416" s="17" t="s">
        <v>740</v>
      </c>
      <c r="K416" s="286"/>
      <c r="O416" s="46"/>
      <c r="P416" s="224"/>
      <c r="Q416" s="46"/>
      <c r="R416" s="44"/>
      <c r="S416" s="44"/>
      <c r="T416" s="46"/>
      <c r="U416" s="46"/>
    </row>
    <row r="417" spans="1:21">
      <c r="K417" s="286"/>
      <c r="O417" s="46"/>
      <c r="P417" s="224"/>
      <c r="Q417" s="46"/>
      <c r="R417" s="44"/>
      <c r="S417" s="44"/>
      <c r="T417" s="46"/>
      <c r="U417" s="46"/>
    </row>
    <row r="418" spans="1:21">
      <c r="K418" s="286"/>
      <c r="O418" s="46"/>
      <c r="P418" s="224"/>
      <c r="Q418" s="46"/>
      <c r="R418" s="44"/>
      <c r="S418" s="44"/>
      <c r="T418" s="46"/>
      <c r="U418" s="46"/>
    </row>
    <row r="419" spans="1:21">
      <c r="A419" s="2">
        <v>1</v>
      </c>
      <c r="C419" s="18">
        <v>2</v>
      </c>
      <c r="E419" s="18">
        <v>3</v>
      </c>
      <c r="G419" s="18">
        <v>4</v>
      </c>
      <c r="I419" s="2">
        <v>5</v>
      </c>
      <c r="J419" s="2"/>
      <c r="K419" s="286"/>
      <c r="O419" s="46"/>
      <c r="P419" s="224"/>
      <c r="Q419" s="46"/>
      <c r="R419" s="44"/>
      <c r="S419" s="44"/>
      <c r="T419" s="46"/>
      <c r="U419" s="46"/>
    </row>
    <row r="420" spans="1:21">
      <c r="C420" s="2" t="s">
        <v>743</v>
      </c>
      <c r="E420" s="2" t="s">
        <v>744</v>
      </c>
      <c r="G420" t="s">
        <v>745</v>
      </c>
      <c r="K420" s="286"/>
      <c r="O420" s="46"/>
      <c r="P420" s="224"/>
      <c r="Q420" s="46"/>
      <c r="R420" s="44"/>
      <c r="S420" s="44"/>
      <c r="T420" s="46"/>
      <c r="U420" s="46"/>
    </row>
    <row r="421" spans="1:21">
      <c r="A421" t="s">
        <v>742</v>
      </c>
      <c r="K421" s="286"/>
      <c r="O421" s="46"/>
      <c r="P421" s="224"/>
      <c r="Q421" s="46"/>
      <c r="R421" s="44"/>
      <c r="S421" s="44"/>
      <c r="T421" s="46"/>
      <c r="U421" s="46"/>
    </row>
    <row r="422" spans="1:21">
      <c r="K422" s="286"/>
      <c r="L422" s="2"/>
      <c r="M422" s="2"/>
    </row>
    <row r="423" spans="1:21">
      <c r="K423" s="286"/>
      <c r="L423" s="2"/>
      <c r="M423" s="2"/>
    </row>
    <row r="424" spans="1:21">
      <c r="B424" t="s">
        <v>746</v>
      </c>
      <c r="H424" t="s">
        <v>749</v>
      </c>
      <c r="K424" s="286"/>
    </row>
    <row r="425" spans="1:21">
      <c r="D425" t="s">
        <v>747</v>
      </c>
      <c r="F425" t="s">
        <v>748</v>
      </c>
      <c r="K425" s="286"/>
    </row>
    <row r="426" spans="1:21">
      <c r="K426" s="286"/>
    </row>
    <row r="427" spans="1:21">
      <c r="K427" s="286"/>
      <c r="L427" t="s">
        <v>803</v>
      </c>
    </row>
    <row r="428" spans="1:21">
      <c r="A428" s="3069" t="s">
        <v>789</v>
      </c>
      <c r="B428" s="3071"/>
      <c r="C428" s="3196" t="s">
        <v>791</v>
      </c>
      <c r="D428" s="3069" t="s">
        <v>792</v>
      </c>
      <c r="E428" s="3068"/>
      <c r="F428" s="381" t="s">
        <v>756</v>
      </c>
      <c r="G428" s="3069" t="s">
        <v>793</v>
      </c>
      <c r="H428" s="3070"/>
      <c r="I428" s="3071"/>
      <c r="J428" s="833"/>
      <c r="K428" s="286"/>
      <c r="L428" s="3066" t="s">
        <v>753</v>
      </c>
      <c r="M428" s="3068"/>
      <c r="N428" s="3067" t="s">
        <v>755</v>
      </c>
      <c r="O428" s="3068"/>
    </row>
    <row r="429" spans="1:21">
      <c r="A429" s="351" t="s">
        <v>790</v>
      </c>
      <c r="B429" s="256" t="s">
        <v>790</v>
      </c>
      <c r="C429" s="3197"/>
      <c r="D429" s="77" t="s">
        <v>753</v>
      </c>
      <c r="E429" s="156" t="s">
        <v>754</v>
      </c>
      <c r="F429" s="104" t="s">
        <v>757</v>
      </c>
      <c r="G429" s="77" t="s">
        <v>753</v>
      </c>
      <c r="H429" s="104" t="s">
        <v>755</v>
      </c>
      <c r="I429" s="451" t="s">
        <v>794</v>
      </c>
      <c r="J429" s="779"/>
      <c r="K429" s="286"/>
      <c r="L429" s="452" t="s">
        <v>758</v>
      </c>
      <c r="M429" s="453" t="s">
        <v>759</v>
      </c>
      <c r="N429" s="454" t="s">
        <v>758</v>
      </c>
      <c r="O429" s="458" t="s">
        <v>759</v>
      </c>
    </row>
    <row r="430" spans="1:21">
      <c r="A430" s="367">
        <v>1</v>
      </c>
      <c r="B430" s="123">
        <f>A430+1</f>
        <v>2</v>
      </c>
      <c r="C430" s="442">
        <f>G382</f>
        <v>2.25</v>
      </c>
      <c r="D430" s="107">
        <f>-A400+A408*C396</f>
        <v>-172.78214285714287</v>
      </c>
      <c r="E430" s="352">
        <f>IF(A430=G395,-D430,D430+C430*$C$396)</f>
        <v>159.00500000000002</v>
      </c>
      <c r="F430" s="441">
        <f>C430*ABS(D430)/(ABS(D430)+E430)</f>
        <v>1.1717145459007712</v>
      </c>
      <c r="G430" s="107">
        <f>+C397+C396*A408^2/2</f>
        <v>40.583276650674541</v>
      </c>
      <c r="H430" s="103">
        <f>G430+0.5*D430*F430</f>
        <v>-60.64239837813512</v>
      </c>
      <c r="I430" s="155">
        <f>IF(A430&lt;=$G$395,H430+0.5*E430*(C430-F430),"")</f>
        <v>25.083990936388837</v>
      </c>
      <c r="J430" s="107"/>
      <c r="K430" s="286"/>
      <c r="L430" s="352">
        <f>IF(G430&gt;0,G430,"")</f>
        <v>40.583276650674541</v>
      </c>
      <c r="M430" s="379" t="str">
        <f>IF(G430&lt;0,ABS(G430),"")</f>
        <v/>
      </c>
      <c r="N430" s="107" t="str">
        <f>IF(H430&gt;0,H430,"")</f>
        <v/>
      </c>
      <c r="O430" s="103">
        <f>IF(H430&lt;0,ABS(H430),"")</f>
        <v>60.64239837813512</v>
      </c>
    </row>
    <row r="431" spans="1:21">
      <c r="A431" s="367">
        <f>+A430+1</f>
        <v>2</v>
      </c>
      <c r="B431" s="123">
        <f t="shared" ref="B431:B450" si="0">A431+1</f>
        <v>3</v>
      </c>
      <c r="C431" s="442">
        <f t="shared" ref="C431:C449" si="1">IF(A431&lt;=$G$395,IF(A431&lt;$G$395,$G$383,$G$382),"")</f>
        <v>2.25</v>
      </c>
      <c r="D431" s="107">
        <f t="shared" ref="D431:D449" si="2">IF(A431&lt;=$G$395,E430-$G$392,"")</f>
        <v>-159.00500000000002</v>
      </c>
      <c r="E431" s="352">
        <f t="shared" ref="E431:E449" si="3">IF(A431&lt;=$G$395,D431+C431*$C$396,"")</f>
        <v>172.78214285714287</v>
      </c>
      <c r="F431" s="441">
        <f t="shared" ref="F431:F449" si="4">IF(A431&lt;=$G$395,C431*ABS(D431)/(ABS(D431)+E431),"")</f>
        <v>1.078285454099229</v>
      </c>
      <c r="G431" s="107">
        <f>IF(A431&lt;=$G$395,H430+0.5*E430*(C430-F430),"")</f>
        <v>25.083990936388837</v>
      </c>
      <c r="H431" s="103">
        <f t="shared" ref="H431:H449" si="5">IF(A431&lt;=$G$395,G431+0.5*D431*F431,"")</f>
        <v>-60.642398378135134</v>
      </c>
      <c r="I431" s="155">
        <f t="shared" ref="I431:I449" si="6">IF(A431&lt;=$G$395,H431+0.5*E431*(C431-F431),"")</f>
        <v>40.583276650674513</v>
      </c>
      <c r="J431" s="107"/>
      <c r="K431" s="286"/>
      <c r="L431" s="352">
        <f t="shared" ref="L431:L450" si="7">IF(G431&gt;0,G431,"")</f>
        <v>25.083990936388837</v>
      </c>
      <c r="M431" s="103" t="str">
        <f t="shared" ref="M431:M450" si="8">IF(G431&lt;0,ABS(G431),"")</f>
        <v/>
      </c>
      <c r="N431" s="107" t="str">
        <f t="shared" ref="N431:N450" si="9">IF(H431&gt;0,H431,"")</f>
        <v/>
      </c>
      <c r="O431" s="103">
        <f t="shared" ref="O431:O450" si="10">IF(H431&lt;0,ABS(H431),"")</f>
        <v>60.642398378135134</v>
      </c>
    </row>
    <row r="432" spans="1:21">
      <c r="A432" s="367">
        <f t="shared" ref="A432:A450" si="11">+A431+1</f>
        <v>3</v>
      </c>
      <c r="B432" s="123">
        <f t="shared" si="0"/>
        <v>4</v>
      </c>
      <c r="C432" s="442" t="str">
        <f t="shared" si="1"/>
        <v/>
      </c>
      <c r="D432" s="107" t="str">
        <f t="shared" si="2"/>
        <v/>
      </c>
      <c r="E432" s="446" t="str">
        <f t="shared" si="3"/>
        <v/>
      </c>
      <c r="F432" s="447" t="str">
        <f t="shared" si="4"/>
        <v/>
      </c>
      <c r="G432" s="448" t="str">
        <f t="shared" ref="G432:G450" si="12">IF(A432&lt;=$G$395,H431+0.5*E431*(C431-F431),"")</f>
        <v/>
      </c>
      <c r="H432" s="449" t="str">
        <f t="shared" si="5"/>
        <v/>
      </c>
      <c r="I432" s="450" t="str">
        <f t="shared" si="6"/>
        <v/>
      </c>
      <c r="J432" s="448"/>
      <c r="K432" s="286"/>
      <c r="L432" s="352" t="str">
        <f t="shared" si="7"/>
        <v/>
      </c>
      <c r="M432" s="103" t="str">
        <f t="shared" si="8"/>
        <v/>
      </c>
      <c r="N432" s="107" t="str">
        <f t="shared" si="9"/>
        <v/>
      </c>
      <c r="O432" s="103" t="str">
        <f t="shared" si="10"/>
        <v/>
      </c>
    </row>
    <row r="433" spans="1:15">
      <c r="A433" s="367">
        <f t="shared" si="11"/>
        <v>4</v>
      </c>
      <c r="B433" s="123">
        <f t="shared" si="0"/>
        <v>5</v>
      </c>
      <c r="C433" s="442" t="str">
        <f t="shared" si="1"/>
        <v/>
      </c>
      <c r="D433" s="107" t="str">
        <f t="shared" si="2"/>
        <v/>
      </c>
      <c r="E433" s="446" t="str">
        <f t="shared" si="3"/>
        <v/>
      </c>
      <c r="F433" s="447" t="str">
        <f t="shared" si="4"/>
        <v/>
      </c>
      <c r="G433" s="448" t="str">
        <f t="shared" si="12"/>
        <v/>
      </c>
      <c r="H433" s="449" t="str">
        <f t="shared" si="5"/>
        <v/>
      </c>
      <c r="I433" s="450" t="str">
        <f t="shared" si="6"/>
        <v/>
      </c>
      <c r="J433" s="448"/>
      <c r="K433" s="286"/>
      <c r="L433" s="352" t="str">
        <f t="shared" si="7"/>
        <v/>
      </c>
      <c r="M433" s="103" t="str">
        <f t="shared" si="8"/>
        <v/>
      </c>
      <c r="N433" s="107" t="str">
        <f t="shared" si="9"/>
        <v/>
      </c>
      <c r="O433" s="103" t="str">
        <f t="shared" si="10"/>
        <v/>
      </c>
    </row>
    <row r="434" spans="1:15">
      <c r="A434" s="367">
        <f t="shared" si="11"/>
        <v>5</v>
      </c>
      <c r="B434" s="123">
        <f t="shared" si="0"/>
        <v>6</v>
      </c>
      <c r="C434" s="442" t="str">
        <f t="shared" si="1"/>
        <v/>
      </c>
      <c r="D434" s="107" t="str">
        <f t="shared" si="2"/>
        <v/>
      </c>
      <c r="E434" s="352" t="str">
        <f t="shared" si="3"/>
        <v/>
      </c>
      <c r="F434" s="441" t="str">
        <f t="shared" si="4"/>
        <v/>
      </c>
      <c r="G434" s="107" t="str">
        <f t="shared" si="12"/>
        <v/>
      </c>
      <c r="H434" s="103" t="str">
        <f t="shared" si="5"/>
        <v/>
      </c>
      <c r="I434" s="155" t="str">
        <f t="shared" si="6"/>
        <v/>
      </c>
      <c r="J434" s="107"/>
      <c r="K434" s="286"/>
      <c r="L434" s="352" t="str">
        <f t="shared" si="7"/>
        <v/>
      </c>
      <c r="M434" s="103" t="str">
        <f t="shared" si="8"/>
        <v/>
      </c>
      <c r="N434" s="107" t="str">
        <f t="shared" si="9"/>
        <v/>
      </c>
      <c r="O434" s="103" t="str">
        <f t="shared" si="10"/>
        <v/>
      </c>
    </row>
    <row r="435" spans="1:15">
      <c r="A435" s="367">
        <f t="shared" si="11"/>
        <v>6</v>
      </c>
      <c r="B435" s="123">
        <f t="shared" si="0"/>
        <v>7</v>
      </c>
      <c r="C435" s="442" t="str">
        <f t="shared" si="1"/>
        <v/>
      </c>
      <c r="D435" s="107" t="str">
        <f t="shared" si="2"/>
        <v/>
      </c>
      <c r="E435" s="352" t="str">
        <f t="shared" si="3"/>
        <v/>
      </c>
      <c r="F435" s="441" t="str">
        <f t="shared" si="4"/>
        <v/>
      </c>
      <c r="G435" s="107" t="str">
        <f t="shared" si="12"/>
        <v/>
      </c>
      <c r="H435" s="103" t="str">
        <f t="shared" si="5"/>
        <v/>
      </c>
      <c r="I435" s="155" t="str">
        <f t="shared" si="6"/>
        <v/>
      </c>
      <c r="J435" s="107"/>
      <c r="K435" s="286"/>
      <c r="L435" s="352" t="str">
        <f t="shared" si="7"/>
        <v/>
      </c>
      <c r="M435" s="103" t="str">
        <f t="shared" si="8"/>
        <v/>
      </c>
      <c r="N435" s="107" t="str">
        <f t="shared" si="9"/>
        <v/>
      </c>
      <c r="O435" s="103" t="str">
        <f t="shared" si="10"/>
        <v/>
      </c>
    </row>
    <row r="436" spans="1:15">
      <c r="A436" s="367">
        <f t="shared" si="11"/>
        <v>7</v>
      </c>
      <c r="B436" s="123">
        <f t="shared" si="0"/>
        <v>8</v>
      </c>
      <c r="C436" s="442" t="str">
        <f t="shared" si="1"/>
        <v/>
      </c>
      <c r="D436" s="107" t="str">
        <f t="shared" si="2"/>
        <v/>
      </c>
      <c r="E436" s="352" t="str">
        <f t="shared" si="3"/>
        <v/>
      </c>
      <c r="F436" s="441" t="str">
        <f t="shared" si="4"/>
        <v/>
      </c>
      <c r="G436" s="107" t="str">
        <f t="shared" si="12"/>
        <v/>
      </c>
      <c r="H436" s="103" t="str">
        <f t="shared" si="5"/>
        <v/>
      </c>
      <c r="I436" s="155" t="str">
        <f t="shared" si="6"/>
        <v/>
      </c>
      <c r="J436" s="107"/>
      <c r="K436" s="286"/>
      <c r="L436" s="352" t="str">
        <f t="shared" si="7"/>
        <v/>
      </c>
      <c r="M436" s="103" t="str">
        <f t="shared" si="8"/>
        <v/>
      </c>
      <c r="N436" s="107" t="str">
        <f t="shared" si="9"/>
        <v/>
      </c>
      <c r="O436" s="103" t="str">
        <f t="shared" si="10"/>
        <v/>
      </c>
    </row>
    <row r="437" spans="1:15">
      <c r="A437" s="367">
        <f t="shared" si="11"/>
        <v>8</v>
      </c>
      <c r="B437" s="123">
        <f t="shared" si="0"/>
        <v>9</v>
      </c>
      <c r="C437" s="442" t="str">
        <f t="shared" si="1"/>
        <v/>
      </c>
      <c r="D437" s="107" t="str">
        <f t="shared" si="2"/>
        <v/>
      </c>
      <c r="E437" s="352" t="str">
        <f t="shared" si="3"/>
        <v/>
      </c>
      <c r="F437" s="441" t="str">
        <f t="shared" si="4"/>
        <v/>
      </c>
      <c r="G437" s="107" t="str">
        <f t="shared" si="12"/>
        <v/>
      </c>
      <c r="H437" s="103" t="str">
        <f t="shared" si="5"/>
        <v/>
      </c>
      <c r="I437" s="155" t="str">
        <f t="shared" si="6"/>
        <v/>
      </c>
      <c r="J437" s="107"/>
      <c r="K437" s="286"/>
      <c r="L437" s="352" t="str">
        <f t="shared" si="7"/>
        <v/>
      </c>
      <c r="M437" s="103" t="str">
        <f t="shared" si="8"/>
        <v/>
      </c>
      <c r="N437" s="107" t="str">
        <f t="shared" si="9"/>
        <v/>
      </c>
      <c r="O437" s="103" t="str">
        <f t="shared" si="10"/>
        <v/>
      </c>
    </row>
    <row r="438" spans="1:15">
      <c r="A438" s="367">
        <f t="shared" si="11"/>
        <v>9</v>
      </c>
      <c r="B438" s="123">
        <f t="shared" si="0"/>
        <v>10</v>
      </c>
      <c r="C438" s="442" t="str">
        <f t="shared" si="1"/>
        <v/>
      </c>
      <c r="D438" s="107" t="str">
        <f t="shared" si="2"/>
        <v/>
      </c>
      <c r="E438" s="352" t="str">
        <f t="shared" si="3"/>
        <v/>
      </c>
      <c r="F438" s="441" t="str">
        <f t="shared" si="4"/>
        <v/>
      </c>
      <c r="G438" s="107" t="str">
        <f t="shared" si="12"/>
        <v/>
      </c>
      <c r="H438" s="103" t="str">
        <f t="shared" si="5"/>
        <v/>
      </c>
      <c r="I438" s="155" t="str">
        <f t="shared" si="6"/>
        <v/>
      </c>
      <c r="J438" s="107"/>
      <c r="K438" s="286"/>
      <c r="L438" s="352" t="str">
        <f t="shared" si="7"/>
        <v/>
      </c>
      <c r="M438" s="103" t="str">
        <f t="shared" si="8"/>
        <v/>
      </c>
      <c r="N438" s="107" t="str">
        <f t="shared" si="9"/>
        <v/>
      </c>
      <c r="O438" s="103" t="str">
        <f t="shared" si="10"/>
        <v/>
      </c>
    </row>
    <row r="439" spans="1:15">
      <c r="A439" s="367">
        <f t="shared" si="11"/>
        <v>10</v>
      </c>
      <c r="B439" s="123">
        <f t="shared" si="0"/>
        <v>11</v>
      </c>
      <c r="C439" s="442" t="str">
        <f t="shared" si="1"/>
        <v/>
      </c>
      <c r="D439" s="107" t="str">
        <f t="shared" si="2"/>
        <v/>
      </c>
      <c r="E439" s="352" t="str">
        <f t="shared" si="3"/>
        <v/>
      </c>
      <c r="F439" s="441" t="str">
        <f t="shared" si="4"/>
        <v/>
      </c>
      <c r="G439" s="107" t="str">
        <f t="shared" si="12"/>
        <v/>
      </c>
      <c r="H439" s="103" t="str">
        <f t="shared" si="5"/>
        <v/>
      </c>
      <c r="I439" s="155" t="str">
        <f t="shared" si="6"/>
        <v/>
      </c>
      <c r="J439" s="107"/>
      <c r="K439" s="286"/>
      <c r="L439" s="352" t="str">
        <f t="shared" si="7"/>
        <v/>
      </c>
      <c r="M439" s="103" t="str">
        <f t="shared" si="8"/>
        <v/>
      </c>
      <c r="N439" s="107" t="str">
        <f t="shared" si="9"/>
        <v/>
      </c>
      <c r="O439" s="103" t="str">
        <f t="shared" si="10"/>
        <v/>
      </c>
    </row>
    <row r="440" spans="1:15">
      <c r="A440" s="367">
        <f t="shared" si="11"/>
        <v>11</v>
      </c>
      <c r="B440" s="123">
        <f t="shared" si="0"/>
        <v>12</v>
      </c>
      <c r="C440" s="442" t="str">
        <f t="shared" si="1"/>
        <v/>
      </c>
      <c r="D440" s="107" t="str">
        <f t="shared" si="2"/>
        <v/>
      </c>
      <c r="E440" s="352" t="str">
        <f t="shared" si="3"/>
        <v/>
      </c>
      <c r="F440" s="441" t="str">
        <f t="shared" si="4"/>
        <v/>
      </c>
      <c r="G440" s="107" t="str">
        <f t="shared" si="12"/>
        <v/>
      </c>
      <c r="H440" s="103" t="str">
        <f t="shared" si="5"/>
        <v/>
      </c>
      <c r="I440" s="155" t="str">
        <f t="shared" si="6"/>
        <v/>
      </c>
      <c r="J440" s="107"/>
      <c r="K440" s="286"/>
      <c r="L440" s="352" t="str">
        <f t="shared" si="7"/>
        <v/>
      </c>
      <c r="M440" s="103" t="str">
        <f t="shared" si="8"/>
        <v/>
      </c>
      <c r="N440" s="107" t="str">
        <f t="shared" si="9"/>
        <v/>
      </c>
      <c r="O440" s="103" t="str">
        <f t="shared" si="10"/>
        <v/>
      </c>
    </row>
    <row r="441" spans="1:15">
      <c r="A441" s="367">
        <f t="shared" si="11"/>
        <v>12</v>
      </c>
      <c r="B441" s="123">
        <f t="shared" si="0"/>
        <v>13</v>
      </c>
      <c r="C441" s="442" t="str">
        <f t="shared" si="1"/>
        <v/>
      </c>
      <c r="D441" s="107" t="str">
        <f t="shared" si="2"/>
        <v/>
      </c>
      <c r="E441" s="352" t="str">
        <f t="shared" si="3"/>
        <v/>
      </c>
      <c r="F441" s="441" t="str">
        <f t="shared" si="4"/>
        <v/>
      </c>
      <c r="G441" s="107" t="str">
        <f t="shared" si="12"/>
        <v/>
      </c>
      <c r="H441" s="103" t="str">
        <f t="shared" si="5"/>
        <v/>
      </c>
      <c r="I441" s="155" t="str">
        <f t="shared" si="6"/>
        <v/>
      </c>
      <c r="J441" s="107"/>
      <c r="K441" s="286"/>
      <c r="L441" s="352" t="str">
        <f t="shared" si="7"/>
        <v/>
      </c>
      <c r="M441" s="103" t="str">
        <f t="shared" si="8"/>
        <v/>
      </c>
      <c r="N441" s="107" t="str">
        <f t="shared" si="9"/>
        <v/>
      </c>
      <c r="O441" s="103" t="str">
        <f t="shared" si="10"/>
        <v/>
      </c>
    </row>
    <row r="442" spans="1:15">
      <c r="A442" s="367">
        <f t="shared" si="11"/>
        <v>13</v>
      </c>
      <c r="B442" s="123">
        <f t="shared" si="0"/>
        <v>14</v>
      </c>
      <c r="C442" s="442" t="str">
        <f t="shared" si="1"/>
        <v/>
      </c>
      <c r="D442" s="107" t="str">
        <f t="shared" si="2"/>
        <v/>
      </c>
      <c r="E442" s="352" t="str">
        <f t="shared" si="3"/>
        <v/>
      </c>
      <c r="F442" s="441" t="str">
        <f t="shared" si="4"/>
        <v/>
      </c>
      <c r="G442" s="107" t="str">
        <f t="shared" si="12"/>
        <v/>
      </c>
      <c r="H442" s="103" t="str">
        <f t="shared" si="5"/>
        <v/>
      </c>
      <c r="I442" s="155" t="str">
        <f t="shared" si="6"/>
        <v/>
      </c>
      <c r="J442" s="107"/>
      <c r="K442" s="286"/>
      <c r="L442" s="352" t="str">
        <f t="shared" si="7"/>
        <v/>
      </c>
      <c r="M442" s="103" t="str">
        <f t="shared" si="8"/>
        <v/>
      </c>
      <c r="N442" s="107" t="str">
        <f t="shared" si="9"/>
        <v/>
      </c>
      <c r="O442" s="103" t="str">
        <f t="shared" si="10"/>
        <v/>
      </c>
    </row>
    <row r="443" spans="1:15">
      <c r="A443" s="367">
        <f t="shared" si="11"/>
        <v>14</v>
      </c>
      <c r="B443" s="123">
        <f t="shared" si="0"/>
        <v>15</v>
      </c>
      <c r="C443" s="442" t="str">
        <f t="shared" si="1"/>
        <v/>
      </c>
      <c r="D443" s="107" t="str">
        <f t="shared" si="2"/>
        <v/>
      </c>
      <c r="E443" s="352" t="str">
        <f t="shared" si="3"/>
        <v/>
      </c>
      <c r="F443" s="441" t="str">
        <f t="shared" si="4"/>
        <v/>
      </c>
      <c r="G443" s="107" t="str">
        <f t="shared" si="12"/>
        <v/>
      </c>
      <c r="H443" s="103" t="str">
        <f t="shared" si="5"/>
        <v/>
      </c>
      <c r="I443" s="155" t="str">
        <f t="shared" si="6"/>
        <v/>
      </c>
      <c r="J443" s="107"/>
      <c r="K443" s="286"/>
      <c r="L443" s="352" t="str">
        <f t="shared" si="7"/>
        <v/>
      </c>
      <c r="M443" s="103" t="str">
        <f t="shared" si="8"/>
        <v/>
      </c>
      <c r="N443" s="107" t="str">
        <f t="shared" si="9"/>
        <v/>
      </c>
      <c r="O443" s="103" t="str">
        <f t="shared" si="10"/>
        <v/>
      </c>
    </row>
    <row r="444" spans="1:15">
      <c r="A444" s="367">
        <f t="shared" si="11"/>
        <v>15</v>
      </c>
      <c r="B444" s="123">
        <f t="shared" si="0"/>
        <v>16</v>
      </c>
      <c r="C444" s="442" t="str">
        <f t="shared" si="1"/>
        <v/>
      </c>
      <c r="D444" s="107" t="str">
        <f t="shared" si="2"/>
        <v/>
      </c>
      <c r="E444" s="352" t="str">
        <f t="shared" si="3"/>
        <v/>
      </c>
      <c r="F444" s="441" t="str">
        <f t="shared" si="4"/>
        <v/>
      </c>
      <c r="G444" s="107" t="str">
        <f t="shared" si="12"/>
        <v/>
      </c>
      <c r="H444" s="103" t="str">
        <f t="shared" si="5"/>
        <v/>
      </c>
      <c r="I444" s="155" t="str">
        <f t="shared" si="6"/>
        <v/>
      </c>
      <c r="J444" s="107"/>
      <c r="K444" s="286"/>
      <c r="L444" s="352" t="str">
        <f t="shared" si="7"/>
        <v/>
      </c>
      <c r="M444" s="103" t="str">
        <f t="shared" si="8"/>
        <v/>
      </c>
      <c r="N444" s="107" t="str">
        <f t="shared" si="9"/>
        <v/>
      </c>
      <c r="O444" s="103" t="str">
        <f t="shared" si="10"/>
        <v/>
      </c>
    </row>
    <row r="445" spans="1:15">
      <c r="A445" s="367">
        <f t="shared" si="11"/>
        <v>16</v>
      </c>
      <c r="B445" s="123">
        <f t="shared" si="0"/>
        <v>17</v>
      </c>
      <c r="C445" s="442" t="str">
        <f t="shared" si="1"/>
        <v/>
      </c>
      <c r="D445" s="107" t="str">
        <f t="shared" si="2"/>
        <v/>
      </c>
      <c r="E445" s="352" t="str">
        <f t="shared" si="3"/>
        <v/>
      </c>
      <c r="F445" s="441" t="str">
        <f t="shared" si="4"/>
        <v/>
      </c>
      <c r="G445" s="107" t="str">
        <f t="shared" si="12"/>
        <v/>
      </c>
      <c r="H445" s="103" t="str">
        <f t="shared" si="5"/>
        <v/>
      </c>
      <c r="I445" s="155" t="str">
        <f t="shared" si="6"/>
        <v/>
      </c>
      <c r="J445" s="107"/>
      <c r="K445" s="286"/>
      <c r="L445" s="352" t="str">
        <f t="shared" si="7"/>
        <v/>
      </c>
      <c r="M445" s="103" t="str">
        <f t="shared" si="8"/>
        <v/>
      </c>
      <c r="N445" s="107" t="str">
        <f t="shared" si="9"/>
        <v/>
      </c>
      <c r="O445" s="103" t="str">
        <f t="shared" si="10"/>
        <v/>
      </c>
    </row>
    <row r="446" spans="1:15">
      <c r="A446" s="367">
        <f t="shared" si="11"/>
        <v>17</v>
      </c>
      <c r="B446" s="123">
        <f t="shared" si="0"/>
        <v>18</v>
      </c>
      <c r="C446" s="442" t="str">
        <f t="shared" si="1"/>
        <v/>
      </c>
      <c r="D446" s="107" t="str">
        <f t="shared" si="2"/>
        <v/>
      </c>
      <c r="E446" s="352" t="str">
        <f t="shared" si="3"/>
        <v/>
      </c>
      <c r="F446" s="441" t="str">
        <f t="shared" si="4"/>
        <v/>
      </c>
      <c r="G446" s="107" t="str">
        <f t="shared" si="12"/>
        <v/>
      </c>
      <c r="H446" s="103" t="str">
        <f t="shared" si="5"/>
        <v/>
      </c>
      <c r="I446" s="155" t="str">
        <f t="shared" si="6"/>
        <v/>
      </c>
      <c r="J446" s="107"/>
      <c r="K446" s="286"/>
      <c r="L446" s="352" t="str">
        <f t="shared" si="7"/>
        <v/>
      </c>
      <c r="M446" s="103" t="str">
        <f t="shared" si="8"/>
        <v/>
      </c>
      <c r="N446" s="107" t="str">
        <f t="shared" si="9"/>
        <v/>
      </c>
      <c r="O446" s="103" t="str">
        <f t="shared" si="10"/>
        <v/>
      </c>
    </row>
    <row r="447" spans="1:15">
      <c r="A447" s="367">
        <f t="shared" si="11"/>
        <v>18</v>
      </c>
      <c r="B447" s="123">
        <f t="shared" si="0"/>
        <v>19</v>
      </c>
      <c r="C447" s="442" t="str">
        <f t="shared" si="1"/>
        <v/>
      </c>
      <c r="D447" s="107" t="str">
        <f t="shared" si="2"/>
        <v/>
      </c>
      <c r="E447" s="352" t="str">
        <f t="shared" si="3"/>
        <v/>
      </c>
      <c r="F447" s="441" t="str">
        <f t="shared" si="4"/>
        <v/>
      </c>
      <c r="G447" s="107" t="str">
        <f t="shared" si="12"/>
        <v/>
      </c>
      <c r="H447" s="103" t="str">
        <f t="shared" si="5"/>
        <v/>
      </c>
      <c r="I447" s="155" t="str">
        <f t="shared" si="6"/>
        <v/>
      </c>
      <c r="J447" s="107"/>
      <c r="K447" s="286"/>
      <c r="L447" s="352" t="str">
        <f t="shared" si="7"/>
        <v/>
      </c>
      <c r="M447" s="103" t="str">
        <f t="shared" si="8"/>
        <v/>
      </c>
      <c r="N447" s="107" t="str">
        <f t="shared" si="9"/>
        <v/>
      </c>
      <c r="O447" s="103" t="str">
        <f t="shared" si="10"/>
        <v/>
      </c>
    </row>
    <row r="448" spans="1:15">
      <c r="A448" s="367">
        <f t="shared" si="11"/>
        <v>19</v>
      </c>
      <c r="B448" s="123">
        <f t="shared" si="0"/>
        <v>20</v>
      </c>
      <c r="C448" s="442" t="str">
        <f t="shared" si="1"/>
        <v/>
      </c>
      <c r="D448" s="107" t="str">
        <f t="shared" si="2"/>
        <v/>
      </c>
      <c r="E448" s="352" t="str">
        <f t="shared" si="3"/>
        <v/>
      </c>
      <c r="F448" s="441" t="str">
        <f t="shared" si="4"/>
        <v/>
      </c>
      <c r="G448" s="107" t="str">
        <f t="shared" si="12"/>
        <v/>
      </c>
      <c r="H448" s="103" t="str">
        <f t="shared" si="5"/>
        <v/>
      </c>
      <c r="I448" s="155" t="str">
        <f t="shared" si="6"/>
        <v/>
      </c>
      <c r="J448" s="107"/>
      <c r="K448" s="286"/>
      <c r="L448" s="352" t="str">
        <f t="shared" si="7"/>
        <v/>
      </c>
      <c r="M448" s="103" t="str">
        <f t="shared" si="8"/>
        <v/>
      </c>
      <c r="N448" s="107" t="str">
        <f t="shared" si="9"/>
        <v/>
      </c>
      <c r="O448" s="103" t="str">
        <f t="shared" si="10"/>
        <v/>
      </c>
    </row>
    <row r="449" spans="1:15">
      <c r="A449" s="367">
        <f t="shared" si="11"/>
        <v>20</v>
      </c>
      <c r="B449" s="123">
        <f t="shared" si="0"/>
        <v>21</v>
      </c>
      <c r="C449" s="442" t="str">
        <f t="shared" si="1"/>
        <v/>
      </c>
      <c r="D449" s="107" t="str">
        <f t="shared" si="2"/>
        <v/>
      </c>
      <c r="E449" s="352" t="str">
        <f t="shared" si="3"/>
        <v/>
      </c>
      <c r="F449" s="441" t="str">
        <f t="shared" si="4"/>
        <v/>
      </c>
      <c r="G449" s="107" t="str">
        <f t="shared" si="12"/>
        <v/>
      </c>
      <c r="H449" s="103" t="str">
        <f t="shared" si="5"/>
        <v/>
      </c>
      <c r="I449" s="155" t="str">
        <f t="shared" si="6"/>
        <v/>
      </c>
      <c r="J449" s="107"/>
      <c r="K449" s="286"/>
      <c r="L449" s="352" t="str">
        <f t="shared" si="7"/>
        <v/>
      </c>
      <c r="M449" s="103" t="str">
        <f t="shared" si="8"/>
        <v/>
      </c>
      <c r="N449" s="107" t="str">
        <f t="shared" si="9"/>
        <v/>
      </c>
      <c r="O449" s="103" t="str">
        <f t="shared" si="10"/>
        <v/>
      </c>
    </row>
    <row r="450" spans="1:15">
      <c r="A450" s="156">
        <f t="shared" si="11"/>
        <v>21</v>
      </c>
      <c r="B450" s="104">
        <f t="shared" si="0"/>
        <v>22</v>
      </c>
      <c r="C450" s="60"/>
      <c r="D450" s="59"/>
      <c r="E450" s="831"/>
      <c r="F450" s="830"/>
      <c r="G450" s="121" t="str">
        <f t="shared" si="12"/>
        <v/>
      </c>
      <c r="H450" s="830"/>
      <c r="I450" s="60"/>
      <c r="J450" s="16"/>
      <c r="K450" s="286"/>
      <c r="L450" s="353" t="str">
        <f t="shared" si="7"/>
        <v/>
      </c>
      <c r="M450" s="138" t="str">
        <f t="shared" si="8"/>
        <v/>
      </c>
      <c r="N450" s="121" t="str">
        <f t="shared" si="9"/>
        <v/>
      </c>
      <c r="O450" s="138" t="str">
        <f t="shared" si="10"/>
        <v/>
      </c>
    </row>
    <row r="451" spans="1:15">
      <c r="K451" s="286"/>
      <c r="L451" s="455">
        <f>MAX(L430:L450)</f>
        <v>40.583276650674541</v>
      </c>
      <c r="M451" s="457">
        <f t="shared" ref="M451:O451" si="13">MAX(M430:M450)</f>
        <v>0</v>
      </c>
      <c r="N451" s="456">
        <f t="shared" si="13"/>
        <v>0</v>
      </c>
      <c r="O451" s="457">
        <f t="shared" si="13"/>
        <v>60.642398378135134</v>
      </c>
    </row>
    <row r="452" spans="1:15">
      <c r="K452" s="286"/>
    </row>
    <row r="453" spans="1:15">
      <c r="A453" t="s">
        <v>760</v>
      </c>
      <c r="D453" s="33">
        <f>MAX(L451,N451)</f>
        <v>40.583276650674541</v>
      </c>
      <c r="E453" t="s">
        <v>620</v>
      </c>
      <c r="F453" t="s">
        <v>357</v>
      </c>
      <c r="I453">
        <f>I72</f>
        <v>1200</v>
      </c>
      <c r="J453" s="187" t="s">
        <v>98</v>
      </c>
      <c r="K453" s="286"/>
    </row>
    <row r="454" spans="1:15">
      <c r="A454" t="s">
        <v>761</v>
      </c>
      <c r="D454" s="33">
        <f>MAX(M451,O451)</f>
        <v>60.642398378135134</v>
      </c>
      <c r="E454" t="s">
        <v>620</v>
      </c>
      <c r="F454" s="187" t="str">
        <f>"Depth,  d = "&amp;I453&amp;" - "&amp;I16&amp;" - "&amp;D485&amp;" / 2 ="</f>
        <v>Depth,  d = 1200 - 60 - 20 / 2 =</v>
      </c>
      <c r="I454">
        <f>I453-I16-D485/2</f>
        <v>1130</v>
      </c>
      <c r="J454" t="s">
        <v>98</v>
      </c>
      <c r="K454" s="286"/>
    </row>
    <row r="455" spans="1:15">
      <c r="A455" t="s">
        <v>762</v>
      </c>
      <c r="D455" s="33">
        <f>MAX(MAX(D430:D449),MAX(E430:E449))</f>
        <v>172.78214285714287</v>
      </c>
      <c r="E455" t="s">
        <v>341</v>
      </c>
      <c r="F455" s="187" t="s">
        <v>2137</v>
      </c>
      <c r="I455">
        <f>I454-I18</f>
        <v>1130</v>
      </c>
      <c r="J455" t="s">
        <v>98</v>
      </c>
      <c r="K455" s="286"/>
    </row>
    <row r="456" spans="1:15">
      <c r="J456" s="46"/>
      <c r="K456" s="286"/>
    </row>
    <row r="457" spans="1:15">
      <c r="A457" s="187" t="s">
        <v>541</v>
      </c>
      <c r="D457" s="187"/>
      <c r="G457" s="9">
        <f>(D455*10^3)/(C27*1000)</f>
        <v>404.80523769890419</v>
      </c>
      <c r="H457" t="s">
        <v>98</v>
      </c>
      <c r="I457" s="126" t="str">
        <f>IF(I454&gt;=G457,"ok","Not ok")</f>
        <v>ok</v>
      </c>
      <c r="J457" s="46"/>
      <c r="K457" s="286"/>
    </row>
    <row r="458" spans="1:15">
      <c r="A458" s="187" t="s">
        <v>579</v>
      </c>
      <c r="D458" s="187"/>
      <c r="G458" s="9">
        <f>((MAX(D453:D454)*10^6)/(C26*1000))^0.5</f>
        <v>205.91859155417711</v>
      </c>
      <c r="H458" t="s">
        <v>98</v>
      </c>
      <c r="I458" s="207" t="str">
        <f>IF(I454&gt;=G458,"ok","Not ok")</f>
        <v>ok</v>
      </c>
      <c r="J458" s="109"/>
      <c r="K458" s="286"/>
    </row>
    <row r="459" spans="1:15">
      <c r="A459" s="187" t="s">
        <v>763</v>
      </c>
      <c r="D459" s="2"/>
      <c r="G459" s="9">
        <f>(D454*10^6)/(C21*C25*I454)</f>
        <v>322.92549791525596</v>
      </c>
      <c r="H459" t="s">
        <v>104</v>
      </c>
      <c r="J459" s="46"/>
      <c r="K459" s="286"/>
    </row>
    <row r="460" spans="1:15">
      <c r="A460" s="187" t="s">
        <v>764</v>
      </c>
      <c r="D460" s="2"/>
      <c r="G460" s="9">
        <f>(D453*10^6)/(C21*C25*I455)</f>
        <v>216.10911128107452</v>
      </c>
      <c r="H460" t="s">
        <v>104</v>
      </c>
      <c r="K460" s="286"/>
    </row>
    <row r="461" spans="1:15">
      <c r="K461" s="286"/>
    </row>
    <row r="462" spans="1:15" ht="14.25">
      <c r="B462" s="243" t="s">
        <v>545</v>
      </c>
      <c r="C462" s="241" t="s">
        <v>440</v>
      </c>
      <c r="D462" s="16"/>
      <c r="E462" s="241" t="s">
        <v>441</v>
      </c>
      <c r="F462" s="16">
        <f>IF(C35&lt;=9,G40,G45)</f>
        <v>1.5E-3</v>
      </c>
      <c r="G462" s="241" t="s">
        <v>438</v>
      </c>
      <c r="K462" s="286"/>
    </row>
    <row r="463" spans="1:15" ht="14.25">
      <c r="B463" s="16"/>
      <c r="C463" s="16"/>
      <c r="D463" s="16"/>
      <c r="E463" s="241" t="s">
        <v>442</v>
      </c>
      <c r="F463" s="16">
        <f>IF(E75&lt;=9,G40,G45)</f>
        <v>2E-3</v>
      </c>
      <c r="G463" s="241" t="s">
        <v>438</v>
      </c>
      <c r="K463" s="286"/>
    </row>
    <row r="464" spans="1:15">
      <c r="B464" s="16"/>
      <c r="C464" s="16"/>
      <c r="D464" s="16"/>
      <c r="E464" s="16"/>
      <c r="F464" s="16"/>
      <c r="G464" s="241"/>
      <c r="K464" s="286"/>
    </row>
    <row r="465" spans="1:16" ht="14.25">
      <c r="B465" s="16"/>
      <c r="C465" s="241" t="s">
        <v>443</v>
      </c>
      <c r="D465" s="16"/>
      <c r="E465" s="241" t="s">
        <v>441</v>
      </c>
      <c r="F465" s="16">
        <f>IF(C35&lt;=9,G38,G43)</f>
        <v>1E-3</v>
      </c>
      <c r="G465" s="241" t="s">
        <v>438</v>
      </c>
      <c r="K465" s="286"/>
    </row>
    <row r="466" spans="1:16" ht="14.25">
      <c r="B466" s="16"/>
      <c r="C466" s="16"/>
      <c r="D466" s="16"/>
      <c r="E466" s="241" t="s">
        <v>442</v>
      </c>
      <c r="F466" s="16">
        <f>IF(E75&lt;=9,G38,G43)</f>
        <v>1.5E-3</v>
      </c>
      <c r="G466" s="241" t="s">
        <v>438</v>
      </c>
      <c r="K466" s="286"/>
    </row>
    <row r="467" spans="1:16">
      <c r="K467" s="286"/>
    </row>
    <row r="468" spans="1:16">
      <c r="A468" s="255" t="s">
        <v>2065</v>
      </c>
      <c r="G468" s="107"/>
      <c r="H468" s="107"/>
      <c r="K468" s="286"/>
    </row>
    <row r="469" spans="1:16">
      <c r="K469" s="286"/>
    </row>
    <row r="470" spans="1:16">
      <c r="A470" s="3147" t="s">
        <v>486</v>
      </c>
      <c r="B470" s="3148" t="s">
        <v>487</v>
      </c>
      <c r="C470" s="3148" t="s">
        <v>488</v>
      </c>
      <c r="D470" s="3148" t="s">
        <v>489</v>
      </c>
      <c r="E470" s="3149" t="s">
        <v>490</v>
      </c>
      <c r="F470" s="3150"/>
      <c r="G470" s="3150"/>
      <c r="H470" s="3150"/>
      <c r="I470" s="3150"/>
      <c r="J470" s="496"/>
      <c r="K470" s="286"/>
    </row>
    <row r="471" spans="1:16">
      <c r="A471" s="3147"/>
      <c r="B471" s="3148"/>
      <c r="C471" s="3148"/>
      <c r="D471" s="3148"/>
      <c r="E471" s="94">
        <v>12</v>
      </c>
      <c r="F471" s="94">
        <v>16</v>
      </c>
      <c r="G471" s="94">
        <v>20</v>
      </c>
      <c r="H471" s="94">
        <v>22</v>
      </c>
      <c r="I471" s="94">
        <v>25</v>
      </c>
      <c r="J471" s="75"/>
      <c r="K471" s="286"/>
    </row>
    <row r="472" spans="1:16" ht="14.25">
      <c r="A472" s="172"/>
      <c r="B472" s="256" t="s">
        <v>491</v>
      </c>
      <c r="C472" s="256" t="s">
        <v>491</v>
      </c>
      <c r="D472" s="256" t="s">
        <v>491</v>
      </c>
      <c r="E472" s="828" t="s">
        <v>98</v>
      </c>
      <c r="F472" s="828" t="s">
        <v>98</v>
      </c>
      <c r="G472" s="828" t="s">
        <v>98</v>
      </c>
      <c r="H472" s="828" t="s">
        <v>98</v>
      </c>
      <c r="I472" s="828" t="s">
        <v>98</v>
      </c>
      <c r="J472" s="759"/>
      <c r="K472" s="286"/>
    </row>
    <row r="473" spans="1:16">
      <c r="A473" s="258" t="s">
        <v>440</v>
      </c>
      <c r="B473" s="55"/>
      <c r="C473" s="55"/>
      <c r="D473" s="55"/>
      <c r="E473" s="55"/>
      <c r="F473" s="55"/>
      <c r="G473" s="55"/>
      <c r="H473" s="55"/>
      <c r="I473" s="56"/>
      <c r="J473" s="386"/>
      <c r="K473" s="286"/>
    </row>
    <row r="474" spans="1:16">
      <c r="A474" s="259" t="s">
        <v>441</v>
      </c>
      <c r="B474" s="318">
        <f>G459</f>
        <v>322.92549791525596</v>
      </c>
      <c r="C474" s="318">
        <f>IF(I453&gt;380,F462*1000*380,F462*1000*I453)</f>
        <v>570</v>
      </c>
      <c r="D474" s="318">
        <f>MAX(B474:C474)</f>
        <v>570</v>
      </c>
      <c r="E474" s="261">
        <f>PI()*(E471/2)^2*1000/$D474</f>
        <v>198.41637812146064</v>
      </c>
      <c r="F474" s="261">
        <f>PI()*(F471/2)^2*1000/$D474</f>
        <v>352.74022777148554</v>
      </c>
      <c r="G474" s="261">
        <f>PI()*(G471/2)^2*1000/$D474</f>
        <v>551.15660589294623</v>
      </c>
      <c r="H474" s="261">
        <f>PI()*(H471/2)^2*1000/$D474</f>
        <v>666.89949313046486</v>
      </c>
      <c r="I474" s="283">
        <f>PI()*(I471/2)^2*1000/$D474</f>
        <v>861.18219670772839</v>
      </c>
      <c r="J474" s="328"/>
      <c r="K474" s="286"/>
    </row>
    <row r="475" spans="1:16">
      <c r="A475" s="262" t="s">
        <v>442</v>
      </c>
      <c r="B475" s="319"/>
      <c r="C475" s="318">
        <f>IF(I453&gt;380,F463*1000*380,F463*1000*I453)</f>
        <v>760</v>
      </c>
      <c r="D475" s="319">
        <f>MAX(B475:C475)</f>
        <v>760</v>
      </c>
      <c r="E475" s="261">
        <f>PI()*(E471/2)^2*1000/$D475</f>
        <v>148.81228359109548</v>
      </c>
      <c r="F475" s="261">
        <f>PI()*(F471/2)^2*1000/$D475</f>
        <v>264.55517082861417</v>
      </c>
      <c r="G475" s="261">
        <f>PI()*(G471/2)^2*1000/$D475</f>
        <v>413.36745441970965</v>
      </c>
      <c r="H475" s="261">
        <f>PI()*(H471/2)^2*1000/$D475</f>
        <v>500.17461984784865</v>
      </c>
      <c r="I475" s="283">
        <f>PI()*(I471/2)^2*1000/$D475</f>
        <v>645.88664753079627</v>
      </c>
      <c r="J475" s="328"/>
      <c r="K475" s="286"/>
    </row>
    <row r="476" spans="1:16">
      <c r="A476" s="264" t="s">
        <v>443</v>
      </c>
      <c r="B476" s="265"/>
      <c r="C476" s="322"/>
      <c r="D476" s="322"/>
      <c r="E476" s="266"/>
      <c r="F476" s="266"/>
      <c r="G476" s="266"/>
      <c r="H476" s="266"/>
      <c r="I476" s="267"/>
      <c r="J476" s="330"/>
      <c r="K476" s="286"/>
    </row>
    <row r="477" spans="1:16">
      <c r="A477" s="259" t="s">
        <v>441</v>
      </c>
      <c r="B477" s="318">
        <f>G460</f>
        <v>216.10911128107452</v>
      </c>
      <c r="C477" s="318">
        <f>IF(I453&gt;380,F465*1000*380,F465*1000*I453)</f>
        <v>380</v>
      </c>
      <c r="D477" s="318">
        <f>MAX(B477:C477)</f>
        <v>380</v>
      </c>
      <c r="E477" s="261">
        <f>PI()*(E471/2)^2*1000/$D477</f>
        <v>297.62456718219096</v>
      </c>
      <c r="F477" s="261">
        <f>PI()*(F471/2)^2*1000/$D477</f>
        <v>529.11034165722833</v>
      </c>
      <c r="G477" s="261">
        <f>PI()*(G471/2)^2*1000/$D477</f>
        <v>826.73490883941929</v>
      </c>
      <c r="H477" s="261">
        <f>PI()*(H471/2)^2*1000/$D477</f>
        <v>1000.3492396956973</v>
      </c>
      <c r="I477" s="283">
        <f>PI()*(I471/2)^2*1000/$D477</f>
        <v>1291.7732950615925</v>
      </c>
      <c r="J477" s="328"/>
      <c r="K477" s="286"/>
    </row>
    <row r="478" spans="1:16">
      <c r="A478" s="262" t="s">
        <v>442</v>
      </c>
      <c r="B478" s="263"/>
      <c r="C478" s="319">
        <f>IF(I453&gt;380,F466*1000*380,F466*1000*I453)</f>
        <v>570</v>
      </c>
      <c r="D478" s="319">
        <f>MAX(B478:C478)</f>
        <v>570</v>
      </c>
      <c r="E478" s="284">
        <f>PI()*(E471/2)^2*1000/$D478</f>
        <v>198.41637812146064</v>
      </c>
      <c r="F478" s="284">
        <f>PI()*(F471/2)^2*1000/$D478</f>
        <v>352.74022777148554</v>
      </c>
      <c r="G478" s="284">
        <f>PI()*(G471/2)^2*1000/$D478</f>
        <v>551.15660589294623</v>
      </c>
      <c r="H478" s="284">
        <f>PI()*(H471/2)^2*1000/$D478</f>
        <v>666.89949313046486</v>
      </c>
      <c r="I478" s="285">
        <f>PI()*(I471/2)^2*1000/$D478</f>
        <v>861.18219670772839</v>
      </c>
      <c r="J478" s="328"/>
      <c r="K478" s="286"/>
      <c r="L478" s="3173" t="s">
        <v>1140</v>
      </c>
      <c r="M478" s="3174"/>
      <c r="N478" s="3174"/>
      <c r="O478" s="3174"/>
      <c r="P478" s="3175"/>
    </row>
    <row r="479" spans="1:16">
      <c r="K479" s="286"/>
      <c r="L479" s="3169" t="s">
        <v>486</v>
      </c>
      <c r="M479" s="3171" t="s">
        <v>442</v>
      </c>
      <c r="N479" s="3176"/>
      <c r="O479" s="3176"/>
      <c r="P479" s="3172"/>
    </row>
    <row r="480" spans="1:16">
      <c r="K480" s="286"/>
      <c r="L480" s="3170"/>
      <c r="M480" s="3171" t="s">
        <v>440</v>
      </c>
      <c r="N480" s="3172"/>
      <c r="O480" s="3171" t="s">
        <v>443</v>
      </c>
      <c r="P480" s="3172"/>
    </row>
    <row r="481" spans="1:16">
      <c r="B481" s="258" t="s">
        <v>440</v>
      </c>
      <c r="C481" s="55"/>
      <c r="D481" s="252"/>
      <c r="E481" s="55"/>
      <c r="F481" s="55"/>
      <c r="G481" s="56"/>
      <c r="K481" s="286"/>
      <c r="L481" s="3170"/>
      <c r="M481" s="926" t="s">
        <v>709</v>
      </c>
      <c r="N481" s="902" t="s">
        <v>710</v>
      </c>
      <c r="O481" s="902" t="s">
        <v>709</v>
      </c>
      <c r="P481" s="928" t="s">
        <v>710</v>
      </c>
    </row>
    <row r="482" spans="1:16" ht="15.75">
      <c r="B482" s="259" t="s">
        <v>441</v>
      </c>
      <c r="C482" s="268" t="s">
        <v>136</v>
      </c>
      <c r="D482" s="269">
        <v>16</v>
      </c>
      <c r="E482" s="833" t="s">
        <v>481</v>
      </c>
      <c r="F482" s="271">
        <v>200</v>
      </c>
      <c r="G482" s="272" t="s">
        <v>482</v>
      </c>
      <c r="K482" s="286"/>
      <c r="L482" s="897" t="s">
        <v>2026</v>
      </c>
      <c r="M482" s="898">
        <f>Barrel!D245</f>
        <v>16</v>
      </c>
      <c r="N482" s="2586">
        <f>Barrel!F245</f>
        <v>200</v>
      </c>
      <c r="O482" s="898">
        <f>Barrel!D248</f>
        <v>16</v>
      </c>
      <c r="P482" s="2585">
        <f>Barrel!F248</f>
        <v>250</v>
      </c>
    </row>
    <row r="483" spans="1:16" ht="15.75">
      <c r="B483" s="262" t="s">
        <v>442</v>
      </c>
      <c r="C483" s="278" t="s">
        <v>136</v>
      </c>
      <c r="D483" s="279">
        <v>16</v>
      </c>
      <c r="E483" s="280" t="s">
        <v>481</v>
      </c>
      <c r="F483" s="281">
        <v>200</v>
      </c>
      <c r="G483" s="282" t="s">
        <v>482</v>
      </c>
      <c r="K483" s="286"/>
      <c r="L483" s="895" t="s">
        <v>2040</v>
      </c>
      <c r="M483" s="899">
        <f>'CS gate'!D482</f>
        <v>16</v>
      </c>
      <c r="N483" s="887">
        <f>'CS gate'!F482</f>
        <v>200</v>
      </c>
      <c r="O483" s="899">
        <f>'CS gate'!D485</f>
        <v>16</v>
      </c>
      <c r="P483" s="886">
        <f>'CS gate'!F485</f>
        <v>250</v>
      </c>
    </row>
    <row r="484" spans="1:16" ht="15">
      <c r="B484" s="264" t="s">
        <v>443</v>
      </c>
      <c r="C484" s="273"/>
      <c r="D484" s="274"/>
      <c r="E484" s="275"/>
      <c r="F484" s="276"/>
      <c r="G484" s="277"/>
      <c r="K484" s="286"/>
      <c r="L484" s="2031" t="s">
        <v>2041</v>
      </c>
      <c r="M484" s="2032">
        <f>D483</f>
        <v>16</v>
      </c>
      <c r="N484" s="2575">
        <f>F483</f>
        <v>200</v>
      </c>
      <c r="O484" s="2032">
        <f>D486</f>
        <v>16</v>
      </c>
      <c r="P484" s="2576">
        <f>F486</f>
        <v>250</v>
      </c>
    </row>
    <row r="485" spans="1:16" ht="15.75">
      <c r="B485" s="259" t="s">
        <v>441</v>
      </c>
      <c r="C485" s="268" t="s">
        <v>136</v>
      </c>
      <c r="D485" s="3047">
        <f>D244</f>
        <v>20</v>
      </c>
      <c r="E485" s="833" t="s">
        <v>481</v>
      </c>
      <c r="F485" s="941">
        <f>F244</f>
        <v>200</v>
      </c>
      <c r="G485" s="272" t="s">
        <v>482</v>
      </c>
      <c r="K485" s="286"/>
    </row>
    <row r="486" spans="1:16" ht="15.75">
      <c r="B486" s="262" t="s">
        <v>442</v>
      </c>
      <c r="C486" s="278" t="s">
        <v>136</v>
      </c>
      <c r="D486" s="279">
        <v>16</v>
      </c>
      <c r="E486" s="280" t="s">
        <v>481</v>
      </c>
      <c r="F486" s="281">
        <v>250</v>
      </c>
      <c r="G486" s="282" t="s">
        <v>482</v>
      </c>
      <c r="K486" s="286"/>
    </row>
    <row r="487" spans="1:16">
      <c r="K487" s="286"/>
    </row>
    <row r="488" spans="1:16">
      <c r="K488" s="286"/>
    </row>
    <row r="489" spans="1:16">
      <c r="A489" s="286"/>
      <c r="B489" s="286"/>
      <c r="C489" s="286"/>
      <c r="D489" s="286"/>
      <c r="E489" s="286"/>
      <c r="F489" s="286"/>
      <c r="G489" s="286"/>
      <c r="H489" s="286"/>
      <c r="I489" s="286"/>
      <c r="J489" s="286"/>
      <c r="K489" s="286"/>
    </row>
  </sheetData>
  <sheetProtection selectLockedCells="1"/>
  <mergeCells count="43">
    <mergeCell ref="M335:N335"/>
    <mergeCell ref="L238:P238"/>
    <mergeCell ref="L239:L241"/>
    <mergeCell ref="M239:P239"/>
    <mergeCell ref="M240:N240"/>
    <mergeCell ref="O240:P240"/>
    <mergeCell ref="L478:P478"/>
    <mergeCell ref="L479:L481"/>
    <mergeCell ref="M479:P479"/>
    <mergeCell ref="M480:N480"/>
    <mergeCell ref="O480:P480"/>
    <mergeCell ref="D102:D103"/>
    <mergeCell ref="E102:I102"/>
    <mergeCell ref="L428:M428"/>
    <mergeCell ref="N428:O428"/>
    <mergeCell ref="A470:A471"/>
    <mergeCell ref="B470:B471"/>
    <mergeCell ref="C470:C471"/>
    <mergeCell ref="D470:D471"/>
    <mergeCell ref="E470:I470"/>
    <mergeCell ref="A428:B428"/>
    <mergeCell ref="C428:C429"/>
    <mergeCell ref="D428:E428"/>
    <mergeCell ref="G428:I428"/>
    <mergeCell ref="L333:N333"/>
    <mergeCell ref="L334:L336"/>
    <mergeCell ref="M334:N334"/>
    <mergeCell ref="L4:L5"/>
    <mergeCell ref="B126:B132"/>
    <mergeCell ref="B133:B138"/>
    <mergeCell ref="A329:A330"/>
    <mergeCell ref="B329:B330"/>
    <mergeCell ref="C329:C330"/>
    <mergeCell ref="D329:D330"/>
    <mergeCell ref="E329:I329"/>
    <mergeCell ref="A232:A233"/>
    <mergeCell ref="B232:B233"/>
    <mergeCell ref="C232:C233"/>
    <mergeCell ref="D232:D233"/>
    <mergeCell ref="E232:I232"/>
    <mergeCell ref="A102:A103"/>
    <mergeCell ref="B102:B103"/>
    <mergeCell ref="C102:C103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AG1458"/>
  <sheetViews>
    <sheetView zoomScaleSheetLayoutView="100" workbookViewId="0">
      <selection activeCell="G34" sqref="G34"/>
    </sheetView>
  </sheetViews>
  <sheetFormatPr defaultRowHeight="12.75"/>
  <cols>
    <col min="6" max="6" width="9.140625" customWidth="1"/>
    <col min="10" max="10" width="6.5703125" customWidth="1"/>
    <col min="11" max="11" width="2.5703125" customWidth="1"/>
  </cols>
  <sheetData>
    <row r="1" spans="1:32" ht="15.75">
      <c r="A1" s="31" t="s">
        <v>927</v>
      </c>
      <c r="J1" s="46"/>
      <c r="K1" s="159"/>
      <c r="L1" s="429" t="s">
        <v>363</v>
      </c>
      <c r="M1" s="227"/>
      <c r="N1" s="227"/>
      <c r="O1" s="430">
        <f>DATA!D13</f>
        <v>28</v>
      </c>
      <c r="P1" s="431" t="s">
        <v>321</v>
      </c>
      <c r="Q1" s="432">
        <f>RADIANS(O1)</f>
        <v>0.48869219055841229</v>
      </c>
      <c r="S1" s="2677" t="s">
        <v>2102</v>
      </c>
    </row>
    <row r="2" spans="1:32">
      <c r="J2" s="46"/>
      <c r="K2" s="159"/>
      <c r="L2" s="46"/>
      <c r="M2" s="46"/>
      <c r="N2" s="46"/>
      <c r="O2" s="46"/>
      <c r="P2" s="46"/>
      <c r="Q2" s="46"/>
    </row>
    <row r="3" spans="1:32" ht="13.5" thickBot="1">
      <c r="A3" s="187" t="s">
        <v>448</v>
      </c>
      <c r="D3" s="35">
        <f>DATA!D3</f>
        <v>23.6</v>
      </c>
      <c r="E3" t="s">
        <v>1</v>
      </c>
      <c r="F3" s="2409" t="s">
        <v>2123</v>
      </c>
      <c r="G3" s="400"/>
      <c r="H3" s="3242" t="s">
        <v>320</v>
      </c>
      <c r="I3" s="3243"/>
      <c r="K3" s="159"/>
      <c r="L3" s="2717" t="str">
        <f>IF(F4=1,"Pre","Post")</f>
        <v>Post</v>
      </c>
      <c r="M3" s="3127">
        <v>1</v>
      </c>
      <c r="N3" s="3128"/>
      <c r="O3" s="3129"/>
      <c r="P3" s="3128">
        <v>2</v>
      </c>
      <c r="Q3" s="3128"/>
      <c r="R3" s="3129"/>
      <c r="S3" s="3066">
        <v>3</v>
      </c>
      <c r="T3" s="3067"/>
      <c r="U3" s="3068"/>
      <c r="V3" s="3066">
        <v>4</v>
      </c>
      <c r="W3" s="3067"/>
      <c r="X3" s="3068"/>
      <c r="Y3" s="3066">
        <v>5</v>
      </c>
      <c r="Z3" s="3067"/>
      <c r="AA3" s="3068"/>
      <c r="AB3" s="256">
        <v>1</v>
      </c>
      <c r="AC3" s="94">
        <v>2</v>
      </c>
      <c r="AD3" s="94">
        <v>3</v>
      </c>
      <c r="AE3" s="94">
        <v>4</v>
      </c>
      <c r="AF3" s="1548">
        <v>5</v>
      </c>
    </row>
    <row r="4" spans="1:32" ht="13.5" thickBot="1">
      <c r="A4" t="s">
        <v>415</v>
      </c>
      <c r="D4" s="587">
        <f>DATA!D4</f>
        <v>15.7</v>
      </c>
      <c r="E4" t="s">
        <v>1</v>
      </c>
      <c r="F4" s="2719">
        <f>IF(G4="y",Table!C225,1)</f>
        <v>2</v>
      </c>
      <c r="G4" s="2753" t="s">
        <v>1361</v>
      </c>
      <c r="H4" s="248" t="str">
        <f>"Sec "&amp;I34&amp;"-"&amp;I34</f>
        <v>Sec 1-1</v>
      </c>
      <c r="I4" s="381" t="str">
        <f>"Sec "&amp;L70</f>
        <v>Sec 5-5</v>
      </c>
      <c r="J4" s="2041" t="s">
        <v>650</v>
      </c>
      <c r="K4" s="159"/>
      <c r="L4" s="2718" t="s">
        <v>2103</v>
      </c>
      <c r="M4" s="3119" t="s">
        <v>675</v>
      </c>
      <c r="N4" s="3070" t="s">
        <v>674</v>
      </c>
      <c r="O4" s="3068"/>
      <c r="P4" s="3119" t="s">
        <v>675</v>
      </c>
      <c r="Q4" s="3070" t="s">
        <v>674</v>
      </c>
      <c r="R4" s="3067"/>
      <c r="S4" s="3118" t="s">
        <v>675</v>
      </c>
      <c r="T4" s="3070" t="s">
        <v>674</v>
      </c>
      <c r="U4" s="3068"/>
      <c r="V4" s="3118" t="s">
        <v>675</v>
      </c>
      <c r="W4" s="3070" t="s">
        <v>674</v>
      </c>
      <c r="X4" s="3068"/>
      <c r="Y4" s="3119" t="s">
        <v>675</v>
      </c>
      <c r="Z4" s="3070" t="s">
        <v>674</v>
      </c>
      <c r="AA4" s="3068"/>
      <c r="AB4" s="1094" t="s">
        <v>2125</v>
      </c>
      <c r="AC4" s="123"/>
      <c r="AD4" s="123"/>
      <c r="AE4" s="123"/>
      <c r="AF4" s="2764"/>
    </row>
    <row r="5" spans="1:32">
      <c r="A5" t="s">
        <v>416</v>
      </c>
      <c r="D5" s="35">
        <f>DATA!D5</f>
        <v>17.3</v>
      </c>
      <c r="E5" t="s">
        <v>1</v>
      </c>
      <c r="F5" s="423" t="s">
        <v>2022</v>
      </c>
      <c r="G5" s="2037"/>
      <c r="H5" s="2038">
        <f>DATA!C103</f>
        <v>8.5052681707357696</v>
      </c>
      <c r="I5" s="379">
        <f>DATA!F95</f>
        <v>9.2998632622097617</v>
      </c>
      <c r="J5" s="2039">
        <f>DATA!A100</f>
        <v>10.3</v>
      </c>
      <c r="K5" s="159"/>
      <c r="L5" s="348"/>
      <c r="M5" s="3092"/>
      <c r="N5" s="3121" t="s">
        <v>665</v>
      </c>
      <c r="O5" s="3118" t="s">
        <v>672</v>
      </c>
      <c r="P5" s="3120"/>
      <c r="Q5" s="3121" t="s">
        <v>665</v>
      </c>
      <c r="R5" s="3122" t="s">
        <v>672</v>
      </c>
      <c r="S5" s="3092"/>
      <c r="T5" s="3121" t="s">
        <v>665</v>
      </c>
      <c r="U5" s="3118" t="s">
        <v>672</v>
      </c>
      <c r="V5" s="3092"/>
      <c r="W5" s="3121" t="s">
        <v>665</v>
      </c>
      <c r="X5" s="3118" t="s">
        <v>672</v>
      </c>
      <c r="Y5" s="3120"/>
      <c r="Z5" s="3121" t="s">
        <v>665</v>
      </c>
      <c r="AA5" s="3118" t="s">
        <v>672</v>
      </c>
      <c r="AB5" s="363"/>
      <c r="AC5" s="1726"/>
      <c r="AD5" s="1726"/>
      <c r="AE5" s="1726"/>
      <c r="AF5" s="58"/>
    </row>
    <row r="6" spans="1:32">
      <c r="A6" t="s">
        <v>417</v>
      </c>
      <c r="D6" s="35">
        <f>DATA!D6</f>
        <v>18.899999999999999</v>
      </c>
      <c r="E6" t="s">
        <v>1</v>
      </c>
      <c r="F6" s="2040" t="s">
        <v>285</v>
      </c>
      <c r="G6" s="77">
        <v>2</v>
      </c>
      <c r="H6" s="353">
        <f>DATA!C134</f>
        <v>11.666536698602499</v>
      </c>
      <c r="I6" s="138">
        <f>DATA!F125</f>
        <v>10.92869839937665</v>
      </c>
      <c r="J6" s="170">
        <f>DATA!A135</f>
        <v>10</v>
      </c>
      <c r="K6" s="159"/>
      <c r="L6" s="1725" t="s">
        <v>673</v>
      </c>
      <c r="M6" s="365"/>
      <c r="N6" s="3121"/>
      <c r="O6" s="3092"/>
      <c r="P6" s="380"/>
      <c r="Q6" s="3121"/>
      <c r="R6" s="3123"/>
      <c r="S6" s="365"/>
      <c r="T6" s="3121"/>
      <c r="U6" s="3092"/>
      <c r="V6" s="365"/>
      <c r="W6" s="3121"/>
      <c r="X6" s="3092"/>
      <c r="Y6" s="380"/>
      <c r="Z6" s="3121"/>
      <c r="AA6" s="3092"/>
      <c r="AB6" s="3198" t="s">
        <v>2124</v>
      </c>
      <c r="AC6" s="3198"/>
      <c r="AD6" s="3198"/>
      <c r="AE6" s="3198"/>
      <c r="AF6" s="3198"/>
    </row>
    <row r="7" spans="1:32">
      <c r="A7" t="s">
        <v>418</v>
      </c>
      <c r="D7" s="35">
        <f>DATA!D7</f>
        <v>9.81</v>
      </c>
      <c r="E7" t="s">
        <v>1</v>
      </c>
      <c r="J7" s="46"/>
      <c r="K7" s="159"/>
      <c r="L7" s="2170"/>
      <c r="M7" s="94" t="s">
        <v>107</v>
      </c>
      <c r="N7" s="2205" t="s">
        <v>107</v>
      </c>
      <c r="O7" s="94" t="s">
        <v>107</v>
      </c>
      <c r="P7" s="2206" t="s">
        <v>107</v>
      </c>
      <c r="Q7" s="2171" t="s">
        <v>107</v>
      </c>
      <c r="R7" s="2170" t="s">
        <v>107</v>
      </c>
      <c r="S7" s="94" t="s">
        <v>107</v>
      </c>
      <c r="T7" s="2171" t="s">
        <v>107</v>
      </c>
      <c r="U7" s="94" t="s">
        <v>107</v>
      </c>
      <c r="V7" s="94" t="s">
        <v>107</v>
      </c>
      <c r="W7" s="2171" t="s">
        <v>107</v>
      </c>
      <c r="X7" s="94" t="s">
        <v>107</v>
      </c>
      <c r="Y7" s="2172" t="s">
        <v>107</v>
      </c>
      <c r="Z7" s="2171" t="s">
        <v>107</v>
      </c>
      <c r="AA7" s="94" t="s">
        <v>107</v>
      </c>
      <c r="AB7" s="1548" t="s">
        <v>5</v>
      </c>
      <c r="AC7" s="1548" t="s">
        <v>5</v>
      </c>
      <c r="AD7" s="1548" t="s">
        <v>5</v>
      </c>
      <c r="AE7" s="1548" t="s">
        <v>5</v>
      </c>
      <c r="AF7" s="1548" t="s">
        <v>5</v>
      </c>
    </row>
    <row r="8" spans="1:32" ht="15.75">
      <c r="A8" s="187" t="s">
        <v>508</v>
      </c>
      <c r="D8" s="287">
        <f>DATA!I17</f>
        <v>28</v>
      </c>
      <c r="E8" s="12" t="s">
        <v>321</v>
      </c>
      <c r="F8" s="115">
        <f>RADIANS(D8)</f>
        <v>0.48869219055841229</v>
      </c>
      <c r="G8" t="s">
        <v>322</v>
      </c>
      <c r="I8" s="17" t="s">
        <v>43</v>
      </c>
      <c r="J8" s="85">
        <f>(1-SIN(F8))/(1+SIN(F8))</f>
        <v>0.36103348349818309</v>
      </c>
      <c r="K8" s="159"/>
      <c r="L8" s="2179" t="s">
        <v>666</v>
      </c>
      <c r="M8" s="2702">
        <f t="shared" ref="M8:O11" si="0">C279</f>
        <v>0</v>
      </c>
      <c r="N8" s="2702">
        <f t="shared" si="0"/>
        <v>0</v>
      </c>
      <c r="O8" s="2702">
        <f t="shared" si="0"/>
        <v>0</v>
      </c>
      <c r="P8" s="2704">
        <f t="shared" ref="P8:R12" si="1">C527</f>
        <v>0</v>
      </c>
      <c r="Q8" s="2704">
        <f t="shared" si="1"/>
        <v>0</v>
      </c>
      <c r="R8" s="2704">
        <f t="shared" si="1"/>
        <v>0</v>
      </c>
      <c r="S8" s="2705">
        <f t="shared" ref="S8:U12" si="2">C776</f>
        <v>0</v>
      </c>
      <c r="T8" s="2705">
        <f t="shared" si="2"/>
        <v>0</v>
      </c>
      <c r="U8" s="2705">
        <f t="shared" si="2"/>
        <v>0</v>
      </c>
      <c r="V8" s="2705">
        <f t="shared" ref="V8:X12" si="3">C1023</f>
        <v>0</v>
      </c>
      <c r="W8" s="2705">
        <f t="shared" si="3"/>
        <v>0</v>
      </c>
      <c r="X8" s="2705">
        <f t="shared" si="3"/>
        <v>0</v>
      </c>
      <c r="Y8" s="2705">
        <f t="shared" ref="Y8:AA12" si="4">C1272</f>
        <v>0</v>
      </c>
      <c r="Z8" s="2705">
        <f t="shared" si="4"/>
        <v>0</v>
      </c>
      <c r="AA8" s="2705">
        <f t="shared" si="4"/>
        <v>0</v>
      </c>
      <c r="AB8" s="2764"/>
      <c r="AC8" s="2764"/>
      <c r="AD8" s="2764"/>
      <c r="AE8" s="2764"/>
      <c r="AF8" s="2764"/>
    </row>
    <row r="9" spans="1:32" ht="12.75" customHeight="1">
      <c r="A9" s="2207" t="s">
        <v>1882</v>
      </c>
      <c r="B9" s="2207"/>
      <c r="C9" s="2207"/>
      <c r="D9" s="2207"/>
      <c r="E9" s="2208"/>
      <c r="F9" s="2209"/>
      <c r="G9" s="2207"/>
      <c r="H9" s="2207"/>
      <c r="I9" s="2207"/>
      <c r="J9" s="2516" t="s">
        <v>1361</v>
      </c>
      <c r="K9" s="159"/>
      <c r="L9" s="348" t="s">
        <v>667</v>
      </c>
      <c r="M9" s="2709">
        <f t="shared" si="0"/>
        <v>539.68685923224393</v>
      </c>
      <c r="N9" s="2709">
        <f t="shared" si="0"/>
        <v>0</v>
      </c>
      <c r="O9" s="2709">
        <f t="shared" si="0"/>
        <v>410.2190467322439</v>
      </c>
      <c r="P9" s="2706">
        <f t="shared" si="1"/>
        <v>539.68685923224393</v>
      </c>
      <c r="Q9" s="2706">
        <f t="shared" si="1"/>
        <v>0</v>
      </c>
      <c r="R9" s="2706">
        <f t="shared" si="1"/>
        <v>366.77052660512527</v>
      </c>
      <c r="S9" s="2706">
        <f t="shared" si="2"/>
        <v>227.68039373860282</v>
      </c>
      <c r="T9" s="2706">
        <f t="shared" si="2"/>
        <v>0</v>
      </c>
      <c r="U9" s="2706">
        <f t="shared" si="2"/>
        <v>75.468211932458757</v>
      </c>
      <c r="V9" s="2706">
        <f t="shared" si="3"/>
        <v>67.460857404030492</v>
      </c>
      <c r="W9" s="2706">
        <f t="shared" si="3"/>
        <v>37.270905572664446</v>
      </c>
      <c r="X9" s="2706">
        <f t="shared" si="3"/>
        <v>0</v>
      </c>
      <c r="Y9" s="2706">
        <f t="shared" si="4"/>
        <v>67.460857404030492</v>
      </c>
      <c r="Z9" s="2706">
        <f t="shared" si="4"/>
        <v>52.668892595969538</v>
      </c>
      <c r="AA9" s="2706">
        <f t="shared" si="4"/>
        <v>0</v>
      </c>
      <c r="AB9" s="2768" t="e">
        <f>C338</f>
        <v>#NUM!</v>
      </c>
      <c r="AC9" s="2768" t="e">
        <f>C587</f>
        <v>#NUM!</v>
      </c>
      <c r="AD9" s="2768" t="e">
        <f>C834</f>
        <v>#NUM!</v>
      </c>
      <c r="AE9" s="2768">
        <f>C1082</f>
        <v>3.3814496629350961</v>
      </c>
      <c r="AF9" s="2768">
        <f>C1333</f>
        <v>3.537323233575115</v>
      </c>
    </row>
    <row r="10" spans="1:32" ht="12.75" customHeight="1">
      <c r="A10" s="187"/>
      <c r="D10" s="46"/>
      <c r="E10" s="508"/>
      <c r="F10" s="334"/>
      <c r="G10" s="46"/>
      <c r="J10" s="46"/>
      <c r="K10" s="159"/>
      <c r="L10" s="348" t="s">
        <v>668</v>
      </c>
      <c r="M10" s="2709">
        <f t="shared" si="0"/>
        <v>565.80236402288631</v>
      </c>
      <c r="N10" s="2709">
        <f t="shared" si="0"/>
        <v>0</v>
      </c>
      <c r="O10" s="2709">
        <f t="shared" si="0"/>
        <v>460.2851012940688</v>
      </c>
      <c r="P10" s="2706">
        <f t="shared" si="1"/>
        <v>582.11920072890814</v>
      </c>
      <c r="Q10" s="2706">
        <f t="shared" si="1"/>
        <v>0</v>
      </c>
      <c r="R10" s="2706">
        <f t="shared" si="1"/>
        <v>449.52330029862281</v>
      </c>
      <c r="S10" s="2706">
        <f t="shared" si="2"/>
        <v>272.78984012565195</v>
      </c>
      <c r="T10" s="2706">
        <f t="shared" si="2"/>
        <v>0</v>
      </c>
      <c r="U10" s="2706">
        <f t="shared" si="2"/>
        <v>165.53009921188783</v>
      </c>
      <c r="V10" s="2706">
        <f t="shared" si="3"/>
        <v>32.44545998955752</v>
      </c>
      <c r="W10" s="2706">
        <f t="shared" si="3"/>
        <v>27.257000074001894</v>
      </c>
      <c r="X10" s="2706">
        <f t="shared" si="3"/>
        <v>0</v>
      </c>
      <c r="Y10" s="2706">
        <f t="shared" si="4"/>
        <v>32.44545998955752</v>
      </c>
      <c r="Z10" s="2706">
        <f t="shared" si="4"/>
        <v>36.034640010442558</v>
      </c>
      <c r="AA10" s="2706">
        <f t="shared" si="4"/>
        <v>0</v>
      </c>
      <c r="AB10" s="123"/>
      <c r="AC10" s="123"/>
      <c r="AD10" s="123"/>
      <c r="AE10" s="123"/>
      <c r="AF10" s="123"/>
    </row>
    <row r="11" spans="1:32" ht="15.75">
      <c r="A11" s="29" t="s">
        <v>6</v>
      </c>
      <c r="D11" s="287"/>
      <c r="E11" s="12"/>
      <c r="F11" s="115"/>
      <c r="J11" s="46"/>
      <c r="K11" s="159"/>
      <c r="L11" s="348" t="s">
        <v>669</v>
      </c>
      <c r="M11" s="2710">
        <f t="shared" si="0"/>
        <v>565.80236402288631</v>
      </c>
      <c r="N11" s="2710">
        <f t="shared" si="0"/>
        <v>0</v>
      </c>
      <c r="O11" s="2710">
        <f t="shared" si="0"/>
        <v>438.2126012940688</v>
      </c>
      <c r="P11" s="2708">
        <f t="shared" si="1"/>
        <v>582.11920072890814</v>
      </c>
      <c r="Q11" s="2708">
        <f t="shared" si="1"/>
        <v>0</v>
      </c>
      <c r="R11" s="2708">
        <f t="shared" si="1"/>
        <v>411.19945453591083</v>
      </c>
      <c r="S11" s="2708">
        <f t="shared" si="2"/>
        <v>272.78984012565195</v>
      </c>
      <c r="T11" s="2708">
        <f t="shared" si="2"/>
        <v>0</v>
      </c>
      <c r="U11" s="2708">
        <f t="shared" si="2"/>
        <v>121.13912177544717</v>
      </c>
      <c r="V11" s="2708">
        <f t="shared" si="3"/>
        <v>32.44545998955752</v>
      </c>
      <c r="W11" s="2708">
        <f t="shared" si="3"/>
        <v>72.286302987137418</v>
      </c>
      <c r="X11" s="2708">
        <f t="shared" si="3"/>
        <v>0</v>
      </c>
      <c r="Y11" s="2708">
        <f t="shared" si="4"/>
        <v>32.44545998955752</v>
      </c>
      <c r="Z11" s="2708">
        <f t="shared" si="4"/>
        <v>87.68429001044251</v>
      </c>
      <c r="AA11" s="2708">
        <f t="shared" si="4"/>
        <v>0</v>
      </c>
      <c r="AB11" s="2768" t="e">
        <f>C348</f>
        <v>#NUM!</v>
      </c>
      <c r="AC11" s="2768" t="e">
        <f>C597</f>
        <v>#NUM!</v>
      </c>
      <c r="AD11" s="2768" t="e">
        <f>C844</f>
        <v>#NUM!</v>
      </c>
      <c r="AE11" s="2768">
        <f>C1092</f>
        <v>2.4785500943559051</v>
      </c>
      <c r="AF11" s="2768">
        <f>C1343</f>
        <v>2.6918328425422189</v>
      </c>
    </row>
    <row r="12" spans="1:32" ht="14.25">
      <c r="A12" s="187" t="s">
        <v>420</v>
      </c>
      <c r="C12" s="574">
        <f>HeadWall!C13</f>
        <v>22</v>
      </c>
      <c r="D12" s="187" t="s">
        <v>421</v>
      </c>
      <c r="F12" s="144" t="s">
        <v>422</v>
      </c>
      <c r="K12" s="159"/>
      <c r="L12" s="1852" t="s">
        <v>671</v>
      </c>
      <c r="M12" s="2711">
        <f>MAX(M8:M11)</f>
        <v>565.80236402288631</v>
      </c>
      <c r="N12" s="2712">
        <f>MAX(N8:N11)</f>
        <v>0</v>
      </c>
      <c r="O12" s="2711">
        <f>MAX(O8:O11)</f>
        <v>460.2851012940688</v>
      </c>
      <c r="P12" s="2712">
        <f t="shared" si="1"/>
        <v>582.11920072890814</v>
      </c>
      <c r="Q12" s="2712">
        <f t="shared" si="1"/>
        <v>0</v>
      </c>
      <c r="R12" s="2712">
        <f t="shared" si="1"/>
        <v>449.52330029862281</v>
      </c>
      <c r="S12" s="2713">
        <f t="shared" si="2"/>
        <v>272.78984012565195</v>
      </c>
      <c r="T12" s="2712">
        <f t="shared" si="2"/>
        <v>0</v>
      </c>
      <c r="U12" s="2714">
        <f t="shared" si="2"/>
        <v>165.53009921188783</v>
      </c>
      <c r="V12" s="2713">
        <f t="shared" si="3"/>
        <v>67.460857404030492</v>
      </c>
      <c r="W12" s="2712">
        <f t="shared" si="3"/>
        <v>72.286302987137418</v>
      </c>
      <c r="X12" s="2714">
        <f t="shared" si="3"/>
        <v>0</v>
      </c>
      <c r="Y12" s="2713">
        <f t="shared" si="4"/>
        <v>67.460857404030492</v>
      </c>
      <c r="Z12" s="2712">
        <f t="shared" si="4"/>
        <v>87.68429001044251</v>
      </c>
      <c r="AA12" s="2714">
        <f t="shared" si="4"/>
        <v>0</v>
      </c>
      <c r="AB12" s="2775" t="e">
        <f>MIN(AB9,AB11)</f>
        <v>#NUM!</v>
      </c>
      <c r="AC12" s="2775" t="e">
        <f t="shared" ref="AC12:AF12" si="5">MIN(AC9,AC11)</f>
        <v>#NUM!</v>
      </c>
      <c r="AD12" s="2775" t="e">
        <f t="shared" si="5"/>
        <v>#NUM!</v>
      </c>
      <c r="AE12" s="2775">
        <f t="shared" si="5"/>
        <v>2.4785500943559051</v>
      </c>
      <c r="AF12" s="2775">
        <f t="shared" si="5"/>
        <v>2.6918328425422189</v>
      </c>
    </row>
    <row r="13" spans="1:32" ht="14.25">
      <c r="A13" t="s">
        <v>8</v>
      </c>
      <c r="C13" s="574">
        <f>HeadWall!C14</f>
        <v>414</v>
      </c>
      <c r="D13" s="187" t="s">
        <v>421</v>
      </c>
      <c r="F13" t="s">
        <v>423</v>
      </c>
      <c r="I13" s="509">
        <f>HeadWall!H14</f>
        <v>60</v>
      </c>
      <c r="J13" t="s">
        <v>98</v>
      </c>
      <c r="K13" s="159"/>
      <c r="AB13" s="2"/>
      <c r="AC13" s="2"/>
      <c r="AD13" s="2"/>
      <c r="AE13" s="2"/>
    </row>
    <row r="14" spans="1:32" ht="14.25">
      <c r="A14" t="s">
        <v>11</v>
      </c>
      <c r="C14" s="588">
        <f>HeadWall!C15</f>
        <v>200000</v>
      </c>
      <c r="D14" s="187" t="s">
        <v>421</v>
      </c>
      <c r="F14" t="s">
        <v>424</v>
      </c>
      <c r="I14" s="509">
        <f>HeadWall!H15</f>
        <v>50</v>
      </c>
      <c r="J14" t="s">
        <v>98</v>
      </c>
      <c r="K14" s="159"/>
      <c r="AB14" s="2"/>
      <c r="AC14" s="2"/>
      <c r="AD14" s="2"/>
      <c r="AE14" s="2"/>
    </row>
    <row r="15" spans="1:32" ht="15" thickBot="1">
      <c r="A15" s="187" t="s">
        <v>446</v>
      </c>
      <c r="C15" s="589">
        <f>4.73*10^3*(C12)^0.5</f>
        <v>22185.666543964824</v>
      </c>
      <c r="D15" s="187" t="s">
        <v>421</v>
      </c>
      <c r="F15" s="241" t="s">
        <v>2134</v>
      </c>
      <c r="G15" s="16"/>
      <c r="H15" s="16"/>
      <c r="I15" s="16">
        <f>IF(Hydraulic!O2="y",Hydraulic!O3,0)</f>
        <v>0</v>
      </c>
      <c r="J15" t="s">
        <v>98</v>
      </c>
      <c r="K15" s="159"/>
      <c r="L15" s="2664" t="s">
        <v>974</v>
      </c>
      <c r="M15" s="2784"/>
      <c r="N15" s="2781">
        <v>1</v>
      </c>
      <c r="O15" s="2785"/>
      <c r="P15" s="3127">
        <v>2</v>
      </c>
      <c r="Q15" s="3128"/>
      <c r="R15" s="3129"/>
      <c r="S15" s="3066">
        <v>3</v>
      </c>
      <c r="T15" s="3067"/>
      <c r="U15" s="3068"/>
      <c r="V15" s="3066">
        <v>4</v>
      </c>
      <c r="W15" s="3067"/>
      <c r="X15" s="3068"/>
      <c r="Y15" s="3066">
        <v>5</v>
      </c>
      <c r="Z15" s="3067"/>
      <c r="AA15" s="3068"/>
      <c r="AB15" s="256">
        <v>1</v>
      </c>
      <c r="AC15" s="94">
        <v>2</v>
      </c>
      <c r="AD15" s="94">
        <v>3</v>
      </c>
      <c r="AE15" s="94">
        <v>4</v>
      </c>
      <c r="AF15" s="1548">
        <v>5</v>
      </c>
    </row>
    <row r="16" spans="1:32" ht="13.5" thickBot="1">
      <c r="C16" s="17"/>
      <c r="J16" s="508"/>
      <c r="K16" s="159"/>
      <c r="L16" s="2718" t="s">
        <v>2103</v>
      </c>
      <c r="M16" s="3118" t="s">
        <v>675</v>
      </c>
      <c r="N16" s="2783" t="s">
        <v>674</v>
      </c>
      <c r="O16" s="641"/>
      <c r="P16" s="3224" t="s">
        <v>675</v>
      </c>
      <c r="Q16" s="2783" t="s">
        <v>674</v>
      </c>
      <c r="R16" s="641"/>
      <c r="S16" s="3224" t="s">
        <v>675</v>
      </c>
      <c r="T16" s="2783" t="s">
        <v>674</v>
      </c>
      <c r="U16" s="641"/>
      <c r="V16" s="3224" t="s">
        <v>675</v>
      </c>
      <c r="W16" s="2783" t="s">
        <v>674</v>
      </c>
      <c r="X16" s="641"/>
      <c r="Y16" s="3224" t="s">
        <v>675</v>
      </c>
      <c r="Z16" s="2783" t="s">
        <v>674</v>
      </c>
      <c r="AA16" s="641"/>
      <c r="AB16" s="2635" t="s">
        <v>2125</v>
      </c>
      <c r="AC16" s="381"/>
      <c r="AD16" s="381"/>
      <c r="AE16" s="381"/>
      <c r="AF16" s="1034"/>
    </row>
    <row r="17" spans="1:33" ht="14.25">
      <c r="A17" s="187" t="s">
        <v>425</v>
      </c>
      <c r="C17" s="133">
        <f>0.45*C12</f>
        <v>9.9</v>
      </c>
      <c r="D17" s="187" t="s">
        <v>421</v>
      </c>
      <c r="E17" s="46"/>
      <c r="F17" s="30" t="s">
        <v>1858</v>
      </c>
      <c r="H17" s="203"/>
      <c r="I17" s="2157">
        <f>Hydraulic!D47</f>
        <v>3</v>
      </c>
      <c r="J17" s="46"/>
      <c r="K17" s="159"/>
      <c r="L17" s="348"/>
      <c r="M17" s="3092"/>
      <c r="N17" s="3123" t="s">
        <v>665</v>
      </c>
      <c r="O17" s="3118" t="s">
        <v>672</v>
      </c>
      <c r="P17" s="3121"/>
      <c r="Q17" s="3123" t="s">
        <v>665</v>
      </c>
      <c r="R17" s="3118" t="s">
        <v>672</v>
      </c>
      <c r="S17" s="3121"/>
      <c r="T17" s="3123" t="s">
        <v>665</v>
      </c>
      <c r="U17" s="3118" t="s">
        <v>672</v>
      </c>
      <c r="V17" s="3121"/>
      <c r="W17" s="3123" t="s">
        <v>665</v>
      </c>
      <c r="X17" s="3118" t="s">
        <v>672</v>
      </c>
      <c r="Y17" s="3121"/>
      <c r="Z17" s="3123" t="s">
        <v>665</v>
      </c>
      <c r="AA17" s="3122" t="s">
        <v>672</v>
      </c>
      <c r="AB17" s="363"/>
      <c r="AC17" s="1726"/>
      <c r="AD17" s="1726"/>
      <c r="AE17" s="1726"/>
      <c r="AF17" s="58"/>
    </row>
    <row r="18" spans="1:33" ht="14.25">
      <c r="A18" s="187" t="s">
        <v>426</v>
      </c>
      <c r="C18" s="133">
        <f>0.45*C13</f>
        <v>186.3</v>
      </c>
      <c r="D18" s="187" t="s">
        <v>421</v>
      </c>
      <c r="E18" s="46"/>
      <c r="F18" s="46"/>
      <c r="G18" s="46"/>
      <c r="H18" s="1932" t="s">
        <v>1796</v>
      </c>
      <c r="I18" s="46" t="str">
        <f>IF(F4=1,"Pre-monsoon","Monsoon")</f>
        <v>Monsoon</v>
      </c>
      <c r="J18" s="46"/>
      <c r="K18" s="159"/>
      <c r="L18" s="1725" t="s">
        <v>673</v>
      </c>
      <c r="M18" s="354"/>
      <c r="N18" s="3123"/>
      <c r="O18" s="3092"/>
      <c r="P18" s="2199"/>
      <c r="Q18" s="3123"/>
      <c r="R18" s="3092"/>
      <c r="S18" s="2199"/>
      <c r="T18" s="3123"/>
      <c r="U18" s="3092"/>
      <c r="V18" s="2199"/>
      <c r="W18" s="3123"/>
      <c r="X18" s="3092"/>
      <c r="Y18" s="2199"/>
      <c r="Z18" s="3123"/>
      <c r="AA18" s="3123"/>
      <c r="AB18" s="3199" t="s">
        <v>2124</v>
      </c>
      <c r="AC18" s="3199"/>
      <c r="AD18" s="3199"/>
      <c r="AE18" s="3199"/>
      <c r="AF18" s="3199"/>
    </row>
    <row r="19" spans="1:33">
      <c r="A19" t="s">
        <v>10</v>
      </c>
      <c r="C19" s="205">
        <f>+C14/C15</f>
        <v>9.0148294442118573</v>
      </c>
      <c r="E19" s="46"/>
      <c r="F19" s="46"/>
      <c r="G19" s="46"/>
      <c r="H19" s="46"/>
      <c r="I19" s="46"/>
      <c r="J19" s="46"/>
      <c r="K19" s="159"/>
      <c r="L19" s="2657"/>
      <c r="M19" s="1548" t="s">
        <v>107</v>
      </c>
      <c r="N19" s="1548" t="s">
        <v>107</v>
      </c>
      <c r="O19" s="1548" t="s">
        <v>107</v>
      </c>
      <c r="P19" s="1548" t="s">
        <v>107</v>
      </c>
      <c r="Q19" s="94" t="s">
        <v>107</v>
      </c>
      <c r="R19" s="94" t="s">
        <v>107</v>
      </c>
      <c r="S19" s="94" t="s">
        <v>107</v>
      </c>
      <c r="T19" s="94" t="s">
        <v>107</v>
      </c>
      <c r="U19" s="94" t="s">
        <v>107</v>
      </c>
      <c r="V19" s="94" t="s">
        <v>107</v>
      </c>
      <c r="W19" s="94" t="s">
        <v>107</v>
      </c>
      <c r="X19" s="94" t="s">
        <v>107</v>
      </c>
      <c r="Y19" s="94" t="s">
        <v>107</v>
      </c>
      <c r="Z19" s="94" t="s">
        <v>107</v>
      </c>
      <c r="AA19" s="94" t="s">
        <v>107</v>
      </c>
      <c r="AB19" s="1548" t="s">
        <v>5</v>
      </c>
      <c r="AC19" s="1548" t="s">
        <v>5</v>
      </c>
      <c r="AD19" s="1548" t="s">
        <v>5</v>
      </c>
      <c r="AE19" s="1548" t="s">
        <v>5</v>
      </c>
      <c r="AF19" s="1548" t="s">
        <v>5</v>
      </c>
    </row>
    <row r="20" spans="1:33">
      <c r="A20" t="s">
        <v>427</v>
      </c>
      <c r="C20" s="54">
        <f>C18/C17</f>
        <v>18.81818181818182</v>
      </c>
      <c r="E20" s="109"/>
      <c r="F20" s="46"/>
      <c r="G20" s="46"/>
      <c r="H20" s="939"/>
      <c r="I20" s="46"/>
      <c r="J20" s="46"/>
      <c r="K20" s="159"/>
      <c r="L20" s="2665" t="s">
        <v>666</v>
      </c>
      <c r="M20" s="2703">
        <f>Table!B249</f>
        <v>0</v>
      </c>
      <c r="N20" s="2703">
        <f>Table!C249</f>
        <v>0</v>
      </c>
      <c r="O20" s="2703">
        <f>Table!D249</f>
        <v>0</v>
      </c>
      <c r="P20" s="2703">
        <f>Table!E249</f>
        <v>0</v>
      </c>
      <c r="Q20" s="2703">
        <f>Table!F249</f>
        <v>0</v>
      </c>
      <c r="R20" s="2703">
        <f>Table!G249</f>
        <v>0</v>
      </c>
      <c r="S20" s="2703">
        <f>Table!H249</f>
        <v>0</v>
      </c>
      <c r="T20" s="2703">
        <f>Table!I249</f>
        <v>0</v>
      </c>
      <c r="U20" s="2703">
        <f>Table!J249</f>
        <v>0</v>
      </c>
      <c r="V20" s="2703">
        <f>Table!K249</f>
        <v>0</v>
      </c>
      <c r="W20" s="2703">
        <f>Table!L249</f>
        <v>0</v>
      </c>
      <c r="X20" s="2703">
        <f>Table!M249</f>
        <v>0</v>
      </c>
      <c r="Y20" s="2703">
        <f>Table!N249</f>
        <v>0</v>
      </c>
      <c r="Z20" s="2703">
        <f>Table!O249</f>
        <v>0</v>
      </c>
      <c r="AA20" s="2703">
        <f>Table!P249</f>
        <v>0</v>
      </c>
      <c r="AB20" s="123"/>
      <c r="AC20" s="381"/>
      <c r="AD20" s="381"/>
      <c r="AE20" s="381"/>
      <c r="AF20" s="1034"/>
    </row>
    <row r="21" spans="1:33">
      <c r="A21" t="s">
        <v>428</v>
      </c>
      <c r="C21" s="84">
        <f>C19/(C19+C20)</f>
        <v>0.32388983567840407</v>
      </c>
      <c r="E21" s="46"/>
      <c r="F21" s="46"/>
      <c r="G21" s="46"/>
      <c r="H21" s="46"/>
      <c r="I21" s="46"/>
      <c r="J21" s="46"/>
      <c r="K21" s="159"/>
      <c r="L21" s="2665" t="s">
        <v>667</v>
      </c>
      <c r="M21" s="2703">
        <f>Table!B250</f>
        <v>539.68685923224393</v>
      </c>
      <c r="N21" s="2703">
        <f>Table!C250</f>
        <v>0</v>
      </c>
      <c r="O21" s="2703">
        <f>Table!D250</f>
        <v>394.67998423224384</v>
      </c>
      <c r="P21" s="2703">
        <f>Table!E250</f>
        <v>539.68685923224393</v>
      </c>
      <c r="Q21" s="2703">
        <f>Table!F250</f>
        <v>0</v>
      </c>
      <c r="R21" s="2703">
        <f>Table!G250</f>
        <v>346.01666007970141</v>
      </c>
      <c r="S21" s="2703">
        <f>Table!H250</f>
        <v>227.68039373860282</v>
      </c>
      <c r="T21" s="2703">
        <f>Table!I250</f>
        <v>0</v>
      </c>
      <c r="U21" s="2703">
        <f>Table!J250</f>
        <v>51.428755497077418</v>
      </c>
      <c r="V21" s="2703">
        <f>Table!K250</f>
        <v>67.460857404030492</v>
      </c>
      <c r="W21" s="2703">
        <f>Table!L250</f>
        <v>37.270905572664446</v>
      </c>
      <c r="X21" s="2703">
        <f>Table!M250</f>
        <v>0</v>
      </c>
      <c r="Y21" s="2703">
        <f>Table!N250</f>
        <v>67.460857404030492</v>
      </c>
      <c r="Z21" s="2703">
        <f>Table!O250</f>
        <v>52.668892595969538</v>
      </c>
      <c r="AA21" s="2703">
        <f>Table!P250</f>
        <v>0</v>
      </c>
      <c r="AB21" s="2703" t="e">
        <f>Table!Q250</f>
        <v>#NUM!</v>
      </c>
      <c r="AC21" s="2703" t="e">
        <f>Table!R250</f>
        <v>#NUM!</v>
      </c>
      <c r="AD21" s="2703" t="e">
        <f>Table!S250</f>
        <v>#NUM!</v>
      </c>
      <c r="AE21" s="2703">
        <f>Table!T250</f>
        <v>3.3814496629350961</v>
      </c>
      <c r="AF21" s="2703">
        <f>Table!U250</f>
        <v>3.537323233575115</v>
      </c>
    </row>
    <row r="22" spans="1:33">
      <c r="A22" t="s">
        <v>12</v>
      </c>
      <c r="C22" s="84">
        <f>1-C21/3</f>
        <v>0.89203672144053203</v>
      </c>
      <c r="J22" s="46"/>
      <c r="K22" s="159"/>
      <c r="L22" s="2665" t="s">
        <v>668</v>
      </c>
      <c r="M22" s="2703">
        <f>Table!B251</f>
        <v>565.80236402288631</v>
      </c>
      <c r="N22" s="2703">
        <f>Table!C251</f>
        <v>0</v>
      </c>
      <c r="O22" s="2703">
        <f>Table!D251</f>
        <v>447.88071124830526</v>
      </c>
      <c r="P22" s="2703">
        <f>Table!E251</f>
        <v>582.11920072890814</v>
      </c>
      <c r="Q22" s="2703">
        <f>Table!F251</f>
        <v>0</v>
      </c>
      <c r="R22" s="2703">
        <f>Table!G251</f>
        <v>433.95923178036224</v>
      </c>
      <c r="S22" s="2703">
        <f>Table!H251</f>
        <v>272.78984012565195</v>
      </c>
      <c r="T22" s="2703">
        <f>Table!I251</f>
        <v>0</v>
      </c>
      <c r="U22" s="2703">
        <f>Table!J251</f>
        <v>149.07629350122636</v>
      </c>
      <c r="V22" s="2703">
        <f>Table!K251</f>
        <v>32.44545998955752</v>
      </c>
      <c r="W22" s="2703">
        <f>Table!L251</f>
        <v>27.257000074001894</v>
      </c>
      <c r="X22" s="2703">
        <f>Table!M251</f>
        <v>0</v>
      </c>
      <c r="Y22" s="2703">
        <f>Table!N251</f>
        <v>32.44545998955752</v>
      </c>
      <c r="Z22" s="2703">
        <f>Table!O251</f>
        <v>36.034640010442558</v>
      </c>
      <c r="AA22" s="2703">
        <f>Table!P251</f>
        <v>0</v>
      </c>
      <c r="AB22" s="123"/>
      <c r="AC22" s="123"/>
      <c r="AD22" s="123"/>
      <c r="AE22" s="123"/>
      <c r="AF22" s="2764"/>
    </row>
    <row r="23" spans="1:33" ht="14.25">
      <c r="A23" t="s">
        <v>429</v>
      </c>
      <c r="C23" s="54">
        <f>0.5*C17*C21*C22</f>
        <v>1.4301620542760574</v>
      </c>
      <c r="D23" s="187" t="s">
        <v>421</v>
      </c>
      <c r="E23" s="18"/>
      <c r="J23" s="46"/>
      <c r="K23" s="159"/>
      <c r="L23" s="2665" t="s">
        <v>669</v>
      </c>
      <c r="M23" s="2703">
        <f>Table!B252</f>
        <v>565.80236402288631</v>
      </c>
      <c r="N23" s="2703">
        <f>Table!C252</f>
        <v>0</v>
      </c>
      <c r="O23" s="2703">
        <f>Table!D252</f>
        <v>423.04914874830524</v>
      </c>
      <c r="P23" s="2703">
        <f>Table!E252</f>
        <v>582.11920072890814</v>
      </c>
      <c r="Q23" s="2703">
        <f>Table!F252</f>
        <v>0</v>
      </c>
      <c r="R23" s="2703">
        <f>Table!G252</f>
        <v>390.84490529731136</v>
      </c>
      <c r="S23" s="2703">
        <f>Table!H252</f>
        <v>272.78984012565195</v>
      </c>
      <c r="T23" s="2703">
        <f>Table!I252</f>
        <v>0</v>
      </c>
      <c r="U23" s="2703">
        <f>Table!J252</f>
        <v>97.286819825378984</v>
      </c>
      <c r="V23" s="2703">
        <f>Table!K252</f>
        <v>32.44545998955752</v>
      </c>
      <c r="W23" s="2703">
        <f>Table!L252</f>
        <v>72.286302987137418</v>
      </c>
      <c r="X23" s="2703">
        <f>Table!M252</f>
        <v>0</v>
      </c>
      <c r="Y23" s="2703">
        <f>Table!N252</f>
        <v>32.44545998955752</v>
      </c>
      <c r="Z23" s="2703">
        <f>Table!O252</f>
        <v>87.68429001044251</v>
      </c>
      <c r="AA23" s="2703">
        <f>Table!P252</f>
        <v>0</v>
      </c>
      <c r="AB23" s="2703" t="e">
        <f>Table!Q252</f>
        <v>#NUM!</v>
      </c>
      <c r="AC23" s="2703" t="e">
        <f>Table!R252</f>
        <v>#NUM!</v>
      </c>
      <c r="AD23" s="2703" t="e">
        <f>Table!S252</f>
        <v>#NUM!</v>
      </c>
      <c r="AE23" s="2703">
        <f>Table!T252</f>
        <v>2.4785500943559051</v>
      </c>
      <c r="AF23" s="2703">
        <f>Table!U252</f>
        <v>2.6918328425422189</v>
      </c>
    </row>
    <row r="24" spans="1:33" ht="14.25">
      <c r="A24" s="187" t="s">
        <v>452</v>
      </c>
      <c r="C24" s="84">
        <f>0.091*C12^0.5</f>
        <v>0.42682783414393211</v>
      </c>
      <c r="D24" s="187" t="s">
        <v>421</v>
      </c>
      <c r="E24" s="30" t="s">
        <v>430</v>
      </c>
      <c r="H24" s="115">
        <f>0.17*C12^0.5</f>
        <v>0.79737067916998317</v>
      </c>
      <c r="I24" s="187" t="s">
        <v>421</v>
      </c>
      <c r="J24" s="109"/>
      <c r="K24" s="159"/>
      <c r="L24" s="2716" t="s">
        <v>671</v>
      </c>
      <c r="M24" s="2715">
        <f>MAX(M20:M23)</f>
        <v>565.80236402288631</v>
      </c>
      <c r="N24" s="2715">
        <f t="shared" ref="N24:AA24" si="6">MAX(N20:N23)</f>
        <v>0</v>
      </c>
      <c r="O24" s="2715">
        <f t="shared" si="6"/>
        <v>447.88071124830526</v>
      </c>
      <c r="P24" s="2715">
        <f t="shared" si="6"/>
        <v>582.11920072890814</v>
      </c>
      <c r="Q24" s="2715">
        <f t="shared" si="6"/>
        <v>0</v>
      </c>
      <c r="R24" s="2715">
        <f t="shared" si="6"/>
        <v>433.95923178036224</v>
      </c>
      <c r="S24" s="2715">
        <f t="shared" si="6"/>
        <v>272.78984012565195</v>
      </c>
      <c r="T24" s="2715">
        <f t="shared" si="6"/>
        <v>0</v>
      </c>
      <c r="U24" s="2715">
        <f t="shared" si="6"/>
        <v>149.07629350122636</v>
      </c>
      <c r="V24" s="2715">
        <f t="shared" si="6"/>
        <v>67.460857404030492</v>
      </c>
      <c r="W24" s="2715">
        <f t="shared" si="6"/>
        <v>72.286302987137418</v>
      </c>
      <c r="X24" s="2715">
        <f t="shared" si="6"/>
        <v>0</v>
      </c>
      <c r="Y24" s="2715">
        <f t="shared" si="6"/>
        <v>67.460857404030492</v>
      </c>
      <c r="Z24" s="2715">
        <f t="shared" si="6"/>
        <v>87.68429001044251</v>
      </c>
      <c r="AA24" s="2715">
        <f t="shared" si="6"/>
        <v>0</v>
      </c>
      <c r="AB24" s="2776" t="e">
        <f>MIN(AB21,AB23)</f>
        <v>#NUM!</v>
      </c>
      <c r="AC24" s="2776" t="e">
        <f t="shared" ref="AC24" si="7">MIN(AC21,AC23)</f>
        <v>#NUM!</v>
      </c>
      <c r="AD24" s="2776" t="e">
        <f t="shared" ref="AD24" si="8">MIN(AD21,AD23)</f>
        <v>#NUM!</v>
      </c>
      <c r="AE24" s="2776">
        <f t="shared" ref="AE24" si="9">MIN(AE21,AE23)</f>
        <v>2.4785500943559051</v>
      </c>
      <c r="AF24" s="2776">
        <f t="shared" ref="AF24" si="10">MIN(AF21,AF23)</f>
        <v>2.6918328425422189</v>
      </c>
    </row>
    <row r="25" spans="1:33">
      <c r="K25" s="159"/>
      <c r="M25" s="2639"/>
      <c r="N25" s="16"/>
      <c r="O25" s="58"/>
      <c r="S25" s="2639"/>
      <c r="T25" s="16"/>
      <c r="U25" s="58"/>
      <c r="Y25" s="2639"/>
      <c r="Z25" s="16"/>
      <c r="AA25" s="58"/>
      <c r="AB25" s="104"/>
      <c r="AC25" s="104"/>
      <c r="AD25" s="104"/>
      <c r="AE25" s="104"/>
      <c r="AF25" s="2765"/>
    </row>
    <row r="26" spans="1:33">
      <c r="E26" s="84">
        <f>E59-B57</f>
        <v>17.7</v>
      </c>
      <c r="F26" s="187" t="s">
        <v>5</v>
      </c>
      <c r="K26" s="159"/>
      <c r="L26" s="2716" t="s">
        <v>671</v>
      </c>
      <c r="M26" s="2642">
        <f>MAX(M12,M24)</f>
        <v>565.80236402288631</v>
      </c>
      <c r="N26" s="456">
        <f t="shared" ref="N26:AA26" si="11">MAX(N12,N24)</f>
        <v>0</v>
      </c>
      <c r="O26" s="2643">
        <f t="shared" si="11"/>
        <v>460.2851012940688</v>
      </c>
      <c r="P26" s="456">
        <f t="shared" si="11"/>
        <v>582.11920072890814</v>
      </c>
      <c r="Q26" s="456">
        <f t="shared" si="11"/>
        <v>0</v>
      </c>
      <c r="R26" s="456">
        <f t="shared" si="11"/>
        <v>449.52330029862281</v>
      </c>
      <c r="S26" s="2642">
        <f t="shared" si="11"/>
        <v>272.78984012565195</v>
      </c>
      <c r="T26" s="456">
        <f t="shared" si="11"/>
        <v>0</v>
      </c>
      <c r="U26" s="2643">
        <f t="shared" si="11"/>
        <v>165.53009921188783</v>
      </c>
      <c r="V26" s="456">
        <f t="shared" si="11"/>
        <v>67.460857404030492</v>
      </c>
      <c r="W26" s="456">
        <f t="shared" si="11"/>
        <v>72.286302987137418</v>
      </c>
      <c r="X26" s="456">
        <f t="shared" si="11"/>
        <v>0</v>
      </c>
      <c r="Y26" s="2642">
        <f t="shared" si="11"/>
        <v>67.460857404030492</v>
      </c>
      <c r="Z26" s="456">
        <f t="shared" si="11"/>
        <v>87.68429001044251</v>
      </c>
      <c r="AA26" s="2643">
        <f t="shared" si="11"/>
        <v>0</v>
      </c>
      <c r="AB26" s="2777" t="e">
        <f t="shared" ref="AB26:AF26" si="12">MIN(AB12,AB24)</f>
        <v>#NUM!</v>
      </c>
      <c r="AC26" s="2777" t="e">
        <f t="shared" si="12"/>
        <v>#NUM!</v>
      </c>
      <c r="AD26" s="2777" t="e">
        <f t="shared" si="12"/>
        <v>#NUM!</v>
      </c>
      <c r="AE26" s="2777">
        <f t="shared" si="12"/>
        <v>2.4785500943559051</v>
      </c>
      <c r="AF26" s="2777">
        <f t="shared" si="12"/>
        <v>2.6918328425422189</v>
      </c>
      <c r="AG26" s="2755"/>
    </row>
    <row r="27" spans="1:33">
      <c r="F27" s="189">
        <f>(G37-B41)*I17</f>
        <v>11.700000000000001</v>
      </c>
      <c r="H27" s="188">
        <f>H57</f>
        <v>2.7</v>
      </c>
      <c r="I27" t="s">
        <v>5</v>
      </c>
      <c r="K27" s="159"/>
    </row>
    <row r="28" spans="1:33">
      <c r="K28" s="159"/>
    </row>
    <row r="29" spans="1:33">
      <c r="C29" s="33">
        <f>E26-G29</f>
        <v>3.2999999999999972</v>
      </c>
      <c r="D29" s="187" t="s">
        <v>5</v>
      </c>
      <c r="G29" s="33">
        <f>H27+F27</f>
        <v>14.400000000000002</v>
      </c>
      <c r="H29" s="187" t="s">
        <v>5</v>
      </c>
      <c r="I29" s="187"/>
      <c r="K29" s="159"/>
    </row>
    <row r="30" spans="1:33">
      <c r="K30" s="159"/>
    </row>
    <row r="31" spans="1:33">
      <c r="G31" s="33">
        <f>H27+G34</f>
        <v>8.5500000000000007</v>
      </c>
      <c r="H31" s="187" t="s">
        <v>5</v>
      </c>
      <c r="K31" s="159"/>
    </row>
    <row r="32" spans="1:33">
      <c r="K32" s="159"/>
    </row>
    <row r="33" spans="1:16">
      <c r="K33" s="159"/>
    </row>
    <row r="34" spans="1:16" ht="15">
      <c r="G34" s="1967">
        <f>F27/2</f>
        <v>5.8500000000000005</v>
      </c>
      <c r="I34" s="856">
        <v>1</v>
      </c>
      <c r="K34" s="159"/>
    </row>
    <row r="35" spans="1:16">
      <c r="K35" s="159"/>
    </row>
    <row r="36" spans="1:16" ht="15">
      <c r="A36" s="33">
        <f>DATA!F95</f>
        <v>9.2998632622097617</v>
      </c>
      <c r="H36" s="1364">
        <f>IF(Hydraulic!D44=0,"",2)</f>
        <v>2</v>
      </c>
      <c r="I36" s="205">
        <f>DATA!C48-(DATA!D44+DATA!C45)/(I17*1000)</f>
        <v>14.8</v>
      </c>
      <c r="J36" s="187" t="s">
        <v>379</v>
      </c>
      <c r="K36" s="159"/>
      <c r="M36" s="495" t="s">
        <v>1806</v>
      </c>
      <c r="N36" s="55"/>
      <c r="O36" s="55"/>
      <c r="P36" s="56"/>
    </row>
    <row r="37" spans="1:16" ht="15">
      <c r="B37" s="1969">
        <f>IF(D38="",IF(F37="",IF(H36="",I34+1,H36+1),F37+1),D38+1)</f>
        <v>5</v>
      </c>
      <c r="F37" s="1968">
        <f>IF(G37=E39,"",IF(Hydraulic!D44=0,2,3))</f>
        <v>3</v>
      </c>
      <c r="G37" s="223">
        <f>IF(I36-H57/I17&lt;=B41,B41,I36-H57/I17)</f>
        <v>13.9</v>
      </c>
      <c r="K37" s="159"/>
      <c r="M37" s="369" t="s">
        <v>1807</v>
      </c>
      <c r="N37" s="16"/>
      <c r="O37" s="16"/>
      <c r="P37" s="58"/>
    </row>
    <row r="38" spans="1:16" ht="15">
      <c r="D38" s="1969">
        <f>IF(B41=E39,"",IF(F37="",IF(H36="",I34+1,N(H36)+1),N(F37)+1))</f>
        <v>4</v>
      </c>
      <c r="K38" s="159"/>
      <c r="M38" s="371" t="s">
        <v>1808</v>
      </c>
      <c r="N38" s="59"/>
      <c r="O38" s="59"/>
      <c r="P38" s="60"/>
    </row>
    <row r="39" spans="1:16" ht="15">
      <c r="E39" s="1937">
        <f>IF(G37-G34/I17&lt;=B41,B41,G37-G34/I17)</f>
        <v>11.95</v>
      </c>
      <c r="K39" s="159"/>
    </row>
    <row r="40" spans="1:16">
      <c r="K40" s="159"/>
    </row>
    <row r="41" spans="1:16">
      <c r="A41" s="203" t="s">
        <v>149</v>
      </c>
      <c r="B41" s="141">
        <f>Hydraulic!D54</f>
        <v>10</v>
      </c>
      <c r="K41" s="159"/>
    </row>
    <row r="42" spans="1:16" ht="15">
      <c r="G42" s="338" t="s">
        <v>650</v>
      </c>
      <c r="H42" s="2003">
        <f>IF(F4=1,J5,J6)</f>
        <v>10</v>
      </c>
      <c r="I42" s="54">
        <f>I36-I48</f>
        <v>7.8000000000000007</v>
      </c>
      <c r="K42" s="159"/>
    </row>
    <row r="43" spans="1:16" ht="15">
      <c r="G43" s="338"/>
      <c r="K43" s="159"/>
    </row>
    <row r="44" spans="1:16" ht="15">
      <c r="A44" s="2001">
        <f>IF(F4=1,I5,I6)</f>
        <v>10.92869839937665</v>
      </c>
      <c r="E44" s="2001">
        <f>I45-((I45-A44)/E26)*G29</f>
        <v>11.066261472113672</v>
      </c>
      <c r="F44" s="2002">
        <f>I45-((I45-A44)/E26)*G31</f>
        <v>11.310123282874759</v>
      </c>
      <c r="G44" s="187" t="s">
        <v>379</v>
      </c>
      <c r="K44" s="159"/>
    </row>
    <row r="45" spans="1:16">
      <c r="H45" s="2001">
        <f>I45-((I45-A44)/E26)*H27</f>
        <v>11.553985093635845</v>
      </c>
      <c r="I45" s="2000">
        <f>IF(F4=1,H5,H6)</f>
        <v>11.666536698602499</v>
      </c>
      <c r="J45" s="187" t="s">
        <v>379</v>
      </c>
      <c r="K45" s="159"/>
    </row>
    <row r="46" spans="1:16">
      <c r="B46" s="36">
        <f>B41-D50</f>
        <v>3.9000000000000004</v>
      </c>
      <c r="D46" t="s">
        <v>320</v>
      </c>
      <c r="K46" s="159"/>
    </row>
    <row r="47" spans="1:16">
      <c r="K47" s="159"/>
      <c r="N47" s="2" t="s">
        <v>1835</v>
      </c>
    </row>
    <row r="48" spans="1:16">
      <c r="I48" s="133">
        <f>Hydraulic!D26</f>
        <v>7</v>
      </c>
      <c r="J48" s="187" t="s">
        <v>379</v>
      </c>
      <c r="K48" s="159"/>
      <c r="N48" s="2" t="s">
        <v>1836</v>
      </c>
    </row>
    <row r="49" spans="1:20">
      <c r="G49" s="162">
        <f>I48-D50</f>
        <v>0.90000000000000036</v>
      </c>
      <c r="H49" s="187" t="s">
        <v>5</v>
      </c>
      <c r="K49" s="159"/>
      <c r="N49" s="2596">
        <f>B57</f>
        <v>1.2</v>
      </c>
    </row>
    <row r="50" spans="1:20">
      <c r="D50" s="141">
        <f>Hydraulic!D43</f>
        <v>6.1</v>
      </c>
      <c r="K50" s="159"/>
    </row>
    <row r="51" spans="1:20">
      <c r="A51" s="190">
        <f>A66</f>
        <v>0.65</v>
      </c>
      <c r="K51" s="159"/>
      <c r="M51" s="3057">
        <f>A51</f>
        <v>0.65</v>
      </c>
    </row>
    <row r="52" spans="1:20">
      <c r="A52" s="3226">
        <f>Hydraulic!J28</f>
        <v>0.3</v>
      </c>
      <c r="K52" s="159"/>
      <c r="M52" s="3057"/>
    </row>
    <row r="53" spans="1:20">
      <c r="A53" s="3226"/>
      <c r="K53" s="159"/>
      <c r="M53" s="3057">
        <f>A52</f>
        <v>0.3</v>
      </c>
    </row>
    <row r="54" spans="1:20" ht="15">
      <c r="B54" s="337">
        <f>B37</f>
        <v>5</v>
      </c>
      <c r="E54" s="849">
        <f>D38</f>
        <v>4</v>
      </c>
      <c r="F54" s="852">
        <f>F37</f>
        <v>3</v>
      </c>
      <c r="H54" s="18">
        <f>H36</f>
        <v>2</v>
      </c>
      <c r="I54" s="849">
        <f>I34</f>
        <v>1</v>
      </c>
      <c r="K54" s="159"/>
      <c r="M54" s="3057"/>
    </row>
    <row r="55" spans="1:20" ht="15">
      <c r="A55" s="337"/>
      <c r="B55" s="189">
        <f>Hydraulic!I33</f>
        <v>0.9</v>
      </c>
      <c r="C55" s="337"/>
      <c r="D55" s="337"/>
      <c r="E55" s="338"/>
      <c r="F55" s="84"/>
      <c r="G55" s="337"/>
      <c r="H55" s="337"/>
      <c r="I55" s="337"/>
      <c r="J55" s="337"/>
      <c r="K55" s="159"/>
    </row>
    <row r="56" spans="1:20" ht="15">
      <c r="A56" s="337"/>
      <c r="C56" s="337"/>
      <c r="D56" s="337"/>
      <c r="F56" s="84"/>
      <c r="G56" s="337"/>
      <c r="J56" s="337"/>
      <c r="K56" s="159"/>
    </row>
    <row r="57" spans="1:20" ht="15">
      <c r="A57" s="337"/>
      <c r="B57" s="189">
        <f>Hydraulic!D56</f>
        <v>1.2</v>
      </c>
      <c r="C57" s="337"/>
      <c r="D57" s="337"/>
      <c r="E57" s="220">
        <f>E59-H57-B57</f>
        <v>15</v>
      </c>
      <c r="F57" s="84"/>
      <c r="G57" s="337"/>
      <c r="H57" s="188">
        <f>Hydraulic!D46</f>
        <v>2.7</v>
      </c>
      <c r="I57" s="337"/>
      <c r="J57" s="337"/>
      <c r="K57" s="159"/>
      <c r="N57" s="649">
        <f>B55</f>
        <v>0.9</v>
      </c>
      <c r="O57" s="33">
        <f>Hydraulic!G33</f>
        <v>0.3</v>
      </c>
    </row>
    <row r="58" spans="1:20" ht="15">
      <c r="A58" s="337"/>
      <c r="B58" s="337"/>
      <c r="C58" s="337"/>
      <c r="D58" s="337"/>
      <c r="E58" s="338"/>
      <c r="F58" s="84"/>
      <c r="G58" s="337"/>
      <c r="H58" s="337"/>
      <c r="I58" s="337"/>
      <c r="J58" s="337"/>
      <c r="K58" s="159"/>
      <c r="M58" s="337"/>
    </row>
    <row r="59" spans="1:20" ht="15">
      <c r="A59" s="337"/>
      <c r="B59" s="337"/>
      <c r="C59" s="337"/>
      <c r="D59" s="337"/>
      <c r="E59" s="84">
        <f>Hydraulic!D49</f>
        <v>18.899999999999999</v>
      </c>
      <c r="F59" s="245" t="s">
        <v>5</v>
      </c>
      <c r="G59" s="337"/>
      <c r="H59" s="337"/>
      <c r="I59" s="337"/>
      <c r="J59" s="337"/>
      <c r="K59" s="159"/>
      <c r="O59" s="341">
        <f>O57+N57</f>
        <v>1.2</v>
      </c>
    </row>
    <row r="60" spans="1:20" ht="15">
      <c r="A60" s="337"/>
      <c r="B60" s="337"/>
      <c r="C60" s="337"/>
      <c r="D60" s="337"/>
      <c r="E60" s="338"/>
      <c r="F60" s="84"/>
      <c r="G60" s="337"/>
      <c r="H60" s="337"/>
      <c r="I60" s="337"/>
      <c r="J60" s="337"/>
      <c r="K60" s="159"/>
      <c r="M60" s="84"/>
    </row>
    <row r="61" spans="1:20" ht="15">
      <c r="A61" s="337"/>
      <c r="B61" s="337"/>
      <c r="C61" s="337"/>
      <c r="D61" s="337"/>
      <c r="E61" s="338"/>
      <c r="F61" s="84"/>
      <c r="G61" s="337"/>
      <c r="H61" s="337"/>
      <c r="I61" s="337"/>
      <c r="J61" s="337"/>
      <c r="K61" s="159"/>
      <c r="L61" s="46"/>
      <c r="M61" s="46"/>
      <c r="N61" s="46"/>
      <c r="O61" s="46"/>
      <c r="P61" s="46"/>
      <c r="Q61" s="46"/>
    </row>
    <row r="62" spans="1:20" ht="15">
      <c r="A62" s="337"/>
      <c r="B62" s="649">
        <f>B57</f>
        <v>1.2</v>
      </c>
      <c r="C62" s="793">
        <f>C29</f>
        <v>3.2999999999999972</v>
      </c>
      <c r="D62" s="337"/>
      <c r="E62" s="649">
        <f>F27-G34</f>
        <v>5.8500000000000005</v>
      </c>
      <c r="F62" s="54">
        <f>G34</f>
        <v>5.8500000000000005</v>
      </c>
      <c r="G62" s="337"/>
      <c r="H62" s="337"/>
      <c r="I62" s="339" t="str">
        <f>"Sec "&amp;I34&amp;"-"&amp;I34</f>
        <v>Sec 1-1</v>
      </c>
      <c r="J62" s="337"/>
      <c r="K62" s="159"/>
      <c r="L62" s="3236" t="s">
        <v>1121</v>
      </c>
      <c r="M62" s="3237"/>
      <c r="N62" s="3237"/>
      <c r="O62" s="3237"/>
      <c r="P62" s="3238"/>
      <c r="Q62" s="3247" t="s">
        <v>2033</v>
      </c>
      <c r="R62" s="3248"/>
      <c r="S62" s="3248"/>
      <c r="T62" s="3249"/>
    </row>
    <row r="63" spans="1:20">
      <c r="D63" s="187"/>
      <c r="H63" s="187" t="str">
        <f>"Sec "&amp;H36&amp;"-"&amp;H36</f>
        <v>Sec 2-2</v>
      </c>
      <c r="K63" s="159"/>
      <c r="L63" s="797" t="s">
        <v>876</v>
      </c>
      <c r="M63" s="798" t="s">
        <v>1117</v>
      </c>
      <c r="N63" s="799"/>
      <c r="O63" s="812" t="s">
        <v>619</v>
      </c>
      <c r="P63" s="1990" t="s">
        <v>676</v>
      </c>
      <c r="Q63" s="2523" t="s">
        <v>1695</v>
      </c>
      <c r="R63" s="355" t="s">
        <v>1329</v>
      </c>
      <c r="S63" s="355" t="s">
        <v>1330</v>
      </c>
      <c r="T63" s="2548" t="s">
        <v>676</v>
      </c>
    </row>
    <row r="64" spans="1:20">
      <c r="B64" s="17" t="str">
        <f>"Sec "&amp;L70</f>
        <v>Sec 5-5</v>
      </c>
      <c r="C64" s="187"/>
      <c r="D64" t="str">
        <f>"Sec "&amp;L69</f>
        <v>Sec 4-4</v>
      </c>
      <c r="F64" s="187" t="str">
        <f>"Sec "&amp;L68</f>
        <v>Sec 3-3</v>
      </c>
      <c r="I64" s="2005">
        <f>I218</f>
        <v>1.2</v>
      </c>
      <c r="J64" s="187" t="s">
        <v>5</v>
      </c>
      <c r="K64" s="159"/>
      <c r="L64" s="800"/>
      <c r="M64" s="3217" t="s">
        <v>1119</v>
      </c>
      <c r="N64" s="801" t="s">
        <v>1118</v>
      </c>
      <c r="O64" s="813" t="s">
        <v>99</v>
      </c>
      <c r="P64" s="1991"/>
      <c r="Q64" s="960"/>
      <c r="R64" s="354" t="s">
        <v>619</v>
      </c>
      <c r="S64" s="354" t="s">
        <v>619</v>
      </c>
      <c r="T64" s="58"/>
    </row>
    <row r="65" spans="1:20">
      <c r="I65" s="187" t="s">
        <v>301</v>
      </c>
      <c r="K65" s="159"/>
      <c r="L65" s="802"/>
      <c r="M65" s="3218"/>
      <c r="N65" s="803"/>
      <c r="O65" s="814"/>
      <c r="P65" s="1992"/>
      <c r="Q65" s="1861" t="s">
        <v>5</v>
      </c>
      <c r="R65" s="256" t="s">
        <v>5</v>
      </c>
      <c r="S65" s="256" t="s">
        <v>5</v>
      </c>
      <c r="T65" s="93"/>
    </row>
    <row r="66" spans="1:20">
      <c r="A66" s="2007">
        <f>I1211</f>
        <v>0.65</v>
      </c>
      <c r="B66" s="30" t="s">
        <v>1800</v>
      </c>
      <c r="H66" t="s">
        <v>118</v>
      </c>
      <c r="K66" s="159"/>
      <c r="L66" s="918" t="str">
        <f>I34&amp;"-"&amp;I34</f>
        <v>1-1</v>
      </c>
      <c r="M66" s="1362">
        <f>Hydraulic!I1070</f>
        <v>1.1793763051770298</v>
      </c>
      <c r="N66" s="805">
        <f>I217</f>
        <v>-0.42436201257997985</v>
      </c>
      <c r="O66" s="810">
        <v>1.2</v>
      </c>
      <c r="P66" s="1993" t="str">
        <f>I283</f>
        <v>o.k</v>
      </c>
      <c r="Q66" s="2520">
        <f>I131</f>
        <v>7.8000000000000007</v>
      </c>
      <c r="R66" s="810">
        <v>0.3</v>
      </c>
      <c r="S66" s="810">
        <v>0.8</v>
      </c>
      <c r="T66" s="2522" t="str">
        <f>I142</f>
        <v>ok</v>
      </c>
    </row>
    <row r="67" spans="1:20" ht="15">
      <c r="K67" s="159"/>
      <c r="L67" s="919" t="str">
        <f>H36&amp;"-"&amp;H36</f>
        <v>2-2</v>
      </c>
      <c r="M67" s="917">
        <f>Hydraulic!G1075</f>
        <v>1.0968577278901674</v>
      </c>
      <c r="N67" s="807">
        <f>I466</f>
        <v>-0.20147517798313364</v>
      </c>
      <c r="O67" s="811">
        <v>1.2</v>
      </c>
      <c r="P67" s="1993" t="str">
        <f>I531</f>
        <v>o.k</v>
      </c>
      <c r="Q67" s="446">
        <f>I380</f>
        <v>7.8000000000000007</v>
      </c>
      <c r="R67" s="591">
        <v>0.3</v>
      </c>
      <c r="S67" s="591">
        <v>0.8</v>
      </c>
      <c r="T67" s="2521" t="str">
        <f>I391</f>
        <v>ok</v>
      </c>
    </row>
    <row r="68" spans="1:20">
      <c r="A68" s="46"/>
      <c r="B68" s="46"/>
      <c r="C68" s="115">
        <f>A66+(H69-A66)*B71/D72</f>
        <v>0.69074074074074077</v>
      </c>
      <c r="D68" s="46" t="s">
        <v>5</v>
      </c>
      <c r="E68" s="2006">
        <f>A66+(H69-A66)*(B62+C62)/D72</f>
        <v>0.8027777777777777</v>
      </c>
      <c r="F68" s="46"/>
      <c r="G68" s="46"/>
      <c r="H68" s="46"/>
      <c r="I68" s="46"/>
      <c r="J68" s="46"/>
      <c r="K68" s="159"/>
      <c r="L68" s="920" t="str">
        <f>F37&amp;"-"&amp;F37</f>
        <v>3-3</v>
      </c>
      <c r="M68" s="917">
        <f>Hydraulic!E1075</f>
        <v>0.9265812985680707</v>
      </c>
      <c r="N68" s="916">
        <f>I715</f>
        <v>0.33733674030942806</v>
      </c>
      <c r="O68" s="917">
        <f>I716</f>
        <v>1.0013888888888889</v>
      </c>
      <c r="P68" s="1993" t="str">
        <f>I780</f>
        <v>o.k</v>
      </c>
      <c r="Q68" s="446">
        <f>I629</f>
        <v>5.85</v>
      </c>
      <c r="R68" s="591">
        <v>0.3</v>
      </c>
      <c r="S68" s="591">
        <v>0.6</v>
      </c>
      <c r="T68" s="2521" t="str">
        <f>I640</f>
        <v>ok</v>
      </c>
    </row>
    <row r="69" spans="1:20">
      <c r="A69" s="46"/>
      <c r="B69" s="46"/>
      <c r="C69" s="46"/>
      <c r="D69" s="46"/>
      <c r="E69" s="46"/>
      <c r="F69" s="2004">
        <f>A66+(H69-A66)*(B62+C62+E62)/D72</f>
        <v>1.0013888888888889</v>
      </c>
      <c r="G69" s="46"/>
      <c r="H69" s="2005">
        <f>I467</f>
        <v>1.2</v>
      </c>
      <c r="I69" s="46" t="s">
        <v>5</v>
      </c>
      <c r="J69" s="46"/>
      <c r="K69" s="159"/>
      <c r="L69" s="920" t="str">
        <f>D38&amp;"-"&amp;D38</f>
        <v>4-4</v>
      </c>
      <c r="M69" s="917">
        <f>Hydraulic!D1075</f>
        <v>0.75630486924597384</v>
      </c>
      <c r="N69" s="916">
        <f>I962</f>
        <v>0.49886472603720222</v>
      </c>
      <c r="O69" s="917">
        <f>I963</f>
        <v>0.8027777777777777</v>
      </c>
      <c r="P69" s="1993" t="str">
        <f>I1027</f>
        <v>o.k</v>
      </c>
      <c r="Q69" s="446">
        <f>I876</f>
        <v>3.9000000000000004</v>
      </c>
      <c r="R69" s="591">
        <v>0.3</v>
      </c>
      <c r="S69" s="591">
        <v>0.45</v>
      </c>
      <c r="T69" s="2521" t="str">
        <f>I887</f>
        <v>ok</v>
      </c>
    </row>
    <row r="70" spans="1:20" ht="15">
      <c r="A70" s="337"/>
      <c r="B70" s="337"/>
      <c r="C70" s="337"/>
      <c r="D70" s="337"/>
      <c r="E70" s="337"/>
      <c r="F70" s="337"/>
      <c r="G70" s="337"/>
      <c r="H70" s="337"/>
      <c r="I70" s="337"/>
      <c r="J70" s="337"/>
      <c r="K70" s="159"/>
      <c r="L70" s="921" t="str">
        <f>B37&amp;"-"&amp;B37</f>
        <v>5-5</v>
      </c>
      <c r="M70" s="1363">
        <f>Hydraulic!C1075</f>
        <v>0.66025149885915013</v>
      </c>
      <c r="N70" s="809">
        <f>I1210</f>
        <v>0.43350731281263843</v>
      </c>
      <c r="O70" s="592">
        <v>0.65</v>
      </c>
      <c r="P70" s="1994" t="str">
        <f>I1276</f>
        <v>o.k</v>
      </c>
      <c r="Q70" s="1729">
        <f>I1124</f>
        <v>3.9000000000000004</v>
      </c>
      <c r="R70" s="592">
        <v>0.3</v>
      </c>
      <c r="S70" s="592">
        <v>0.45</v>
      </c>
      <c r="T70" s="170" t="str">
        <f>I1135</f>
        <v>ok</v>
      </c>
    </row>
    <row r="71" spans="1:20" ht="15">
      <c r="A71" s="337"/>
      <c r="B71" s="796">
        <f>Hydraulic!G33+Hydraulic!I33</f>
        <v>1.2</v>
      </c>
      <c r="C71" s="1361"/>
      <c r="D71" s="1361"/>
      <c r="E71" s="649">
        <f>Hydraulic!D48-B71</f>
        <v>15</v>
      </c>
      <c r="F71" s="337"/>
      <c r="G71" s="337"/>
      <c r="H71" s="337"/>
      <c r="J71" s="337"/>
      <c r="K71" s="159"/>
      <c r="Q71" s="46"/>
    </row>
    <row r="72" spans="1:20" ht="15">
      <c r="A72" s="337"/>
      <c r="B72" s="796"/>
      <c r="C72" s="1361"/>
      <c r="D72" s="33">
        <f>Hydraulic!D48</f>
        <v>16.2</v>
      </c>
      <c r="E72" s="796"/>
      <c r="F72" s="337"/>
      <c r="G72" s="337"/>
      <c r="H72" s="337"/>
      <c r="J72" s="337"/>
      <c r="K72" s="159"/>
      <c r="L72" s="187" t="s">
        <v>1865</v>
      </c>
      <c r="Q72" s="46"/>
    </row>
    <row r="73" spans="1:20" ht="15">
      <c r="A73" s="337"/>
      <c r="B73" s="796"/>
      <c r="C73" s="1361"/>
      <c r="D73" s="1361"/>
      <c r="E73" s="796"/>
      <c r="F73" s="337"/>
      <c r="G73" s="337"/>
      <c r="H73" s="337"/>
      <c r="J73" s="337"/>
      <c r="K73" s="159"/>
      <c r="M73" s="2161"/>
    </row>
    <row r="74" spans="1:20" ht="15">
      <c r="A74" s="337"/>
      <c r="B74" s="796"/>
      <c r="C74" s="1361"/>
      <c r="D74" s="1361"/>
      <c r="E74" s="796"/>
      <c r="F74" s="337"/>
      <c r="G74" s="337"/>
      <c r="H74" s="337"/>
      <c r="J74" s="337"/>
      <c r="K74" s="159"/>
      <c r="N74" s="115"/>
    </row>
    <row r="75" spans="1:20" ht="15">
      <c r="C75" s="851">
        <f>B37</f>
        <v>5</v>
      </c>
      <c r="D75" s="339">
        <f>D38</f>
        <v>4</v>
      </c>
      <c r="J75" s="46"/>
      <c r="K75" s="159"/>
    </row>
    <row r="76" spans="1:20" ht="15">
      <c r="I76" s="849">
        <f>I34</f>
        <v>1</v>
      </c>
      <c r="J76" s="46"/>
      <c r="K76" s="159"/>
    </row>
    <row r="77" spans="1:20" ht="15">
      <c r="A77" s="337"/>
      <c r="C77" s="337"/>
      <c r="D77" s="337"/>
      <c r="E77" s="922">
        <f>F37</f>
        <v>3</v>
      </c>
      <c r="F77" s="337"/>
      <c r="G77" s="1936">
        <f>H36</f>
        <v>2</v>
      </c>
      <c r="H77" s="337"/>
      <c r="I77" s="337"/>
      <c r="J77" s="46"/>
      <c r="K77" s="159"/>
      <c r="M77" s="2161"/>
    </row>
    <row r="78" spans="1:20" ht="15">
      <c r="A78" s="337"/>
      <c r="B78" s="934"/>
      <c r="C78" s="337"/>
      <c r="D78" s="337"/>
      <c r="E78" s="337"/>
      <c r="F78" s="340"/>
      <c r="G78" s="337"/>
      <c r="H78" s="337"/>
      <c r="I78" s="337"/>
      <c r="J78" s="46"/>
      <c r="K78" s="159"/>
    </row>
    <row r="79" spans="1:20" ht="15">
      <c r="A79" s="337"/>
      <c r="B79" s="934"/>
      <c r="C79" s="851"/>
      <c r="D79" s="851"/>
      <c r="E79" s="922"/>
      <c r="F79" s="340"/>
      <c r="G79" s="337"/>
      <c r="H79" s="337"/>
      <c r="I79" s="337"/>
      <c r="J79" s="46"/>
      <c r="K79" s="159"/>
    </row>
    <row r="80" spans="1:20" ht="15">
      <c r="A80" s="337"/>
      <c r="B80" s="934"/>
      <c r="C80" s="337"/>
      <c r="D80" s="337"/>
      <c r="E80" s="337"/>
      <c r="F80" s="340"/>
      <c r="G80" s="337"/>
      <c r="H80" s="337"/>
      <c r="I80" s="337"/>
      <c r="J80" s="46"/>
      <c r="K80" s="159"/>
    </row>
    <row r="81" spans="1:11" ht="15">
      <c r="A81" s="337"/>
      <c r="B81" s="1938"/>
      <c r="D81" s="337"/>
      <c r="E81" s="337"/>
      <c r="F81" s="340"/>
      <c r="G81" s="337"/>
      <c r="H81" s="337"/>
      <c r="I81" s="205">
        <f>H142</f>
        <v>0.8</v>
      </c>
      <c r="J81" s="46"/>
      <c r="K81" s="159"/>
    </row>
    <row r="82" spans="1:11" ht="15">
      <c r="A82" s="337"/>
      <c r="B82" s="1939"/>
      <c r="D82" s="337"/>
      <c r="E82" s="337"/>
      <c r="F82" s="340"/>
      <c r="G82" s="337"/>
      <c r="H82" s="291"/>
      <c r="I82" s="337"/>
      <c r="J82" s="46"/>
      <c r="K82" s="159"/>
    </row>
    <row r="83" spans="1:11" ht="15">
      <c r="A83" s="337"/>
      <c r="B83" s="1938"/>
      <c r="D83" s="337"/>
      <c r="E83" s="337"/>
      <c r="F83" s="340"/>
      <c r="G83" s="337"/>
      <c r="H83" s="337"/>
      <c r="I83" s="337"/>
      <c r="J83" s="46"/>
      <c r="K83" s="159"/>
    </row>
    <row r="84" spans="1:11" ht="15">
      <c r="A84" s="337"/>
      <c r="B84" s="1940">
        <f>Hydraulic!A65</f>
        <v>12</v>
      </c>
      <c r="D84" s="84">
        <f>F98*(B84-I84)/F100+I84</f>
        <v>10.461864406779661</v>
      </c>
      <c r="E84" s="337"/>
      <c r="F84" s="245">
        <f>(H96+F96)*(B84-I84)/F100+I84</f>
        <v>7.7351694915254239</v>
      </c>
      <c r="G84" s="337"/>
      <c r="H84" s="85">
        <f>H96*(B84-I84)/F100+I84</f>
        <v>5.0084745762711869</v>
      </c>
      <c r="I84" s="210">
        <f>DATA!H39</f>
        <v>3.75</v>
      </c>
      <c r="J84" s="46"/>
      <c r="K84" s="159"/>
    </row>
    <row r="85" spans="1:11" ht="15">
      <c r="A85" s="337"/>
      <c r="B85" s="1938"/>
      <c r="D85" s="337"/>
      <c r="E85" s="337"/>
      <c r="F85" s="340"/>
      <c r="G85" s="337"/>
      <c r="H85" s="337"/>
      <c r="I85" s="337"/>
      <c r="J85" s="46"/>
      <c r="K85" s="159"/>
    </row>
    <row r="86" spans="1:11" ht="15">
      <c r="A86" s="337"/>
      <c r="B86" s="1939"/>
      <c r="D86" s="115"/>
      <c r="E86" s="187"/>
      <c r="F86" s="245"/>
      <c r="G86" s="84"/>
      <c r="I86" s="36"/>
      <c r="J86" s="46"/>
      <c r="K86" s="159"/>
    </row>
    <row r="87" spans="1:11" ht="15">
      <c r="A87" s="337"/>
      <c r="B87" s="1938"/>
      <c r="D87" s="337"/>
      <c r="E87" s="337"/>
      <c r="F87" s="340"/>
      <c r="G87" s="337"/>
      <c r="H87" s="337"/>
      <c r="I87" s="337"/>
      <c r="J87" s="46"/>
      <c r="K87" s="159"/>
    </row>
    <row r="88" spans="1:11" ht="15">
      <c r="A88" s="337"/>
      <c r="B88" s="1938"/>
      <c r="D88" s="337"/>
      <c r="E88" s="337"/>
      <c r="F88" s="340"/>
      <c r="G88" s="337"/>
      <c r="H88" s="337"/>
      <c r="I88" s="337"/>
      <c r="J88" s="46"/>
      <c r="K88" s="159"/>
    </row>
    <row r="89" spans="1:11" ht="15">
      <c r="A89" s="337"/>
      <c r="B89" s="1938"/>
      <c r="D89" s="337"/>
      <c r="E89" s="337"/>
      <c r="F89" s="340"/>
      <c r="G89" s="337"/>
      <c r="H89" s="337"/>
      <c r="I89" s="205">
        <f>H142</f>
        <v>0.8</v>
      </c>
      <c r="J89" s="46"/>
      <c r="K89" s="159"/>
    </row>
    <row r="90" spans="1:11" ht="15">
      <c r="A90" s="337"/>
      <c r="B90" s="1939"/>
      <c r="D90" s="337"/>
      <c r="E90" s="337"/>
      <c r="F90" s="340"/>
      <c r="G90" s="337"/>
      <c r="H90" s="337"/>
      <c r="I90" s="337"/>
      <c r="J90" s="46"/>
      <c r="K90" s="159"/>
    </row>
    <row r="91" spans="1:11" ht="15">
      <c r="A91" s="337"/>
      <c r="B91" s="1938"/>
      <c r="D91" s="337"/>
      <c r="E91" s="337"/>
      <c r="F91" s="340"/>
      <c r="G91" s="337"/>
      <c r="H91" s="337"/>
      <c r="I91" s="337"/>
      <c r="J91" s="46"/>
      <c r="K91" s="159"/>
    </row>
    <row r="92" spans="1:11" ht="15">
      <c r="A92" s="337"/>
      <c r="B92" s="934"/>
      <c r="C92" s="337"/>
      <c r="D92" s="337"/>
      <c r="E92" s="337"/>
      <c r="F92" s="340"/>
      <c r="G92" s="337"/>
      <c r="H92" s="337"/>
      <c r="I92" s="337"/>
      <c r="J92" s="46"/>
      <c r="K92" s="159"/>
    </row>
    <row r="93" spans="1:11" ht="15">
      <c r="A93" s="337"/>
      <c r="B93" s="934"/>
      <c r="C93" s="851"/>
      <c r="D93" s="851"/>
      <c r="E93" s="922"/>
      <c r="F93" s="850">
        <f>E77</f>
        <v>3</v>
      </c>
      <c r="G93" s="339">
        <f>G77</f>
        <v>2</v>
      </c>
      <c r="H93" s="337"/>
      <c r="I93" s="849">
        <f>I76</f>
        <v>1</v>
      </c>
      <c r="J93" s="46"/>
      <c r="K93" s="159"/>
    </row>
    <row r="94" spans="1:11" ht="15">
      <c r="A94" s="337"/>
      <c r="C94" s="337"/>
      <c r="D94" s="339">
        <f>D75</f>
        <v>4</v>
      </c>
      <c r="E94" s="337"/>
      <c r="F94" s="337"/>
      <c r="G94" s="337"/>
      <c r="H94" s="337"/>
      <c r="I94" s="337"/>
      <c r="J94" s="46"/>
      <c r="K94" s="159"/>
    </row>
    <row r="95" spans="1:11" ht="15">
      <c r="A95" s="337"/>
      <c r="C95" s="851">
        <f>C75</f>
        <v>5</v>
      </c>
      <c r="D95" s="337"/>
      <c r="E95" s="337"/>
      <c r="F95" s="337"/>
      <c r="G95" s="337"/>
      <c r="H95" s="337"/>
      <c r="I95" s="337"/>
      <c r="J95" s="46"/>
      <c r="K95" s="159"/>
    </row>
    <row r="96" spans="1:11" ht="15">
      <c r="A96" s="337"/>
      <c r="C96" s="337"/>
      <c r="D96" s="337"/>
      <c r="E96" s="337"/>
      <c r="F96" s="1937">
        <f>G34</f>
        <v>5.8500000000000005</v>
      </c>
      <c r="G96" s="337" t="s">
        <v>5</v>
      </c>
      <c r="H96" s="54">
        <f>H57</f>
        <v>2.7</v>
      </c>
      <c r="I96" s="337" t="s">
        <v>5</v>
      </c>
      <c r="J96" s="46"/>
      <c r="K96" s="159"/>
    </row>
    <row r="97" spans="1:17" ht="15">
      <c r="A97" s="337"/>
      <c r="C97" s="54"/>
      <c r="E97" s="341"/>
      <c r="F97" s="337"/>
      <c r="G97" s="337"/>
      <c r="H97" s="337"/>
      <c r="I97" s="337"/>
      <c r="J97" s="46"/>
      <c r="K97" s="159"/>
    </row>
    <row r="98" spans="1:17" ht="15">
      <c r="A98" s="46"/>
      <c r="B98" s="1931">
        <f>B57</f>
        <v>1.2</v>
      </c>
      <c r="C98" s="337"/>
      <c r="D98" s="189">
        <f>C29</f>
        <v>3.2999999999999972</v>
      </c>
      <c r="E98" s="337"/>
      <c r="F98" s="54">
        <f>G29</f>
        <v>14.400000000000002</v>
      </c>
      <c r="G98" s="337" t="s">
        <v>5</v>
      </c>
      <c r="H98" s="190"/>
      <c r="I98" s="337"/>
      <c r="J98" s="46"/>
      <c r="K98" s="159"/>
    </row>
    <row r="99" spans="1:17" ht="15">
      <c r="A99" s="46"/>
      <c r="C99" s="337"/>
      <c r="D99" s="337"/>
      <c r="E99" s="337"/>
      <c r="F99" s="337"/>
      <c r="G99" s="337"/>
      <c r="H99" s="337"/>
      <c r="I99" s="337"/>
      <c r="J99" s="46"/>
      <c r="K99" s="159"/>
    </row>
    <row r="100" spans="1:17" ht="15">
      <c r="A100" s="46"/>
      <c r="C100" s="337"/>
      <c r="D100" s="337"/>
      <c r="E100" s="337"/>
      <c r="F100" s="33">
        <f>H57+E57</f>
        <v>17.7</v>
      </c>
      <c r="G100" s="337" t="s">
        <v>5</v>
      </c>
      <c r="H100" s="337"/>
      <c r="I100" s="337"/>
      <c r="J100" s="46"/>
      <c r="K100" s="159"/>
    </row>
    <row r="101" spans="1:17">
      <c r="J101" s="46"/>
      <c r="K101" s="159"/>
    </row>
    <row r="102" spans="1:17">
      <c r="J102" s="46"/>
      <c r="K102" s="159"/>
    </row>
    <row r="103" spans="1:17" ht="15.75">
      <c r="B103" s="238" t="s">
        <v>431</v>
      </c>
      <c r="C103" s="239"/>
      <c r="D103" s="240"/>
      <c r="J103" s="46"/>
      <c r="K103" s="159"/>
      <c r="L103" s="46"/>
      <c r="M103" s="46"/>
      <c r="N103" s="46"/>
      <c r="O103" s="46"/>
      <c r="P103" s="46"/>
      <c r="Q103" s="46"/>
    </row>
    <row r="104" spans="1:17">
      <c r="J104" s="46"/>
      <c r="K104" s="159"/>
      <c r="L104" s="46"/>
      <c r="M104" s="46"/>
      <c r="N104" s="46"/>
      <c r="O104" s="46"/>
      <c r="P104" s="46"/>
      <c r="Q104" s="46"/>
    </row>
    <row r="105" spans="1:17" ht="14.25">
      <c r="B105" s="241" t="s">
        <v>432</v>
      </c>
      <c r="C105" s="16"/>
      <c r="D105" s="241" t="s">
        <v>433</v>
      </c>
      <c r="E105" s="16"/>
      <c r="F105" s="16"/>
      <c r="G105" s="16">
        <f>0.1/100</f>
        <v>1E-3</v>
      </c>
      <c r="H105" s="241" t="s">
        <v>434</v>
      </c>
      <c r="J105" s="46"/>
      <c r="K105" s="159"/>
      <c r="L105" s="46"/>
      <c r="M105" s="46"/>
      <c r="N105" s="46"/>
      <c r="O105" s="46"/>
      <c r="P105" s="46"/>
      <c r="Q105" s="46"/>
    </row>
    <row r="106" spans="1:17" ht="14.25">
      <c r="B106" s="16"/>
      <c r="C106" s="16"/>
      <c r="D106" s="241" t="s">
        <v>435</v>
      </c>
      <c r="E106" s="16"/>
      <c r="F106" s="16"/>
      <c r="G106" s="16">
        <f>0.2/100</f>
        <v>2E-3</v>
      </c>
      <c r="H106" s="241" t="s">
        <v>434</v>
      </c>
      <c r="J106" s="46"/>
      <c r="K106" s="159"/>
      <c r="L106" s="46"/>
      <c r="M106" s="46"/>
      <c r="N106" s="46"/>
      <c r="O106" s="46"/>
      <c r="P106" s="46"/>
      <c r="Q106" s="46"/>
    </row>
    <row r="107" spans="1:17" ht="14.25">
      <c r="B107" s="16"/>
      <c r="C107" s="16"/>
      <c r="D107" s="241" t="s">
        <v>436</v>
      </c>
      <c r="E107" s="16"/>
      <c r="F107" s="16"/>
      <c r="G107" s="16">
        <f>0.15/100</f>
        <v>1.5E-3</v>
      </c>
      <c r="H107" s="241" t="s">
        <v>434</v>
      </c>
      <c r="J107" s="46"/>
      <c r="K107" s="159"/>
      <c r="L107" s="46"/>
      <c r="M107" s="46"/>
      <c r="N107" s="46"/>
      <c r="O107" s="46"/>
      <c r="P107" s="46"/>
      <c r="Q107" s="46"/>
    </row>
    <row r="108" spans="1:17">
      <c r="B108" s="241"/>
      <c r="C108" s="242"/>
      <c r="D108" s="16"/>
      <c r="E108" s="16"/>
      <c r="F108" s="16"/>
      <c r="G108" s="16"/>
      <c r="H108" s="16"/>
      <c r="J108" s="46"/>
      <c r="K108" s="159"/>
      <c r="L108" s="46"/>
      <c r="M108" s="46"/>
      <c r="N108" s="46"/>
      <c r="O108" s="46"/>
      <c r="P108" s="46"/>
      <c r="Q108" s="46"/>
    </row>
    <row r="109" spans="1:17">
      <c r="B109" s="241" t="s">
        <v>437</v>
      </c>
      <c r="C109" s="242"/>
      <c r="D109" s="16"/>
      <c r="E109" s="16"/>
      <c r="F109" s="16"/>
      <c r="G109" s="16"/>
      <c r="H109" s="16"/>
      <c r="J109" s="46"/>
      <c r="K109" s="159"/>
      <c r="L109" s="46"/>
      <c r="M109" s="46"/>
      <c r="N109" s="46"/>
      <c r="O109" s="46"/>
      <c r="P109" s="46"/>
      <c r="Q109" s="46"/>
    </row>
    <row r="110" spans="1:17" ht="14.25">
      <c r="B110" s="241"/>
      <c r="C110" s="242"/>
      <c r="D110" s="241" t="s">
        <v>433</v>
      </c>
      <c r="E110" s="16"/>
      <c r="F110" s="16"/>
      <c r="G110" s="16">
        <f>0.15/100</f>
        <v>1.5E-3</v>
      </c>
      <c r="H110" s="241" t="s">
        <v>434</v>
      </c>
      <c r="J110" s="46"/>
      <c r="K110" s="159"/>
      <c r="L110" s="46"/>
      <c r="M110" s="46"/>
      <c r="N110" s="46"/>
      <c r="O110" s="46"/>
      <c r="P110" s="46"/>
      <c r="Q110" s="46"/>
    </row>
    <row r="111" spans="1:17" ht="14.25">
      <c r="B111" s="16"/>
      <c r="C111" s="16"/>
      <c r="D111" s="241" t="s">
        <v>435</v>
      </c>
      <c r="E111" s="16"/>
      <c r="F111" s="16"/>
      <c r="G111" s="16">
        <f>0.25/100</f>
        <v>2.5000000000000001E-3</v>
      </c>
      <c r="H111" s="241" t="s">
        <v>434</v>
      </c>
      <c r="J111" s="46"/>
      <c r="K111" s="159"/>
      <c r="L111" s="46"/>
      <c r="M111" s="46"/>
      <c r="N111" s="46"/>
      <c r="O111" s="46"/>
      <c r="P111" s="46"/>
      <c r="Q111" s="46"/>
    </row>
    <row r="112" spans="1:17" ht="14.25">
      <c r="B112" s="16"/>
      <c r="C112" s="16"/>
      <c r="D112" s="241" t="s">
        <v>436</v>
      </c>
      <c r="E112" s="16"/>
      <c r="F112" s="16"/>
      <c r="G112" s="16">
        <f>0.2/100</f>
        <v>2E-3</v>
      </c>
      <c r="H112" s="241" t="s">
        <v>434</v>
      </c>
      <c r="J112" s="46"/>
      <c r="K112" s="159"/>
      <c r="L112" s="46"/>
      <c r="M112" s="46"/>
      <c r="N112" s="46"/>
      <c r="O112" s="46"/>
      <c r="P112" s="46"/>
      <c r="Q112" s="46"/>
    </row>
    <row r="113" spans="1:17">
      <c r="B113" s="241" t="s">
        <v>444</v>
      </c>
      <c r="H113" s="16">
        <v>380</v>
      </c>
      <c r="I113" s="241" t="s">
        <v>98</v>
      </c>
      <c r="J113" s="385"/>
      <c r="K113" s="159"/>
      <c r="L113" s="46"/>
      <c r="M113" s="46"/>
      <c r="N113" s="46"/>
      <c r="O113" s="46"/>
      <c r="P113" s="46"/>
      <c r="Q113" s="46"/>
    </row>
    <row r="114" spans="1:17">
      <c r="J114" s="46"/>
      <c r="K114" s="159"/>
      <c r="L114" s="46"/>
      <c r="M114" s="46"/>
      <c r="N114" s="46"/>
      <c r="O114" s="46"/>
      <c r="P114" s="46"/>
      <c r="Q114" s="46"/>
    </row>
    <row r="115" spans="1:17" ht="14.25">
      <c r="A115" s="399" t="s">
        <v>1142</v>
      </c>
      <c r="B115" s="126"/>
      <c r="C115" s="933" t="str">
        <f>L66</f>
        <v>1-1</v>
      </c>
      <c r="D115" s="126" t="s">
        <v>948</v>
      </c>
      <c r="J115" s="46"/>
      <c r="K115" s="159"/>
      <c r="L115" s="46"/>
      <c r="M115" s="46"/>
      <c r="N115" s="46"/>
      <c r="O115" s="46"/>
      <c r="P115" s="46"/>
      <c r="Q115" s="46"/>
    </row>
    <row r="116" spans="1:17">
      <c r="J116" s="46"/>
      <c r="K116" s="159"/>
      <c r="L116" s="46"/>
      <c r="M116" s="46"/>
      <c r="N116" s="46"/>
      <c r="O116" s="46"/>
      <c r="P116" s="46"/>
      <c r="Q116" s="46"/>
    </row>
    <row r="117" spans="1:17">
      <c r="B117" s="1" t="s">
        <v>1110</v>
      </c>
      <c r="J117" s="46"/>
      <c r="K117" s="159"/>
      <c r="L117" s="46"/>
      <c r="M117" s="46"/>
      <c r="N117" s="46"/>
      <c r="O117" s="46"/>
      <c r="P117" s="46"/>
      <c r="Q117" s="46"/>
    </row>
    <row r="118" spans="1:17">
      <c r="B118" s="241" t="s">
        <v>1122</v>
      </c>
      <c r="D118" s="16"/>
      <c r="G118" s="385" t="s">
        <v>1113</v>
      </c>
      <c r="J118" s="46"/>
      <c r="K118" s="159"/>
      <c r="L118" s="46"/>
      <c r="M118" s="46"/>
      <c r="N118" s="46"/>
      <c r="O118" s="46"/>
      <c r="P118" s="46"/>
      <c r="Q118" s="46"/>
    </row>
    <row r="119" spans="1:17" ht="14.25">
      <c r="A119" s="46"/>
      <c r="B119" s="241" t="s">
        <v>111</v>
      </c>
      <c r="C119" s="16">
        <f>IF(I131&lt;=9,G105,G110)</f>
        <v>1E-3</v>
      </c>
      <c r="D119" s="241" t="s">
        <v>438</v>
      </c>
      <c r="G119" s="241" t="s">
        <v>111</v>
      </c>
      <c r="H119" s="16">
        <f>IF(I131&lt;=9,G106,G111)</f>
        <v>2E-3</v>
      </c>
      <c r="I119" s="241" t="s">
        <v>438</v>
      </c>
      <c r="J119" s="46"/>
      <c r="K119" s="159"/>
      <c r="L119" s="46"/>
      <c r="M119" s="46"/>
      <c r="N119" s="46"/>
      <c r="O119" s="46"/>
      <c r="P119" s="46"/>
      <c r="Q119" s="46"/>
    </row>
    <row r="120" spans="1:17" ht="14.25">
      <c r="A120" s="510"/>
      <c r="B120" s="241" t="s">
        <v>110</v>
      </c>
      <c r="C120" s="16">
        <f>IF(E26&lt;=9,G105,G110)</f>
        <v>1.5E-3</v>
      </c>
      <c r="D120" s="241" t="s">
        <v>438</v>
      </c>
      <c r="E120" s="16"/>
      <c r="F120" s="16"/>
      <c r="G120" s="241" t="s">
        <v>110</v>
      </c>
      <c r="H120" s="16">
        <f>IF(E26&lt;=9,G106,G111)</f>
        <v>2.5000000000000001E-3</v>
      </c>
      <c r="I120" s="241" t="s">
        <v>438</v>
      </c>
      <c r="J120" s="46"/>
      <c r="K120" s="159"/>
      <c r="L120" s="46"/>
      <c r="M120" s="46"/>
      <c r="N120" s="46"/>
      <c r="O120" s="46"/>
      <c r="P120" s="46"/>
      <c r="Q120" s="46"/>
    </row>
    <row r="121" spans="1:17" ht="14.25">
      <c r="A121" s="510"/>
      <c r="B121" s="109" t="s">
        <v>601</v>
      </c>
      <c r="C121" s="46"/>
      <c r="E121" s="129">
        <f>1000*(H142+H124)/2</f>
        <v>550</v>
      </c>
      <c r="F121" s="187" t="s">
        <v>98</v>
      </c>
      <c r="J121" s="46"/>
      <c r="K121" s="159"/>
      <c r="L121" s="46"/>
      <c r="M121" s="46"/>
      <c r="N121" s="46"/>
      <c r="O121" s="46"/>
      <c r="P121" s="46"/>
      <c r="Q121" s="46"/>
    </row>
    <row r="122" spans="1:17" ht="14.25">
      <c r="A122" s="510"/>
      <c r="B122" s="46"/>
      <c r="C122" s="46"/>
      <c r="D122" s="2"/>
      <c r="E122" s="10"/>
      <c r="J122" s="46"/>
      <c r="K122" s="159"/>
      <c r="L122" s="46"/>
      <c r="M122" s="46"/>
      <c r="N122" s="46"/>
      <c r="O122" s="46"/>
      <c r="P122" s="46"/>
      <c r="Q122" s="46"/>
    </row>
    <row r="123" spans="1:17" ht="14.25">
      <c r="A123" s="510"/>
      <c r="B123" s="46"/>
      <c r="C123" s="46"/>
      <c r="D123" s="2"/>
      <c r="E123" s="10"/>
      <c r="J123" s="46"/>
      <c r="K123" s="159"/>
      <c r="L123" s="46"/>
      <c r="M123" s="46"/>
      <c r="N123" s="46"/>
      <c r="O123" s="46"/>
      <c r="P123" s="46"/>
      <c r="Q123" s="46"/>
    </row>
    <row r="124" spans="1:17">
      <c r="C124" s="203" t="s">
        <v>149</v>
      </c>
      <c r="D124" s="36">
        <f>I36</f>
        <v>14.8</v>
      </c>
      <c r="H124" s="2550">
        <f>R66</f>
        <v>0.3</v>
      </c>
      <c r="I124" s="36"/>
      <c r="J124" s="489"/>
      <c r="K124" s="159"/>
      <c r="L124" s="46"/>
      <c r="M124" s="46"/>
      <c r="N124" s="46"/>
      <c r="O124" s="46"/>
      <c r="P124" s="46"/>
      <c r="Q124" s="46"/>
    </row>
    <row r="125" spans="1:17">
      <c r="C125" s="187"/>
      <c r="D125" s="2"/>
      <c r="G125" s="79"/>
      <c r="J125" s="46"/>
      <c r="K125" s="159"/>
      <c r="L125" s="46"/>
      <c r="M125" s="46"/>
      <c r="N125" s="46"/>
      <c r="O125" s="46"/>
      <c r="P125" s="46"/>
      <c r="Q125" s="46"/>
    </row>
    <row r="126" spans="1:17">
      <c r="C126" s="187"/>
      <c r="D126" s="18" t="s">
        <v>604</v>
      </c>
      <c r="E126" s="17"/>
      <c r="F126" s="36"/>
      <c r="J126" s="46"/>
      <c r="K126" s="159"/>
      <c r="L126" s="46"/>
      <c r="M126" s="46"/>
      <c r="N126" s="46"/>
      <c r="O126" s="46"/>
      <c r="P126" s="46"/>
      <c r="Q126" s="46"/>
    </row>
    <row r="127" spans="1:17">
      <c r="C127" s="206">
        <f>D124-C130</f>
        <v>3.1334633013975015</v>
      </c>
      <c r="E127" s="40"/>
      <c r="G127" s="603"/>
      <c r="J127" s="46"/>
      <c r="K127" s="159"/>
      <c r="L127" s="46"/>
      <c r="M127" s="46"/>
      <c r="N127" s="46"/>
      <c r="O127" s="46"/>
      <c r="P127" s="46"/>
      <c r="Q127" s="46"/>
    </row>
    <row r="128" spans="1:17">
      <c r="A128" s="17" t="s">
        <v>45</v>
      </c>
      <c r="C128" s="187"/>
      <c r="D128" s="54"/>
      <c r="E128" s="17"/>
      <c r="F128" s="36"/>
      <c r="G128" s="603"/>
      <c r="J128" s="46"/>
      <c r="K128" s="159"/>
      <c r="L128" s="46"/>
      <c r="M128" s="46"/>
      <c r="N128" s="46"/>
      <c r="O128" s="46"/>
      <c r="P128" s="46"/>
      <c r="Q128" s="46"/>
    </row>
    <row r="129" spans="1:17">
      <c r="C129" s="187"/>
      <c r="D129" s="33"/>
      <c r="E129" s="84">
        <f>IF(C130&gt;D124,H142-H124,C134*(H142-H124)/I131)</f>
        <v>0.29913696785913452</v>
      </c>
      <c r="G129" s="603"/>
      <c r="J129" s="46"/>
      <c r="K129" s="159"/>
      <c r="L129" s="46"/>
      <c r="M129" s="46"/>
      <c r="N129" s="46"/>
      <c r="O129" s="46"/>
      <c r="P129" s="46"/>
      <c r="Q129" s="46"/>
    </row>
    <row r="130" spans="1:17">
      <c r="C130" s="54">
        <f>I45</f>
        <v>11.666536698602499</v>
      </c>
      <c r="D130" s="33"/>
      <c r="E130" s="17"/>
      <c r="F130" s="36"/>
      <c r="G130" s="603"/>
      <c r="J130" s="46"/>
      <c r="K130" s="159"/>
      <c r="L130" s="46"/>
      <c r="M130" s="46"/>
      <c r="N130" s="46"/>
      <c r="O130" s="46"/>
      <c r="P130" s="46"/>
      <c r="Q130" s="46"/>
    </row>
    <row r="131" spans="1:17">
      <c r="C131" s="187"/>
      <c r="E131" s="40"/>
      <c r="H131" s="17" t="s">
        <v>600</v>
      </c>
      <c r="I131" s="10">
        <f>D124-G138</f>
        <v>7.8000000000000007</v>
      </c>
      <c r="J131" s="44"/>
      <c r="K131" s="159"/>
      <c r="L131" s="46"/>
      <c r="M131" s="46"/>
      <c r="N131" s="46"/>
      <c r="O131" s="46"/>
      <c r="P131" s="46"/>
      <c r="Q131" s="46"/>
    </row>
    <row r="132" spans="1:17">
      <c r="A132" s="17" t="s">
        <v>44</v>
      </c>
      <c r="C132" s="187"/>
      <c r="D132" s="203" t="s">
        <v>135</v>
      </c>
      <c r="E132" s="40"/>
      <c r="F132" s="33">
        <f>H42</f>
        <v>10</v>
      </c>
      <c r="G132" s="18" t="s">
        <v>5</v>
      </c>
      <c r="J132" s="46"/>
      <c r="K132" s="159"/>
      <c r="L132" s="46"/>
      <c r="M132" s="46"/>
      <c r="N132" s="46"/>
      <c r="O132" s="46"/>
      <c r="P132" s="46"/>
      <c r="Q132" s="46"/>
    </row>
    <row r="133" spans="1:17">
      <c r="C133" s="187"/>
      <c r="E133" s="88"/>
      <c r="G133" s="33"/>
      <c r="I133" s="10"/>
      <c r="J133" s="44"/>
      <c r="K133" s="159"/>
      <c r="L133" s="46"/>
      <c r="M133" s="46"/>
      <c r="N133" s="46"/>
      <c r="O133" s="46"/>
      <c r="P133" s="46"/>
      <c r="Q133" s="46"/>
    </row>
    <row r="134" spans="1:17">
      <c r="C134" s="206">
        <f>C130-G138</f>
        <v>4.6665366986024992</v>
      </c>
      <c r="D134" s="203"/>
      <c r="E134" s="53"/>
      <c r="G134" s="603" t="s">
        <v>607</v>
      </c>
      <c r="J134" s="46"/>
      <c r="K134" s="159"/>
      <c r="L134" s="46"/>
      <c r="M134" s="46"/>
      <c r="N134" s="46"/>
      <c r="O134" s="46"/>
      <c r="P134" s="46"/>
      <c r="Q134" s="46"/>
    </row>
    <row r="135" spans="1:17">
      <c r="C135" s="187"/>
      <c r="E135" s="346"/>
      <c r="F135" s="54">
        <f>IF(F132&lt;G138,0,F132-G138)</f>
        <v>3</v>
      </c>
      <c r="G135" t="s">
        <v>5</v>
      </c>
      <c r="J135" s="46"/>
      <c r="K135" s="159"/>
      <c r="L135" s="46"/>
      <c r="M135" s="46"/>
      <c r="O135" s="46"/>
      <c r="P135" s="46"/>
      <c r="Q135" s="46"/>
    </row>
    <row r="136" spans="1:17">
      <c r="A136" s="2" t="s">
        <v>605</v>
      </c>
      <c r="C136" s="187"/>
      <c r="E136" s="17" t="s">
        <v>606</v>
      </c>
      <c r="F136" s="36"/>
      <c r="J136" s="46"/>
      <c r="K136" s="159"/>
      <c r="L136" s="46"/>
      <c r="M136" s="46"/>
      <c r="N136" s="46"/>
      <c r="O136" s="46"/>
      <c r="P136" s="46"/>
      <c r="Q136" s="46"/>
    </row>
    <row r="137" spans="1:17">
      <c r="C137" s="187"/>
      <c r="E137" s="40"/>
      <c r="J137" s="46"/>
      <c r="K137" s="159"/>
      <c r="L137" s="46"/>
      <c r="M137" s="46"/>
      <c r="N137" s="46"/>
      <c r="O137" s="46"/>
      <c r="P137" s="46"/>
      <c r="Q137" s="46"/>
    </row>
    <row r="138" spans="1:17">
      <c r="C138" s="187"/>
      <c r="E138" s="40"/>
      <c r="F138" s="17" t="s">
        <v>603</v>
      </c>
      <c r="G138" s="36">
        <f>I48</f>
        <v>7</v>
      </c>
      <c r="I138" s="10"/>
      <c r="J138" s="44"/>
      <c r="K138" s="159"/>
      <c r="L138" s="46"/>
      <c r="M138" s="46"/>
      <c r="N138" s="46"/>
      <c r="O138" s="46"/>
      <c r="P138" s="46"/>
      <c r="Q138" s="46"/>
    </row>
    <row r="139" spans="1:17">
      <c r="C139" s="187"/>
      <c r="F139" s="53"/>
      <c r="H139" s="33"/>
      <c r="I139" s="3223">
        <f>I218</f>
        <v>1.2</v>
      </c>
      <c r="J139" s="46"/>
      <c r="K139" s="159"/>
      <c r="L139" s="46"/>
      <c r="M139" s="46"/>
      <c r="N139" s="46"/>
      <c r="O139" s="46"/>
      <c r="P139" s="46"/>
      <c r="Q139" s="46"/>
    </row>
    <row r="140" spans="1:17">
      <c r="C140" s="187"/>
      <c r="I140" s="3223"/>
      <c r="J140" s="44"/>
      <c r="K140" s="159"/>
      <c r="L140" s="46"/>
      <c r="M140" s="46"/>
      <c r="N140" s="46"/>
      <c r="O140" s="46"/>
      <c r="P140" s="46"/>
      <c r="Q140" s="46"/>
    </row>
    <row r="141" spans="1:17">
      <c r="C141" s="187"/>
      <c r="G141" s="33"/>
      <c r="J141" s="46"/>
      <c r="K141" s="159"/>
      <c r="M141" s="46"/>
      <c r="N141" s="46"/>
      <c r="O141" s="46"/>
      <c r="P141" s="46"/>
      <c r="Q141" s="46"/>
    </row>
    <row r="142" spans="1:17">
      <c r="C142" s="187"/>
      <c r="D142" s="10">
        <f>H142</f>
        <v>0.8</v>
      </c>
      <c r="F142" s="33">
        <f>I84</f>
        <v>3.75</v>
      </c>
      <c r="G142" t="s">
        <v>5</v>
      </c>
      <c r="H142" s="2549">
        <f>S66</f>
        <v>0.8</v>
      </c>
      <c r="I142" s="126" t="str">
        <f>IF(AND(I170="ok",I171="ok"),"ok","Not ok")</f>
        <v>ok</v>
      </c>
      <c r="J142" s="46"/>
      <c r="K142" s="159"/>
      <c r="L142" s="46"/>
      <c r="M142" s="46"/>
      <c r="N142" s="46"/>
      <c r="O142" s="46"/>
      <c r="P142" s="46"/>
      <c r="Q142" s="46"/>
    </row>
    <row r="143" spans="1:17">
      <c r="C143" s="187"/>
      <c r="J143" s="46"/>
      <c r="K143" s="159"/>
      <c r="L143" s="46"/>
      <c r="M143" s="46"/>
      <c r="N143" s="46"/>
      <c r="O143" s="46"/>
      <c r="P143" s="46"/>
      <c r="Q143" s="46"/>
    </row>
    <row r="144" spans="1:17">
      <c r="C144" s="187"/>
      <c r="F144" s="33">
        <f>F142+H142+D142</f>
        <v>5.35</v>
      </c>
      <c r="G144" t="s">
        <v>5</v>
      </c>
      <c r="J144" s="46"/>
      <c r="K144" s="159"/>
      <c r="L144" s="46"/>
      <c r="M144" s="61"/>
      <c r="N144" s="46"/>
      <c r="O144" s="46"/>
      <c r="P144" s="46"/>
      <c r="Q144" s="46"/>
    </row>
    <row r="145" spans="1:17">
      <c r="A145" s="187"/>
      <c r="J145" s="46"/>
      <c r="K145" s="159"/>
      <c r="L145" s="109"/>
      <c r="M145" s="61"/>
      <c r="N145" s="46"/>
      <c r="O145" s="46"/>
      <c r="P145" s="46"/>
      <c r="Q145" s="46"/>
    </row>
    <row r="146" spans="1:17">
      <c r="A146" s="225" t="str">
        <f>"a) Design of Wall  :  Sec  "&amp;C115</f>
        <v>a) Design of Wall  :  Sec  1-1</v>
      </c>
      <c r="B146" s="174"/>
      <c r="C146" s="174"/>
      <c r="J146" s="46"/>
      <c r="K146" s="159"/>
      <c r="L146" s="46"/>
      <c r="M146" s="46"/>
      <c r="N146" s="46"/>
      <c r="O146" s="46"/>
      <c r="P146" s="46"/>
      <c r="Q146" s="46"/>
    </row>
    <row r="147" spans="1:17">
      <c r="B147" s="1" t="s">
        <v>612</v>
      </c>
      <c r="D147" s="2"/>
      <c r="E147" s="10"/>
      <c r="J147" s="46"/>
      <c r="K147" s="159"/>
      <c r="L147" s="46"/>
      <c r="M147" s="46"/>
      <c r="N147" s="46"/>
      <c r="O147" s="162"/>
      <c r="P147" s="46"/>
      <c r="Q147" s="90"/>
    </row>
    <row r="148" spans="1:17">
      <c r="A148" s="187"/>
      <c r="B148" s="187" t="s">
        <v>611</v>
      </c>
      <c r="D148" s="2"/>
      <c r="E148" s="10"/>
      <c r="J148" s="46"/>
      <c r="K148" s="159"/>
      <c r="L148" s="46"/>
      <c r="M148" s="46"/>
      <c r="N148" s="46"/>
      <c r="O148" s="162"/>
      <c r="P148" s="46"/>
      <c r="Q148" s="90"/>
    </row>
    <row r="149" spans="1:17">
      <c r="B149" s="18" t="s">
        <v>131</v>
      </c>
      <c r="D149" s="2" t="s">
        <v>35</v>
      </c>
      <c r="E149" s="10">
        <f>D124-G138</f>
        <v>7.8000000000000007</v>
      </c>
      <c r="F149" t="s">
        <v>5</v>
      </c>
      <c r="J149" s="46"/>
      <c r="K149" s="159"/>
      <c r="L149" s="46"/>
      <c r="M149" s="109"/>
      <c r="N149" s="46"/>
      <c r="O149" s="162"/>
      <c r="P149" s="46"/>
      <c r="Q149" s="90"/>
    </row>
    <row r="150" spans="1:17" ht="15.75">
      <c r="A150" s="40"/>
      <c r="B150" s="187" t="s">
        <v>593</v>
      </c>
      <c r="D150" s="2" t="s">
        <v>35</v>
      </c>
      <c r="E150" s="10">
        <f>0.5*J8*D6*E149^2</f>
        <v>207.57186893547839</v>
      </c>
      <c r="F150" t="s">
        <v>21</v>
      </c>
      <c r="J150" s="46"/>
      <c r="K150" s="159"/>
      <c r="L150" s="46"/>
      <c r="M150" s="109"/>
      <c r="N150" s="388"/>
      <c r="O150" s="162"/>
      <c r="P150" s="46"/>
      <c r="Q150" s="90"/>
    </row>
    <row r="151" spans="1:17" ht="20.25">
      <c r="A151" s="40"/>
      <c r="B151" s="38" t="s">
        <v>594</v>
      </c>
      <c r="D151" s="2" t="s">
        <v>35</v>
      </c>
      <c r="E151" s="10">
        <f>(1/6)*J8*D6*E149^3</f>
        <v>539.68685923224382</v>
      </c>
      <c r="F151" t="s">
        <v>107</v>
      </c>
      <c r="J151" s="46"/>
      <c r="K151" s="159"/>
      <c r="L151" s="46"/>
      <c r="M151" s="46"/>
      <c r="N151" s="46"/>
      <c r="O151" s="46"/>
      <c r="P151" s="44"/>
      <c r="Q151" s="46"/>
    </row>
    <row r="152" spans="1:17" ht="15.75">
      <c r="J152" s="46"/>
      <c r="K152" s="159"/>
      <c r="L152" s="389"/>
      <c r="M152" s="388"/>
      <c r="N152" s="389"/>
      <c r="O152" s="162"/>
      <c r="P152" s="109"/>
      <c r="Q152" s="389"/>
    </row>
    <row r="153" spans="1:17" ht="15.75">
      <c r="B153" s="1" t="s">
        <v>649</v>
      </c>
      <c r="J153" s="46"/>
      <c r="K153" s="159"/>
      <c r="L153" s="389"/>
      <c r="M153" s="388"/>
      <c r="N153" s="389"/>
      <c r="O153" s="162"/>
      <c r="P153" s="109"/>
      <c r="Q153" s="389"/>
    </row>
    <row r="154" spans="1:17" ht="15.75">
      <c r="B154" s="1" t="str">
        <f>"Case 1 :  When Static  Water Head on C/S "&amp;I18</f>
        <v>Case 1 :  When Static  Water Head on C/S Monsoon</v>
      </c>
      <c r="E154" s="86"/>
      <c r="G154" s="1"/>
      <c r="J154" s="46"/>
      <c r="K154" s="159"/>
      <c r="L154" s="389"/>
      <c r="M154" s="388"/>
      <c r="N154" s="389"/>
      <c r="O154" s="162"/>
      <c r="P154" s="109"/>
      <c r="Q154" s="389"/>
    </row>
    <row r="155" spans="1:17" ht="15.75">
      <c r="B155" s="1"/>
      <c r="C155" s="187"/>
      <c r="E155" s="86"/>
      <c r="J155" s="46"/>
      <c r="K155" s="159"/>
      <c r="L155" s="33"/>
      <c r="O155" s="162"/>
      <c r="P155" s="188"/>
      <c r="Q155" s="389"/>
    </row>
    <row r="156" spans="1:17" ht="15.75">
      <c r="B156" s="2" t="s">
        <v>132</v>
      </c>
      <c r="C156" s="2" t="s">
        <v>35</v>
      </c>
      <c r="D156" s="10">
        <f>IF(C130&gt;D124,0,D124-C130)</f>
        <v>3.1334633013975015</v>
      </c>
      <c r="E156" t="s">
        <v>5</v>
      </c>
      <c r="F156" s="126" t="str">
        <f>IF(F135&gt;I131,"Wing Wall totally submerged, take WL upto "&amp;FIXED(D124,2),"")</f>
        <v/>
      </c>
      <c r="G156" s="126"/>
      <c r="H156" s="126"/>
      <c r="I156" s="126"/>
      <c r="J156" s="126"/>
      <c r="K156" s="159"/>
      <c r="L156" s="389"/>
      <c r="M156" s="388"/>
      <c r="N156" s="389"/>
      <c r="O156" s="162"/>
      <c r="P156" s="109"/>
      <c r="Q156" s="390"/>
    </row>
    <row r="157" spans="1:17">
      <c r="B157" s="2" t="s">
        <v>133</v>
      </c>
      <c r="C157" s="2" t="s">
        <v>35</v>
      </c>
      <c r="D157" s="10">
        <f>IF(C134&gt;I131,I131,C130-G138)</f>
        <v>4.6665366986024992</v>
      </c>
      <c r="E157" t="s">
        <v>5</v>
      </c>
      <c r="J157" s="46"/>
      <c r="K157" s="159"/>
      <c r="L157" s="46"/>
      <c r="M157" s="46"/>
      <c r="N157" s="46"/>
      <c r="O157" s="46"/>
      <c r="P157" s="46"/>
      <c r="Q157" s="46"/>
    </row>
    <row r="158" spans="1:17">
      <c r="B158" s="2" t="s">
        <v>134</v>
      </c>
      <c r="C158" s="2" t="s">
        <v>35</v>
      </c>
      <c r="D158" s="10">
        <f>IF(F135&gt;I131,I131,IF(F132-G138&lt;0,0,F132-G138))</f>
        <v>3</v>
      </c>
      <c r="E158" t="s">
        <v>5</v>
      </c>
      <c r="J158" s="46"/>
      <c r="K158" s="159"/>
      <c r="L158" s="46"/>
      <c r="M158" s="46"/>
      <c r="N158" s="46"/>
      <c r="O158" s="46"/>
      <c r="P158" s="46"/>
      <c r="Q158" s="46"/>
    </row>
    <row r="159" spans="1:17" ht="20.25">
      <c r="A159" s="38" t="s">
        <v>624</v>
      </c>
      <c r="C159" s="2"/>
      <c r="D159" s="54">
        <f>0.5*$J$8*$D$5*D156^2</f>
        <v>30.66287090551117</v>
      </c>
      <c r="E159" s="187" t="s">
        <v>341</v>
      </c>
      <c r="F159" s="38" t="s">
        <v>628</v>
      </c>
      <c r="I159" s="33">
        <f>D159*(D157+D156/3)</f>
        <v>175.11640593104821</v>
      </c>
      <c r="J159" s="36" t="s">
        <v>107</v>
      </c>
      <c r="K159" s="159"/>
      <c r="L159" s="46"/>
      <c r="M159" s="46"/>
      <c r="N159" s="90"/>
      <c r="O159" s="44"/>
      <c r="P159" s="46"/>
      <c r="Q159" s="46"/>
    </row>
    <row r="160" spans="1:17" ht="18.75">
      <c r="A160" s="38" t="s">
        <v>625</v>
      </c>
      <c r="C160" s="2"/>
      <c r="D160" s="54">
        <f>$J$8*$D$5*D156*D157</f>
        <v>91.329879179540356</v>
      </c>
      <c r="E160" s="187" t="s">
        <v>341</v>
      </c>
      <c r="F160" s="38" t="s">
        <v>631</v>
      </c>
      <c r="I160" s="33">
        <f>D160*D157/2</f>
        <v>213.0971164351287</v>
      </c>
      <c r="J160" s="36" t="s">
        <v>107</v>
      </c>
      <c r="K160" s="159"/>
      <c r="L160" s="388"/>
      <c r="M160" s="389"/>
      <c r="N160" s="90"/>
      <c r="O160" s="44"/>
      <c r="P160" s="46"/>
      <c r="Q160" s="46"/>
    </row>
    <row r="161" spans="1:17" ht="20.25">
      <c r="A161" s="38" t="s">
        <v>626</v>
      </c>
      <c r="C161" s="2"/>
      <c r="D161" s="54">
        <f>0.5*($J$8*($D$6-$D$7)+$D$7)*D157^2</f>
        <v>142.54715390309434</v>
      </c>
      <c r="E161" s="187" t="s">
        <v>341</v>
      </c>
      <c r="F161" s="38" t="s">
        <v>629</v>
      </c>
      <c r="I161" s="33">
        <f>D161*D157/3</f>
        <v>221.73384165670942</v>
      </c>
      <c r="J161" s="36" t="s">
        <v>107</v>
      </c>
      <c r="K161" s="159"/>
      <c r="L161" s="388"/>
      <c r="M161" s="224"/>
      <c r="N161" s="109"/>
      <c r="O161" s="44"/>
      <c r="P161" s="46"/>
      <c r="Q161" s="46"/>
    </row>
    <row r="162" spans="1:17" ht="20.25">
      <c r="A162" s="38" t="s">
        <v>627</v>
      </c>
      <c r="C162" s="2"/>
      <c r="D162" s="211">
        <f>0.5*$D$7*D158^2</f>
        <v>44.145000000000003</v>
      </c>
      <c r="E162" s="187" t="s">
        <v>341</v>
      </c>
      <c r="F162" s="38" t="s">
        <v>630</v>
      </c>
      <c r="I162" s="212">
        <f>D162*D158/3</f>
        <v>44.145000000000003</v>
      </c>
      <c r="J162" s="705" t="s">
        <v>107</v>
      </c>
      <c r="K162" s="159"/>
      <c r="L162" s="388"/>
      <c r="M162" s="46"/>
      <c r="N162" s="90"/>
      <c r="O162" s="44"/>
      <c r="P162" s="46"/>
      <c r="Q162" s="46"/>
    </row>
    <row r="163" spans="1:17" ht="15.75">
      <c r="C163" s="38" t="s">
        <v>632</v>
      </c>
      <c r="D163" s="54">
        <f>D159+D160+D161-D162</f>
        <v>220.39490398814584</v>
      </c>
      <c r="E163" s="187" t="s">
        <v>341</v>
      </c>
      <c r="F163" s="18"/>
      <c r="H163" s="187" t="s">
        <v>633</v>
      </c>
      <c r="I163" s="54">
        <f>D159*(D157+D156/3)+D160*0.5*D157+D161*D157/3-D162*D158/3</f>
        <v>565.80236402288631</v>
      </c>
      <c r="J163" s="36" t="s">
        <v>107</v>
      </c>
      <c r="K163" s="159"/>
      <c r="L163" s="388"/>
      <c r="N163" s="90"/>
      <c r="O163" s="44"/>
      <c r="P163" s="46"/>
      <c r="Q163" s="46"/>
    </row>
    <row r="164" spans="1:17">
      <c r="D164" s="2"/>
      <c r="E164" s="10"/>
      <c r="J164" s="46"/>
      <c r="K164" s="159"/>
      <c r="L164" s="388"/>
      <c r="M164" s="46"/>
      <c r="N164" s="90"/>
      <c r="O164" s="44"/>
      <c r="P164" s="46"/>
      <c r="Q164" s="46"/>
    </row>
    <row r="165" spans="1:17">
      <c r="B165" t="s">
        <v>129</v>
      </c>
      <c r="C165" s="17"/>
      <c r="D165" s="2" t="s">
        <v>35</v>
      </c>
      <c r="E165" s="210">
        <f>MAX(E150,D163)</f>
        <v>220.39490398814584</v>
      </c>
      <c r="F165" s="36" t="s">
        <v>21</v>
      </c>
      <c r="J165" s="46"/>
      <c r="K165" s="159"/>
      <c r="L165" s="46"/>
      <c r="M165" s="46"/>
      <c r="N165" s="46"/>
      <c r="O165" s="46"/>
      <c r="P165" s="46"/>
      <c r="Q165" s="46"/>
    </row>
    <row r="166" spans="1:17">
      <c r="B166" t="s">
        <v>130</v>
      </c>
      <c r="C166" s="17"/>
      <c r="D166" s="2" t="s">
        <v>35</v>
      </c>
      <c r="E166" s="210">
        <f>MAX(E151,I163)</f>
        <v>565.80236402288631</v>
      </c>
      <c r="F166" s="36" t="s">
        <v>107</v>
      </c>
      <c r="J166" s="46"/>
      <c r="K166" s="159"/>
      <c r="L166" s="46"/>
      <c r="M166" s="46"/>
      <c r="N166" s="46"/>
      <c r="O166" s="46"/>
      <c r="P166" s="46"/>
      <c r="Q166" s="46"/>
    </row>
    <row r="167" spans="1:17">
      <c r="B167" s="187" t="s">
        <v>599</v>
      </c>
      <c r="E167" s="129">
        <f>H142*1000</f>
        <v>800</v>
      </c>
      <c r="F167" s="187" t="s">
        <v>98</v>
      </c>
      <c r="J167" s="46"/>
      <c r="K167" s="159"/>
      <c r="L167" s="46"/>
      <c r="M167" s="46"/>
      <c r="N167" s="46"/>
      <c r="O167" s="46"/>
      <c r="P167" s="46"/>
      <c r="Q167" s="46"/>
    </row>
    <row r="168" spans="1:17">
      <c r="B168" s="187" t="s">
        <v>571</v>
      </c>
      <c r="E168" s="129">
        <f>E167-I13-C190/2</f>
        <v>727.5</v>
      </c>
      <c r="F168" s="187" t="s">
        <v>98</v>
      </c>
      <c r="J168" s="46"/>
      <c r="K168" s="159"/>
      <c r="L168" s="46"/>
      <c r="M168" s="46"/>
      <c r="N168" s="189"/>
      <c r="O168" s="46"/>
      <c r="P168" s="46"/>
      <c r="Q168" s="46"/>
    </row>
    <row r="169" spans="1:17">
      <c r="J169" s="46"/>
      <c r="K169" s="159"/>
      <c r="L169" s="388"/>
      <c r="M169" s="46"/>
      <c r="N169" s="46"/>
      <c r="O169" s="90"/>
      <c r="P169" s="46"/>
      <c r="Q169" s="46"/>
    </row>
    <row r="170" spans="1:17">
      <c r="A170" s="187" t="s">
        <v>578</v>
      </c>
      <c r="D170" s="2"/>
      <c r="G170" s="9">
        <f>(E165*10^3)/(C24*1000)</f>
        <v>516.3555100153701</v>
      </c>
      <c r="H170" s="187" t="s">
        <v>98</v>
      </c>
      <c r="I170" s="126" t="str">
        <f>IF(G170&lt;=E168,"ok","Not ok")</f>
        <v>ok</v>
      </c>
      <c r="J170" s="46"/>
      <c r="K170" s="159"/>
      <c r="L170" s="289"/>
      <c r="M170" s="46"/>
      <c r="N170" s="46"/>
      <c r="O170" s="90"/>
      <c r="P170" s="46"/>
      <c r="Q170" s="46"/>
    </row>
    <row r="171" spans="1:17">
      <c r="A171" s="187" t="s">
        <v>577</v>
      </c>
      <c r="C171" s="201"/>
      <c r="D171" s="2"/>
      <c r="G171" s="9">
        <f>((E166*10^6)/(C23*1000))^0.5</f>
        <v>628.98422491418751</v>
      </c>
      <c r="H171" s="187" t="s">
        <v>98</v>
      </c>
      <c r="I171" s="126" t="str">
        <f>IF(G171&lt;=E168,"ok","Not ok")</f>
        <v>ok</v>
      </c>
      <c r="J171" s="46"/>
      <c r="K171" s="159"/>
      <c r="L171" s="388"/>
      <c r="M171" s="46"/>
      <c r="N171" s="46"/>
      <c r="O171" s="90"/>
      <c r="P171" s="46"/>
      <c r="Q171" s="46"/>
    </row>
    <row r="172" spans="1:17">
      <c r="A172" s="187" t="s">
        <v>634</v>
      </c>
      <c r="E172" s="2"/>
      <c r="G172" s="9">
        <f>(E166*10^6)/(C18*C22*E168)</f>
        <v>4679.8956800720334</v>
      </c>
      <c r="H172" s="187" t="s">
        <v>128</v>
      </c>
      <c r="J172" s="46"/>
      <c r="K172" s="159"/>
      <c r="L172" s="289"/>
      <c r="M172" s="46"/>
      <c r="N172" s="46"/>
      <c r="O172" s="90"/>
      <c r="P172" s="46"/>
      <c r="Q172" s="46"/>
    </row>
    <row r="173" spans="1:17">
      <c r="J173" s="46"/>
      <c r="K173" s="159"/>
      <c r="L173" s="289"/>
      <c r="M173" s="46"/>
      <c r="N173" s="46"/>
      <c r="O173" s="390"/>
      <c r="P173" s="46"/>
      <c r="Q173" s="46"/>
    </row>
    <row r="174" spans="1:17">
      <c r="A174" s="187" t="s">
        <v>1828</v>
      </c>
      <c r="E174" s="2"/>
      <c r="G174" s="1980">
        <f>IF(I163&lt;0,ABS(I163),0)</f>
        <v>0</v>
      </c>
      <c r="H174" s="36" t="s">
        <v>107</v>
      </c>
      <c r="J174" s="46"/>
      <c r="K174" s="159"/>
      <c r="L174" s="289"/>
      <c r="M174" s="46"/>
      <c r="N174" s="46"/>
      <c r="O174" s="390"/>
      <c r="P174" s="46"/>
      <c r="Q174" s="46"/>
    </row>
    <row r="175" spans="1:17">
      <c r="A175" s="187" t="s">
        <v>1829</v>
      </c>
      <c r="E175" s="2"/>
      <c r="G175" s="9">
        <f>(G174*10^6)/($C$18*$C$22*E168)</f>
        <v>0</v>
      </c>
      <c r="H175" s="187" t="s">
        <v>128</v>
      </c>
      <c r="J175" s="46"/>
      <c r="K175" s="159"/>
      <c r="L175" s="289"/>
      <c r="M175" s="46"/>
      <c r="N175" s="46"/>
      <c r="O175" s="390"/>
      <c r="P175" s="46"/>
      <c r="Q175" s="46"/>
    </row>
    <row r="176" spans="1:17">
      <c r="J176" s="46"/>
      <c r="K176" s="159"/>
      <c r="L176" s="3219" t="s">
        <v>1940</v>
      </c>
      <c r="M176" s="3220"/>
      <c r="N176" s="3220"/>
      <c r="O176" s="3220"/>
      <c r="P176" s="3221"/>
      <c r="Q176" s="46"/>
    </row>
    <row r="177" spans="1:17">
      <c r="A177" s="936" t="str">
        <f>"Reinforcement Distribution of C/S Wing Wall for Sec "&amp;C115&amp;" :"</f>
        <v>Reinforcement Distribution of C/S Wing Wall for Sec 1-1 :</v>
      </c>
      <c r="G177" s="107"/>
      <c r="H177" s="107"/>
      <c r="J177" s="46"/>
      <c r="K177" s="159"/>
      <c r="L177" s="2291" t="s">
        <v>876</v>
      </c>
      <c r="M177" s="3210" t="s">
        <v>492</v>
      </c>
      <c r="N177" s="3212"/>
      <c r="O177" s="3210" t="s">
        <v>493</v>
      </c>
      <c r="P177" s="3212"/>
      <c r="Q177" s="46"/>
    </row>
    <row r="178" spans="1:17">
      <c r="J178" s="46"/>
      <c r="K178" s="159"/>
      <c r="L178" s="2293"/>
      <c r="M178" s="2284" t="s">
        <v>709</v>
      </c>
      <c r="N178" s="1973" t="s">
        <v>710</v>
      </c>
      <c r="O178" s="1973" t="s">
        <v>709</v>
      </c>
      <c r="P178" s="2285" t="s">
        <v>710</v>
      </c>
      <c r="Q178" s="46"/>
    </row>
    <row r="179" spans="1:17">
      <c r="A179" s="3147" t="s">
        <v>486</v>
      </c>
      <c r="B179" s="3148" t="s">
        <v>487</v>
      </c>
      <c r="C179" s="3148" t="s">
        <v>488</v>
      </c>
      <c r="D179" s="3148" t="s">
        <v>489</v>
      </c>
      <c r="E179" s="3149" t="s">
        <v>490</v>
      </c>
      <c r="F179" s="3150"/>
      <c r="G179" s="3150"/>
      <c r="H179" s="3150"/>
      <c r="I179" s="3150"/>
      <c r="J179" s="330"/>
      <c r="K179" s="159"/>
      <c r="L179" s="2026" t="str">
        <f>L190</f>
        <v>1-1</v>
      </c>
      <c r="M179" s="2027">
        <f>C190</f>
        <v>25</v>
      </c>
      <c r="N179" s="2028">
        <f>E190</f>
        <v>100</v>
      </c>
      <c r="O179" s="2029">
        <f>C193</f>
        <v>16</v>
      </c>
      <c r="P179" s="2030">
        <f>E193</f>
        <v>200</v>
      </c>
      <c r="Q179" s="46"/>
    </row>
    <row r="180" spans="1:17">
      <c r="A180" s="3147"/>
      <c r="B180" s="3148"/>
      <c r="C180" s="3148"/>
      <c r="D180" s="3148"/>
      <c r="E180" s="94">
        <v>12</v>
      </c>
      <c r="F180" s="94">
        <v>16</v>
      </c>
      <c r="G180" s="94">
        <v>20</v>
      </c>
      <c r="H180" s="94">
        <v>22</v>
      </c>
      <c r="I180" s="94">
        <v>25</v>
      </c>
      <c r="J180" s="275"/>
      <c r="K180" s="159"/>
      <c r="L180" s="860" t="str">
        <f>L191</f>
        <v>2-2</v>
      </c>
      <c r="M180" s="869">
        <f>C439</f>
        <v>25</v>
      </c>
      <c r="N180" s="1974">
        <f>E439</f>
        <v>100</v>
      </c>
      <c r="O180" s="877">
        <f>C442</f>
        <v>16</v>
      </c>
      <c r="P180" s="863">
        <f>E442</f>
        <v>200</v>
      </c>
      <c r="Q180" s="46"/>
    </row>
    <row r="181" spans="1:17" ht="14.25">
      <c r="A181" s="172"/>
      <c r="B181" s="256" t="s">
        <v>491</v>
      </c>
      <c r="C181" s="256" t="s">
        <v>491</v>
      </c>
      <c r="D181" s="256" t="s">
        <v>491</v>
      </c>
      <c r="E181" s="596" t="s">
        <v>98</v>
      </c>
      <c r="F181" s="596" t="s">
        <v>98</v>
      </c>
      <c r="G181" s="596" t="s">
        <v>98</v>
      </c>
      <c r="H181" s="596" t="s">
        <v>98</v>
      </c>
      <c r="I181" s="596" t="s">
        <v>98</v>
      </c>
      <c r="J181" s="759"/>
      <c r="K181" s="159"/>
      <c r="L181" s="860" t="str">
        <f>L192</f>
        <v>3-3</v>
      </c>
      <c r="M181" s="869">
        <f>C688</f>
        <v>20</v>
      </c>
      <c r="N181" s="1974">
        <f>E688</f>
        <v>100</v>
      </c>
      <c r="O181" s="877">
        <f>C691</f>
        <v>16</v>
      </c>
      <c r="P181" s="863">
        <f>E691</f>
        <v>200</v>
      </c>
      <c r="Q181" s="46"/>
    </row>
    <row r="182" spans="1:17">
      <c r="A182" s="258" t="s">
        <v>492</v>
      </c>
      <c r="B182" s="55"/>
      <c r="C182" s="55"/>
      <c r="D182" s="55"/>
      <c r="E182" s="55"/>
      <c r="F182" s="55"/>
      <c r="G182" s="55"/>
      <c r="H182" s="55"/>
      <c r="I182" s="56"/>
      <c r="J182" s="386"/>
      <c r="K182" s="159"/>
      <c r="L182" s="860" t="str">
        <f>L193</f>
        <v>4-4</v>
      </c>
      <c r="M182" s="869">
        <f>C935</f>
        <v>16</v>
      </c>
      <c r="N182" s="1974">
        <f>E935</f>
        <v>150</v>
      </c>
      <c r="O182" s="877">
        <f>C938</f>
        <v>16</v>
      </c>
      <c r="P182" s="863">
        <f>E938</f>
        <v>200</v>
      </c>
      <c r="Q182" s="46"/>
    </row>
    <row r="183" spans="1:17">
      <c r="A183" s="259" t="s">
        <v>111</v>
      </c>
      <c r="B183" s="318">
        <f>G172</f>
        <v>4679.8956800720334</v>
      </c>
      <c r="C183" s="318">
        <f>IF(E121&gt;380,C119*1000*380,C119*1000*E121)</f>
        <v>380</v>
      </c>
      <c r="D183" s="318">
        <f>MAX(B183:C183)</f>
        <v>4679.8956800720334</v>
      </c>
      <c r="E183" s="261">
        <f>PI()*(E180/2)^2*1000/$D183</f>
        <v>24.166636023709774</v>
      </c>
      <c r="F183" s="261">
        <f>PI()*(F180/2)^2*1000/$D183</f>
        <v>42.962908486595147</v>
      </c>
      <c r="G183" s="261">
        <f>PI()*(G180/2)^2*1000/$D183</f>
        <v>67.129544510304939</v>
      </c>
      <c r="H183" s="261">
        <f>PI()*(H180/2)^2*1000/$D183</f>
        <v>81.226748857468962</v>
      </c>
      <c r="I183" s="283">
        <f>PI()*(I180/2)^2*1000/$D183</f>
        <v>104.88991329735146</v>
      </c>
      <c r="J183" s="328"/>
      <c r="K183" s="159"/>
      <c r="L183" s="865" t="str">
        <f>L194</f>
        <v>5-5</v>
      </c>
      <c r="M183" s="871">
        <f>C1183</f>
        <v>16</v>
      </c>
      <c r="N183" s="1975">
        <f>E1183</f>
        <v>150</v>
      </c>
      <c r="O183" s="879">
        <f>C1186</f>
        <v>16</v>
      </c>
      <c r="P183" s="868">
        <f>E1186</f>
        <v>200</v>
      </c>
      <c r="Q183" s="46"/>
    </row>
    <row r="184" spans="1:17">
      <c r="A184" s="262" t="s">
        <v>110</v>
      </c>
      <c r="B184" s="319"/>
      <c r="C184" s="318">
        <f>IF(E121&gt;380,C120*1000*380,C120*1000*E121)</f>
        <v>570</v>
      </c>
      <c r="D184" s="319">
        <f>MAX(B184:C184)</f>
        <v>570</v>
      </c>
      <c r="E184" s="261">
        <f>PI()*(E180/2)^2*1000/$D184</f>
        <v>198.41637812146064</v>
      </c>
      <c r="F184" s="261">
        <f>PI()*(F180/2)^2*1000/$D184</f>
        <v>352.74022777148554</v>
      </c>
      <c r="G184" s="261">
        <f>PI()*(G180/2)^2*1000/$D184</f>
        <v>551.15660589294623</v>
      </c>
      <c r="H184" s="261">
        <f>PI()*(H180/2)^2*1000/$D184</f>
        <v>666.89949313046486</v>
      </c>
      <c r="I184" s="283">
        <f>PI()*(I180/2)^2*1000/$D184</f>
        <v>861.18219670772839</v>
      </c>
      <c r="J184" s="328"/>
      <c r="K184" s="159"/>
      <c r="L184" s="46"/>
      <c r="M184" s="46"/>
      <c r="N184" s="46"/>
      <c r="O184" s="46"/>
      <c r="P184" s="46"/>
      <c r="Q184" s="46"/>
    </row>
    <row r="185" spans="1:17">
      <c r="A185" s="264" t="s">
        <v>493</v>
      </c>
      <c r="B185" s="265"/>
      <c r="C185" s="322"/>
      <c r="D185" s="322"/>
      <c r="E185" s="266"/>
      <c r="F185" s="266"/>
      <c r="G185" s="266"/>
      <c r="H185" s="266"/>
      <c r="I185" s="267"/>
      <c r="J185" s="330"/>
      <c r="K185" s="159"/>
      <c r="L185" s="46"/>
      <c r="M185" s="46"/>
      <c r="N185" s="46"/>
      <c r="O185" s="90"/>
      <c r="P185" s="90"/>
      <c r="Q185" s="46"/>
    </row>
    <row r="186" spans="1:17">
      <c r="A186" s="259" t="s">
        <v>111</v>
      </c>
      <c r="B186" s="318">
        <f>G175</f>
        <v>0</v>
      </c>
      <c r="C186" s="318">
        <f>IF(E121&gt;380,H119*1000*380,H119*1000*E121)</f>
        <v>760</v>
      </c>
      <c r="D186" s="318">
        <f>MAX(B186:C186)</f>
        <v>760</v>
      </c>
      <c r="E186" s="261">
        <f>PI()*(E180/2)^2*1000/$D186</f>
        <v>148.81228359109548</v>
      </c>
      <c r="F186" s="261">
        <f>PI()*(F180/2)^2*1000/$D186</f>
        <v>264.55517082861417</v>
      </c>
      <c r="G186" s="261">
        <f>PI()*(G180/2)^2*1000/$D186</f>
        <v>413.36745441970965</v>
      </c>
      <c r="H186" s="261">
        <f>PI()*(H180/2)^2*1000/$D186</f>
        <v>500.17461984784865</v>
      </c>
      <c r="I186" s="283">
        <f>PI()*(I180/2)^2*1000/$D186</f>
        <v>645.88664753079627</v>
      </c>
      <c r="J186" s="328"/>
      <c r="K186" s="159"/>
      <c r="L186" s="3219" t="s">
        <v>1139</v>
      </c>
      <c r="M186" s="3220"/>
      <c r="N186" s="3220"/>
      <c r="O186" s="3220"/>
      <c r="P186" s="3221"/>
      <c r="Q186" s="46"/>
    </row>
    <row r="187" spans="1:17">
      <c r="A187" s="262" t="s">
        <v>110</v>
      </c>
      <c r="B187" s="263"/>
      <c r="C187" s="319">
        <f>IF(E121&gt;380,H120*1000*380,H120*1000*E121)</f>
        <v>950</v>
      </c>
      <c r="D187" s="319">
        <f>MAX(B187:C187)</f>
        <v>950</v>
      </c>
      <c r="E187" s="284">
        <f>PI()*(E180/2)^2*1000/$D187</f>
        <v>119.04982687287638</v>
      </c>
      <c r="F187" s="284">
        <f>PI()*(F180/2)^2*1000/$D187</f>
        <v>211.6441366628913</v>
      </c>
      <c r="G187" s="284">
        <f>PI()*(G180/2)^2*1000/$D187</f>
        <v>330.69396353576775</v>
      </c>
      <c r="H187" s="284">
        <f>PI()*(H180/2)^2*1000/$D187</f>
        <v>400.13969587827893</v>
      </c>
      <c r="I187" s="285">
        <f>PI()*(I180/2)^2*1000/$D187</f>
        <v>516.70931802463701</v>
      </c>
      <c r="J187" s="328"/>
      <c r="K187" s="159"/>
      <c r="L187" s="3208" t="s">
        <v>876</v>
      </c>
      <c r="M187" s="3210" t="s">
        <v>110</v>
      </c>
      <c r="N187" s="3211"/>
      <c r="O187" s="3211"/>
      <c r="P187" s="3212"/>
      <c r="Q187" s="44"/>
    </row>
    <row r="188" spans="1:17">
      <c r="J188" s="46"/>
      <c r="K188" s="159"/>
      <c r="L188" s="3209"/>
      <c r="M188" s="3210" t="s">
        <v>492</v>
      </c>
      <c r="N188" s="3212"/>
      <c r="O188" s="3210" t="s">
        <v>493</v>
      </c>
      <c r="P188" s="3212"/>
      <c r="Q188" s="90"/>
    </row>
    <row r="189" spans="1:17">
      <c r="A189" s="258" t="s">
        <v>492</v>
      </c>
      <c r="B189" s="55"/>
      <c r="C189" s="252"/>
      <c r="D189" s="55"/>
      <c r="E189" s="55"/>
      <c r="F189" s="56"/>
      <c r="G189" s="2723" t="s">
        <v>2095</v>
      </c>
      <c r="H189" s="2641" t="s">
        <v>1358</v>
      </c>
      <c r="I189" s="1178" t="s">
        <v>2094</v>
      </c>
      <c r="J189" s="46"/>
      <c r="K189" s="159"/>
      <c r="L189" s="3222"/>
      <c r="M189" s="857" t="s">
        <v>709</v>
      </c>
      <c r="N189" s="1973" t="s">
        <v>710</v>
      </c>
      <c r="O189" s="1973" t="s">
        <v>709</v>
      </c>
      <c r="P189" s="859" t="s">
        <v>710</v>
      </c>
      <c r="Q189" s="90"/>
    </row>
    <row r="190" spans="1:17" ht="15.75">
      <c r="A190" s="259" t="s">
        <v>111</v>
      </c>
      <c r="B190" s="268" t="s">
        <v>136</v>
      </c>
      <c r="C190" s="269">
        <v>25</v>
      </c>
      <c r="D190" s="604" t="s">
        <v>481</v>
      </c>
      <c r="E190" s="271">
        <v>100</v>
      </c>
      <c r="F190" s="272" t="s">
        <v>482</v>
      </c>
      <c r="G190" s="2014" t="s">
        <v>2098</v>
      </c>
      <c r="H190" s="94" t="s">
        <v>1348</v>
      </c>
      <c r="I190" s="94" t="s">
        <v>107</v>
      </c>
      <c r="J190" s="3245" t="str">
        <f>IF(I191&gt;=M26,"o.k","Not o.k")</f>
        <v>o.k</v>
      </c>
      <c r="K190" s="159"/>
      <c r="L190" s="2026" t="str">
        <f>I34&amp;"-"&amp;I34</f>
        <v>1-1</v>
      </c>
      <c r="M190" s="2027">
        <f>C191</f>
        <v>16</v>
      </c>
      <c r="N190" s="2028">
        <f>E191</f>
        <v>200</v>
      </c>
      <c r="O190" s="2029">
        <f>C194</f>
        <v>16</v>
      </c>
      <c r="P190" s="2030">
        <f>E194</f>
        <v>200</v>
      </c>
      <c r="Q190" s="46"/>
    </row>
    <row r="191" spans="1:17" ht="15.75">
      <c r="A191" s="262" t="s">
        <v>110</v>
      </c>
      <c r="B191" s="278" t="s">
        <v>136</v>
      </c>
      <c r="C191" s="279">
        <v>16</v>
      </c>
      <c r="D191" s="280" t="s">
        <v>481</v>
      </c>
      <c r="E191" s="281">
        <v>200</v>
      </c>
      <c r="F191" s="282" t="s">
        <v>482</v>
      </c>
      <c r="H191" s="316">
        <f>PI()*(C190/2)^2*1000/E190</f>
        <v>4908.7385212340523</v>
      </c>
      <c r="I191" s="2643">
        <f>H191*$C$18*$C$22*E168/10^6</f>
        <v>593.46960905797027</v>
      </c>
      <c r="J191" s="3246"/>
      <c r="K191" s="159"/>
      <c r="L191" s="860" t="str">
        <f>H36&amp;"-"&amp;H36</f>
        <v>2-2</v>
      </c>
      <c r="M191" s="869">
        <f>C440</f>
        <v>16</v>
      </c>
      <c r="N191" s="1974">
        <f>E440</f>
        <v>200</v>
      </c>
      <c r="O191" s="877">
        <f>C443</f>
        <v>16</v>
      </c>
      <c r="P191" s="863">
        <f>E443</f>
        <v>200</v>
      </c>
      <c r="Q191" s="46"/>
    </row>
    <row r="192" spans="1:17" ht="15">
      <c r="A192" s="321" t="s">
        <v>493</v>
      </c>
      <c r="B192" s="273"/>
      <c r="C192" s="274"/>
      <c r="D192" s="275"/>
      <c r="E192" s="276"/>
      <c r="F192" s="277"/>
      <c r="J192" s="46"/>
      <c r="K192" s="159"/>
      <c r="L192" s="860" t="str">
        <f>F37&amp;"-"&amp;F37</f>
        <v>3-3</v>
      </c>
      <c r="M192" s="869">
        <f>C689</f>
        <v>16</v>
      </c>
      <c r="N192" s="1974">
        <f>E689</f>
        <v>200</v>
      </c>
      <c r="O192" s="877">
        <f>C692</f>
        <v>16</v>
      </c>
      <c r="P192" s="863">
        <f>E692</f>
        <v>200</v>
      </c>
      <c r="Q192" s="46"/>
    </row>
    <row r="193" spans="1:17" ht="15.75">
      <c r="A193" s="259" t="s">
        <v>111</v>
      </c>
      <c r="B193" s="268" t="s">
        <v>136</v>
      </c>
      <c r="C193" s="269">
        <v>16</v>
      </c>
      <c r="D193" s="604" t="s">
        <v>481</v>
      </c>
      <c r="E193" s="271">
        <v>200</v>
      </c>
      <c r="F193" s="272" t="s">
        <v>482</v>
      </c>
      <c r="J193" s="46"/>
      <c r="K193" s="159"/>
      <c r="L193" s="860" t="str">
        <f>D38&amp;"-"&amp;D38</f>
        <v>4-4</v>
      </c>
      <c r="M193" s="869">
        <f>C936</f>
        <v>16</v>
      </c>
      <c r="N193" s="1974">
        <f>E936</f>
        <v>200</v>
      </c>
      <c r="O193" s="877">
        <f>C939</f>
        <v>16</v>
      </c>
      <c r="P193" s="863">
        <f>E939</f>
        <v>200</v>
      </c>
      <c r="Q193" s="46"/>
    </row>
    <row r="194" spans="1:17" ht="15.75">
      <c r="A194" s="262" t="s">
        <v>110</v>
      </c>
      <c r="B194" s="278" t="s">
        <v>136</v>
      </c>
      <c r="C194" s="279">
        <v>16</v>
      </c>
      <c r="D194" s="280" t="s">
        <v>481</v>
      </c>
      <c r="E194" s="281">
        <v>200</v>
      </c>
      <c r="F194" s="282" t="s">
        <v>482</v>
      </c>
      <c r="J194" s="46"/>
      <c r="K194" s="159"/>
      <c r="L194" s="865" t="str">
        <f>B37&amp;"-"&amp;B37</f>
        <v>5-5</v>
      </c>
      <c r="M194" s="871">
        <f>C1184</f>
        <v>16</v>
      </c>
      <c r="N194" s="1975">
        <f>E1184</f>
        <v>200</v>
      </c>
      <c r="O194" s="879">
        <f>C1187</f>
        <v>16</v>
      </c>
      <c r="P194" s="868">
        <f>E1187</f>
        <v>200</v>
      </c>
      <c r="Q194" s="46"/>
    </row>
    <row r="195" spans="1:17">
      <c r="J195" s="46"/>
      <c r="K195" s="159"/>
      <c r="Q195" s="46"/>
    </row>
    <row r="196" spans="1:17">
      <c r="A196" s="41" t="s">
        <v>939</v>
      </c>
      <c r="J196" s="46"/>
      <c r="K196" s="159"/>
      <c r="Q196" s="46"/>
    </row>
    <row r="197" spans="1:17">
      <c r="A197" s="187" t="s">
        <v>1810</v>
      </c>
      <c r="F197" s="33">
        <f>(6*E151/(2*J8*D6))^(1/3)</f>
        <v>6.1908641026759783</v>
      </c>
      <c r="G197" s="2874" t="s">
        <v>1003</v>
      </c>
      <c r="H197" s="2878"/>
      <c r="I197" s="187" t="str">
        <f>"= "&amp;FIXED(F197-H197,2)&amp;" m from top"</f>
        <v>= 6.19 m from top</v>
      </c>
      <c r="K197" s="159"/>
      <c r="Q197" s="46"/>
    </row>
    <row r="198" spans="1:17">
      <c r="A198" s="187" t="s">
        <v>652</v>
      </c>
      <c r="F198" s="33">
        <f>(6*E151/(4*J8*D6))^(1/3)</f>
        <v>4.9136920945900044</v>
      </c>
      <c r="G198" s="2874" t="s">
        <v>1003</v>
      </c>
      <c r="H198" s="2878">
        <v>0.3</v>
      </c>
      <c r="I198" s="187" t="str">
        <f>"= "&amp;FIXED(F198-H198,2)&amp;" m from top"</f>
        <v>= 4.61 m from top</v>
      </c>
      <c r="J198" s="187"/>
      <c r="K198" s="159"/>
      <c r="Q198" s="46"/>
    </row>
    <row r="199" spans="1:17">
      <c r="E199" s="46"/>
      <c r="J199" s="46"/>
      <c r="K199" s="159"/>
      <c r="Q199" s="46"/>
    </row>
    <row r="200" spans="1:17">
      <c r="A200" s="3138" t="s">
        <v>1148</v>
      </c>
      <c r="B200" s="3085" t="s">
        <v>621</v>
      </c>
      <c r="C200" s="347" t="s">
        <v>614</v>
      </c>
      <c r="D200" s="355" t="s">
        <v>615</v>
      </c>
      <c r="E200" s="347" t="s">
        <v>619</v>
      </c>
      <c r="F200" s="355" t="s">
        <v>616</v>
      </c>
      <c r="G200" s="355" t="s">
        <v>676</v>
      </c>
      <c r="H200" s="3224" t="s">
        <v>487</v>
      </c>
      <c r="I200" s="3148" t="s">
        <v>488</v>
      </c>
      <c r="J200" s="611"/>
      <c r="K200" s="159"/>
      <c r="Q200" s="46"/>
    </row>
    <row r="201" spans="1:17">
      <c r="A201" s="3139"/>
      <c r="B201" s="3086"/>
      <c r="C201" s="77"/>
      <c r="D201" s="104"/>
      <c r="E201" s="77"/>
      <c r="F201" s="104"/>
      <c r="G201" s="105"/>
      <c r="H201" s="3227"/>
      <c r="I201" s="3148"/>
      <c r="J201" s="611"/>
      <c r="K201" s="159"/>
      <c r="Q201" s="46"/>
    </row>
    <row r="202" spans="1:17" ht="14.25">
      <c r="A202" s="156"/>
      <c r="B202" s="354" t="s">
        <v>5</v>
      </c>
      <c r="C202" s="280" t="s">
        <v>620</v>
      </c>
      <c r="D202" s="354" t="s">
        <v>98</v>
      </c>
      <c r="E202" s="280" t="s">
        <v>98</v>
      </c>
      <c r="F202" s="354" t="s">
        <v>98</v>
      </c>
      <c r="G202" s="106"/>
      <c r="H202" s="602" t="s">
        <v>491</v>
      </c>
      <c r="I202" s="256" t="s">
        <v>491</v>
      </c>
      <c r="J202" s="408"/>
      <c r="K202" s="159"/>
      <c r="Q202" s="46"/>
    </row>
    <row r="203" spans="1:17">
      <c r="A203" s="348" t="s">
        <v>617</v>
      </c>
      <c r="B203" s="2706">
        <f>F197-H197</f>
        <v>6.1908641026759783</v>
      </c>
      <c r="C203" s="107">
        <f>J8*D6*B203^3/6</f>
        <v>269.84342961612191</v>
      </c>
      <c r="D203" s="356">
        <f>((C203*10^6)/(C23*1000))^0.5</f>
        <v>434.37347628265081</v>
      </c>
      <c r="E203" s="349">
        <f>(H124+B203*(H142-H124)/I131)*1000</f>
        <v>696.85026299204992</v>
      </c>
      <c r="F203" s="356">
        <f>E203-I13-C190/2</f>
        <v>624.35026299204992</v>
      </c>
      <c r="G203" s="123" t="str">
        <f>IF(F203&gt;=D203,"O.k","Not O.k")</f>
        <v>O.k</v>
      </c>
      <c r="H203" s="349">
        <f>C203*10^6/(C18*C22*F203)</f>
        <v>2600.6862481307503</v>
      </c>
      <c r="I203" s="123">
        <f>IF(E203&gt;380,C119*1000*380,C119*1000*E203)</f>
        <v>380</v>
      </c>
      <c r="J203" s="275"/>
      <c r="K203" s="159"/>
      <c r="Q203" s="46"/>
    </row>
    <row r="204" spans="1:17">
      <c r="A204" s="351" t="s">
        <v>618</v>
      </c>
      <c r="B204" s="2708">
        <f>F198-H198</f>
        <v>4.6136920945900046</v>
      </c>
      <c r="C204" s="121">
        <f>J8*D6*B204^3/6</f>
        <v>111.68731694862269</v>
      </c>
      <c r="D204" s="357">
        <f>((C204*10^6)/(C23*1000))^0.5</f>
        <v>279.45333930620416</v>
      </c>
      <c r="E204" s="310">
        <f>(H124+B204*(H142-H124)/I131)*1000</f>
        <v>595.74949324294903</v>
      </c>
      <c r="F204" s="357">
        <f>E204-I13-C190/2</f>
        <v>523.24949324294903</v>
      </c>
      <c r="G204" s="104" t="str">
        <f>IF(F204&gt;=D204,"O.k","Not O.k")</f>
        <v>O.k</v>
      </c>
      <c r="H204" s="310">
        <f>C204*10^6/(C18*C22*F204)</f>
        <v>1284.3975069419421</v>
      </c>
      <c r="I204" s="104">
        <f>IF(E204&gt;380,C119*1000*380,C119*1000*E204)</f>
        <v>380</v>
      </c>
      <c r="J204" s="275"/>
      <c r="K204" s="159"/>
      <c r="Q204" s="46"/>
    </row>
    <row r="205" spans="1:17">
      <c r="J205" s="46"/>
      <c r="K205" s="159"/>
      <c r="Q205" s="46"/>
    </row>
    <row r="206" spans="1:17" ht="12.75" customHeight="1">
      <c r="A206" s="3228" t="s">
        <v>613</v>
      </c>
      <c r="B206" s="3122" t="s">
        <v>937</v>
      </c>
      <c r="C206" s="3122" t="s">
        <v>938</v>
      </c>
      <c r="D206" s="3085" t="s">
        <v>623</v>
      </c>
      <c r="E206" s="3119" t="s">
        <v>622</v>
      </c>
      <c r="G206" s="3233" t="s">
        <v>2112</v>
      </c>
      <c r="H206" s="3234"/>
      <c r="I206" s="3235"/>
      <c r="J206" s="46"/>
      <c r="K206" s="159"/>
      <c r="Q206" s="46"/>
    </row>
    <row r="207" spans="1:17" ht="12.75" customHeight="1">
      <c r="A207" s="3229"/>
      <c r="B207" s="3123"/>
      <c r="C207" s="3123"/>
      <c r="D207" s="3200"/>
      <c r="E207" s="3120"/>
      <c r="G207" s="3122" t="s">
        <v>2110</v>
      </c>
      <c r="H207" s="3244" t="s">
        <v>2111</v>
      </c>
      <c r="I207" s="1541" t="s">
        <v>676</v>
      </c>
      <c r="K207" s="159"/>
      <c r="Q207" s="46"/>
    </row>
    <row r="208" spans="1:17">
      <c r="A208" s="3230"/>
      <c r="B208" s="360"/>
      <c r="C208" s="360"/>
      <c r="D208" s="3086"/>
      <c r="E208" s="359"/>
      <c r="G208" s="3241"/>
      <c r="H208" s="3204"/>
      <c r="I208" s="1244"/>
      <c r="K208" s="159"/>
      <c r="Q208" s="46"/>
    </row>
    <row r="209" spans="1:17" ht="14.25">
      <c r="A209" s="600" t="s">
        <v>5</v>
      </c>
      <c r="B209" s="256" t="s">
        <v>491</v>
      </c>
      <c r="C209" s="597" t="s">
        <v>98</v>
      </c>
      <c r="D209" s="597" t="s">
        <v>5</v>
      </c>
      <c r="E209" s="358" t="s">
        <v>98</v>
      </c>
      <c r="G209" s="2668" t="s">
        <v>491</v>
      </c>
      <c r="H209" s="94" t="s">
        <v>107</v>
      </c>
      <c r="I209" s="1289"/>
      <c r="K209" s="159"/>
      <c r="Q209" s="46"/>
    </row>
    <row r="210" spans="1:17">
      <c r="A210" s="352">
        <f>(I131-B203)+40*C190/1000</f>
        <v>2.6091358973240224</v>
      </c>
      <c r="B210" s="356">
        <f>MAX(H203:I203)</f>
        <v>2600.6862481307503</v>
      </c>
      <c r="C210" s="350">
        <f>PI()*(C190/2)^2*1000/B210</f>
        <v>188.74781703337803</v>
      </c>
      <c r="D210" s="591">
        <v>2.8</v>
      </c>
      <c r="E210" s="609">
        <f>IF(D210="","",E190*2)</f>
        <v>200</v>
      </c>
      <c r="G210" s="2725">
        <f>IF(D210="","",PI()*(C190/2)^2*1000/E210)</f>
        <v>2454.3692606170262</v>
      </c>
      <c r="H210" s="2676">
        <f>IF(D210="","",G210*$C$18*$C$22*F203/10^6)</f>
        <v>254.66179140421494</v>
      </c>
      <c r="I210" s="2726" t="str">
        <f>IF(D210="","",IF(AND(H210&gt;=C203),"o.k","Not o.k"))</f>
        <v>Not o.k</v>
      </c>
      <c r="K210" s="159"/>
      <c r="Q210" s="46"/>
    </row>
    <row r="211" spans="1:17">
      <c r="A211" s="353">
        <f>(I131-B204)+40*C190/1000</f>
        <v>4.1863079054099961</v>
      </c>
      <c r="B211" s="357">
        <f>MAX(H204:I204)</f>
        <v>1284.3975069419421</v>
      </c>
      <c r="C211" s="311">
        <f>PI()*(C190/2)^2*1000/B211</f>
        <v>382.18219006991103</v>
      </c>
      <c r="D211" s="592">
        <v>4.5</v>
      </c>
      <c r="E211" s="610">
        <f>IF(D211="","",E210*2)</f>
        <v>400</v>
      </c>
      <c r="G211" s="2727">
        <f>IF(D211="","",PI()*(C190/2)^2*1000/E211)</f>
        <v>1227.1846303085131</v>
      </c>
      <c r="H211" s="2673">
        <f>IF(D211="","",G211*$C$18*$C$22*F204/10^6)</f>
        <v>106.71225848614226</v>
      </c>
      <c r="I211" s="2728" t="str">
        <f>IF(D211="","",IF(AND(H211&gt;=C204),"o.k","Not o.k"))</f>
        <v>Not o.k</v>
      </c>
      <c r="J211" s="46"/>
      <c r="K211" s="159"/>
      <c r="Q211" s="46"/>
    </row>
    <row r="212" spans="1:17">
      <c r="J212" s="46"/>
      <c r="K212" s="159"/>
      <c r="L212" s="46"/>
      <c r="M212" s="386"/>
      <c r="N212" s="46"/>
      <c r="O212" s="46"/>
      <c r="P212" s="46"/>
      <c r="Q212" s="46"/>
    </row>
    <row r="213" spans="1:17">
      <c r="A213" s="176" t="str">
        <f>"b) Design of Floor  :  Sec  "&amp;C115</f>
        <v>b) Design of Floor  :  Sec  1-1</v>
      </c>
      <c r="B213" s="392"/>
      <c r="C213" s="174"/>
      <c r="J213" s="46"/>
      <c r="K213" s="159"/>
      <c r="L213" s="46"/>
      <c r="M213" s="46"/>
      <c r="N213" s="46"/>
      <c r="O213" s="46"/>
      <c r="P213" s="46"/>
      <c r="Q213" s="46"/>
    </row>
    <row r="214" spans="1:17">
      <c r="J214" s="46"/>
      <c r="K214" s="159"/>
      <c r="L214" s="46"/>
      <c r="M214" s="46"/>
      <c r="N214" s="46"/>
      <c r="O214" s="46"/>
      <c r="P214" s="46"/>
      <c r="Q214" s="46"/>
    </row>
    <row r="215" spans="1:17">
      <c r="A215" s="187" t="s">
        <v>1105</v>
      </c>
      <c r="I215" s="33">
        <f>Hydraulic!I1070</f>
        <v>1.1793763051770298</v>
      </c>
      <c r="J215" t="s">
        <v>5</v>
      </c>
      <c r="K215" s="159"/>
      <c r="L215" s="46"/>
      <c r="M215" s="46"/>
      <c r="N215" s="46"/>
      <c r="O215" s="46"/>
      <c r="P215" s="46"/>
      <c r="Q215" s="46"/>
    </row>
    <row r="216" spans="1:17">
      <c r="A216" s="187" t="str">
        <f>"Considering Wt of wall,  Floor thickness can be reduced  =2*0.5*("&amp;H124&amp;"+"&amp;H142&amp;")*"&amp;I131&amp;"/"&amp;FIXED(F144,2)&amp;"="</f>
        <v>Considering Wt of wall,  Floor thickness can be reduced  =2*0.5*(0.3+0.8)*7.8/5.35=</v>
      </c>
      <c r="B216" s="187"/>
      <c r="E216" s="33"/>
      <c r="I216" s="224">
        <f>2*0.5*(H124+H142)*I131/F144</f>
        <v>1.6037383177570097</v>
      </c>
      <c r="J216" t="s">
        <v>5</v>
      </c>
      <c r="K216" s="159"/>
      <c r="L216" s="46"/>
      <c r="M216" s="46"/>
      <c r="N216" s="46"/>
      <c r="O216" s="46"/>
      <c r="P216" s="46"/>
      <c r="Q216" s="46"/>
    </row>
    <row r="217" spans="1:17">
      <c r="A217" s="187" t="s">
        <v>1821</v>
      </c>
      <c r="I217" s="33">
        <f>I215-I216</f>
        <v>-0.42436201257997985</v>
      </c>
      <c r="J217" t="s">
        <v>5</v>
      </c>
      <c r="K217" s="159"/>
      <c r="L217" s="46"/>
      <c r="M217" s="46"/>
      <c r="N217" s="46"/>
      <c r="O217" s="46"/>
      <c r="P217" s="46"/>
      <c r="Q217" s="46"/>
    </row>
    <row r="218" spans="1:17">
      <c r="A218" t="s">
        <v>684</v>
      </c>
      <c r="I218" s="742">
        <f>O66</f>
        <v>1.2</v>
      </c>
      <c r="J218" t="s">
        <v>5</v>
      </c>
      <c r="K218" s="159"/>
      <c r="L218" s="46"/>
      <c r="M218" s="46"/>
      <c r="N218" s="46"/>
      <c r="O218" s="46"/>
      <c r="P218" s="46"/>
      <c r="Q218" s="46"/>
    </row>
    <row r="219" spans="1:17">
      <c r="J219" s="46"/>
      <c r="K219" s="159"/>
      <c r="L219" s="46"/>
      <c r="M219" s="46"/>
      <c r="N219" s="46"/>
      <c r="O219" s="46"/>
      <c r="P219" s="46"/>
      <c r="Q219" s="46"/>
    </row>
    <row r="220" spans="1:17">
      <c r="B220" s="187" t="s">
        <v>637</v>
      </c>
      <c r="D220" s="187" t="s">
        <v>636</v>
      </c>
      <c r="J220" s="46"/>
      <c r="K220" s="159"/>
      <c r="L220" s="46"/>
      <c r="M220" s="46"/>
      <c r="N220" s="46"/>
      <c r="O220" s="46"/>
      <c r="P220" s="46"/>
      <c r="Q220" s="46"/>
    </row>
    <row r="221" spans="1:17">
      <c r="E221" s="191" t="s">
        <v>607</v>
      </c>
      <c r="J221" s="46"/>
      <c r="K221" s="159"/>
      <c r="L221" s="46"/>
      <c r="N221" s="46"/>
      <c r="O221" s="46"/>
      <c r="P221" s="46"/>
      <c r="Q221" s="46"/>
    </row>
    <row r="222" spans="1:17">
      <c r="F222" s="17" t="s">
        <v>935</v>
      </c>
      <c r="G222" s="36">
        <f>F142/4</f>
        <v>0.9375</v>
      </c>
      <c r="J222" s="46"/>
      <c r="K222" s="159"/>
      <c r="L222" s="46"/>
      <c r="M222" s="46"/>
      <c r="N222" s="46"/>
      <c r="O222" s="46"/>
      <c r="P222" s="46"/>
      <c r="Q222" s="46"/>
    </row>
    <row r="223" spans="1:17">
      <c r="C223" s="1" t="s">
        <v>658</v>
      </c>
      <c r="D223" s="36"/>
      <c r="F223" s="36"/>
      <c r="H223" s="191"/>
      <c r="I223" s="187" t="s">
        <v>659</v>
      </c>
      <c r="J223" s="109"/>
      <c r="K223" s="159"/>
      <c r="L223" s="46"/>
      <c r="M223" s="46"/>
      <c r="N223" s="46"/>
      <c r="O223" s="46"/>
      <c r="P223" s="46"/>
      <c r="Q223" s="46"/>
    </row>
    <row r="224" spans="1:17">
      <c r="F224" s="203" t="s">
        <v>644</v>
      </c>
      <c r="G224" s="18">
        <f>(F144-H142)/2</f>
        <v>2.2749999999999999</v>
      </c>
      <c r="J224" s="46"/>
      <c r="K224" s="159"/>
      <c r="L224" s="46"/>
      <c r="M224" s="46"/>
      <c r="N224" s="46"/>
      <c r="O224" s="46"/>
      <c r="P224" s="46"/>
      <c r="Q224" s="46"/>
    </row>
    <row r="225" spans="2:17">
      <c r="J225" s="46"/>
      <c r="K225" s="159"/>
      <c r="L225" s="46"/>
      <c r="M225" s="46"/>
      <c r="N225" s="46"/>
      <c r="O225" s="46"/>
      <c r="P225" s="46"/>
      <c r="Q225" s="46"/>
    </row>
    <row r="226" spans="2:17">
      <c r="C226" s="2008"/>
      <c r="D226" s="2008"/>
      <c r="E226" s="2008"/>
      <c r="F226" s="2008"/>
      <c r="G226" s="2008"/>
      <c r="H226" s="3060">
        <f>I218</f>
        <v>1.2</v>
      </c>
      <c r="J226" s="46"/>
      <c r="K226" s="159"/>
      <c r="L226" s="46"/>
      <c r="M226" s="46"/>
      <c r="N226" s="46"/>
      <c r="O226" s="46"/>
      <c r="P226" s="46"/>
      <c r="Q226" s="46"/>
    </row>
    <row r="227" spans="2:17">
      <c r="B227" s="187" t="s">
        <v>642</v>
      </c>
      <c r="C227" s="2008"/>
      <c r="D227" s="2008"/>
      <c r="E227" s="2008"/>
      <c r="F227" s="2008"/>
      <c r="G227" s="2008"/>
      <c r="H227" s="3060"/>
      <c r="I227" s="203" t="s">
        <v>646</v>
      </c>
      <c r="J227" s="288"/>
      <c r="K227" s="159"/>
      <c r="L227" s="46"/>
      <c r="M227" s="46"/>
      <c r="N227" s="46"/>
      <c r="O227" s="46"/>
      <c r="P227" s="46"/>
      <c r="Q227" s="46"/>
    </row>
    <row r="228" spans="2:17">
      <c r="J228" s="46"/>
      <c r="K228" s="159"/>
      <c r="L228" s="46"/>
      <c r="M228" s="46"/>
      <c r="N228" s="46"/>
      <c r="O228" s="46"/>
      <c r="P228" s="46"/>
      <c r="Q228" s="46"/>
    </row>
    <row r="229" spans="2:17">
      <c r="C229" s="191" t="s">
        <v>537</v>
      </c>
      <c r="F229" s="203" t="s">
        <v>643</v>
      </c>
      <c r="G229" s="18">
        <f>F144/4</f>
        <v>1.3374999999999999</v>
      </c>
      <c r="J229" s="46"/>
      <c r="K229" s="159"/>
      <c r="L229" s="46"/>
      <c r="M229" s="46"/>
      <c r="N229" s="46"/>
      <c r="O229" s="46"/>
      <c r="P229" s="46"/>
      <c r="Q229" s="46"/>
    </row>
    <row r="230" spans="2:17">
      <c r="E230" s="603" t="s">
        <v>641</v>
      </c>
      <c r="F230" s="603"/>
      <c r="J230" s="46"/>
      <c r="K230" s="159"/>
      <c r="L230" s="46"/>
      <c r="M230" s="46"/>
      <c r="N230" s="46"/>
      <c r="O230" s="46"/>
      <c r="P230" s="46"/>
      <c r="Q230" s="46"/>
    </row>
    <row r="231" spans="2:17">
      <c r="E231" s="203" t="s">
        <v>645</v>
      </c>
      <c r="F231" s="18">
        <f>F144/2</f>
        <v>2.6749999999999998</v>
      </c>
      <c r="J231" s="46"/>
      <c r="K231" s="159"/>
      <c r="L231" s="46"/>
      <c r="M231" s="46"/>
      <c r="N231" s="46"/>
      <c r="O231" s="46"/>
      <c r="P231" s="46"/>
      <c r="Q231" s="46"/>
    </row>
    <row r="232" spans="2:17">
      <c r="J232" s="46"/>
      <c r="K232" s="159"/>
      <c r="L232" s="46"/>
      <c r="M232" s="46"/>
      <c r="N232" s="46"/>
      <c r="O232" s="46"/>
      <c r="P232" s="46"/>
      <c r="Q232" s="46"/>
    </row>
    <row r="233" spans="2:17">
      <c r="B233" s="1" t="s">
        <v>654</v>
      </c>
      <c r="J233" s="46"/>
      <c r="K233" s="159"/>
      <c r="L233" s="46"/>
      <c r="M233" s="46"/>
      <c r="N233" s="46"/>
      <c r="O233" s="46"/>
      <c r="P233" s="46"/>
      <c r="Q233" s="46"/>
    </row>
    <row r="234" spans="2:17">
      <c r="B234" s="187" t="s">
        <v>655</v>
      </c>
      <c r="J234" s="46"/>
      <c r="K234" s="159"/>
      <c r="L234" s="46"/>
      <c r="M234" s="46"/>
      <c r="N234" s="46"/>
      <c r="O234" s="46"/>
      <c r="P234" s="46"/>
      <c r="Q234" s="46"/>
    </row>
    <row r="235" spans="2:17">
      <c r="J235" s="46"/>
      <c r="K235" s="159"/>
      <c r="L235" s="46"/>
      <c r="M235" s="46"/>
      <c r="N235" s="46"/>
      <c r="O235" s="46"/>
      <c r="P235" s="46"/>
      <c r="Q235" s="46"/>
    </row>
    <row r="236" spans="2:17">
      <c r="B236" s="187" t="s">
        <v>1811</v>
      </c>
      <c r="F236" s="33">
        <f>0.5*(H142+H124)*I131*D3</f>
        <v>101.24400000000003</v>
      </c>
      <c r="G236" s="187" t="s">
        <v>341</v>
      </c>
      <c r="J236" s="46"/>
      <c r="K236" s="159"/>
      <c r="L236" s="46"/>
      <c r="M236" s="46"/>
      <c r="N236" s="46"/>
      <c r="O236" s="46"/>
      <c r="P236" s="46"/>
      <c r="Q236" s="46"/>
    </row>
    <row r="237" spans="2:17">
      <c r="B237" s="187" t="s">
        <v>1813</v>
      </c>
      <c r="F237" s="33">
        <v>0</v>
      </c>
      <c r="G237" s="187" t="s">
        <v>341</v>
      </c>
      <c r="J237" s="46"/>
      <c r="K237" s="159"/>
      <c r="L237" s="46"/>
      <c r="M237" s="46"/>
      <c r="N237" s="46"/>
      <c r="O237" s="46"/>
      <c r="P237" s="46"/>
      <c r="Q237" s="46"/>
    </row>
    <row r="238" spans="2:17">
      <c r="B238" s="187" t="s">
        <v>1818</v>
      </c>
      <c r="F238" s="33">
        <f>+F236+F237</f>
        <v>101.24400000000003</v>
      </c>
      <c r="G238" s="187" t="s">
        <v>341</v>
      </c>
      <c r="J238" s="46"/>
      <c r="K238" s="159"/>
      <c r="L238" s="46"/>
      <c r="M238" s="46"/>
      <c r="N238" s="46"/>
      <c r="O238" s="46"/>
      <c r="P238" s="46"/>
      <c r="Q238" s="46"/>
    </row>
    <row r="239" spans="2:17" ht="15.75">
      <c r="B239" s="187" t="s">
        <v>681</v>
      </c>
      <c r="D239" s="33"/>
      <c r="F239" s="33">
        <v>0</v>
      </c>
      <c r="G239" s="187" t="s">
        <v>620</v>
      </c>
      <c r="J239" s="46"/>
      <c r="K239" s="159"/>
      <c r="L239" s="46"/>
      <c r="M239" s="46"/>
      <c r="N239" s="46"/>
      <c r="O239" s="46"/>
      <c r="P239" s="46"/>
      <c r="Q239" s="46"/>
    </row>
    <row r="240" spans="2:17">
      <c r="B240" s="187" t="s">
        <v>1812</v>
      </c>
      <c r="D240" s="33"/>
      <c r="H240" s="33">
        <f>F239+F238*G229-(F236+F237)*G224</f>
        <v>-94.916250000000019</v>
      </c>
      <c r="I240" s="187" t="s">
        <v>620</v>
      </c>
      <c r="J240" s="109"/>
      <c r="K240" s="159"/>
      <c r="L240" s="46"/>
      <c r="M240" s="46"/>
      <c r="N240" s="46"/>
      <c r="O240" s="46"/>
      <c r="P240" s="46"/>
      <c r="Q240" s="46"/>
    </row>
    <row r="241" spans="1:17">
      <c r="B241" s="187"/>
      <c r="D241" s="33"/>
      <c r="I241" s="215" t="str">
        <f>IF(H240&gt;0,"(bottom tension)","(top tension)")</f>
        <v>(top tension)</v>
      </c>
      <c r="J241" s="46"/>
      <c r="K241" s="159"/>
      <c r="L241" s="46"/>
      <c r="M241" s="46"/>
      <c r="N241" s="46"/>
      <c r="O241" s="46"/>
      <c r="P241" s="46"/>
      <c r="Q241" s="46"/>
    </row>
    <row r="242" spans="1:17">
      <c r="B242" s="187"/>
      <c r="H242" s="33"/>
      <c r="I242" s="187"/>
      <c r="J242" s="109"/>
      <c r="K242" s="159"/>
      <c r="L242" s="46"/>
      <c r="M242" s="46"/>
      <c r="N242" s="46"/>
      <c r="O242" s="46"/>
      <c r="P242" s="46"/>
      <c r="Q242" s="46"/>
    </row>
    <row r="243" spans="1:17">
      <c r="B243" s="1" t="s">
        <v>657</v>
      </c>
      <c r="J243" s="46"/>
      <c r="K243" s="159"/>
      <c r="L243" s="46"/>
      <c r="M243" s="46"/>
      <c r="N243" s="46"/>
      <c r="O243" s="46"/>
      <c r="P243" s="46"/>
      <c r="Q243" s="46"/>
    </row>
    <row r="244" spans="1:17">
      <c r="B244" s="187" t="s">
        <v>611</v>
      </c>
      <c r="J244" s="46"/>
      <c r="K244" s="159"/>
    </row>
    <row r="245" spans="1:17">
      <c r="J245" s="46"/>
      <c r="K245" s="159"/>
    </row>
    <row r="246" spans="1:17">
      <c r="B246" s="187" t="s">
        <v>1814</v>
      </c>
      <c r="F246" s="33">
        <f>I131</f>
        <v>7.8000000000000007</v>
      </c>
      <c r="G246" s="187" t="s">
        <v>5</v>
      </c>
      <c r="J246" s="46"/>
      <c r="K246" s="159"/>
    </row>
    <row r="247" spans="1:17">
      <c r="B247" s="187" t="s">
        <v>1811</v>
      </c>
      <c r="F247" s="33">
        <f>0.5*(H142+H124)*I131*D3</f>
        <v>101.24400000000003</v>
      </c>
      <c r="G247" s="187" t="s">
        <v>341</v>
      </c>
      <c r="J247" s="46"/>
      <c r="K247" s="159"/>
    </row>
    <row r="248" spans="1:17">
      <c r="B248" s="187" t="s">
        <v>1813</v>
      </c>
      <c r="F248" s="33">
        <f>0.5*(H142-H124)*I131*D6</f>
        <v>36.855000000000004</v>
      </c>
      <c r="G248" s="187" t="s">
        <v>341</v>
      </c>
      <c r="J248" s="46"/>
      <c r="K248" s="159"/>
    </row>
    <row r="249" spans="1:17">
      <c r="B249" s="187" t="s">
        <v>1818</v>
      </c>
      <c r="F249" s="33">
        <f>F247+F248</f>
        <v>138.09900000000005</v>
      </c>
      <c r="G249" s="187" t="s">
        <v>341</v>
      </c>
      <c r="J249" s="46"/>
      <c r="K249" s="159"/>
    </row>
    <row r="250" spans="1:17" ht="15.75">
      <c r="A250" s="187"/>
      <c r="B250" s="187" t="s">
        <v>677</v>
      </c>
      <c r="F250" s="33">
        <f>J8*D6*F246^3/6</f>
        <v>539.68685923224393</v>
      </c>
      <c r="G250" s="187" t="s">
        <v>620</v>
      </c>
      <c r="H250" s="23" t="str">
        <f>IF(F250&gt;0,"(bottom tension)","(top tension)")</f>
        <v>(bottom tension)</v>
      </c>
      <c r="J250" s="46"/>
      <c r="K250" s="159"/>
    </row>
    <row r="251" spans="1:17">
      <c r="B251" s="187" t="s">
        <v>1812</v>
      </c>
      <c r="H251" s="33">
        <f>F250+F249*G229-(F247+F248)*G224</f>
        <v>410.2190467322439</v>
      </c>
      <c r="I251" s="187" t="s">
        <v>620</v>
      </c>
      <c r="J251" s="109"/>
      <c r="K251" s="159"/>
    </row>
    <row r="252" spans="1:17">
      <c r="B252" s="187"/>
      <c r="I252" s="215" t="str">
        <f>IF(H251&gt;0,"(bottom tension)","(top tension)")</f>
        <v>(bottom tension)</v>
      </c>
      <c r="J252" s="46"/>
      <c r="K252" s="159"/>
    </row>
    <row r="253" spans="1:17">
      <c r="B253" s="1" t="s">
        <v>660</v>
      </c>
      <c r="H253" s="33"/>
      <c r="J253" s="46"/>
      <c r="K253" s="159"/>
    </row>
    <row r="254" spans="1:17">
      <c r="B254" s="1" t="str">
        <f>B154</f>
        <v>Case 1 :  When Static  Water Head on C/S Monsoon</v>
      </c>
      <c r="H254" s="33"/>
      <c r="J254" s="46"/>
      <c r="K254" s="159"/>
    </row>
    <row r="255" spans="1:17">
      <c r="B255" s="187"/>
      <c r="H255" s="33"/>
      <c r="J255" s="46"/>
      <c r="K255" s="159"/>
    </row>
    <row r="256" spans="1:17">
      <c r="B256" s="187" t="s">
        <v>1811</v>
      </c>
      <c r="F256" s="33">
        <f>0.5*(H142+H124)*I131*D3</f>
        <v>101.24400000000003</v>
      </c>
      <c r="G256" s="187" t="s">
        <v>341</v>
      </c>
      <c r="H256" s="187"/>
      <c r="J256" s="46"/>
      <c r="K256" s="159"/>
    </row>
    <row r="257" spans="1:17">
      <c r="B257" s="187" t="s">
        <v>1813</v>
      </c>
      <c r="F257" s="33">
        <f>0.5*D157*E129*D6+0.5*(H142-H124+E129)*D156*D5</f>
        <v>34.851746910738662</v>
      </c>
      <c r="G257" s="187" t="s">
        <v>341</v>
      </c>
      <c r="H257" s="33"/>
      <c r="J257" s="46"/>
      <c r="K257" s="159"/>
      <c r="L257" s="46"/>
      <c r="M257" s="46"/>
      <c r="N257" s="46"/>
      <c r="O257" s="46"/>
      <c r="P257" s="46"/>
      <c r="Q257" s="46"/>
    </row>
    <row r="258" spans="1:17">
      <c r="B258" s="187" t="s">
        <v>1815</v>
      </c>
      <c r="F258" s="33">
        <f>D158*D7*F142/2</f>
        <v>55.181249999999999</v>
      </c>
      <c r="G258" s="187" t="s">
        <v>341</v>
      </c>
      <c r="H258" s="33"/>
      <c r="J258" s="46"/>
      <c r="K258" s="159"/>
      <c r="M258" s="46"/>
      <c r="N258" s="46"/>
      <c r="O258" s="46"/>
      <c r="P258" s="46"/>
      <c r="Q258" s="46"/>
    </row>
    <row r="259" spans="1:17">
      <c r="B259" s="187" t="s">
        <v>1881</v>
      </c>
      <c r="F259" s="33">
        <f>F256+F257+F258</f>
        <v>191.27699691073869</v>
      </c>
      <c r="G259" s="187" t="s">
        <v>341</v>
      </c>
      <c r="H259" s="33"/>
      <c r="J259" s="46"/>
      <c r="K259" s="159"/>
      <c r="L259" s="46"/>
      <c r="M259" s="46"/>
      <c r="N259" s="46"/>
      <c r="O259" s="46"/>
      <c r="P259" s="46"/>
      <c r="Q259" s="46"/>
    </row>
    <row r="260" spans="1:17">
      <c r="A260" s="187"/>
      <c r="B260" s="187" t="s">
        <v>682</v>
      </c>
      <c r="F260" s="33">
        <f>I163</f>
        <v>565.80236402288631</v>
      </c>
      <c r="G260" s="187" t="s">
        <v>107</v>
      </c>
      <c r="H260" s="23" t="str">
        <f>IF(F260&gt;0,"(bottom tension)","(top tension)")</f>
        <v>(bottom tension)</v>
      </c>
      <c r="I260" s="33"/>
      <c r="J260" s="224"/>
      <c r="K260" s="159"/>
      <c r="L260" s="46"/>
      <c r="M260" s="46"/>
      <c r="N260" s="46"/>
      <c r="O260" s="46"/>
      <c r="P260" s="46"/>
      <c r="Q260" s="46"/>
    </row>
    <row r="261" spans="1:17">
      <c r="B261" s="187" t="s">
        <v>1817</v>
      </c>
      <c r="I261" s="33">
        <f>F260+F259*G229-(F256+F257)*G224-F258*G222</f>
        <v>460.2851012940688</v>
      </c>
      <c r="J261" s="187" t="s">
        <v>620</v>
      </c>
      <c r="K261" s="159"/>
      <c r="L261" s="46"/>
      <c r="M261" s="46"/>
      <c r="N261" s="46"/>
      <c r="O261" s="46"/>
      <c r="P261" s="46"/>
      <c r="Q261" s="46"/>
    </row>
    <row r="262" spans="1:17">
      <c r="B262" s="187"/>
      <c r="I262" s="215" t="str">
        <f>IF(I261&gt;0,"(bottom tension)","(top tension)")</f>
        <v>(bottom tension)</v>
      </c>
      <c r="K262" s="159"/>
      <c r="L262" s="46"/>
      <c r="M262" s="46"/>
      <c r="N262" s="46"/>
      <c r="O262" s="46"/>
      <c r="P262" s="46"/>
      <c r="Q262" s="46"/>
    </row>
    <row r="263" spans="1:17">
      <c r="B263" s="1" t="s">
        <v>661</v>
      </c>
      <c r="H263" s="33"/>
      <c r="J263" s="46"/>
      <c r="K263" s="159"/>
      <c r="L263" s="46"/>
      <c r="M263" s="46"/>
      <c r="N263" s="46"/>
      <c r="O263" s="46"/>
      <c r="P263" s="46"/>
      <c r="Q263" s="46"/>
    </row>
    <row r="264" spans="1:17">
      <c r="B264" s="187" t="s">
        <v>662</v>
      </c>
      <c r="G264" s="2203" t="s">
        <v>1878</v>
      </c>
      <c r="H264" s="2204"/>
      <c r="I264" s="2203"/>
      <c r="J264" s="2203"/>
      <c r="K264" s="159"/>
      <c r="L264" s="46"/>
      <c r="M264" s="46"/>
      <c r="N264" s="46"/>
      <c r="O264" s="46"/>
      <c r="P264" s="46"/>
      <c r="Q264" s="46"/>
    </row>
    <row r="265" spans="1:17">
      <c r="B265" s="187"/>
      <c r="H265" s="33"/>
      <c r="J265" s="46"/>
      <c r="K265" s="159"/>
    </row>
    <row r="266" spans="1:17">
      <c r="B266" s="187" t="s">
        <v>1811</v>
      </c>
      <c r="F266" s="33">
        <f>F256</f>
        <v>101.24400000000003</v>
      </c>
      <c r="G266" s="187" t="s">
        <v>341</v>
      </c>
      <c r="H266" s="187"/>
      <c r="J266" s="46"/>
      <c r="K266" s="159"/>
    </row>
    <row r="267" spans="1:17">
      <c r="B267" s="187" t="s">
        <v>1813</v>
      </c>
      <c r="F267" s="33">
        <f>F257</f>
        <v>34.851746910738662</v>
      </c>
      <c r="G267" s="187" t="s">
        <v>341</v>
      </c>
      <c r="H267" s="33"/>
      <c r="J267" s="46"/>
      <c r="K267" s="159"/>
    </row>
    <row r="268" spans="1:17">
      <c r="B268" s="187" t="s">
        <v>647</v>
      </c>
      <c r="F268" s="33">
        <f>IF($F$4=1,0,F258)</f>
        <v>55.181249999999999</v>
      </c>
      <c r="G268" s="187" t="s">
        <v>341</v>
      </c>
      <c r="H268" s="187" t="s">
        <v>1879</v>
      </c>
      <c r="J268" s="46"/>
      <c r="K268" s="159"/>
    </row>
    <row r="269" spans="1:17">
      <c r="B269" s="187" t="s">
        <v>1819</v>
      </c>
      <c r="F269" s="33">
        <f>F266+F267</f>
        <v>136.09574691073868</v>
      </c>
      <c r="G269" s="187" t="s">
        <v>341</v>
      </c>
      <c r="H269" s="33"/>
      <c r="J269" s="46"/>
      <c r="K269" s="159"/>
    </row>
    <row r="270" spans="1:17">
      <c r="B270" s="187" t="s">
        <v>679</v>
      </c>
      <c r="F270" s="33">
        <f>F260</f>
        <v>565.80236402288631</v>
      </c>
      <c r="G270" s="187" t="s">
        <v>107</v>
      </c>
      <c r="H270" s="23" t="str">
        <f>IF(F270&gt;0,"(bottom tension)","(top tension)")</f>
        <v>(bottom tension)</v>
      </c>
      <c r="I270" s="33"/>
      <c r="J270" s="224"/>
      <c r="K270" s="159"/>
    </row>
    <row r="271" spans="1:17">
      <c r="B271" s="187" t="s">
        <v>1816</v>
      </c>
      <c r="H271" s="33">
        <f>F270+F269*G229-(F266+F267)*G224</f>
        <v>438.2126012940688</v>
      </c>
      <c r="I271" s="187" t="s">
        <v>341</v>
      </c>
      <c r="J271" s="109"/>
      <c r="K271" s="159"/>
      <c r="L271" s="46"/>
      <c r="M271" s="46"/>
      <c r="N271" s="46"/>
      <c r="O271" s="46"/>
      <c r="P271" s="46"/>
      <c r="Q271" s="46"/>
    </row>
    <row r="272" spans="1:17">
      <c r="A272" s="187"/>
      <c r="B272" s="187"/>
      <c r="I272" s="215" t="str">
        <f>IF(H271&gt;0,"(bottom tension)","(top tension)")</f>
        <v>(bottom tension)</v>
      </c>
      <c r="J272" s="46"/>
      <c r="K272" s="159"/>
      <c r="L272" s="46"/>
      <c r="M272" s="46"/>
      <c r="N272" s="46"/>
      <c r="O272" s="46"/>
      <c r="P272" s="46"/>
      <c r="Q272" s="46"/>
    </row>
    <row r="273" spans="1:17">
      <c r="B273" s="41" t="s">
        <v>664</v>
      </c>
      <c r="H273" s="215"/>
      <c r="J273" s="46"/>
      <c r="K273" s="159"/>
      <c r="L273" s="46"/>
      <c r="M273" s="90"/>
      <c r="N273" s="44"/>
      <c r="O273" s="46"/>
      <c r="P273" s="391"/>
      <c r="Q273" s="46"/>
    </row>
    <row r="274" spans="1:17">
      <c r="B274" s="187"/>
      <c r="H274" s="215"/>
      <c r="J274" s="46"/>
      <c r="K274" s="159"/>
      <c r="L274" s="46"/>
    </row>
    <row r="275" spans="1:17">
      <c r="B275" s="374" t="s">
        <v>673</v>
      </c>
      <c r="C275" s="3118" t="s">
        <v>675</v>
      </c>
      <c r="D275" s="3070" t="s">
        <v>674</v>
      </c>
      <c r="E275" s="3068"/>
      <c r="F275" s="374" t="s">
        <v>615</v>
      </c>
      <c r="G275" s="355" t="s">
        <v>619</v>
      </c>
      <c r="H275" s="355" t="s">
        <v>616</v>
      </c>
      <c r="I275" s="382" t="s">
        <v>676</v>
      </c>
      <c r="J275" s="562"/>
      <c r="K275" s="159"/>
      <c r="L275" s="46"/>
    </row>
    <row r="276" spans="1:17">
      <c r="B276" s="348"/>
      <c r="C276" s="3092"/>
      <c r="D276" s="3121" t="s">
        <v>665</v>
      </c>
      <c r="E276" s="3118" t="s">
        <v>672</v>
      </c>
      <c r="F276" s="16"/>
      <c r="G276" s="104"/>
      <c r="H276" s="105"/>
      <c r="I276" s="366"/>
      <c r="J276" s="385"/>
      <c r="K276" s="159"/>
      <c r="L276" s="46"/>
    </row>
    <row r="277" spans="1:17">
      <c r="B277" s="367"/>
      <c r="C277" s="365"/>
      <c r="D277" s="3121"/>
      <c r="E277" s="3092"/>
      <c r="F277" s="16"/>
      <c r="G277" s="105"/>
      <c r="H277" s="365"/>
      <c r="I277" s="380"/>
      <c r="J277" s="408"/>
      <c r="K277" s="159"/>
      <c r="L277" s="46"/>
    </row>
    <row r="278" spans="1:17">
      <c r="B278" s="598"/>
      <c r="C278" s="94" t="s">
        <v>107</v>
      </c>
      <c r="D278" s="599" t="s">
        <v>107</v>
      </c>
      <c r="E278" s="94" t="s">
        <v>107</v>
      </c>
      <c r="F278" s="602" t="s">
        <v>98</v>
      </c>
      <c r="G278" s="256" t="s">
        <v>98</v>
      </c>
      <c r="H278" s="256" t="s">
        <v>98</v>
      </c>
      <c r="I278" s="601"/>
      <c r="J278" s="408"/>
      <c r="K278" s="159"/>
      <c r="L278" s="46"/>
    </row>
    <row r="279" spans="1:17">
      <c r="B279" s="374" t="s">
        <v>666</v>
      </c>
      <c r="C279" s="376">
        <f>F239</f>
        <v>0</v>
      </c>
      <c r="D279" s="251">
        <f>IF(J9="y",0,IF(H240&lt;0,ABS(H240),0))</f>
        <v>0</v>
      </c>
      <c r="E279" s="379">
        <f>IF(H240&gt;0,H240,0)</f>
        <v>0</v>
      </c>
      <c r="F279" s="55"/>
      <c r="G279" s="105"/>
      <c r="H279" s="381"/>
      <c r="I279" s="375"/>
      <c r="J279" s="275"/>
      <c r="K279" s="159"/>
      <c r="L279" s="46"/>
    </row>
    <row r="280" spans="1:17">
      <c r="B280" s="348" t="s">
        <v>667</v>
      </c>
      <c r="C280" s="377">
        <f>F250</f>
        <v>539.68685923224393</v>
      </c>
      <c r="D280" s="107">
        <f>IF(H251&lt;0,ABS(H251),0)</f>
        <v>0</v>
      </c>
      <c r="E280" s="103">
        <f>IF(H251&gt;0,H251,0)</f>
        <v>410.2190467322439</v>
      </c>
      <c r="F280" s="16"/>
      <c r="G280" s="105"/>
      <c r="H280" s="105"/>
      <c r="I280" s="58"/>
      <c r="J280" s="386"/>
      <c r="K280" s="159"/>
      <c r="L280" s="46"/>
    </row>
    <row r="281" spans="1:17">
      <c r="B281" s="348" t="s">
        <v>668</v>
      </c>
      <c r="C281" s="377">
        <f>F260</f>
        <v>565.80236402288631</v>
      </c>
      <c r="D281" s="107">
        <f>IF(I261&lt;0,ABS(I261),0)</f>
        <v>0</v>
      </c>
      <c r="E281" s="103">
        <f>IF(I261&gt;0,I261,0)</f>
        <v>460.2851012940688</v>
      </c>
      <c r="F281" s="16"/>
      <c r="G281" s="105"/>
      <c r="H281" s="356"/>
      <c r="I281" s="350"/>
      <c r="J281" s="612"/>
      <c r="K281" s="159"/>
      <c r="L281" s="46"/>
    </row>
    <row r="282" spans="1:17">
      <c r="B282" s="348" t="s">
        <v>669</v>
      </c>
      <c r="C282" s="377">
        <f>F270</f>
        <v>565.80236402288631</v>
      </c>
      <c r="D282" s="107">
        <f>IF(H271&lt;0,ABS(H271),0)</f>
        <v>0</v>
      </c>
      <c r="E282" s="103">
        <f>IF(H271&gt;0,H271,0)</f>
        <v>438.2126012940688</v>
      </c>
      <c r="F282" s="16"/>
      <c r="G282" s="105"/>
      <c r="H282" s="105"/>
      <c r="I282" s="350"/>
      <c r="J282" s="612"/>
      <c r="K282" s="159"/>
      <c r="L282" s="46"/>
      <c r="M282" s="46"/>
    </row>
    <row r="283" spans="1:17">
      <c r="B283" s="600" t="s">
        <v>671</v>
      </c>
      <c r="C283" s="393">
        <f>MAX(C279:C282)</f>
        <v>565.80236402288631</v>
      </c>
      <c r="D283" s="394">
        <f>MAX(D279:D282)</f>
        <v>0</v>
      </c>
      <c r="E283" s="393">
        <f>MAX(E279:E282)</f>
        <v>460.2851012940688</v>
      </c>
      <c r="F283" s="395">
        <f>((MAX(C283,D283,E283)*10^6)/(C23*1000))^0.5</f>
        <v>628.98422491418751</v>
      </c>
      <c r="G283" s="316">
        <f>I218*1000</f>
        <v>1200</v>
      </c>
      <c r="H283" s="396">
        <f>G283-I13-C308/2</f>
        <v>1127.5</v>
      </c>
      <c r="I283" s="1976" t="str">
        <f>IF(H283&gt;=F283,"o.k","Not o.k")</f>
        <v>o.k</v>
      </c>
      <c r="J283" s="386"/>
      <c r="K283" s="159"/>
      <c r="L283" s="46"/>
    </row>
    <row r="284" spans="1:17">
      <c r="B284" s="369"/>
      <c r="C284" s="377"/>
      <c r="D284" s="368"/>
      <c r="E284" s="377"/>
      <c r="F284" s="16"/>
      <c r="G284" s="105"/>
      <c r="H284" s="356">
        <f>H283-I15</f>
        <v>1127.5</v>
      </c>
      <c r="I284" s="370" t="s">
        <v>2138</v>
      </c>
      <c r="J284" s="786"/>
      <c r="K284" s="159"/>
      <c r="L284" s="46"/>
    </row>
    <row r="285" spans="1:17">
      <c r="B285" s="371" t="s">
        <v>670</v>
      </c>
      <c r="C285" s="378">
        <f>(C283*10^6)/(C18*C22*H283)</f>
        <v>3019.6222680730862</v>
      </c>
      <c r="D285" s="372">
        <f>(D283*10^6)/(C18*C22*H283)</f>
        <v>0</v>
      </c>
      <c r="E285" s="378">
        <f>(E283*10^6)/(C18*C22*H284)</f>
        <v>2456.4887492651519</v>
      </c>
      <c r="F285" s="59"/>
      <c r="G285" s="106"/>
      <c r="H285" s="357"/>
      <c r="I285" s="373"/>
      <c r="J285" s="786"/>
      <c r="K285" s="159"/>
      <c r="L285" s="46"/>
    </row>
    <row r="286" spans="1:17">
      <c r="A286" s="187"/>
      <c r="B286" s="223"/>
      <c r="C286" s="223"/>
      <c r="D286" s="2"/>
      <c r="E286" s="223"/>
      <c r="G286" s="349"/>
      <c r="H286" s="294"/>
      <c r="I286" s="16"/>
      <c r="J286" s="386"/>
      <c r="K286" s="159"/>
      <c r="L286" s="46"/>
    </row>
    <row r="287" spans="1:17">
      <c r="A287" s="187"/>
      <c r="B287" s="383" t="s">
        <v>1107</v>
      </c>
      <c r="C287" s="223"/>
      <c r="D287" s="2"/>
      <c r="E287" s="223"/>
      <c r="G287" s="349"/>
      <c r="H287" s="294"/>
      <c r="I287" s="16"/>
      <c r="J287" s="386"/>
      <c r="K287" s="159"/>
      <c r="L287" s="46"/>
    </row>
    <row r="288" spans="1:17">
      <c r="A288" s="187"/>
      <c r="B288" s="385" t="s">
        <v>1109</v>
      </c>
      <c r="C288" s="385"/>
      <c r="D288" s="386"/>
      <c r="G288" s="385" t="s">
        <v>1123</v>
      </c>
      <c r="H288" s="294"/>
      <c r="I288" s="16"/>
      <c r="J288" s="386"/>
      <c r="K288" s="159"/>
      <c r="L288" s="46"/>
    </row>
    <row r="289" spans="1:19" ht="14.25">
      <c r="A289" s="187"/>
      <c r="B289" s="385" t="s">
        <v>441</v>
      </c>
      <c r="C289" s="386">
        <f>IF(F144&lt;=9,G106,G111)</f>
        <v>2E-3</v>
      </c>
      <c r="D289" s="385" t="s">
        <v>438</v>
      </c>
      <c r="G289" s="385" t="s">
        <v>441</v>
      </c>
      <c r="H289" s="386">
        <f>IF(F144&lt;=9,G105,G110)</f>
        <v>1E-3</v>
      </c>
      <c r="I289" s="385" t="s">
        <v>438</v>
      </c>
      <c r="J289" s="386"/>
      <c r="K289" s="159"/>
      <c r="L289" s="46"/>
    </row>
    <row r="290" spans="1:19" ht="14.25">
      <c r="A290" s="187"/>
      <c r="B290" s="385" t="s">
        <v>442</v>
      </c>
      <c r="C290" s="386">
        <f>IF(E59&lt;=9,G106,G111)</f>
        <v>2.5000000000000001E-3</v>
      </c>
      <c r="D290" s="385" t="s">
        <v>438</v>
      </c>
      <c r="E290" s="386"/>
      <c r="F290" s="386"/>
      <c r="G290" s="385" t="s">
        <v>442</v>
      </c>
      <c r="H290" s="386">
        <f>IF(E59&lt;=9,G105,G110)</f>
        <v>1.5E-3</v>
      </c>
      <c r="I290" s="385" t="s">
        <v>438</v>
      </c>
      <c r="J290" s="386"/>
      <c r="K290" s="159"/>
      <c r="L290" s="46"/>
    </row>
    <row r="291" spans="1:19">
      <c r="J291" s="46"/>
      <c r="K291" s="159"/>
      <c r="L291" s="46"/>
    </row>
    <row r="292" spans="1:19">
      <c r="A292" s="936" t="str">
        <f>"Reinforcement Distribution of C/S Floor for Sec "&amp;C115&amp;" :"</f>
        <v>Reinforcement Distribution of C/S Floor for Sec 1-1 :</v>
      </c>
      <c r="G292" s="107"/>
      <c r="H292" s="107"/>
      <c r="J292" s="46"/>
      <c r="K292" s="159"/>
      <c r="L292" s="46"/>
    </row>
    <row r="293" spans="1:19">
      <c r="J293" s="46"/>
      <c r="K293" s="159"/>
      <c r="L293" s="46"/>
    </row>
    <row r="294" spans="1:19">
      <c r="A294" s="3147" t="s">
        <v>486</v>
      </c>
      <c r="B294" s="3148" t="s">
        <v>487</v>
      </c>
      <c r="C294" s="3148" t="s">
        <v>488</v>
      </c>
      <c r="D294" s="3148" t="s">
        <v>489</v>
      </c>
      <c r="E294" s="3149" t="s">
        <v>490</v>
      </c>
      <c r="F294" s="3150"/>
      <c r="G294" s="3150"/>
      <c r="H294" s="3150"/>
      <c r="I294" s="3150"/>
      <c r="J294" s="330"/>
      <c r="K294" s="159"/>
      <c r="L294" s="329"/>
    </row>
    <row r="295" spans="1:19">
      <c r="A295" s="3147"/>
      <c r="B295" s="3148"/>
      <c r="C295" s="3148"/>
      <c r="D295" s="3148"/>
      <c r="E295" s="94">
        <v>12</v>
      </c>
      <c r="F295" s="94">
        <v>16</v>
      </c>
      <c r="G295" s="94">
        <v>20</v>
      </c>
      <c r="H295" s="94">
        <v>22</v>
      </c>
      <c r="I295" s="94">
        <v>25</v>
      </c>
      <c r="J295" s="275"/>
      <c r="K295" s="159"/>
      <c r="L295" s="46"/>
    </row>
    <row r="296" spans="1:19" ht="14.25">
      <c r="A296" s="172"/>
      <c r="B296" s="256" t="s">
        <v>491</v>
      </c>
      <c r="C296" s="256" t="s">
        <v>491</v>
      </c>
      <c r="D296" s="256" t="s">
        <v>491</v>
      </c>
      <c r="E296" s="596" t="s">
        <v>98</v>
      </c>
      <c r="F296" s="596" t="s">
        <v>98</v>
      </c>
      <c r="G296" s="596" t="s">
        <v>98</v>
      </c>
      <c r="H296" s="596" t="s">
        <v>98</v>
      </c>
      <c r="I296" s="596" t="s">
        <v>98</v>
      </c>
      <c r="J296" s="759"/>
      <c r="K296" s="159"/>
      <c r="L296" s="46"/>
      <c r="M296" s="46"/>
      <c r="N296" s="46"/>
      <c r="O296" s="46"/>
      <c r="P296" s="46"/>
      <c r="Q296" s="46"/>
    </row>
    <row r="297" spans="1:19">
      <c r="A297" s="264" t="s">
        <v>440</v>
      </c>
      <c r="B297" s="55"/>
      <c r="C297" s="55"/>
      <c r="D297" s="55"/>
      <c r="E297" s="55"/>
      <c r="F297" s="55"/>
      <c r="G297" s="55"/>
      <c r="H297" s="55"/>
      <c r="I297" s="56"/>
      <c r="J297" s="386"/>
      <c r="K297" s="159"/>
      <c r="L297" s="46"/>
      <c r="M297" s="46"/>
      <c r="N297" s="46"/>
      <c r="O297" s="46"/>
      <c r="P297" s="46"/>
      <c r="Q297" s="46"/>
    </row>
    <row r="298" spans="1:19">
      <c r="A298" s="363" t="s">
        <v>441</v>
      </c>
      <c r="B298" s="318">
        <f>D285</f>
        <v>0</v>
      </c>
      <c r="C298" s="318">
        <f>IF(G283&gt;380,C289*1000*380,C289*1000*G283)</f>
        <v>760</v>
      </c>
      <c r="D298" s="318">
        <f>MAX(B298:C298)</f>
        <v>760</v>
      </c>
      <c r="E298" s="261">
        <f>PI()*(E295/2)^2*1000/$D298</f>
        <v>148.81228359109548</v>
      </c>
      <c r="F298" s="261">
        <f>PI()*(F295/2)^2*1000/$D298</f>
        <v>264.55517082861417</v>
      </c>
      <c r="G298" s="261">
        <f>PI()*(G295/2)^2*1000/$D298</f>
        <v>413.36745441970965</v>
      </c>
      <c r="H298" s="261">
        <f>PI()*(H295/2)^2*1000/$D298</f>
        <v>500.17461984784865</v>
      </c>
      <c r="I298" s="283">
        <f>PI()*(I295/2)^2*1000/$D298</f>
        <v>645.88664753079627</v>
      </c>
      <c r="J298" s="328"/>
      <c r="K298" s="159"/>
      <c r="L298" s="46"/>
      <c r="M298" s="46"/>
      <c r="N298" s="46"/>
      <c r="O298" s="46"/>
      <c r="P298" s="46"/>
      <c r="Q298" s="46"/>
    </row>
    <row r="299" spans="1:19">
      <c r="A299" s="364" t="s">
        <v>442</v>
      </c>
      <c r="B299" s="319"/>
      <c r="C299" s="318">
        <f>IF(G283&gt;380,C290*1000*380,C290*1000*G283)</f>
        <v>950</v>
      </c>
      <c r="D299" s="319">
        <f>MAX(B299:C299)</f>
        <v>950</v>
      </c>
      <c r="E299" s="261">
        <f>PI()*(E295/2)^2*1000/$D299</f>
        <v>119.04982687287638</v>
      </c>
      <c r="F299" s="261">
        <f>PI()*(F295/2)^2*1000/$D299</f>
        <v>211.6441366628913</v>
      </c>
      <c r="G299" s="261">
        <f>PI()*(G295/2)^2*1000/$D299</f>
        <v>330.69396353576775</v>
      </c>
      <c r="H299" s="261">
        <f>PI()*(H295/2)^2*1000/$D299</f>
        <v>400.13969587827893</v>
      </c>
      <c r="I299" s="283">
        <f>PI()*(I295/2)^2*1000/$D299</f>
        <v>516.70931802463701</v>
      </c>
      <c r="J299" s="328"/>
      <c r="K299" s="159"/>
      <c r="L299" s="46"/>
      <c r="M299" s="46"/>
      <c r="N299" s="46"/>
      <c r="O299" s="46"/>
      <c r="P299" s="46"/>
      <c r="Q299" s="46"/>
    </row>
    <row r="300" spans="1:19">
      <c r="A300" s="258" t="s">
        <v>443</v>
      </c>
      <c r="B300" s="265"/>
      <c r="C300" s="322"/>
      <c r="D300" s="322"/>
      <c r="E300" s="266"/>
      <c r="F300" s="266"/>
      <c r="G300" s="266"/>
      <c r="H300" s="266"/>
      <c r="I300" s="267"/>
      <c r="J300" s="330"/>
      <c r="K300" s="159"/>
      <c r="L300" s="46"/>
      <c r="M300" s="46"/>
      <c r="N300" s="46"/>
      <c r="O300" s="46"/>
      <c r="P300" s="46"/>
      <c r="Q300" s="46"/>
    </row>
    <row r="301" spans="1:19">
      <c r="A301" s="363" t="s">
        <v>441</v>
      </c>
      <c r="B301" s="318">
        <f>C285</f>
        <v>3019.6222680730862</v>
      </c>
      <c r="C301" s="318">
        <f>IF(G283&gt;380,H289*1000*380,H289*1000*G283)</f>
        <v>380</v>
      </c>
      <c r="D301" s="318">
        <f>MAX(B301:C301)</f>
        <v>3019.6222680730862</v>
      </c>
      <c r="E301" s="261">
        <f>PI()*(E295/2)^2*1000/$D301</f>
        <v>37.454133493790749</v>
      </c>
      <c r="F301" s="261">
        <f>PI()*(F295/2)^2*1000/$D301</f>
        <v>66.585126211183535</v>
      </c>
      <c r="G301" s="261">
        <f>PI()*(G295/2)^2*1000/$D301</f>
        <v>104.0392597049743</v>
      </c>
      <c r="H301" s="261">
        <f>PI()*(H295/2)^2*1000/$D301</f>
        <v>125.8875042430189</v>
      </c>
      <c r="I301" s="283">
        <f>PI()*(I295/2)^2*1000/$D301</f>
        <v>162.56134328902235</v>
      </c>
      <c r="J301" s="328"/>
      <c r="K301" s="159"/>
      <c r="L301" s="46"/>
      <c r="M301" s="46"/>
      <c r="N301" s="46"/>
      <c r="O301" s="46"/>
      <c r="P301" s="46"/>
      <c r="Q301" s="46"/>
    </row>
    <row r="302" spans="1:19">
      <c r="A302" s="364" t="s">
        <v>442</v>
      </c>
      <c r="B302" s="263"/>
      <c r="C302" s="319">
        <f>IF(G283&gt;380,H290*1000*380,H290*1000*G283)</f>
        <v>570</v>
      </c>
      <c r="D302" s="319">
        <f>MAX(B302:C302)</f>
        <v>570</v>
      </c>
      <c r="E302" s="284">
        <f>PI()*(E295/2)^2*1000/$D302</f>
        <v>198.41637812146064</v>
      </c>
      <c r="F302" s="284">
        <f>PI()*(F295/2)^2*1000/$D302</f>
        <v>352.74022777148554</v>
      </c>
      <c r="G302" s="284">
        <f>PI()*(G295/2)^2*1000/$D302</f>
        <v>551.15660589294623</v>
      </c>
      <c r="H302" s="284">
        <f>PI()*(H295/2)^2*1000/$D302</f>
        <v>666.89949313046486</v>
      </c>
      <c r="I302" s="285">
        <f>PI()*(I295/2)^2*1000/$D302</f>
        <v>861.18219670772839</v>
      </c>
      <c r="J302" s="328"/>
      <c r="K302" s="159"/>
      <c r="L302" s="3173" t="s">
        <v>1140</v>
      </c>
      <c r="M302" s="3174"/>
      <c r="N302" s="3174"/>
      <c r="O302" s="3174"/>
      <c r="P302" s="3175"/>
      <c r="Q302" s="46"/>
    </row>
    <row r="303" spans="1:19" ht="15">
      <c r="A303" s="29"/>
      <c r="J303" s="46"/>
      <c r="K303" s="159"/>
      <c r="L303" s="3205" t="s">
        <v>876</v>
      </c>
      <c r="M303" s="3171" t="s">
        <v>442</v>
      </c>
      <c r="N303" s="3176"/>
      <c r="O303" s="3176"/>
      <c r="P303" s="3172"/>
      <c r="Q303" s="46"/>
      <c r="R303" s="3127" t="s">
        <v>441</v>
      </c>
      <c r="S303" s="3129"/>
    </row>
    <row r="304" spans="1:19">
      <c r="A304" s="264" t="s">
        <v>440</v>
      </c>
      <c r="B304" s="55"/>
      <c r="C304" s="252"/>
      <c r="D304" s="55"/>
      <c r="E304" s="55"/>
      <c r="F304" s="56"/>
      <c r="G304" s="495" t="s">
        <v>2095</v>
      </c>
      <c r="H304" s="2641" t="s">
        <v>1358</v>
      </c>
      <c r="I304" s="1178" t="s">
        <v>2094</v>
      </c>
      <c r="J304" s="46"/>
      <c r="K304" s="159"/>
      <c r="L304" s="3206"/>
      <c r="M304" s="3171" t="s">
        <v>440</v>
      </c>
      <c r="N304" s="3172"/>
      <c r="O304" s="3171" t="s">
        <v>443</v>
      </c>
      <c r="P304" s="3172"/>
      <c r="Q304" s="46"/>
      <c r="R304" s="3171" t="s">
        <v>440</v>
      </c>
      <c r="S304" s="3172"/>
    </row>
    <row r="305" spans="1:19" ht="15.75">
      <c r="A305" s="363" t="s">
        <v>441</v>
      </c>
      <c r="B305" s="268" t="s">
        <v>136</v>
      </c>
      <c r="C305" s="269">
        <v>16</v>
      </c>
      <c r="D305" s="604" t="s">
        <v>481</v>
      </c>
      <c r="E305" s="271">
        <v>200</v>
      </c>
      <c r="F305" s="272" t="s">
        <v>482</v>
      </c>
      <c r="G305" s="2014" t="s">
        <v>2096</v>
      </c>
      <c r="H305" s="316">
        <f>PI()*(C305/2)^2*1000/E305</f>
        <v>1005.3096491487337</v>
      </c>
      <c r="I305" s="457">
        <f>H305*$C$18*$C$22*H283/10^6</f>
        <v>188.37010909524946</v>
      </c>
      <c r="J305" s="46"/>
      <c r="K305" s="159"/>
      <c r="L305" s="3207"/>
      <c r="M305" s="911" t="s">
        <v>709</v>
      </c>
      <c r="N305" s="902" t="s">
        <v>710</v>
      </c>
      <c r="O305" s="912" t="s">
        <v>709</v>
      </c>
      <c r="P305" s="902" t="s">
        <v>710</v>
      </c>
      <c r="Q305" s="46"/>
      <c r="R305" s="2320" t="s">
        <v>709</v>
      </c>
      <c r="S305" s="902" t="s">
        <v>710</v>
      </c>
    </row>
    <row r="306" spans="1:19" ht="15.75">
      <c r="A306" s="364" t="s">
        <v>442</v>
      </c>
      <c r="B306" s="278" t="s">
        <v>136</v>
      </c>
      <c r="C306" s="279">
        <v>16</v>
      </c>
      <c r="D306" s="280" t="s">
        <v>481</v>
      </c>
      <c r="E306" s="281">
        <v>200</v>
      </c>
      <c r="F306" s="282" t="s">
        <v>482</v>
      </c>
      <c r="G306" s="2639"/>
      <c r="H306" s="16"/>
      <c r="I306" s="2666" t="str">
        <f>IF(I305&gt;=N26,"o.k","Not o.k")</f>
        <v>o.k</v>
      </c>
      <c r="J306" s="46"/>
      <c r="K306" s="159"/>
      <c r="L306" s="2021" t="str">
        <f>L66</f>
        <v>1-1</v>
      </c>
      <c r="M306" s="2022">
        <f>C306</f>
        <v>16</v>
      </c>
      <c r="N306" s="2023">
        <f>E306</f>
        <v>200</v>
      </c>
      <c r="O306" s="2024">
        <f>C309</f>
        <v>16</v>
      </c>
      <c r="P306" s="2025">
        <f>E309</f>
        <v>250</v>
      </c>
      <c r="Q306" s="46"/>
      <c r="R306" s="2328">
        <f>C305</f>
        <v>16</v>
      </c>
      <c r="S306" s="2329">
        <f>E305</f>
        <v>200</v>
      </c>
    </row>
    <row r="307" spans="1:19" ht="15">
      <c r="A307" s="258" t="s">
        <v>443</v>
      </c>
      <c r="B307" s="273"/>
      <c r="C307" s="274"/>
      <c r="D307" s="275"/>
      <c r="E307" s="276"/>
      <c r="F307" s="277"/>
      <c r="G307" s="2639"/>
      <c r="H307" s="16"/>
      <c r="I307" s="58"/>
      <c r="J307" s="46"/>
      <c r="K307" s="159"/>
      <c r="L307" s="885" t="str">
        <f>L67</f>
        <v>2-2</v>
      </c>
      <c r="M307" s="891">
        <f>C554</f>
        <v>16</v>
      </c>
      <c r="N307" s="2016">
        <f>E554</f>
        <v>200</v>
      </c>
      <c r="O307" s="892">
        <f>C557</f>
        <v>16</v>
      </c>
      <c r="P307" s="886">
        <f>E557</f>
        <v>250</v>
      </c>
      <c r="Q307" s="46"/>
      <c r="R307" s="2324">
        <f>C553</f>
        <v>16</v>
      </c>
      <c r="S307" s="2326">
        <f>E553</f>
        <v>200</v>
      </c>
    </row>
    <row r="308" spans="1:19" ht="15.75">
      <c r="A308" s="363" t="s">
        <v>441</v>
      </c>
      <c r="B308" s="268" t="s">
        <v>136</v>
      </c>
      <c r="C308" s="397">
        <f>C190</f>
        <v>25</v>
      </c>
      <c r="D308" s="604" t="s">
        <v>481</v>
      </c>
      <c r="E308" s="398">
        <f>E190</f>
        <v>100</v>
      </c>
      <c r="F308" s="368" t="s">
        <v>482</v>
      </c>
      <c r="G308" s="2124" t="s">
        <v>2097</v>
      </c>
      <c r="H308" s="316">
        <f>PI()*(C308/2)^2*1000/$E308</f>
        <v>4908.7385212340523</v>
      </c>
      <c r="I308" s="457">
        <f>H308*$C$18*$C$22*H283/10^6</f>
        <v>919.775923316648</v>
      </c>
      <c r="J308" s="46"/>
      <c r="K308" s="159"/>
      <c r="L308" s="885" t="str">
        <f>L68</f>
        <v>3-3</v>
      </c>
      <c r="M308" s="892">
        <f>C803</f>
        <v>16</v>
      </c>
      <c r="N308" s="887">
        <f>E803</f>
        <v>200</v>
      </c>
      <c r="O308" s="892">
        <f>C806</f>
        <v>16</v>
      </c>
      <c r="P308" s="886">
        <f>E806</f>
        <v>250</v>
      </c>
      <c r="Q308" s="46"/>
      <c r="R308" s="2324">
        <f>C802</f>
        <v>16</v>
      </c>
      <c r="S308" s="2326">
        <f>E802</f>
        <v>200</v>
      </c>
    </row>
    <row r="309" spans="1:19" ht="15.75">
      <c r="A309" s="364" t="s">
        <v>442</v>
      </c>
      <c r="B309" s="278" t="s">
        <v>136</v>
      </c>
      <c r="C309" s="279">
        <v>16</v>
      </c>
      <c r="D309" s="280" t="s">
        <v>481</v>
      </c>
      <c r="E309" s="281">
        <v>250</v>
      </c>
      <c r="F309" s="1184" t="s">
        <v>482</v>
      </c>
      <c r="G309" s="2640"/>
      <c r="H309" s="60"/>
      <c r="I309" s="465" t="str">
        <f>IF(I308&gt;=M26,"o.k","Not o.k")</f>
        <v>o.k</v>
      </c>
      <c r="J309" s="46"/>
      <c r="K309" s="159"/>
      <c r="L309" s="885" t="str">
        <f>L69</f>
        <v>4-4</v>
      </c>
      <c r="M309" s="892">
        <f>C1050</f>
        <v>16</v>
      </c>
      <c r="N309" s="887">
        <f>E1050</f>
        <v>200</v>
      </c>
      <c r="O309" s="892">
        <f>C1053</f>
        <v>16</v>
      </c>
      <c r="P309" s="886">
        <f>E1053</f>
        <v>250</v>
      </c>
      <c r="Q309" s="46"/>
      <c r="R309" s="2324">
        <f>C1049</f>
        <v>16</v>
      </c>
      <c r="S309" s="2326">
        <f>E1049</f>
        <v>200</v>
      </c>
    </row>
    <row r="310" spans="1:19">
      <c r="J310" s="46"/>
      <c r="K310" s="159"/>
      <c r="L310" s="890" t="str">
        <f>L70</f>
        <v>5-5</v>
      </c>
      <c r="M310" s="893">
        <f>C1299</f>
        <v>16</v>
      </c>
      <c r="N310" s="888">
        <f>E1299</f>
        <v>200</v>
      </c>
      <c r="O310" s="893">
        <f>C1302</f>
        <v>16</v>
      </c>
      <c r="P310" s="889">
        <f>E1302</f>
        <v>250</v>
      </c>
      <c r="R310" s="2325">
        <f>C1298</f>
        <v>16</v>
      </c>
      <c r="S310" s="2327">
        <f>E1298</f>
        <v>150</v>
      </c>
    </row>
    <row r="311" spans="1:19">
      <c r="A311" s="2193" t="s">
        <v>602</v>
      </c>
      <c r="B311" s="2194"/>
      <c r="C311" s="2195" t="s">
        <v>1868</v>
      </c>
      <c r="D311" s="2194"/>
      <c r="E311" s="2194"/>
      <c r="J311" s="46"/>
      <c r="K311" s="159"/>
    </row>
    <row r="312" spans="1:19">
      <c r="B312" s="187" t="s">
        <v>940</v>
      </c>
      <c r="G312" s="126" t="str">
        <f>IF(AND(H251&lt;=F250/2,I261&lt;=F260/2,H271&lt;=F270/2),"For Curtailment follow the Remark","Curtailment not possible")</f>
        <v>Curtailment not possible</v>
      </c>
      <c r="H312" s="126"/>
      <c r="I312" s="126"/>
      <c r="J312" s="126"/>
      <c r="K312" s="159"/>
    </row>
    <row r="313" spans="1:19">
      <c r="B313" s="187"/>
      <c r="F313" s="33"/>
      <c r="G313" s="187"/>
      <c r="J313" s="46"/>
      <c r="K313" s="159"/>
    </row>
    <row r="314" spans="1:19">
      <c r="B314" s="187" t="s">
        <v>1822</v>
      </c>
      <c r="F314" s="1995">
        <f>0.5*PI()*(C308/2)^2*1000/E308</f>
        <v>2454.3692606170262</v>
      </c>
      <c r="G314" s="187" t="s">
        <v>1348</v>
      </c>
      <c r="J314" s="46"/>
      <c r="K314" s="159"/>
      <c r="N314" s="33"/>
      <c r="O314" s="187"/>
    </row>
    <row r="315" spans="1:19">
      <c r="B315" s="385" t="s">
        <v>1825</v>
      </c>
      <c r="F315" s="33">
        <f>F314*C18*C22*H283/10^6</f>
        <v>459.887961658324</v>
      </c>
      <c r="G315" s="187" t="s">
        <v>107</v>
      </c>
      <c r="H315" s="2751" t="str">
        <f>IF(F315&gt;M$26,"&gt; Max End Me="&amp;FIXED(M$26,2)&amp;" kn-m","&lt; Max End Me="&amp;FIXED(M$26,2)&amp;" kn-m")</f>
        <v>&lt; Max End Me=565.80 kn-m</v>
      </c>
      <c r="I315" s="2751"/>
      <c r="J315" s="2751"/>
      <c r="K315" s="159"/>
      <c r="L315" s="2742" t="s">
        <v>2116</v>
      </c>
      <c r="M315" s="2743"/>
      <c r="N315" s="2744"/>
    </row>
    <row r="316" spans="1:19" ht="14.25">
      <c r="B316" s="187" t="s">
        <v>1823</v>
      </c>
      <c r="J316" s="46"/>
      <c r="K316" s="159"/>
      <c r="L316" s="2745" t="s">
        <v>2117</v>
      </c>
      <c r="M316" s="2746"/>
      <c r="N316" s="2747"/>
    </row>
    <row r="317" spans="1:19" ht="14.25">
      <c r="A317" s="203" t="s">
        <v>707</v>
      </c>
      <c r="B317" s="187" t="s">
        <v>1826</v>
      </c>
      <c r="J317" s="46"/>
      <c r="K317" s="159"/>
      <c r="L317" s="2748" t="s">
        <v>2118</v>
      </c>
      <c r="M317" s="2749"/>
      <c r="N317" s="2750"/>
    </row>
    <row r="318" spans="1:19" ht="14.25">
      <c r="B318" s="33">
        <f>F249/F231</f>
        <v>51.625794392523382</v>
      </c>
      <c r="C318" s="206" t="s">
        <v>685</v>
      </c>
      <c r="D318" s="33">
        <f>F249*2</f>
        <v>276.19800000000009</v>
      </c>
      <c r="E318" s="206" t="s">
        <v>686</v>
      </c>
      <c r="F318" s="33">
        <f>F249*H142+2*F250-2*F315</f>
        <v>270.07699514783985</v>
      </c>
      <c r="G318" s="1970" t="s">
        <v>35</v>
      </c>
      <c r="H318" s="18">
        <v>0</v>
      </c>
      <c r="J318" s="46"/>
      <c r="K318" s="159"/>
    </row>
    <row r="319" spans="1:19">
      <c r="B319" s="33"/>
      <c r="C319" s="206"/>
      <c r="D319" s="33"/>
      <c r="E319" s="206"/>
      <c r="F319" s="33"/>
      <c r="G319" s="1970"/>
      <c r="H319" s="18"/>
      <c r="J319" s="46"/>
      <c r="K319" s="159"/>
    </row>
    <row r="320" spans="1:19">
      <c r="B320" s="187" t="s">
        <v>691</v>
      </c>
      <c r="C320" s="1996">
        <f>(-(-D318)-SQRT(D318^2-4*B318*F318))/(2*B318)</f>
        <v>1.28784829398555</v>
      </c>
      <c r="D320" s="187" t="s">
        <v>688</v>
      </c>
      <c r="G320" s="187" t="s">
        <v>1820</v>
      </c>
      <c r="J320" s="46"/>
      <c r="K320" s="159"/>
    </row>
    <row r="321" spans="1:15" ht="14.25">
      <c r="B321" s="187" t="s">
        <v>687</v>
      </c>
      <c r="F321" s="33">
        <f>F250+C320^2*F249/(2*F231)-F249*(C320-H142/2)</f>
        <v>459.88796165832406</v>
      </c>
      <c r="G321" s="187" t="s">
        <v>620</v>
      </c>
      <c r="J321" s="46"/>
      <c r="K321" s="159"/>
    </row>
    <row r="322" spans="1:15">
      <c r="B322" s="207" t="s">
        <v>2113</v>
      </c>
      <c r="C322" s="126"/>
      <c r="D322" s="126"/>
      <c r="E322" s="126"/>
      <c r="F322" s="246">
        <f>O$26</f>
        <v>460.2851012940688</v>
      </c>
      <c r="G322" s="207" t="s">
        <v>620</v>
      </c>
      <c r="J322" s="46"/>
      <c r="K322" s="159"/>
    </row>
    <row r="323" spans="1:15">
      <c r="B323" s="187" t="s">
        <v>692</v>
      </c>
      <c r="H323" s="33">
        <f>IF(C320&lt;D142,D142,C320)+40*C308/1000</f>
        <v>2.28784829398555</v>
      </c>
      <c r="I323" s="187" t="s">
        <v>5</v>
      </c>
      <c r="J323" s="109"/>
      <c r="K323" s="159"/>
    </row>
    <row r="324" spans="1:15">
      <c r="H324" s="624"/>
      <c r="I324" s="46"/>
      <c r="J324" s="46"/>
      <c r="K324" s="159"/>
      <c r="L324" s="187"/>
      <c r="N324" s="129"/>
      <c r="O324" s="385"/>
    </row>
    <row r="325" spans="1:15" ht="12.75" customHeight="1">
      <c r="A325" s="3085" t="s">
        <v>944</v>
      </c>
      <c r="B325" s="3138" t="s">
        <v>2114</v>
      </c>
      <c r="C325" s="3138" t="s">
        <v>2115</v>
      </c>
      <c r="D325" s="3118" t="s">
        <v>946</v>
      </c>
      <c r="E325" s="3122" t="s">
        <v>937</v>
      </c>
      <c r="F325" s="3118" t="s">
        <v>1150</v>
      </c>
      <c r="G325" s="3228" t="s">
        <v>947</v>
      </c>
      <c r="H325" s="3118" t="s">
        <v>2120</v>
      </c>
      <c r="I325" s="3213" t="s">
        <v>676</v>
      </c>
      <c r="J325" s="3240"/>
      <c r="K325" s="159"/>
      <c r="N325" s="129"/>
      <c r="O325" s="385"/>
    </row>
    <row r="326" spans="1:15" ht="12.75" customHeight="1">
      <c r="A326" s="3200"/>
      <c r="B326" s="3144"/>
      <c r="C326" s="3144"/>
      <c r="D326" s="3092"/>
      <c r="E326" s="3123"/>
      <c r="F326" s="3092"/>
      <c r="G326" s="3231"/>
      <c r="H326" s="3092"/>
      <c r="I326" s="960"/>
      <c r="J326" s="961"/>
      <c r="K326" s="159"/>
      <c r="N326" s="129"/>
      <c r="O326" s="385"/>
    </row>
    <row r="327" spans="1:15">
      <c r="A327" s="3086"/>
      <c r="B327" s="3225"/>
      <c r="C327" s="3144"/>
      <c r="D327" s="626"/>
      <c r="E327" s="360"/>
      <c r="F327" s="3239"/>
      <c r="G327" s="3232"/>
      <c r="H327" s="3239"/>
      <c r="I327" s="959"/>
      <c r="J327" s="961"/>
      <c r="K327" s="159"/>
      <c r="N327" s="129"/>
      <c r="O327" s="385"/>
    </row>
    <row r="328" spans="1:15" ht="12.75" customHeight="1">
      <c r="A328" s="2731" t="s">
        <v>5</v>
      </c>
      <c r="B328" s="256" t="s">
        <v>491</v>
      </c>
      <c r="C328" s="256" t="s">
        <v>491</v>
      </c>
      <c r="D328" s="256" t="s">
        <v>491</v>
      </c>
      <c r="E328" s="256" t="s">
        <v>491</v>
      </c>
      <c r="F328" s="625" t="s">
        <v>98</v>
      </c>
      <c r="G328" s="618" t="s">
        <v>5</v>
      </c>
      <c r="H328" s="625" t="s">
        <v>98</v>
      </c>
      <c r="I328" s="962"/>
      <c r="J328" s="963"/>
      <c r="K328" s="159"/>
      <c r="N328" s="129"/>
      <c r="O328" s="385"/>
    </row>
    <row r="329" spans="1:15" ht="12.75" customHeight="1">
      <c r="A329" s="2732">
        <f>H323</f>
        <v>2.28784829398555</v>
      </c>
      <c r="B329" s="316">
        <f>0.5*PI()*(C308/2)^2*1000/E308</f>
        <v>2454.3692606170262</v>
      </c>
      <c r="C329" s="357">
        <f>F322*10^6/(fs*j*H283)</f>
        <v>2456.4887492651519</v>
      </c>
      <c r="D329" s="316">
        <f>C301</f>
        <v>380</v>
      </c>
      <c r="E329" s="316">
        <f>MAX(B329:D329)</f>
        <v>2456.4887492651519</v>
      </c>
      <c r="F329" s="619">
        <f>PI()*(C308/2)^2*1000/E329</f>
        <v>199.82743754484852</v>
      </c>
      <c r="G329" s="620"/>
      <c r="H329" s="621">
        <f>E308*2</f>
        <v>200</v>
      </c>
      <c r="I329" s="3215" t="str">
        <f>IF(OR(A329&gt;F231-0.5,H329&gt;F329),"No curtailment ","Do curtailment")</f>
        <v xml:space="preserve">No curtailment </v>
      </c>
      <c r="J329" s="3216"/>
      <c r="K329" s="159"/>
      <c r="L329" s="1997" t="s">
        <v>645</v>
      </c>
      <c r="M329" s="1998">
        <f>F231</f>
        <v>2.6749999999999998</v>
      </c>
      <c r="N329" s="187" t="s">
        <v>5</v>
      </c>
    </row>
    <row r="330" spans="1:15">
      <c r="J330" s="46"/>
      <c r="K330" s="159"/>
    </row>
    <row r="331" spans="1:15">
      <c r="A331" s="2780" t="s">
        <v>602</v>
      </c>
      <c r="B331" s="1971"/>
      <c r="C331" s="1972" t="s">
        <v>1869</v>
      </c>
      <c r="D331" s="1971"/>
      <c r="E331" s="1971"/>
      <c r="G331" s="126" t="str">
        <f>IF(F342=0,"No curtailment needed ","For Curtailment follow the Remark")</f>
        <v xml:space="preserve">No curtailment needed </v>
      </c>
      <c r="H331" s="126"/>
      <c r="I331" s="126"/>
      <c r="J331" s="126"/>
      <c r="K331" s="159"/>
    </row>
    <row r="332" spans="1:15">
      <c r="K332" s="159"/>
    </row>
    <row r="333" spans="1:15">
      <c r="B333" s="1" t="s">
        <v>657</v>
      </c>
      <c r="C333" s="46"/>
      <c r="D333" s="46"/>
      <c r="E333" s="46"/>
      <c r="F333" s="46"/>
      <c r="G333" s="46"/>
      <c r="J333" s="46"/>
      <c r="K333" s="159"/>
    </row>
    <row r="334" spans="1:15">
      <c r="B334" s="187" t="s">
        <v>2126</v>
      </c>
      <c r="F334" s="158">
        <f>IF(H251&lt;0,H251,0)</f>
        <v>0</v>
      </c>
      <c r="G334" s="187" t="s">
        <v>107</v>
      </c>
      <c r="J334" s="46"/>
      <c r="K334" s="159"/>
    </row>
    <row r="335" spans="1:15">
      <c r="B335" s="187" t="s">
        <v>2129</v>
      </c>
      <c r="C335" s="46"/>
      <c r="D335" s="46"/>
      <c r="F335" s="33">
        <f>F334/2</f>
        <v>0</v>
      </c>
      <c r="G335" s="187" t="s">
        <v>107</v>
      </c>
      <c r="J335" s="46"/>
      <c r="K335" s="159"/>
    </row>
    <row r="336" spans="1:15" ht="14.25">
      <c r="B336" s="187" t="s">
        <v>1826</v>
      </c>
      <c r="J336" s="46"/>
      <c r="K336" s="159"/>
    </row>
    <row r="337" spans="1:12" ht="14.25">
      <c r="B337" s="33">
        <f>F249/F231</f>
        <v>51.625794392523382</v>
      </c>
      <c r="C337" s="206" t="s">
        <v>685</v>
      </c>
      <c r="D337" s="33">
        <f>F249*2</f>
        <v>276.19800000000009</v>
      </c>
      <c r="E337" s="206" t="s">
        <v>686</v>
      </c>
      <c r="F337" s="33">
        <f>F249*D142+F250*2-F335*2</f>
        <v>1189.8529184644879</v>
      </c>
      <c r="G337" s="2754" t="s">
        <v>35</v>
      </c>
      <c r="H337" s="18">
        <v>0</v>
      </c>
      <c r="J337" s="46"/>
      <c r="K337" s="159"/>
    </row>
    <row r="338" spans="1:12">
      <c r="B338" s="187" t="s">
        <v>691</v>
      </c>
      <c r="C338" s="1996" t="e">
        <f>(-(-D337)-SQRT(D337^2-4*B337*F337))/(2*B337)</f>
        <v>#NUM!</v>
      </c>
      <c r="D338" s="187" t="s">
        <v>688</v>
      </c>
      <c r="F338" s="187" t="s">
        <v>1827</v>
      </c>
      <c r="J338" s="46"/>
      <c r="K338" s="159"/>
    </row>
    <row r="339" spans="1:12" ht="14.25">
      <c r="B339" s="187" t="s">
        <v>687</v>
      </c>
      <c r="F339" s="33" t="e">
        <f>F250+C338^2*F249/(2*F231)-F249*(C338-D142/2)</f>
        <v>#NUM!</v>
      </c>
      <c r="G339" s="187" t="s">
        <v>620</v>
      </c>
      <c r="J339" s="46"/>
      <c r="K339" s="159"/>
    </row>
    <row r="340" spans="1:12">
      <c r="B340" s="187"/>
      <c r="F340" s="33"/>
      <c r="G340" s="187"/>
      <c r="J340" s="46"/>
      <c r="K340" s="159"/>
    </row>
    <row r="341" spans="1:12">
      <c r="B341" s="1" t="s">
        <v>661</v>
      </c>
      <c r="F341" s="33"/>
      <c r="G341" s="187"/>
      <c r="J341" s="46"/>
      <c r="K341" s="159"/>
    </row>
    <row r="342" spans="1:12">
      <c r="B342" s="187" t="s">
        <v>2126</v>
      </c>
      <c r="F342" s="158">
        <f>IF(H271&lt;0,H271,0)</f>
        <v>0</v>
      </c>
      <c r="G342" s="187" t="s">
        <v>107</v>
      </c>
      <c r="J342" s="46"/>
      <c r="K342" s="159"/>
    </row>
    <row r="343" spans="1:12">
      <c r="B343" s="187" t="s">
        <v>2130</v>
      </c>
      <c r="F343" s="33">
        <f>F342/2</f>
        <v>0</v>
      </c>
      <c r="G343" s="187" t="s">
        <v>107</v>
      </c>
      <c r="J343" s="46"/>
      <c r="K343" s="159"/>
    </row>
    <row r="344" spans="1:12" ht="14.25">
      <c r="B344" s="187" t="s">
        <v>1823</v>
      </c>
      <c r="J344" s="46"/>
      <c r="K344" s="159"/>
    </row>
    <row r="345" spans="1:12" ht="14.25">
      <c r="A345" s="203" t="s">
        <v>707</v>
      </c>
      <c r="B345" s="187" t="s">
        <v>1826</v>
      </c>
      <c r="J345" s="46"/>
      <c r="K345" s="159"/>
    </row>
    <row r="346" spans="1:12" ht="14.25">
      <c r="B346" s="33">
        <f>F269/F231</f>
        <v>50.876914732986428</v>
      </c>
      <c r="C346" s="206" t="s">
        <v>685</v>
      </c>
      <c r="D346" s="33">
        <f>F269*2</f>
        <v>272.19149382147737</v>
      </c>
      <c r="E346" s="206" t="s">
        <v>686</v>
      </c>
      <c r="F346" s="33">
        <f>F269*H142+2*F270-2*F343</f>
        <v>1240.4813255743636</v>
      </c>
      <c r="G346" s="2175" t="s">
        <v>35</v>
      </c>
      <c r="H346" s="18">
        <v>0</v>
      </c>
      <c r="J346" s="46"/>
      <c r="K346" s="159"/>
    </row>
    <row r="347" spans="1:12">
      <c r="B347" s="33"/>
      <c r="C347" s="206"/>
      <c r="D347" s="33"/>
      <c r="E347" s="206"/>
      <c r="F347" s="33"/>
      <c r="G347" s="2175"/>
      <c r="H347" s="18"/>
      <c r="J347" s="46"/>
      <c r="K347" s="159"/>
    </row>
    <row r="348" spans="1:12">
      <c r="B348" s="187" t="s">
        <v>691</v>
      </c>
      <c r="C348" s="1996" t="e">
        <f>(-(-D346)-SQRT(D346^2-4*B346*F346))/(2*B346)</f>
        <v>#NUM!</v>
      </c>
      <c r="D348" s="187" t="s">
        <v>688</v>
      </c>
      <c r="G348" s="187" t="s">
        <v>1820</v>
      </c>
      <c r="J348" s="46"/>
      <c r="K348" s="159"/>
    </row>
    <row r="349" spans="1:12" ht="14.25">
      <c r="B349" s="187" t="s">
        <v>687</v>
      </c>
      <c r="F349" s="33" t="e">
        <f>F270+C348^2*F269/(2*F231)-F269*(C348-H142/2)</f>
        <v>#NUM!</v>
      </c>
      <c r="G349" s="187" t="s">
        <v>620</v>
      </c>
      <c r="J349" s="46"/>
      <c r="K349" s="159"/>
    </row>
    <row r="350" spans="1:12">
      <c r="B350" s="187"/>
      <c r="F350" s="33"/>
      <c r="G350" s="187"/>
      <c r="J350" s="46"/>
      <c r="K350" s="159"/>
    </row>
    <row r="351" spans="1:12">
      <c r="B351" s="207" t="s">
        <v>2119</v>
      </c>
      <c r="C351" s="126"/>
      <c r="D351" s="126"/>
      <c r="E351" s="126"/>
      <c r="F351" s="126"/>
      <c r="G351" s="126"/>
      <c r="H351" s="246">
        <f>N$26</f>
        <v>0</v>
      </c>
      <c r="I351" s="207" t="s">
        <v>620</v>
      </c>
      <c r="J351" s="46"/>
      <c r="K351" s="159"/>
    </row>
    <row r="352" spans="1:12">
      <c r="B352" t="s">
        <v>2127</v>
      </c>
      <c r="H352" s="33" t="e">
        <f>AB26</f>
        <v>#NUM!</v>
      </c>
      <c r="J352" s="46"/>
      <c r="K352" s="159"/>
      <c r="L352" s="9"/>
    </row>
    <row r="353" spans="1:16">
      <c r="B353" s="187" t="s">
        <v>692</v>
      </c>
      <c r="H353" s="33" t="e">
        <f>H352-40*C305/1000</f>
        <v>#NUM!</v>
      </c>
      <c r="I353" s="187" t="s">
        <v>5</v>
      </c>
      <c r="J353" s="46"/>
      <c r="K353" s="159"/>
    </row>
    <row r="354" spans="1:16">
      <c r="B354" s="187" t="s">
        <v>1874</v>
      </c>
      <c r="H354" s="33" t="e">
        <f>IF(H353&lt;D142,0,H353-D142)</f>
        <v>#NUM!</v>
      </c>
      <c r="I354" s="187" t="s">
        <v>5</v>
      </c>
      <c r="J354" s="109"/>
      <c r="K354" s="159"/>
    </row>
    <row r="355" spans="1:16">
      <c r="B355" s="187" t="s">
        <v>2122</v>
      </c>
      <c r="H355" s="33">
        <f>F142</f>
        <v>3.75</v>
      </c>
      <c r="I355" s="187" t="s">
        <v>5</v>
      </c>
      <c r="J355" s="109"/>
      <c r="K355" s="159"/>
      <c r="L355" s="187"/>
      <c r="O355" s="33"/>
      <c r="P355" s="187"/>
    </row>
    <row r="356" spans="1:16">
      <c r="B356" s="187" t="s">
        <v>2121</v>
      </c>
      <c r="H356" s="33" t="str">
        <f>IF(G362="","",H355-G362*2)</f>
        <v/>
      </c>
      <c r="I356" s="187" t="s">
        <v>5</v>
      </c>
      <c r="J356" s="109"/>
      <c r="K356" s="159"/>
    </row>
    <row r="357" spans="1:16">
      <c r="J357" s="46"/>
      <c r="K357" s="159"/>
    </row>
    <row r="358" spans="1:16" ht="12.75" customHeight="1">
      <c r="A358" s="3085" t="s">
        <v>1875</v>
      </c>
      <c r="B358" s="3085" t="s">
        <v>945</v>
      </c>
      <c r="C358" s="355" t="s">
        <v>1147</v>
      </c>
      <c r="D358" s="3118" t="s">
        <v>946</v>
      </c>
      <c r="E358" s="3122" t="s">
        <v>937</v>
      </c>
      <c r="F358" s="3118" t="s">
        <v>1150</v>
      </c>
      <c r="G358" s="3228" t="s">
        <v>1877</v>
      </c>
      <c r="H358" s="3118" t="s">
        <v>2120</v>
      </c>
      <c r="I358" s="3213" t="s">
        <v>676</v>
      </c>
      <c r="J358" s="3214"/>
      <c r="K358" s="159"/>
    </row>
    <row r="359" spans="1:16" ht="12.75" customHeight="1">
      <c r="A359" s="3202"/>
      <c r="B359" s="3200"/>
      <c r="C359" s="365" t="s">
        <v>1149</v>
      </c>
      <c r="D359" s="3092"/>
      <c r="E359" s="3123"/>
      <c r="F359" s="3092"/>
      <c r="G359" s="3231"/>
      <c r="H359" s="3092"/>
      <c r="I359" s="960"/>
      <c r="J359" s="961"/>
      <c r="K359" s="159"/>
    </row>
    <row r="360" spans="1:16">
      <c r="A360" s="3203"/>
      <c r="B360" s="3086"/>
      <c r="C360" s="2782" t="s">
        <v>1148</v>
      </c>
      <c r="D360" s="2182"/>
      <c r="E360" s="360"/>
      <c r="F360" s="3239"/>
      <c r="G360" s="3232"/>
      <c r="H360" s="3239"/>
      <c r="I360" s="959"/>
      <c r="J360" s="961"/>
      <c r="K360" s="159"/>
    </row>
    <row r="361" spans="1:16" ht="14.25">
      <c r="A361" s="2180" t="s">
        <v>5</v>
      </c>
      <c r="B361" s="256" t="s">
        <v>491</v>
      </c>
      <c r="C361" s="256" t="s">
        <v>491</v>
      </c>
      <c r="D361" s="256" t="s">
        <v>491</v>
      </c>
      <c r="E361" s="256" t="s">
        <v>491</v>
      </c>
      <c r="F361" s="2181" t="s">
        <v>98</v>
      </c>
      <c r="G361" s="618" t="s">
        <v>5</v>
      </c>
      <c r="H361" s="2181" t="s">
        <v>98</v>
      </c>
      <c r="I361" s="962"/>
      <c r="J361" s="963"/>
      <c r="K361" s="159"/>
    </row>
    <row r="362" spans="1:16">
      <c r="A362" s="455" t="e">
        <f>H354</f>
        <v>#NUM!</v>
      </c>
      <c r="B362" s="316">
        <f>0.5*ABS(H351)*10^6/($C$18*$C$22*H283)</f>
        <v>0</v>
      </c>
      <c r="C362" s="316">
        <f>0.5*PI()*(C305/2)^2*1000/E305</f>
        <v>502.65482457436684</v>
      </c>
      <c r="D362" s="316">
        <f>C298</f>
        <v>760</v>
      </c>
      <c r="E362" s="316">
        <f>MAX(B362:D362)</f>
        <v>760</v>
      </c>
      <c r="F362" s="619">
        <f>PI()*(C305/2)^2*1000/E362</f>
        <v>264.55517082861417</v>
      </c>
      <c r="G362" s="620"/>
      <c r="H362" s="621">
        <f>E305*2</f>
        <v>400</v>
      </c>
      <c r="I362" s="3215" t="str">
        <f>IF(OR(H362&gt;F362,H351=0),"No curtailment ","Do curtailment")</f>
        <v xml:space="preserve">No curtailment </v>
      </c>
      <c r="J362" s="3216"/>
      <c r="K362" s="159"/>
    </row>
    <row r="363" spans="1:16">
      <c r="J363" s="46"/>
      <c r="K363" s="159"/>
    </row>
    <row r="364" spans="1:16" ht="14.25">
      <c r="A364" s="399" t="s">
        <v>1143</v>
      </c>
      <c r="B364" s="126"/>
      <c r="C364" s="933" t="str">
        <f>L67</f>
        <v>2-2</v>
      </c>
      <c r="D364" s="692" t="s">
        <v>948</v>
      </c>
      <c r="E364" s="10"/>
      <c r="J364" s="46"/>
      <c r="K364" s="159"/>
    </row>
    <row r="365" spans="1:16">
      <c r="J365" s="46"/>
      <c r="K365" s="159"/>
      <c r="L365" s="46"/>
      <c r="M365" s="46"/>
      <c r="N365" s="46"/>
    </row>
    <row r="366" spans="1:16">
      <c r="B366" s="1" t="s">
        <v>1110</v>
      </c>
      <c r="J366" s="46"/>
      <c r="K366" s="159"/>
      <c r="L366" s="46"/>
      <c r="M366" s="46"/>
      <c r="N366" s="46"/>
    </row>
    <row r="367" spans="1:16">
      <c r="B367" s="241" t="s">
        <v>1122</v>
      </c>
      <c r="C367" s="241"/>
      <c r="D367" s="16"/>
      <c r="G367" s="241" t="s">
        <v>1124</v>
      </c>
      <c r="J367" s="46"/>
      <c r="K367" s="159"/>
      <c r="L367" s="46"/>
      <c r="M367" s="46"/>
      <c r="N367" s="46"/>
    </row>
    <row r="368" spans="1:16" ht="14.25">
      <c r="B368" s="241" t="s">
        <v>111</v>
      </c>
      <c r="C368" s="16">
        <f>IF(I380&lt;=9,$G$105,$G$110)</f>
        <v>1E-3</v>
      </c>
      <c r="D368" s="241" t="s">
        <v>438</v>
      </c>
      <c r="G368" s="241" t="s">
        <v>111</v>
      </c>
      <c r="H368" s="16">
        <f>IF(I380&lt;=9,$G$106,$G$111)</f>
        <v>2E-3</v>
      </c>
      <c r="I368" s="241" t="s">
        <v>438</v>
      </c>
      <c r="J368" s="46"/>
      <c r="K368" s="159"/>
      <c r="L368" s="46"/>
      <c r="M368" s="46"/>
      <c r="N368" s="46"/>
    </row>
    <row r="369" spans="1:14" ht="14.25">
      <c r="B369" s="241" t="s">
        <v>110</v>
      </c>
      <c r="C369" s="16">
        <f>IF(E26&lt;=9,$G$105,$G$110)</f>
        <v>1.5E-3</v>
      </c>
      <c r="D369" s="241" t="s">
        <v>438</v>
      </c>
      <c r="E369" s="16"/>
      <c r="F369" s="16"/>
      <c r="G369" s="241" t="s">
        <v>110</v>
      </c>
      <c r="H369" s="16">
        <f>IF(E26&lt;=9,$G$106,$G$111)</f>
        <v>2.5000000000000001E-3</v>
      </c>
      <c r="I369" s="241" t="s">
        <v>438</v>
      </c>
      <c r="J369" s="46"/>
      <c r="K369" s="159"/>
      <c r="L369" s="46"/>
      <c r="M369" s="46"/>
      <c r="N369" s="46"/>
    </row>
    <row r="370" spans="1:14">
      <c r="B370" s="187" t="s">
        <v>601</v>
      </c>
      <c r="E370" s="129">
        <f>1000*(H391+H373)/2</f>
        <v>550</v>
      </c>
      <c r="F370" s="187" t="s">
        <v>98</v>
      </c>
      <c r="J370" s="46"/>
      <c r="K370" s="159"/>
      <c r="L370" s="46"/>
      <c r="M370" s="46"/>
      <c r="N370" s="46"/>
    </row>
    <row r="371" spans="1:14">
      <c r="J371" s="46"/>
      <c r="K371" s="159"/>
      <c r="L371" s="46"/>
      <c r="M371" s="46"/>
      <c r="N371" s="46"/>
    </row>
    <row r="372" spans="1:14">
      <c r="J372" s="46"/>
      <c r="K372" s="159"/>
      <c r="L372" s="46"/>
      <c r="M372" s="46"/>
      <c r="N372" s="46"/>
    </row>
    <row r="373" spans="1:14">
      <c r="C373" s="203" t="s">
        <v>149</v>
      </c>
      <c r="D373" s="36">
        <f>G37</f>
        <v>13.9</v>
      </c>
      <c r="H373" s="2550">
        <f>R67</f>
        <v>0.3</v>
      </c>
      <c r="I373" s="36"/>
      <c r="J373" s="489"/>
      <c r="K373" s="159"/>
      <c r="L373" s="46"/>
      <c r="M373" s="46"/>
      <c r="N373" s="46"/>
    </row>
    <row r="374" spans="1:14">
      <c r="C374" s="187"/>
      <c r="D374" s="2"/>
      <c r="G374" s="79"/>
      <c r="J374" s="46"/>
      <c r="K374" s="159"/>
      <c r="L374" s="46"/>
      <c r="M374" s="46"/>
      <c r="N374" s="46"/>
    </row>
    <row r="375" spans="1:14">
      <c r="C375" s="187"/>
      <c r="D375" s="18" t="s">
        <v>604</v>
      </c>
      <c r="E375" s="17"/>
      <c r="F375" s="36"/>
      <c r="J375" s="46"/>
      <c r="K375" s="159"/>
      <c r="L375" s="46"/>
      <c r="M375" s="46"/>
      <c r="N375" s="46"/>
    </row>
    <row r="376" spans="1:14">
      <c r="C376" s="206">
        <f>D373-C379</f>
        <v>2.3460149063641556</v>
      </c>
      <c r="E376" s="40"/>
      <c r="G376" s="603"/>
      <c r="J376" s="46"/>
      <c r="K376" s="159"/>
      <c r="L376" s="46"/>
      <c r="M376" s="46"/>
      <c r="N376" s="46"/>
    </row>
    <row r="377" spans="1:14">
      <c r="A377" s="17" t="s">
        <v>45</v>
      </c>
      <c r="C377" s="187"/>
      <c r="D377" s="54" t="s">
        <v>135</v>
      </c>
      <c r="E377" s="17"/>
      <c r="F377" s="36"/>
      <c r="G377" s="603"/>
      <c r="J377" s="46"/>
      <c r="K377" s="159"/>
      <c r="L377" s="46"/>
      <c r="M377" s="46"/>
      <c r="N377" s="46"/>
    </row>
    <row r="378" spans="1:14">
      <c r="C378" s="187"/>
      <c r="D378" s="33"/>
      <c r="E378" s="84">
        <f>IF(C379&gt;D373,H391-H373,C383*(H391-H373)/I380)</f>
        <v>0.3496144290792208</v>
      </c>
      <c r="G378" s="603"/>
      <c r="J378" s="46"/>
      <c r="K378" s="159"/>
      <c r="L378" s="46"/>
      <c r="M378" s="46"/>
      <c r="N378" s="46"/>
    </row>
    <row r="379" spans="1:14">
      <c r="C379" s="54">
        <f>H45</f>
        <v>11.553985093635845</v>
      </c>
      <c r="D379" s="33"/>
      <c r="E379" s="17"/>
      <c r="F379" s="36"/>
      <c r="G379" s="603"/>
      <c r="J379" s="46"/>
      <c r="K379" s="159"/>
      <c r="L379" s="46"/>
      <c r="M379" s="46"/>
      <c r="N379" s="46"/>
    </row>
    <row r="380" spans="1:14">
      <c r="C380" s="187"/>
      <c r="E380" s="40"/>
      <c r="H380" s="17" t="s">
        <v>600</v>
      </c>
      <c r="I380" s="10">
        <f>D373-G387</f>
        <v>7.8000000000000007</v>
      </c>
      <c r="J380" s="44"/>
      <c r="K380" s="159"/>
      <c r="L380" s="46"/>
      <c r="M380" s="224"/>
      <c r="N380" s="46"/>
    </row>
    <row r="381" spans="1:14">
      <c r="A381" s="17" t="s">
        <v>44</v>
      </c>
      <c r="C381" s="187"/>
      <c r="E381" s="40"/>
      <c r="F381" s="33">
        <f>H42</f>
        <v>10</v>
      </c>
      <c r="G381" s="18" t="s">
        <v>5</v>
      </c>
      <c r="J381" s="46"/>
      <c r="K381" s="159"/>
      <c r="L381" s="46"/>
      <c r="M381" s="46"/>
      <c r="N381" s="46"/>
    </row>
    <row r="382" spans="1:14">
      <c r="C382" s="187"/>
      <c r="E382" s="88"/>
      <c r="G382" s="33"/>
      <c r="I382" s="10"/>
      <c r="J382" s="44"/>
      <c r="K382" s="159"/>
      <c r="L382" s="46"/>
      <c r="M382" s="46"/>
      <c r="N382" s="46"/>
    </row>
    <row r="383" spans="1:14">
      <c r="C383" s="206">
        <f>C379-G387</f>
        <v>5.4539850936358452</v>
      </c>
      <c r="E383" s="53"/>
      <c r="G383" s="603" t="s">
        <v>607</v>
      </c>
      <c r="J383" s="46"/>
      <c r="K383" s="159"/>
      <c r="L383" s="46"/>
      <c r="M383" s="46"/>
      <c r="N383" s="46"/>
    </row>
    <row r="384" spans="1:14">
      <c r="C384" s="187"/>
      <c r="E384" s="346"/>
      <c r="F384" s="54">
        <f>IF(F381&lt;G387,0,F381-G387)</f>
        <v>3.9000000000000004</v>
      </c>
      <c r="G384" t="s">
        <v>5</v>
      </c>
      <c r="J384" s="46"/>
      <c r="K384" s="159"/>
      <c r="L384" s="46"/>
      <c r="M384" s="46"/>
    </row>
    <row r="385" spans="1:14">
      <c r="A385" s="2" t="s">
        <v>605</v>
      </c>
      <c r="C385" s="187"/>
      <c r="E385" s="17" t="s">
        <v>606</v>
      </c>
      <c r="F385" s="36"/>
      <c r="J385" s="46"/>
      <c r="K385" s="159"/>
      <c r="L385" s="46"/>
      <c r="M385" s="46"/>
      <c r="N385" s="46"/>
    </row>
    <row r="386" spans="1:14">
      <c r="C386" s="187"/>
      <c r="E386" s="40"/>
      <c r="J386" s="46"/>
      <c r="K386" s="159"/>
      <c r="L386" s="46"/>
      <c r="M386" s="46"/>
      <c r="N386" s="46"/>
    </row>
    <row r="387" spans="1:14">
      <c r="C387" s="187"/>
      <c r="E387" s="40"/>
      <c r="F387" s="17" t="s">
        <v>603</v>
      </c>
      <c r="G387" s="36">
        <f>D50</f>
        <v>6.1</v>
      </c>
      <c r="I387" s="10"/>
      <c r="J387" s="44"/>
      <c r="K387" s="159"/>
      <c r="L387" s="46"/>
      <c r="M387" s="46"/>
      <c r="N387" s="46"/>
    </row>
    <row r="388" spans="1:14">
      <c r="C388" s="187"/>
      <c r="F388" s="53"/>
      <c r="H388" s="33"/>
      <c r="I388" s="3223">
        <f>I467</f>
        <v>1.2</v>
      </c>
      <c r="J388" s="46"/>
      <c r="K388" s="159"/>
      <c r="L388" s="46"/>
      <c r="M388" s="46"/>
      <c r="N388" s="46"/>
    </row>
    <row r="389" spans="1:14">
      <c r="C389" s="187"/>
      <c r="I389" s="3223"/>
      <c r="J389" s="44"/>
      <c r="K389" s="159"/>
      <c r="L389" s="46"/>
      <c r="M389" s="46"/>
      <c r="N389" s="46"/>
    </row>
    <row r="390" spans="1:14">
      <c r="C390" s="187"/>
      <c r="G390" s="33"/>
      <c r="J390" s="46"/>
      <c r="K390" s="159"/>
      <c r="M390" s="46"/>
      <c r="N390" s="46"/>
    </row>
    <row r="391" spans="1:14">
      <c r="C391" s="187"/>
      <c r="D391" s="10">
        <f>H391</f>
        <v>0.8</v>
      </c>
      <c r="F391" s="33">
        <f>H84</f>
        <v>5.0084745762711869</v>
      </c>
      <c r="G391" t="s">
        <v>5</v>
      </c>
      <c r="H391" s="2549">
        <f>S67</f>
        <v>0.8</v>
      </c>
      <c r="I391" s="126" t="str">
        <f>IF(AND(I419="ok",I420="ok"),"ok","Not ok")</f>
        <v>ok</v>
      </c>
      <c r="J391" s="46"/>
      <c r="K391" s="159"/>
      <c r="L391" s="46"/>
      <c r="M391" s="46"/>
      <c r="N391" s="46"/>
    </row>
    <row r="392" spans="1:14">
      <c r="C392" s="187"/>
      <c r="J392" s="46"/>
      <c r="K392" s="159"/>
      <c r="L392" s="46"/>
      <c r="M392" s="46"/>
      <c r="N392" s="46"/>
    </row>
    <row r="393" spans="1:14">
      <c r="C393" s="187"/>
      <c r="F393" s="33">
        <f>F391+H391+D391</f>
        <v>6.6084745762711865</v>
      </c>
      <c r="G393" t="s">
        <v>5</v>
      </c>
      <c r="J393" s="46"/>
      <c r="K393" s="159"/>
      <c r="L393" s="46"/>
      <c r="M393" s="61"/>
      <c r="N393" s="46"/>
    </row>
    <row r="394" spans="1:14">
      <c r="A394" s="187"/>
      <c r="J394" s="46"/>
      <c r="K394" s="159"/>
      <c r="L394" s="109"/>
      <c r="M394" s="61"/>
      <c r="N394" s="46"/>
    </row>
    <row r="395" spans="1:14">
      <c r="A395" s="225" t="str">
        <f>"a) Design of Wall :  Sec  "&amp;C364</f>
        <v>a) Design of Wall :  Sec  2-2</v>
      </c>
      <c r="B395" s="174"/>
      <c r="C395" s="174"/>
      <c r="J395" s="46"/>
      <c r="K395" s="159"/>
      <c r="L395" s="46"/>
      <c r="M395" s="46"/>
      <c r="N395" s="46"/>
    </row>
    <row r="396" spans="1:14">
      <c r="B396" s="1" t="s">
        <v>612</v>
      </c>
      <c r="D396" s="2"/>
      <c r="E396" s="10"/>
      <c r="J396" s="46"/>
      <c r="K396" s="159"/>
      <c r="L396" s="46"/>
      <c r="M396" s="46"/>
      <c r="N396" s="46"/>
    </row>
    <row r="397" spans="1:14">
      <c r="A397" s="187"/>
      <c r="B397" s="187" t="s">
        <v>611</v>
      </c>
      <c r="D397" s="2"/>
      <c r="E397" s="10"/>
      <c r="J397" s="46"/>
      <c r="K397" s="159"/>
      <c r="L397" s="46"/>
      <c r="M397" s="46"/>
      <c r="N397" s="46"/>
    </row>
    <row r="398" spans="1:14">
      <c r="B398" s="18" t="s">
        <v>131</v>
      </c>
      <c r="D398" s="2" t="s">
        <v>35</v>
      </c>
      <c r="E398" s="10">
        <f>D373-G387</f>
        <v>7.8000000000000007</v>
      </c>
      <c r="F398" t="s">
        <v>5</v>
      </c>
      <c r="J398" s="46"/>
      <c r="K398" s="159"/>
      <c r="L398" s="46"/>
      <c r="M398" s="109"/>
      <c r="N398" s="46"/>
    </row>
    <row r="399" spans="1:14" ht="15.75">
      <c r="A399" s="40"/>
      <c r="B399" s="187" t="s">
        <v>593</v>
      </c>
      <c r="D399" s="2" t="s">
        <v>35</v>
      </c>
      <c r="E399" s="10">
        <f>0.5*$J$8*$D$6*E398^2</f>
        <v>207.57186893547839</v>
      </c>
      <c r="F399" t="s">
        <v>21</v>
      </c>
      <c r="J399" s="46"/>
      <c r="K399" s="159"/>
      <c r="L399" s="46"/>
      <c r="M399" s="109"/>
      <c r="N399" s="388"/>
    </row>
    <row r="400" spans="1:14" ht="20.25">
      <c r="A400" s="40"/>
      <c r="B400" s="38" t="s">
        <v>594</v>
      </c>
      <c r="D400" s="2" t="s">
        <v>35</v>
      </c>
      <c r="E400" s="10">
        <f>(1/6)*$J$8*$D$6*E398^3</f>
        <v>539.68685923224382</v>
      </c>
      <c r="F400" t="s">
        <v>107</v>
      </c>
      <c r="J400" s="46"/>
      <c r="K400" s="159"/>
      <c r="L400" s="46"/>
      <c r="M400" s="46"/>
      <c r="N400" s="46"/>
    </row>
    <row r="401" spans="1:14" ht="15.75">
      <c r="J401" s="46"/>
      <c r="K401" s="159"/>
      <c r="L401" s="389"/>
      <c r="M401" s="388"/>
      <c r="N401" s="389"/>
    </row>
    <row r="402" spans="1:14" ht="15.75">
      <c r="B402" s="1" t="s">
        <v>649</v>
      </c>
      <c r="J402" s="46"/>
      <c r="K402" s="159"/>
      <c r="L402" s="389"/>
      <c r="M402" s="388"/>
      <c r="N402" s="389"/>
    </row>
    <row r="403" spans="1:14" ht="15.75">
      <c r="B403" s="1" t="str">
        <f>B154</f>
        <v>Case 1 :  When Static  Water Head on C/S Monsoon</v>
      </c>
      <c r="E403" s="86"/>
      <c r="J403" s="46"/>
      <c r="K403" s="159"/>
      <c r="L403" s="389"/>
      <c r="M403" s="388"/>
      <c r="N403" s="389"/>
    </row>
    <row r="404" spans="1:14" ht="15.75">
      <c r="B404" s="1"/>
      <c r="C404" s="187"/>
      <c r="E404" s="86"/>
      <c r="J404" s="46"/>
      <c r="K404" s="159"/>
      <c r="L404" s="389"/>
      <c r="M404" s="388"/>
      <c r="N404" s="389"/>
    </row>
    <row r="405" spans="1:14" ht="15.75">
      <c r="B405" s="2" t="s">
        <v>132</v>
      </c>
      <c r="C405" s="2" t="s">
        <v>35</v>
      </c>
      <c r="D405" s="10">
        <f>IF(C379&gt;D373,0,D373-C379)</f>
        <v>2.3460149063641556</v>
      </c>
      <c r="E405" t="s">
        <v>5</v>
      </c>
      <c r="F405" s="126" t="str">
        <f>IF(F384&gt;I380,"Wing Wall totally submerged, take WL upto "&amp;FIXED(D373,2),"")</f>
        <v/>
      </c>
      <c r="G405" s="126"/>
      <c r="H405" s="126"/>
      <c r="I405" s="126"/>
      <c r="J405" s="126"/>
      <c r="K405" s="159"/>
      <c r="L405" s="389"/>
      <c r="M405" s="388"/>
      <c r="N405" s="389"/>
    </row>
    <row r="406" spans="1:14">
      <c r="B406" s="2" t="s">
        <v>133</v>
      </c>
      <c r="C406" s="2" t="s">
        <v>35</v>
      </c>
      <c r="D406" s="10">
        <f>IF(C383&gt;I380,I380,C379-G387)</f>
        <v>5.4539850936358452</v>
      </c>
      <c r="E406" t="s">
        <v>5</v>
      </c>
      <c r="J406" s="46"/>
      <c r="K406" s="159"/>
      <c r="L406" s="46"/>
      <c r="M406" s="46"/>
      <c r="N406" s="46"/>
    </row>
    <row r="407" spans="1:14">
      <c r="B407" s="2" t="s">
        <v>134</v>
      </c>
      <c r="C407" s="2" t="s">
        <v>35</v>
      </c>
      <c r="D407" s="10">
        <f>IF(F384&gt;I380,I380,IF(F381-G387&lt;0,0,F381-G387))</f>
        <v>3.9000000000000004</v>
      </c>
      <c r="E407" t="s">
        <v>5</v>
      </c>
      <c r="J407" s="46"/>
      <c r="K407" s="159"/>
      <c r="L407" s="46"/>
      <c r="M407" s="46"/>
      <c r="N407" s="46"/>
    </row>
    <row r="408" spans="1:14" ht="20.25">
      <c r="A408" s="38" t="s">
        <v>624</v>
      </c>
      <c r="C408" s="2"/>
      <c r="D408" s="54">
        <f>0.5*$J$8*$D$5*D405^2</f>
        <v>17.187991242254402</v>
      </c>
      <c r="E408" s="187" t="s">
        <v>341</v>
      </c>
      <c r="F408" s="38" t="s">
        <v>628</v>
      </c>
      <c r="I408" s="33">
        <f>D408*(D406+D405/3)</f>
        <v>107.18414257972742</v>
      </c>
      <c r="J408" s="224"/>
      <c r="K408" s="159"/>
      <c r="L408" s="46"/>
      <c r="M408" s="46"/>
      <c r="N408" s="90"/>
    </row>
    <row r="409" spans="1:14" ht="18.75">
      <c r="A409" s="38" t="s">
        <v>625</v>
      </c>
      <c r="C409" s="2"/>
      <c r="D409" s="54">
        <f>$J$8*$D$5*D405*D406</f>
        <v>79.916839207199715</v>
      </c>
      <c r="E409" s="187" t="s">
        <v>341</v>
      </c>
      <c r="F409" s="38" t="s">
        <v>631</v>
      </c>
      <c r="I409" s="33">
        <f>D409*D406/2</f>
        <v>217.93262488327997</v>
      </c>
      <c r="J409" s="224"/>
      <c r="K409" s="159"/>
      <c r="L409" s="388"/>
      <c r="M409" s="389"/>
      <c r="N409" s="90"/>
    </row>
    <row r="410" spans="1:14" ht="20.25">
      <c r="A410" s="38" t="s">
        <v>626</v>
      </c>
      <c r="C410" s="2"/>
      <c r="D410" s="54">
        <f>0.5*($J$8*($D$6-$D$7)+$D$7)*D406^2</f>
        <v>194.71395256230028</v>
      </c>
      <c r="E410" s="187" t="s">
        <v>341</v>
      </c>
      <c r="F410" s="38" t="s">
        <v>629</v>
      </c>
      <c r="I410" s="33">
        <f>D410*D406/3</f>
        <v>353.98899826590088</v>
      </c>
      <c r="J410" s="224"/>
      <c r="K410" s="159"/>
      <c r="L410" s="388"/>
      <c r="M410" s="224"/>
      <c r="N410" s="109"/>
    </row>
    <row r="411" spans="1:14" ht="20.25">
      <c r="A411" s="38" t="s">
        <v>627</v>
      </c>
      <c r="C411" s="2"/>
      <c r="D411" s="211">
        <f>0.5*$D$7*D407^2</f>
        <v>74.60505000000002</v>
      </c>
      <c r="E411" s="187" t="s">
        <v>341</v>
      </c>
      <c r="F411" s="38" t="s">
        <v>630</v>
      </c>
      <c r="I411" s="212">
        <f>D411*D407/3</f>
        <v>96.986565000000041</v>
      </c>
      <c r="J411" s="785"/>
      <c r="K411" s="159"/>
      <c r="L411" s="388"/>
      <c r="M411" s="46"/>
      <c r="N411" s="90"/>
    </row>
    <row r="412" spans="1:14" ht="15.75">
      <c r="C412" s="38" t="s">
        <v>632</v>
      </c>
      <c r="D412" s="54">
        <f>D408+D409+D410-D411</f>
        <v>217.21373301175436</v>
      </c>
      <c r="E412" s="187" t="s">
        <v>341</v>
      </c>
      <c r="F412" s="18"/>
      <c r="H412" s="187" t="s">
        <v>633</v>
      </c>
      <c r="I412" s="54">
        <f>D408*(D406+D405/3)+D409*0.5*D406+D410*D406/3-D411*D407/3</f>
        <v>582.11920072890814</v>
      </c>
      <c r="J412" s="162"/>
      <c r="K412" s="159"/>
      <c r="L412" s="162"/>
      <c r="M412" s="389"/>
      <c r="N412" s="90"/>
    </row>
    <row r="413" spans="1:14">
      <c r="D413" s="2"/>
      <c r="E413" s="10"/>
      <c r="J413" s="46"/>
      <c r="K413" s="159"/>
      <c r="L413" s="388"/>
      <c r="M413" s="46"/>
      <c r="N413" s="90"/>
    </row>
    <row r="414" spans="1:14">
      <c r="B414" t="s">
        <v>129</v>
      </c>
      <c r="C414" s="17"/>
      <c r="D414" s="2" t="s">
        <v>35</v>
      </c>
      <c r="E414" s="210">
        <f>MAX(E399,D412)</f>
        <v>217.21373301175436</v>
      </c>
      <c r="F414" s="36" t="s">
        <v>21</v>
      </c>
      <c r="J414" s="46"/>
      <c r="K414" s="159"/>
      <c r="L414" s="46"/>
      <c r="M414" s="46"/>
      <c r="N414" s="46"/>
    </row>
    <row r="415" spans="1:14">
      <c r="B415" t="s">
        <v>130</v>
      </c>
      <c r="C415" s="17"/>
      <c r="D415" s="2" t="s">
        <v>35</v>
      </c>
      <c r="E415" s="210">
        <f>MAX(E400,I412)</f>
        <v>582.11920072890814</v>
      </c>
      <c r="F415" s="36" t="s">
        <v>107</v>
      </c>
      <c r="J415" s="46"/>
      <c r="K415" s="159"/>
      <c r="L415" s="46"/>
      <c r="M415" s="46"/>
      <c r="N415" s="46"/>
    </row>
    <row r="416" spans="1:14">
      <c r="B416" s="187" t="s">
        <v>599</v>
      </c>
      <c r="E416" s="129">
        <f>H391*1000</f>
        <v>800</v>
      </c>
      <c r="F416" s="187" t="s">
        <v>98</v>
      </c>
      <c r="J416" s="46"/>
      <c r="K416" s="159"/>
      <c r="L416" s="46"/>
      <c r="M416" s="46"/>
      <c r="N416" s="46"/>
    </row>
    <row r="417" spans="1:16">
      <c r="B417" s="187" t="s">
        <v>571</v>
      </c>
      <c r="E417" s="129">
        <f>E416-$I$13-C439/2</f>
        <v>727.5</v>
      </c>
      <c r="F417" s="187" t="s">
        <v>98</v>
      </c>
      <c r="J417" s="46"/>
      <c r="K417" s="159"/>
      <c r="L417" s="46"/>
      <c r="M417" s="46"/>
      <c r="N417" s="189"/>
    </row>
    <row r="418" spans="1:16">
      <c r="J418" s="46"/>
      <c r="K418" s="159"/>
      <c r="L418" s="388"/>
      <c r="M418" s="46"/>
      <c r="N418" s="46"/>
    </row>
    <row r="419" spans="1:16">
      <c r="A419" s="187" t="s">
        <v>578</v>
      </c>
      <c r="D419" s="2"/>
      <c r="G419" s="9">
        <f>(E414*10^3)/($C$24*1000)</f>
        <v>508.9024558283773</v>
      </c>
      <c r="H419" s="187" t="s">
        <v>98</v>
      </c>
      <c r="I419" s="126" t="str">
        <f>IF(G419&lt;=E417,"ok","Not ok")</f>
        <v>ok</v>
      </c>
      <c r="J419" s="46"/>
      <c r="K419" s="159"/>
      <c r="L419" s="289"/>
      <c r="M419" s="46"/>
      <c r="N419" s="46"/>
    </row>
    <row r="420" spans="1:16">
      <c r="A420" s="187" t="s">
        <v>577</v>
      </c>
      <c r="C420" s="201"/>
      <c r="D420" s="2"/>
      <c r="G420" s="9">
        <f>((E415*10^6)/($C$23*1000))^0.5</f>
        <v>637.98921431268514</v>
      </c>
      <c r="H420" s="187" t="s">
        <v>98</v>
      </c>
      <c r="I420" s="126" t="str">
        <f>IF(G420&lt;=E417,"ok","Not ok")</f>
        <v>ok</v>
      </c>
      <c r="J420" s="46"/>
      <c r="K420" s="159"/>
      <c r="L420" s="388"/>
      <c r="M420" s="46"/>
      <c r="N420" s="46"/>
    </row>
    <row r="421" spans="1:16">
      <c r="A421" s="187" t="s">
        <v>634</v>
      </c>
      <c r="E421" s="2"/>
      <c r="G421" s="9">
        <f>(E415*10^6)/($C$18*$C$22*E417)</f>
        <v>4814.8563986346444</v>
      </c>
      <c r="H421" s="187" t="s">
        <v>128</v>
      </c>
      <c r="J421" s="46"/>
      <c r="K421" s="159"/>
      <c r="L421" s="289"/>
      <c r="M421" s="46"/>
      <c r="N421" s="46"/>
    </row>
    <row r="422" spans="1:16">
      <c r="A422" s="187"/>
      <c r="E422" s="2"/>
      <c r="G422" s="9"/>
      <c r="H422" s="187"/>
      <c r="J422" s="46"/>
      <c r="K422" s="159"/>
      <c r="L422" s="289"/>
      <c r="M422" s="46"/>
      <c r="N422" s="46"/>
    </row>
    <row r="423" spans="1:16">
      <c r="A423" s="187" t="s">
        <v>1828</v>
      </c>
      <c r="E423" s="2"/>
      <c r="G423" s="1980">
        <f>IF(I412&lt;0,ABS(I412),0)</f>
        <v>0</v>
      </c>
      <c r="H423" s="36" t="s">
        <v>107</v>
      </c>
      <c r="J423" s="46"/>
      <c r="K423" s="159"/>
      <c r="L423" s="289"/>
      <c r="M423" s="46"/>
      <c r="N423" s="46"/>
    </row>
    <row r="424" spans="1:16">
      <c r="A424" s="187" t="s">
        <v>1829</v>
      </c>
      <c r="E424" s="2"/>
      <c r="G424" s="9">
        <f>(G423*10^6)/($C$18*$C$22*E417)</f>
        <v>0</v>
      </c>
      <c r="H424" s="187" t="s">
        <v>128</v>
      </c>
      <c r="J424" s="46"/>
      <c r="K424" s="159"/>
      <c r="L424" s="3219" t="s">
        <v>1940</v>
      </c>
      <c r="M424" s="3220"/>
      <c r="N424" s="3220"/>
      <c r="O424" s="3220"/>
      <c r="P424" s="3221"/>
    </row>
    <row r="425" spans="1:16">
      <c r="A425" s="187"/>
      <c r="E425" s="2"/>
      <c r="G425" s="9"/>
      <c r="H425" s="187"/>
      <c r="J425" s="46"/>
      <c r="K425" s="159"/>
      <c r="L425" s="2291" t="s">
        <v>876</v>
      </c>
      <c r="M425" s="3210" t="s">
        <v>492</v>
      </c>
      <c r="N425" s="3212"/>
      <c r="O425" s="3210" t="s">
        <v>493</v>
      </c>
      <c r="P425" s="3212"/>
    </row>
    <row r="426" spans="1:16">
      <c r="A426" s="936" t="str">
        <f>"Reinforcement Distribution of C/S Wing Wall for Sec "&amp;C364</f>
        <v>Reinforcement Distribution of C/S Wing Wall for Sec 2-2</v>
      </c>
      <c r="G426" s="107"/>
      <c r="H426" s="107"/>
      <c r="J426" s="46"/>
      <c r="K426" s="159"/>
      <c r="L426" s="2293"/>
      <c r="M426" s="2284" t="s">
        <v>709</v>
      </c>
      <c r="N426" s="1973" t="s">
        <v>710</v>
      </c>
      <c r="O426" s="1973" t="s">
        <v>709</v>
      </c>
      <c r="P426" s="2285" t="s">
        <v>710</v>
      </c>
    </row>
    <row r="427" spans="1:16">
      <c r="J427" s="46"/>
      <c r="K427" s="159"/>
      <c r="L427" s="2303" t="str">
        <f t="shared" ref="L427:P431" si="13">L179</f>
        <v>1-1</v>
      </c>
      <c r="M427" s="2304">
        <f t="shared" si="13"/>
        <v>25</v>
      </c>
      <c r="N427" s="2305">
        <f t="shared" si="13"/>
        <v>100</v>
      </c>
      <c r="O427" s="2304">
        <f t="shared" si="13"/>
        <v>16</v>
      </c>
      <c r="P427" s="2306">
        <f t="shared" si="13"/>
        <v>200</v>
      </c>
    </row>
    <row r="428" spans="1:16">
      <c r="A428" s="3147" t="s">
        <v>486</v>
      </c>
      <c r="B428" s="3148" t="s">
        <v>487</v>
      </c>
      <c r="C428" s="3148" t="s">
        <v>488</v>
      </c>
      <c r="D428" s="3148" t="s">
        <v>489</v>
      </c>
      <c r="E428" s="3149" t="s">
        <v>490</v>
      </c>
      <c r="F428" s="3150"/>
      <c r="G428" s="3150"/>
      <c r="H428" s="3150"/>
      <c r="I428" s="3150"/>
      <c r="J428" s="330"/>
      <c r="K428" s="159"/>
      <c r="L428" s="2021" t="str">
        <f t="shared" si="13"/>
        <v>2-2</v>
      </c>
      <c r="M428" s="2018">
        <f t="shared" si="13"/>
        <v>25</v>
      </c>
      <c r="N428" s="2019">
        <f t="shared" si="13"/>
        <v>100</v>
      </c>
      <c r="O428" s="2018">
        <f t="shared" si="13"/>
        <v>16</v>
      </c>
      <c r="P428" s="2020">
        <f t="shared" si="13"/>
        <v>200</v>
      </c>
    </row>
    <row r="429" spans="1:16">
      <c r="A429" s="3147"/>
      <c r="B429" s="3148"/>
      <c r="C429" s="3148"/>
      <c r="D429" s="3148"/>
      <c r="E429" s="94">
        <v>12</v>
      </c>
      <c r="F429" s="94">
        <v>16</v>
      </c>
      <c r="G429" s="94">
        <v>20</v>
      </c>
      <c r="H429" s="94">
        <v>22</v>
      </c>
      <c r="I429" s="94">
        <v>25</v>
      </c>
      <c r="J429" s="275"/>
      <c r="K429" s="159"/>
      <c r="L429" s="2295" t="str">
        <f t="shared" si="13"/>
        <v>3-3</v>
      </c>
      <c r="M429" s="2296">
        <f t="shared" si="13"/>
        <v>20</v>
      </c>
      <c r="N429" s="2297">
        <f t="shared" si="13"/>
        <v>100</v>
      </c>
      <c r="O429" s="2296">
        <f t="shared" si="13"/>
        <v>16</v>
      </c>
      <c r="P429" s="2298">
        <f t="shared" si="13"/>
        <v>200</v>
      </c>
    </row>
    <row r="430" spans="1:16" ht="14.25">
      <c r="A430" s="172"/>
      <c r="B430" s="256" t="s">
        <v>491</v>
      </c>
      <c r="C430" s="256" t="s">
        <v>491</v>
      </c>
      <c r="D430" s="256" t="s">
        <v>491</v>
      </c>
      <c r="E430" s="596" t="s">
        <v>98</v>
      </c>
      <c r="F430" s="596" t="s">
        <v>98</v>
      </c>
      <c r="G430" s="596" t="s">
        <v>98</v>
      </c>
      <c r="H430" s="596" t="s">
        <v>98</v>
      </c>
      <c r="I430" s="596" t="s">
        <v>98</v>
      </c>
      <c r="J430" s="759"/>
      <c r="K430" s="159"/>
      <c r="L430" s="2295" t="str">
        <f t="shared" si="13"/>
        <v>4-4</v>
      </c>
      <c r="M430" s="2296">
        <f t="shared" si="13"/>
        <v>16</v>
      </c>
      <c r="N430" s="2297">
        <f t="shared" si="13"/>
        <v>150</v>
      </c>
      <c r="O430" s="2296">
        <f t="shared" si="13"/>
        <v>16</v>
      </c>
      <c r="P430" s="2298">
        <f t="shared" si="13"/>
        <v>200</v>
      </c>
    </row>
    <row r="431" spans="1:16">
      <c r="A431" s="258" t="s">
        <v>492</v>
      </c>
      <c r="B431" s="55"/>
      <c r="C431" s="55"/>
      <c r="D431" s="55"/>
      <c r="E431" s="55"/>
      <c r="F431" s="55"/>
      <c r="G431" s="55"/>
      <c r="H431" s="55"/>
      <c r="I431" s="56"/>
      <c r="J431" s="386"/>
      <c r="K431" s="159"/>
      <c r="L431" s="2299" t="str">
        <f t="shared" si="13"/>
        <v>5-5</v>
      </c>
      <c r="M431" s="2300">
        <f t="shared" si="13"/>
        <v>16</v>
      </c>
      <c r="N431" s="2301">
        <f t="shared" si="13"/>
        <v>150</v>
      </c>
      <c r="O431" s="2300">
        <f t="shared" si="13"/>
        <v>16</v>
      </c>
      <c r="P431" s="2302">
        <f t="shared" si="13"/>
        <v>200</v>
      </c>
    </row>
    <row r="432" spans="1:16">
      <c r="A432" s="259" t="s">
        <v>111</v>
      </c>
      <c r="B432" s="318">
        <f>G421</f>
        <v>4814.8563986346444</v>
      </c>
      <c r="C432" s="318">
        <f>IF(E370&gt;380,C368*1000*380,C368*1000*E370)</f>
        <v>380</v>
      </c>
      <c r="D432" s="318">
        <f>MAX(B432:C432)</f>
        <v>4814.8563986346444</v>
      </c>
      <c r="E432" s="261">
        <f>PI()*(E429/2)^2*1000/$D432</f>
        <v>23.489243741787135</v>
      </c>
      <c r="F432" s="261">
        <f>PI()*(F429/2)^2*1000/$D432</f>
        <v>41.758655540954898</v>
      </c>
      <c r="G432" s="261">
        <f>PI()*(G429/2)^2*1000/$D432</f>
        <v>65.24789928274204</v>
      </c>
      <c r="H432" s="261">
        <f>PI()*(H429/2)^2*1000/$D432</f>
        <v>78.949958132117857</v>
      </c>
      <c r="I432" s="283">
        <f>PI()*(I429/2)^2*1000/$D432</f>
        <v>101.94984262928443</v>
      </c>
      <c r="J432" s="328"/>
      <c r="K432" s="159"/>
      <c r="L432" s="46"/>
      <c r="M432" s="46"/>
      <c r="N432" s="388"/>
    </row>
    <row r="433" spans="1:16">
      <c r="A433" s="262" t="s">
        <v>110</v>
      </c>
      <c r="B433" s="319"/>
      <c r="C433" s="318">
        <f>IF(E370&gt;380,C369*1000*380,C369*1000*E370)</f>
        <v>570</v>
      </c>
      <c r="D433" s="319">
        <f>MAX(B433:C433)</f>
        <v>570</v>
      </c>
      <c r="E433" s="261">
        <f>PI()*(E429/2)^2*1000/$D433</f>
        <v>198.41637812146064</v>
      </c>
      <c r="F433" s="261">
        <f>PI()*(F429/2)^2*1000/$D433</f>
        <v>352.74022777148554</v>
      </c>
      <c r="G433" s="261">
        <f>PI()*(G429/2)^2*1000/$D433</f>
        <v>551.15660589294623</v>
      </c>
      <c r="H433" s="261">
        <f>PI()*(H429/2)^2*1000/$D433</f>
        <v>666.89949313046486</v>
      </c>
      <c r="I433" s="283">
        <f>PI()*(I429/2)^2*1000/$D433</f>
        <v>861.18219670772839</v>
      </c>
      <c r="J433" s="328"/>
      <c r="K433" s="159"/>
      <c r="L433" s="46"/>
      <c r="M433" s="46"/>
      <c r="N433" s="46"/>
    </row>
    <row r="434" spans="1:16">
      <c r="A434" s="264" t="s">
        <v>493</v>
      </c>
      <c r="B434" s="265"/>
      <c r="C434" s="322"/>
      <c r="D434" s="322"/>
      <c r="E434" s="266"/>
      <c r="F434" s="266"/>
      <c r="G434" s="266"/>
      <c r="H434" s="266"/>
      <c r="I434" s="267"/>
      <c r="J434" s="330"/>
      <c r="K434" s="159"/>
      <c r="L434" s="46"/>
      <c r="M434" s="46"/>
      <c r="N434" s="46"/>
    </row>
    <row r="435" spans="1:16">
      <c r="A435" s="259" t="s">
        <v>111</v>
      </c>
      <c r="B435" s="318">
        <f>G424</f>
        <v>0</v>
      </c>
      <c r="C435" s="318">
        <f>IF(E370&gt;380,H368*1000*380,H368*1000*E370)</f>
        <v>760</v>
      </c>
      <c r="D435" s="318">
        <f>MAX(B435:C435)</f>
        <v>760</v>
      </c>
      <c r="E435" s="261">
        <f>PI()*(E429/2)^2*1000/$D435</f>
        <v>148.81228359109548</v>
      </c>
      <c r="F435" s="261">
        <f>PI()*(F429/2)^2*1000/$D435</f>
        <v>264.55517082861417</v>
      </c>
      <c r="G435" s="261">
        <f>PI()*(G429/2)^2*1000/$D435</f>
        <v>413.36745441970965</v>
      </c>
      <c r="H435" s="261">
        <f>PI()*(H429/2)^2*1000/$D435</f>
        <v>500.17461984784865</v>
      </c>
      <c r="I435" s="283">
        <f>PI()*(I429/2)^2*1000/$D435</f>
        <v>645.88664753079627</v>
      </c>
      <c r="J435" s="328"/>
      <c r="K435" s="159"/>
      <c r="L435" s="3219" t="s">
        <v>1139</v>
      </c>
      <c r="M435" s="3220"/>
      <c r="N435" s="3220"/>
      <c r="O435" s="3220"/>
      <c r="P435" s="3221"/>
    </row>
    <row r="436" spans="1:16">
      <c r="A436" s="262" t="s">
        <v>110</v>
      </c>
      <c r="B436" s="263"/>
      <c r="C436" s="319">
        <f>IF(E370&gt;380,H369*1000*380,H369*1000*E370)</f>
        <v>950</v>
      </c>
      <c r="D436" s="319">
        <f>MAX(B436:C436)</f>
        <v>950</v>
      </c>
      <c r="E436" s="284">
        <f>PI()*(E429/2)^2*1000/$D436</f>
        <v>119.04982687287638</v>
      </c>
      <c r="F436" s="284">
        <f>PI()*(F429/2)^2*1000/$D436</f>
        <v>211.6441366628913</v>
      </c>
      <c r="G436" s="284">
        <f>PI()*(G429/2)^2*1000/$D436</f>
        <v>330.69396353576775</v>
      </c>
      <c r="H436" s="284">
        <f>PI()*(H429/2)^2*1000/$D436</f>
        <v>400.13969587827893</v>
      </c>
      <c r="I436" s="285">
        <f>PI()*(I429/2)^2*1000/$D436</f>
        <v>516.70931802463701</v>
      </c>
      <c r="J436" s="328"/>
      <c r="K436" s="159"/>
      <c r="L436" s="3208" t="s">
        <v>876</v>
      </c>
      <c r="M436" s="3210" t="s">
        <v>110</v>
      </c>
      <c r="N436" s="3211"/>
      <c r="O436" s="3211"/>
      <c r="P436" s="3212"/>
    </row>
    <row r="437" spans="1:16">
      <c r="J437" s="46"/>
      <c r="K437" s="159"/>
      <c r="L437" s="3209"/>
      <c r="M437" s="3210" t="s">
        <v>492</v>
      </c>
      <c r="N437" s="3212"/>
      <c r="O437" s="3210" t="s">
        <v>493</v>
      </c>
      <c r="P437" s="3212"/>
    </row>
    <row r="438" spans="1:16">
      <c r="A438" s="258" t="s">
        <v>492</v>
      </c>
      <c r="B438" s="55"/>
      <c r="C438" s="252"/>
      <c r="D438" s="55"/>
      <c r="E438" s="55"/>
      <c r="F438" s="56"/>
      <c r="G438" s="495" t="s">
        <v>2095</v>
      </c>
      <c r="H438" s="2641" t="s">
        <v>1358</v>
      </c>
      <c r="I438" s="1178" t="s">
        <v>2094</v>
      </c>
      <c r="J438" s="46"/>
      <c r="K438" s="159"/>
      <c r="L438" s="3222"/>
      <c r="M438" s="909" t="s">
        <v>709</v>
      </c>
      <c r="N438" s="1973" t="s">
        <v>710</v>
      </c>
      <c r="O438" s="1973" t="s">
        <v>709</v>
      </c>
      <c r="P438" s="910" t="s">
        <v>710</v>
      </c>
    </row>
    <row r="439" spans="1:16" ht="15.75">
      <c r="A439" s="259" t="s">
        <v>111</v>
      </c>
      <c r="B439" s="268" t="s">
        <v>136</v>
      </c>
      <c r="C439" s="269">
        <v>25</v>
      </c>
      <c r="D439" s="604" t="s">
        <v>481</v>
      </c>
      <c r="E439" s="271">
        <v>100</v>
      </c>
      <c r="F439" s="272" t="s">
        <v>482</v>
      </c>
      <c r="G439" s="2014" t="s">
        <v>2098</v>
      </c>
      <c r="H439" s="316">
        <f>PI()*(C439/2)^2*1000/E439</f>
        <v>4908.7385212340523</v>
      </c>
      <c r="I439" s="2643">
        <f>H439*$C$18*$C$22*E417/10^6</f>
        <v>593.46960905797027</v>
      </c>
      <c r="J439" s="46"/>
      <c r="K439" s="159"/>
      <c r="L439" s="873" t="str">
        <f>L190</f>
        <v>1-1</v>
      </c>
      <c r="M439" s="875">
        <f t="shared" ref="M439:P439" si="14">M190</f>
        <v>16</v>
      </c>
      <c r="N439" s="880">
        <f t="shared" si="14"/>
        <v>200</v>
      </c>
      <c r="O439" s="875">
        <f t="shared" si="14"/>
        <v>16</v>
      </c>
      <c r="P439" s="881">
        <f t="shared" si="14"/>
        <v>200</v>
      </c>
    </row>
    <row r="440" spans="1:16" ht="15.75">
      <c r="A440" s="262" t="s">
        <v>110</v>
      </c>
      <c r="B440" s="278" t="s">
        <v>136</v>
      </c>
      <c r="C440" s="279">
        <v>16</v>
      </c>
      <c r="D440" s="280" t="s">
        <v>481</v>
      </c>
      <c r="E440" s="281">
        <v>200</v>
      </c>
      <c r="F440" s="282" t="s">
        <v>482</v>
      </c>
      <c r="I440" s="465" t="str">
        <f>IF(I439&gt;=P26,"o.k","Not o.k")</f>
        <v>o.k</v>
      </c>
      <c r="J440" s="46"/>
      <c r="K440" s="159"/>
      <c r="L440" s="2021" t="str">
        <f t="shared" ref="L440:P443" si="15">L191</f>
        <v>2-2</v>
      </c>
      <c r="M440" s="2018">
        <f>M191</f>
        <v>16</v>
      </c>
      <c r="N440" s="2019">
        <f t="shared" si="15"/>
        <v>200</v>
      </c>
      <c r="O440" s="2018">
        <f t="shared" si="15"/>
        <v>16</v>
      </c>
      <c r="P440" s="2020">
        <f t="shared" si="15"/>
        <v>200</v>
      </c>
    </row>
    <row r="441" spans="1:16" ht="15">
      <c r="A441" s="321" t="s">
        <v>493</v>
      </c>
      <c r="B441" s="273"/>
      <c r="C441" s="274"/>
      <c r="D441" s="275"/>
      <c r="E441" s="276"/>
      <c r="F441" s="277"/>
      <c r="J441" s="46"/>
      <c r="K441" s="159"/>
      <c r="L441" s="860" t="str">
        <f t="shared" si="15"/>
        <v>3-3</v>
      </c>
      <c r="M441" s="870">
        <f t="shared" si="15"/>
        <v>16</v>
      </c>
      <c r="N441" s="876">
        <f t="shared" si="15"/>
        <v>200</v>
      </c>
      <c r="O441" s="870">
        <f t="shared" si="15"/>
        <v>16</v>
      </c>
      <c r="P441" s="877">
        <f t="shared" si="15"/>
        <v>200</v>
      </c>
    </row>
    <row r="442" spans="1:16" ht="15.75">
      <c r="A442" s="259" t="s">
        <v>111</v>
      </c>
      <c r="B442" s="268" t="s">
        <v>136</v>
      </c>
      <c r="C442" s="269">
        <v>16</v>
      </c>
      <c r="D442" s="604" t="s">
        <v>481</v>
      </c>
      <c r="E442" s="271">
        <v>200</v>
      </c>
      <c r="F442" s="272" t="s">
        <v>482</v>
      </c>
      <c r="J442" s="46"/>
      <c r="K442" s="159"/>
      <c r="L442" s="860" t="str">
        <f t="shared" si="15"/>
        <v>4-4</v>
      </c>
      <c r="M442" s="870">
        <f t="shared" si="15"/>
        <v>16</v>
      </c>
      <c r="N442" s="876">
        <f t="shared" si="15"/>
        <v>200</v>
      </c>
      <c r="O442" s="870">
        <f t="shared" si="15"/>
        <v>16</v>
      </c>
      <c r="P442" s="877">
        <f t="shared" si="15"/>
        <v>200</v>
      </c>
    </row>
    <row r="443" spans="1:16" ht="15.75">
      <c r="A443" s="262" t="s">
        <v>110</v>
      </c>
      <c r="B443" s="278" t="s">
        <v>136</v>
      </c>
      <c r="C443" s="279">
        <v>16</v>
      </c>
      <c r="D443" s="280" t="s">
        <v>481</v>
      </c>
      <c r="E443" s="281">
        <v>200</v>
      </c>
      <c r="F443" s="282" t="s">
        <v>482</v>
      </c>
      <c r="J443" s="46"/>
      <c r="K443" s="159"/>
      <c r="L443" s="865" t="str">
        <f t="shared" si="15"/>
        <v>5-5</v>
      </c>
      <c r="M443" s="872">
        <f t="shared" si="15"/>
        <v>16</v>
      </c>
      <c r="N443" s="878">
        <f t="shared" si="15"/>
        <v>200</v>
      </c>
      <c r="O443" s="872">
        <f t="shared" si="15"/>
        <v>16</v>
      </c>
      <c r="P443" s="879">
        <f t="shared" si="15"/>
        <v>200</v>
      </c>
    </row>
    <row r="444" spans="1:16">
      <c r="J444" s="46"/>
      <c r="K444" s="159"/>
    </row>
    <row r="445" spans="1:16">
      <c r="A445" s="41" t="s">
        <v>939</v>
      </c>
      <c r="J445" s="46"/>
      <c r="K445" s="159"/>
    </row>
    <row r="446" spans="1:16">
      <c r="A446" s="187" t="s">
        <v>651</v>
      </c>
      <c r="F446" s="33">
        <f>(6*E400/(2*$J$8*$D$6))^(1/3)</f>
        <v>6.1908641026759783</v>
      </c>
      <c r="G446" s="2874" t="s">
        <v>1003</v>
      </c>
      <c r="H446" s="2878"/>
      <c r="I446" s="187" t="str">
        <f>"= "&amp;FIXED(F446-H446,2)&amp;" m from top"</f>
        <v>= 6.19 m from top</v>
      </c>
      <c r="K446" s="159"/>
    </row>
    <row r="447" spans="1:16">
      <c r="A447" s="187" t="s">
        <v>652</v>
      </c>
      <c r="F447" s="33">
        <f>(6*E400/(4*$J$8*$D$6))^(1/3)</f>
        <v>4.9136920945900044</v>
      </c>
      <c r="G447" s="2874" t="s">
        <v>1003</v>
      </c>
      <c r="H447" s="2878">
        <v>0.3</v>
      </c>
      <c r="I447" s="187" t="str">
        <f>"= "&amp;FIXED(F447-H447,2)&amp;" m from top"</f>
        <v>= 4.61 m from top</v>
      </c>
      <c r="J447" s="187"/>
      <c r="K447" s="159"/>
    </row>
    <row r="448" spans="1:16">
      <c r="E448" s="46"/>
      <c r="J448" s="46"/>
      <c r="K448" s="159"/>
    </row>
    <row r="449" spans="1:14">
      <c r="A449" s="3201" t="s">
        <v>602</v>
      </c>
      <c r="B449" s="3085" t="s">
        <v>621</v>
      </c>
      <c r="C449" s="347" t="s">
        <v>614</v>
      </c>
      <c r="D449" s="355" t="s">
        <v>615</v>
      </c>
      <c r="E449" s="347" t="s">
        <v>619</v>
      </c>
      <c r="F449" s="355" t="s">
        <v>616</v>
      </c>
      <c r="G449" s="355" t="s">
        <v>676</v>
      </c>
      <c r="H449" s="3224" t="s">
        <v>487</v>
      </c>
      <c r="I449" s="3148" t="s">
        <v>488</v>
      </c>
      <c r="J449" s="611"/>
      <c r="K449" s="159"/>
    </row>
    <row r="450" spans="1:14">
      <c r="A450" s="3139"/>
      <c r="B450" s="3086"/>
      <c r="C450" s="77"/>
      <c r="D450" s="104"/>
      <c r="E450" s="77"/>
      <c r="F450" s="104"/>
      <c r="G450" s="105"/>
      <c r="H450" s="3227"/>
      <c r="I450" s="3148"/>
      <c r="J450" s="611"/>
      <c r="K450" s="159"/>
    </row>
    <row r="451" spans="1:14" ht="14.25">
      <c r="A451" s="156"/>
      <c r="B451" s="354" t="s">
        <v>5</v>
      </c>
      <c r="C451" s="280" t="s">
        <v>620</v>
      </c>
      <c r="D451" s="354" t="s">
        <v>98</v>
      </c>
      <c r="E451" s="280" t="s">
        <v>98</v>
      </c>
      <c r="F451" s="354" t="s">
        <v>98</v>
      </c>
      <c r="G451" s="106"/>
      <c r="H451" s="602" t="s">
        <v>491</v>
      </c>
      <c r="I451" s="256" t="s">
        <v>491</v>
      </c>
      <c r="J451" s="408"/>
      <c r="K451" s="159"/>
    </row>
    <row r="452" spans="1:14">
      <c r="A452" s="348" t="s">
        <v>617</v>
      </c>
      <c r="B452" s="2706">
        <f>F446-H446</f>
        <v>6.1908641026759783</v>
      </c>
      <c r="C452" s="107">
        <f>$J$8*$D$6*F446^3/6</f>
        <v>269.84342961612191</v>
      </c>
      <c r="D452" s="356">
        <f>((C452*10^6)/($C$23*1000))^0.5</f>
        <v>434.37347628265081</v>
      </c>
      <c r="E452" s="349">
        <f>(H373+B452*(H391-H373)/I380)*1000</f>
        <v>696.85026299204992</v>
      </c>
      <c r="F452" s="356">
        <f>E452-$I$13-C439/2</f>
        <v>624.35026299204992</v>
      </c>
      <c r="G452" s="123" t="str">
        <f>IF(F452&gt;=D452,"O.k","Not O.k")</f>
        <v>O.k</v>
      </c>
      <c r="H452" s="349">
        <f>C452*10^6/($C$18*$C$22*F452)</f>
        <v>2600.6862481307503</v>
      </c>
      <c r="I452" s="123">
        <f>IF(E452&gt;380,C368*1000*380,C368*1000*E452)</f>
        <v>380</v>
      </c>
      <c r="J452" s="275"/>
      <c r="K452" s="159"/>
    </row>
    <row r="453" spans="1:14">
      <c r="A453" s="351" t="s">
        <v>618</v>
      </c>
      <c r="B453" s="2708">
        <f>F447-H447</f>
        <v>4.6136920945900046</v>
      </c>
      <c r="C453" s="121">
        <f>$J$8*$D$6*F447^3/6</f>
        <v>134.92171480806087</v>
      </c>
      <c r="D453" s="357">
        <f>((C453*10^6)/($C$23*1000))^0.5</f>
        <v>307.14843064703626</v>
      </c>
      <c r="E453" s="310">
        <f>(H373+B453*(H391-H373)/I380)*1000</f>
        <v>595.74949324294903</v>
      </c>
      <c r="F453" s="357">
        <f>E453-$I$13-C439/2</f>
        <v>523.24949324294903</v>
      </c>
      <c r="G453" s="104" t="str">
        <f>IF(F453&gt;=D453,"O.k","Not O.k")</f>
        <v>O.k</v>
      </c>
      <c r="H453" s="310">
        <f>C453*10^6/($C$18*$C$22*F453)</f>
        <v>1551.5917014240899</v>
      </c>
      <c r="I453" s="104">
        <f>IF(E453&gt;380,C368*1000*380,C368*1000*E453)</f>
        <v>380</v>
      </c>
      <c r="J453" s="275"/>
      <c r="K453" s="159"/>
    </row>
    <row r="454" spans="1:14">
      <c r="J454" s="46"/>
      <c r="K454" s="159"/>
      <c r="L454" s="46"/>
      <c r="M454" s="46"/>
      <c r="N454" s="627"/>
    </row>
    <row r="455" spans="1:14" ht="12.75" customHeight="1">
      <c r="A455" s="3228" t="s">
        <v>613</v>
      </c>
      <c r="B455" s="3122" t="s">
        <v>937</v>
      </c>
      <c r="C455" s="3122" t="s">
        <v>938</v>
      </c>
      <c r="D455" s="3085" t="s">
        <v>623</v>
      </c>
      <c r="E455" s="3119" t="s">
        <v>622</v>
      </c>
      <c r="G455" s="3233" t="s">
        <v>2112</v>
      </c>
      <c r="H455" s="3234"/>
      <c r="I455" s="3235"/>
      <c r="K455" s="159"/>
      <c r="M455" s="46"/>
      <c r="N455" s="275"/>
    </row>
    <row r="456" spans="1:14" ht="12.75" customHeight="1">
      <c r="A456" s="3229"/>
      <c r="B456" s="3123"/>
      <c r="C456" s="3123"/>
      <c r="D456" s="3200"/>
      <c r="E456" s="3120"/>
      <c r="G456" s="3122" t="s">
        <v>2110</v>
      </c>
      <c r="H456" s="3244" t="s">
        <v>2111</v>
      </c>
      <c r="I456" s="1541" t="s">
        <v>676</v>
      </c>
      <c r="K456" s="159"/>
      <c r="M456" s="46"/>
      <c r="N456" s="275"/>
    </row>
    <row r="457" spans="1:14">
      <c r="A457" s="3230"/>
      <c r="B457" s="360"/>
      <c r="C457" s="360"/>
      <c r="D457" s="3086"/>
      <c r="E457" s="359"/>
      <c r="G457" s="3241"/>
      <c r="H457" s="3204"/>
      <c r="I457" s="1244"/>
      <c r="K457" s="159"/>
      <c r="M457" s="46"/>
      <c r="N457" s="46"/>
    </row>
    <row r="458" spans="1:14" ht="14.25">
      <c r="A458" s="600" t="s">
        <v>5</v>
      </c>
      <c r="B458" s="256" t="s">
        <v>491</v>
      </c>
      <c r="C458" s="597" t="s">
        <v>98</v>
      </c>
      <c r="D458" s="597" t="s">
        <v>5</v>
      </c>
      <c r="E458" s="358" t="s">
        <v>98</v>
      </c>
      <c r="G458" s="2668" t="s">
        <v>491</v>
      </c>
      <c r="H458" s="94" t="s">
        <v>107</v>
      </c>
      <c r="I458" s="1289"/>
      <c r="K458" s="159"/>
      <c r="M458" s="46"/>
      <c r="N458" s="46"/>
    </row>
    <row r="459" spans="1:14">
      <c r="A459" s="352">
        <f>(I380-B452)+40*C439/1000</f>
        <v>2.6091358973240224</v>
      </c>
      <c r="B459" s="356">
        <f>MAX(H452:I452)</f>
        <v>2600.6862481307503</v>
      </c>
      <c r="C459" s="350">
        <f>PI()*(C439/2)^2*1000/B459</f>
        <v>188.74781703337803</v>
      </c>
      <c r="D459" s="591">
        <v>2.8</v>
      </c>
      <c r="E459" s="609">
        <f>IF(D459="","",E439*2)</f>
        <v>200</v>
      </c>
      <c r="G459" s="2725">
        <f>IF(D459="","",PI()*(C439/2)^2*1000/E459)</f>
        <v>2454.3692606170262</v>
      </c>
      <c r="H459" s="2676">
        <f>IF(D459="","",G459*$C$18*$C$22*F452/10^6)</f>
        <v>254.66179140421494</v>
      </c>
      <c r="I459" s="2726" t="str">
        <f>IF(D459="","",IF(AND(H459&gt;=C452),"o.k","Not o.k"))</f>
        <v>Not o.k</v>
      </c>
      <c r="K459" s="159"/>
      <c r="M459" s="46"/>
      <c r="N459" s="46"/>
    </row>
    <row r="460" spans="1:14">
      <c r="A460" s="353">
        <f>(I380-B453)+40*C439/1000</f>
        <v>4.1863079054099961</v>
      </c>
      <c r="B460" s="357">
        <f>MAX(H453:I453)</f>
        <v>1551.5917014240899</v>
      </c>
      <c r="C460" s="311">
        <f>PI()*(C439/2)^2*1000/B460</f>
        <v>316.36792828478576</v>
      </c>
      <c r="D460" s="592">
        <v>4.5</v>
      </c>
      <c r="E460" s="610">
        <f>IF(D460="","",E459*2)</f>
        <v>400</v>
      </c>
      <c r="G460" s="2727">
        <f>IF(D460="","",PI()*(C439/2)^2*1000/E460)</f>
        <v>1227.1846303085131</v>
      </c>
      <c r="H460" s="2673">
        <f>IF(D460="","",G460*$C$18*$C$22*F453/10^6)</f>
        <v>106.71225848614226</v>
      </c>
      <c r="I460" s="2728" t="str">
        <f>IF(D460="","",IF(AND(H460&gt;=C453),"o.k","Not o.k"))</f>
        <v>Not o.k</v>
      </c>
      <c r="K460" s="159"/>
      <c r="M460" s="46"/>
      <c r="N460" s="46"/>
    </row>
    <row r="461" spans="1:14">
      <c r="J461" s="46"/>
      <c r="K461" s="159"/>
      <c r="L461" s="46"/>
      <c r="M461" s="46"/>
      <c r="N461" s="46"/>
    </row>
    <row r="462" spans="1:14">
      <c r="A462" s="176" t="str">
        <f>"b) Design of Floor  :  Sec  "&amp;C364</f>
        <v>b) Design of Floor  :  Sec  2-2</v>
      </c>
      <c r="B462" s="392"/>
      <c r="C462" s="174"/>
      <c r="J462" s="46"/>
      <c r="K462" s="159"/>
      <c r="L462" s="46"/>
      <c r="M462" s="46"/>
      <c r="N462" s="46"/>
    </row>
    <row r="463" spans="1:14">
      <c r="J463" s="46"/>
      <c r="K463" s="159"/>
      <c r="L463" s="46"/>
      <c r="M463" s="46"/>
      <c r="N463" s="46"/>
    </row>
    <row r="464" spans="1:14">
      <c r="A464" s="187" t="s">
        <v>1105</v>
      </c>
      <c r="I464" s="33">
        <f>Hydraulic!G1075</f>
        <v>1.0968577278901674</v>
      </c>
      <c r="J464" t="s">
        <v>5</v>
      </c>
      <c r="K464" s="159"/>
      <c r="L464" s="46"/>
      <c r="M464" s="46"/>
      <c r="N464" s="46"/>
    </row>
    <row r="465" spans="1:14">
      <c r="A465" s="187" t="str">
        <f>"Considering Wt of wall,  Floor thickness can be reduced  =2*0.5*("&amp;H373&amp;"+"&amp;H391&amp;")*"&amp;I380&amp;"/"&amp;FIXED(F393,2)&amp;"="</f>
        <v>Considering Wt of wall,  Floor thickness can be reduced  =2*0.5*(0.3+0.8)*7.8/6.61=</v>
      </c>
      <c r="B465" s="187"/>
      <c r="E465" s="33"/>
      <c r="I465" s="224">
        <f>2*0.5*(H373+H391)*I380/F393</f>
        <v>1.2983329058733011</v>
      </c>
      <c r="J465" t="s">
        <v>5</v>
      </c>
      <c r="K465" s="159"/>
      <c r="L465" s="46"/>
      <c r="M465" s="46"/>
      <c r="N465" s="46"/>
    </row>
    <row r="466" spans="1:14">
      <c r="A466" s="187" t="s">
        <v>1821</v>
      </c>
      <c r="I466" s="33">
        <f>I464-I465</f>
        <v>-0.20147517798313364</v>
      </c>
      <c r="J466" t="s">
        <v>5</v>
      </c>
      <c r="K466" s="159"/>
      <c r="L466" s="46"/>
      <c r="M466" s="46"/>
      <c r="N466" s="46"/>
    </row>
    <row r="467" spans="1:14">
      <c r="A467" t="s">
        <v>684</v>
      </c>
      <c r="I467" s="742">
        <f>O67</f>
        <v>1.2</v>
      </c>
      <c r="J467" t="s">
        <v>5</v>
      </c>
      <c r="K467" s="159"/>
      <c r="L467" s="46"/>
      <c r="M467" s="46"/>
      <c r="N467" s="46"/>
    </row>
    <row r="468" spans="1:14">
      <c r="J468" s="46"/>
      <c r="K468" s="159"/>
      <c r="L468" s="46"/>
      <c r="M468" s="46"/>
      <c r="N468" s="46"/>
    </row>
    <row r="469" spans="1:14">
      <c r="F469" s="187" t="s">
        <v>637</v>
      </c>
      <c r="H469" s="187" t="s">
        <v>636</v>
      </c>
      <c r="J469" s="46"/>
      <c r="K469" s="159"/>
      <c r="L469" s="46"/>
      <c r="M469" s="46"/>
      <c r="N469" s="46"/>
    </row>
    <row r="470" spans="1:14">
      <c r="E470" s="191" t="s">
        <v>607</v>
      </c>
      <c r="J470" s="46"/>
      <c r="K470" s="159"/>
      <c r="L470" s="46"/>
      <c r="N470" s="46"/>
    </row>
    <row r="471" spans="1:14">
      <c r="F471" s="17" t="s">
        <v>935</v>
      </c>
      <c r="G471" s="36">
        <f>F391/4</f>
        <v>1.2521186440677967</v>
      </c>
      <c r="J471" s="46"/>
      <c r="K471" s="159"/>
      <c r="L471" s="46"/>
      <c r="M471" s="46"/>
      <c r="N471" s="46"/>
    </row>
    <row r="472" spans="1:14">
      <c r="C472" s="1" t="s">
        <v>658</v>
      </c>
      <c r="D472" s="36"/>
      <c r="F472" s="36"/>
      <c r="H472" s="191"/>
      <c r="I472" s="187" t="s">
        <v>659</v>
      </c>
      <c r="J472" s="109"/>
      <c r="K472" s="159"/>
      <c r="L472" s="46"/>
      <c r="M472" s="46"/>
      <c r="N472" s="46"/>
    </row>
    <row r="473" spans="1:14">
      <c r="F473" s="203" t="s">
        <v>644</v>
      </c>
      <c r="G473" s="36">
        <f>(F393-H391)/2</f>
        <v>2.9042372881355933</v>
      </c>
      <c r="J473" s="46"/>
      <c r="K473" s="159"/>
      <c r="L473" s="46"/>
      <c r="M473" s="46"/>
      <c r="N473" s="46"/>
    </row>
    <row r="474" spans="1:14">
      <c r="J474" s="46"/>
      <c r="K474" s="159"/>
      <c r="L474" s="46"/>
      <c r="M474" s="46"/>
      <c r="N474" s="46"/>
    </row>
    <row r="475" spans="1:14">
      <c r="C475" s="1999"/>
      <c r="D475" s="1999"/>
      <c r="E475" s="1999"/>
      <c r="F475" s="1999"/>
      <c r="G475" s="1999"/>
      <c r="H475" s="3060">
        <f>I467</f>
        <v>1.2</v>
      </c>
      <c r="J475" s="46"/>
      <c r="K475" s="159"/>
      <c r="L475" s="46"/>
      <c r="M475" s="46"/>
      <c r="N475" s="46"/>
    </row>
    <row r="476" spans="1:14">
      <c r="B476" s="187" t="s">
        <v>642</v>
      </c>
      <c r="C476" s="1999"/>
      <c r="D476" s="1999"/>
      <c r="E476" s="1999"/>
      <c r="F476" s="1999"/>
      <c r="G476" s="1999"/>
      <c r="H476" s="3060"/>
      <c r="I476" s="203" t="s">
        <v>646</v>
      </c>
      <c r="J476" s="288"/>
      <c r="K476" s="159"/>
      <c r="L476" s="46"/>
      <c r="M476" s="46"/>
      <c r="N476" s="46"/>
    </row>
    <row r="477" spans="1:14">
      <c r="J477" s="46"/>
      <c r="K477" s="159"/>
      <c r="L477" s="46"/>
      <c r="M477" s="46"/>
      <c r="N477" s="46"/>
    </row>
    <row r="478" spans="1:14">
      <c r="C478" s="191" t="s">
        <v>537</v>
      </c>
      <c r="F478" s="203" t="s">
        <v>643</v>
      </c>
      <c r="G478" s="36">
        <f>F393/4</f>
        <v>1.6521186440677966</v>
      </c>
      <c r="J478" s="46"/>
      <c r="K478" s="159"/>
      <c r="L478" s="46"/>
      <c r="M478" s="46"/>
      <c r="N478" s="46"/>
    </row>
    <row r="479" spans="1:14">
      <c r="E479" s="603" t="s">
        <v>641</v>
      </c>
      <c r="F479" s="603"/>
      <c r="J479" s="46"/>
      <c r="K479" s="159"/>
      <c r="L479" s="46"/>
      <c r="M479" s="46"/>
      <c r="N479" s="46"/>
    </row>
    <row r="480" spans="1:14">
      <c r="E480" s="203" t="s">
        <v>645</v>
      </c>
      <c r="F480" s="36">
        <f>F393/2</f>
        <v>3.3042372881355933</v>
      </c>
      <c r="J480" s="46"/>
      <c r="K480" s="159"/>
      <c r="L480" s="46"/>
      <c r="M480" s="46"/>
      <c r="N480" s="46"/>
    </row>
    <row r="481" spans="2:14">
      <c r="J481" s="46"/>
      <c r="K481" s="159"/>
      <c r="L481" s="46"/>
      <c r="M481" s="46"/>
      <c r="N481" s="46"/>
    </row>
    <row r="482" spans="2:14">
      <c r="B482" s="1" t="s">
        <v>654</v>
      </c>
      <c r="J482" s="46"/>
      <c r="K482" s="159"/>
      <c r="L482" s="46"/>
      <c r="M482" s="46"/>
      <c r="N482" s="46"/>
    </row>
    <row r="483" spans="2:14">
      <c r="B483" s="187" t="s">
        <v>655</v>
      </c>
      <c r="J483" s="46"/>
      <c r="K483" s="159"/>
      <c r="L483" s="46"/>
      <c r="M483" s="46"/>
      <c r="N483" s="46"/>
    </row>
    <row r="484" spans="2:14">
      <c r="J484" s="46"/>
      <c r="K484" s="159"/>
      <c r="L484" s="46"/>
      <c r="M484" s="46"/>
      <c r="N484" s="46"/>
    </row>
    <row r="485" spans="2:14">
      <c r="B485" s="187" t="s">
        <v>639</v>
      </c>
      <c r="D485" s="33">
        <f>0.5*(H391+H373)*I380*$D$3</f>
        <v>101.24400000000003</v>
      </c>
      <c r="E485" s="187" t="s">
        <v>341</v>
      </c>
      <c r="J485" s="46"/>
      <c r="K485" s="159"/>
      <c r="L485" s="46"/>
      <c r="M485" s="46"/>
      <c r="N485" s="46"/>
    </row>
    <row r="486" spans="2:14">
      <c r="B486" s="187" t="s">
        <v>656</v>
      </c>
      <c r="D486" s="33">
        <v>0</v>
      </c>
      <c r="E486" s="187" t="s">
        <v>341</v>
      </c>
      <c r="J486" s="46"/>
      <c r="K486" s="159"/>
      <c r="L486" s="46"/>
      <c r="M486" s="46"/>
      <c r="N486" s="46"/>
    </row>
    <row r="487" spans="2:14">
      <c r="B487" s="187" t="s">
        <v>638</v>
      </c>
      <c r="D487" s="33">
        <f>+D485+D486</f>
        <v>101.24400000000003</v>
      </c>
      <c r="E487" s="187" t="s">
        <v>341</v>
      </c>
      <c r="J487" s="46"/>
      <c r="K487" s="159"/>
      <c r="L487" s="46"/>
      <c r="M487" s="46"/>
      <c r="N487" s="46"/>
    </row>
    <row r="488" spans="2:14" ht="15.75">
      <c r="B488" s="187" t="s">
        <v>681</v>
      </c>
      <c r="D488" s="33"/>
      <c r="F488" s="33">
        <v>0</v>
      </c>
      <c r="J488" s="46"/>
      <c r="K488" s="159"/>
      <c r="L488" s="46"/>
      <c r="M488" s="46"/>
      <c r="N488" s="46"/>
    </row>
    <row r="489" spans="2:14">
      <c r="B489" s="187" t="s">
        <v>678</v>
      </c>
      <c r="D489" s="33"/>
      <c r="H489" s="33">
        <f>F488+D487*G478-(D485+D486)*G473</f>
        <v>-126.76950000000002</v>
      </c>
      <c r="I489" s="187" t="s">
        <v>620</v>
      </c>
      <c r="J489" s="109"/>
      <c r="K489" s="159"/>
      <c r="L489" s="46"/>
      <c r="M489" s="46"/>
      <c r="N489" s="46"/>
    </row>
    <row r="490" spans="2:14">
      <c r="B490" s="187"/>
      <c r="D490" s="33"/>
      <c r="I490" s="215" t="str">
        <f>IF(H489&gt;0,"(bottom tension)","(top tension)")</f>
        <v>(top tension)</v>
      </c>
      <c r="J490" s="46"/>
      <c r="K490" s="159"/>
      <c r="L490" s="46"/>
      <c r="M490" s="46"/>
      <c r="N490" s="46"/>
    </row>
    <row r="491" spans="2:14">
      <c r="B491" s="1" t="s">
        <v>657</v>
      </c>
      <c r="J491" s="46"/>
      <c r="K491" s="159"/>
      <c r="L491" s="46"/>
      <c r="M491" s="46"/>
      <c r="N491" s="46"/>
    </row>
    <row r="492" spans="2:14">
      <c r="B492" s="187" t="s">
        <v>611</v>
      </c>
      <c r="J492" s="46"/>
      <c r="K492" s="159"/>
    </row>
    <row r="493" spans="2:14">
      <c r="J493" s="46"/>
      <c r="K493" s="159"/>
    </row>
    <row r="494" spans="2:14">
      <c r="B494" s="187" t="s">
        <v>600</v>
      </c>
      <c r="D494" s="33">
        <f>I380</f>
        <v>7.8000000000000007</v>
      </c>
      <c r="E494" s="187" t="s">
        <v>5</v>
      </c>
      <c r="J494" s="46"/>
      <c r="K494" s="159"/>
    </row>
    <row r="495" spans="2:14">
      <c r="B495" s="187" t="s">
        <v>639</v>
      </c>
      <c r="D495" s="33">
        <f>D485</f>
        <v>101.24400000000003</v>
      </c>
      <c r="E495" s="187" t="s">
        <v>341</v>
      </c>
      <c r="J495" s="46"/>
      <c r="K495" s="159"/>
    </row>
    <row r="496" spans="2:14">
      <c r="B496" s="30" t="s">
        <v>640</v>
      </c>
      <c r="D496" s="33">
        <f>0.5*(H391-H373)*I380*$D$6</f>
        <v>36.855000000000004</v>
      </c>
      <c r="E496" s="187" t="s">
        <v>341</v>
      </c>
      <c r="J496" s="46"/>
      <c r="K496" s="159"/>
    </row>
    <row r="497" spans="1:18">
      <c r="B497" s="187" t="s">
        <v>638</v>
      </c>
      <c r="D497" s="33">
        <f>D495+D496</f>
        <v>138.09900000000005</v>
      </c>
      <c r="E497" s="187" t="s">
        <v>341</v>
      </c>
      <c r="J497" s="46"/>
      <c r="K497" s="159"/>
    </row>
    <row r="498" spans="1:18" ht="15.75">
      <c r="A498" s="187"/>
      <c r="B498" s="187" t="s">
        <v>677</v>
      </c>
      <c r="F498" s="33">
        <f>$J$8*$D$6*D494^3/6</f>
        <v>539.68685923224393</v>
      </c>
      <c r="G498" s="187" t="s">
        <v>620</v>
      </c>
      <c r="H498" s="23" t="str">
        <f>IF(F498&gt;0,"(bottom tension)","(top tension)")</f>
        <v>(bottom tension)</v>
      </c>
      <c r="J498" s="46"/>
      <c r="K498" s="159"/>
    </row>
    <row r="499" spans="1:18">
      <c r="B499" s="187" t="s">
        <v>678</v>
      </c>
      <c r="H499" s="33">
        <f>F498+D497*G478-(D495+D496)*G473</f>
        <v>366.77052660512527</v>
      </c>
      <c r="I499" s="187" t="s">
        <v>620</v>
      </c>
      <c r="J499" s="109"/>
      <c r="K499" s="159"/>
    </row>
    <row r="500" spans="1:18">
      <c r="B500" s="187"/>
      <c r="I500" s="215" t="str">
        <f>IF(H499&gt;0,"(bottom tension)","(top tension)")</f>
        <v>(bottom tension)</v>
      </c>
      <c r="J500" s="46"/>
      <c r="K500" s="159"/>
    </row>
    <row r="501" spans="1:18">
      <c r="B501" s="1" t="s">
        <v>660</v>
      </c>
      <c r="H501" s="33"/>
      <c r="J501" s="46"/>
      <c r="K501" s="159"/>
    </row>
    <row r="502" spans="1:18">
      <c r="B502" s="1" t="str">
        <f>B154</f>
        <v>Case 1 :  When Static  Water Head on C/S Monsoon</v>
      </c>
      <c r="H502" s="33"/>
      <c r="J502" s="46"/>
      <c r="K502" s="159"/>
    </row>
    <row r="503" spans="1:18">
      <c r="B503" s="187"/>
      <c r="H503" s="33"/>
      <c r="J503" s="46"/>
      <c r="K503" s="159"/>
    </row>
    <row r="504" spans="1:18">
      <c r="B504" s="187" t="s">
        <v>639</v>
      </c>
      <c r="D504" s="33">
        <f>D495</f>
        <v>101.24400000000003</v>
      </c>
      <c r="E504" s="187" t="s">
        <v>341</v>
      </c>
      <c r="F504" s="187"/>
      <c r="H504" s="187"/>
      <c r="J504" s="46"/>
      <c r="K504" s="159"/>
    </row>
    <row r="505" spans="1:18">
      <c r="B505" s="30" t="s">
        <v>640</v>
      </c>
      <c r="D505" s="33">
        <f>0.5*D406*E378*$D$6+0.5*(H391-H373+E378)*D405*$D$5</f>
        <v>35.260433507774465</v>
      </c>
      <c r="E505" s="187" t="s">
        <v>341</v>
      </c>
      <c r="H505" s="33"/>
      <c r="J505" s="46"/>
      <c r="K505" s="159"/>
      <c r="L505" s="46"/>
      <c r="M505" s="46"/>
      <c r="N505" s="46"/>
    </row>
    <row r="506" spans="1:18">
      <c r="B506" s="187" t="s">
        <v>647</v>
      </c>
      <c r="D506" s="33">
        <f>D407*$D$7*F391/2</f>
        <v>95.809614406779687</v>
      </c>
      <c r="E506" s="187" t="s">
        <v>341</v>
      </c>
      <c r="H506" s="33"/>
      <c r="J506" s="46"/>
      <c r="K506" s="159"/>
      <c r="L506" s="33"/>
      <c r="M506" s="46"/>
      <c r="N506" s="33"/>
      <c r="O506" s="206"/>
      <c r="P506" s="33"/>
      <c r="Q506" s="2754"/>
      <c r="R506" s="18"/>
    </row>
    <row r="507" spans="1:18">
      <c r="B507" s="187" t="s">
        <v>648</v>
      </c>
      <c r="D507" s="33">
        <f>D504+D505+D506</f>
        <v>232.31404791455418</v>
      </c>
      <c r="E507" s="187" t="s">
        <v>341</v>
      </c>
      <c r="H507" s="33"/>
      <c r="J507" s="46"/>
      <c r="K507" s="159"/>
      <c r="L507" s="187"/>
      <c r="M507" s="46"/>
      <c r="N507" s="187"/>
      <c r="P507" s="187"/>
    </row>
    <row r="508" spans="1:18">
      <c r="A508" s="187"/>
      <c r="B508" s="187" t="s">
        <v>682</v>
      </c>
      <c r="F508" s="33">
        <f>I412</f>
        <v>582.11920072890814</v>
      </c>
      <c r="G508" s="187" t="s">
        <v>107</v>
      </c>
      <c r="H508" s="23" t="str">
        <f>IF(F508&gt;0,"(bottom tension)","(top tension)")</f>
        <v>(bottom tension)</v>
      </c>
      <c r="I508" s="33"/>
      <c r="J508" s="224"/>
      <c r="K508" s="159"/>
      <c r="L508" s="187"/>
      <c r="M508" s="46"/>
      <c r="P508" s="33"/>
      <c r="Q508" s="187"/>
    </row>
    <row r="509" spans="1:18">
      <c r="B509" s="187" t="s">
        <v>936</v>
      </c>
      <c r="H509" s="33">
        <f>F508+D507*G478-(D504+D505)*G473-D506*G471</f>
        <v>449.52330029862281</v>
      </c>
      <c r="I509" s="187" t="s">
        <v>620</v>
      </c>
      <c r="J509" s="109"/>
      <c r="K509" s="159"/>
      <c r="L509" s="46"/>
      <c r="M509" s="46"/>
      <c r="N509" s="46"/>
    </row>
    <row r="510" spans="1:18">
      <c r="B510" s="187"/>
      <c r="I510" s="215" t="str">
        <f>IF(H509&gt;0,"(bottom tension)","(top tension)")</f>
        <v>(bottom tension)</v>
      </c>
      <c r="J510" s="46"/>
      <c r="K510" s="159"/>
      <c r="L510" s="46"/>
      <c r="M510" s="46"/>
      <c r="N510" s="46"/>
    </row>
    <row r="511" spans="1:18">
      <c r="B511" s="1" t="s">
        <v>661</v>
      </c>
      <c r="H511" s="33"/>
      <c r="J511" s="46"/>
      <c r="K511" s="159"/>
      <c r="L511" s="46"/>
      <c r="M511" s="46"/>
      <c r="N511" s="46"/>
    </row>
    <row r="512" spans="1:18">
      <c r="B512" s="187" t="s">
        <v>662</v>
      </c>
      <c r="G512" s="2203" t="s">
        <v>1878</v>
      </c>
      <c r="H512" s="2204"/>
      <c r="I512" s="2203"/>
      <c r="J512" s="2203"/>
      <c r="K512" s="159"/>
      <c r="L512" s="46"/>
      <c r="M512" s="46"/>
      <c r="N512" s="46"/>
    </row>
    <row r="513" spans="1:14">
      <c r="B513" s="187"/>
      <c r="H513" s="33"/>
      <c r="J513" s="46"/>
      <c r="K513" s="159"/>
    </row>
    <row r="514" spans="1:14">
      <c r="B514" s="187" t="s">
        <v>639</v>
      </c>
      <c r="D514" s="33">
        <f>D504</f>
        <v>101.24400000000003</v>
      </c>
      <c r="E514" s="187" t="s">
        <v>341</v>
      </c>
      <c r="F514" s="187"/>
      <c r="H514" s="187"/>
      <c r="J514" s="46"/>
      <c r="K514" s="159"/>
    </row>
    <row r="515" spans="1:14">
      <c r="B515" s="30" t="s">
        <v>640</v>
      </c>
      <c r="D515" s="33">
        <f>D505</f>
        <v>35.260433507774465</v>
      </c>
      <c r="E515" s="187" t="s">
        <v>341</v>
      </c>
      <c r="H515" s="33"/>
      <c r="J515" s="46"/>
      <c r="K515" s="159"/>
    </row>
    <row r="516" spans="1:14">
      <c r="B516" s="187" t="s">
        <v>647</v>
      </c>
      <c r="D516" s="33">
        <f>IF($F$4=1,0,D506)</f>
        <v>95.809614406779687</v>
      </c>
      <c r="E516" s="187" t="s">
        <v>341</v>
      </c>
      <c r="H516" s="187" t="s">
        <v>1879</v>
      </c>
      <c r="J516" s="46"/>
      <c r="K516" s="159"/>
    </row>
    <row r="517" spans="1:14">
      <c r="B517" s="187" t="s">
        <v>663</v>
      </c>
      <c r="D517" s="33">
        <f>D514+D515</f>
        <v>136.50443350777448</v>
      </c>
      <c r="E517" s="187" t="s">
        <v>341</v>
      </c>
      <c r="H517" s="33"/>
      <c r="J517" s="46"/>
      <c r="K517" s="159"/>
    </row>
    <row r="518" spans="1:14">
      <c r="B518" s="187" t="s">
        <v>679</v>
      </c>
      <c r="F518" s="33">
        <f>F508</f>
        <v>582.11920072890814</v>
      </c>
      <c r="G518" s="187" t="s">
        <v>107</v>
      </c>
      <c r="H518" s="23" t="str">
        <f>IF(F518&gt;0,"(bottom tension)","(top tension)")</f>
        <v>(bottom tension)</v>
      </c>
      <c r="I518" s="33"/>
      <c r="J518" s="224"/>
      <c r="K518" s="159"/>
    </row>
    <row r="519" spans="1:14">
      <c r="B519" s="187" t="s">
        <v>680</v>
      </c>
      <c r="H519" s="33">
        <f>F518+D517*G478-(D514+D515)*G473</f>
        <v>411.19945453591083</v>
      </c>
      <c r="I519" s="187" t="s">
        <v>341</v>
      </c>
      <c r="J519" s="109"/>
      <c r="K519" s="159"/>
    </row>
    <row r="520" spans="1:14">
      <c r="A520" s="187"/>
      <c r="B520" s="187"/>
      <c r="I520" s="215" t="str">
        <f>IF(H519&gt;0,"(bottom tension)","(top tension)")</f>
        <v>(bottom tension)</v>
      </c>
      <c r="J520" s="46"/>
      <c r="K520" s="159"/>
      <c r="L520" s="46"/>
      <c r="M520" s="46"/>
      <c r="N520" s="46"/>
    </row>
    <row r="521" spans="1:14">
      <c r="B521" s="41" t="s">
        <v>664</v>
      </c>
      <c r="H521" s="215"/>
      <c r="J521" s="46"/>
      <c r="K521" s="159"/>
      <c r="L521" s="46"/>
      <c r="M521" s="90"/>
      <c r="N521" s="44"/>
    </row>
    <row r="522" spans="1:14">
      <c r="B522" s="187"/>
      <c r="H522" s="215"/>
      <c r="J522" s="46"/>
      <c r="K522" s="159"/>
      <c r="L522" s="46"/>
      <c r="M522" s="46"/>
      <c r="N522" s="46"/>
    </row>
    <row r="523" spans="1:14">
      <c r="B523" s="374" t="s">
        <v>673</v>
      </c>
      <c r="C523" s="3118" t="s">
        <v>675</v>
      </c>
      <c r="D523" s="3070" t="s">
        <v>674</v>
      </c>
      <c r="E523" s="3068"/>
      <c r="F523" s="374" t="s">
        <v>615</v>
      </c>
      <c r="G523" s="355" t="s">
        <v>619</v>
      </c>
      <c r="H523" s="355" t="s">
        <v>616</v>
      </c>
      <c r="I523" s="382" t="s">
        <v>676</v>
      </c>
      <c r="J523" s="562"/>
      <c r="K523" s="159"/>
      <c r="L523" s="46"/>
      <c r="M523" s="46"/>
      <c r="N523" s="46"/>
    </row>
    <row r="524" spans="1:14">
      <c r="B524" s="348"/>
      <c r="C524" s="3092"/>
      <c r="D524" s="3121" t="s">
        <v>665</v>
      </c>
      <c r="E524" s="3118" t="s">
        <v>672</v>
      </c>
      <c r="F524" s="16"/>
      <c r="G524" s="104"/>
      <c r="H524" s="105"/>
      <c r="I524" s="366"/>
      <c r="J524" s="385"/>
      <c r="K524" s="159"/>
      <c r="L524" s="46"/>
      <c r="M524" s="46"/>
      <c r="N524" s="46"/>
    </row>
    <row r="525" spans="1:14">
      <c r="B525" s="367"/>
      <c r="C525" s="365"/>
      <c r="D525" s="3121"/>
      <c r="E525" s="3092"/>
      <c r="F525" s="16"/>
      <c r="G525" s="105"/>
      <c r="H525" s="365"/>
      <c r="I525" s="380"/>
      <c r="J525" s="408"/>
      <c r="K525" s="159"/>
      <c r="L525" s="46"/>
      <c r="M525" s="46"/>
      <c r="N525" s="46"/>
    </row>
    <row r="526" spans="1:14">
      <c r="B526" s="598"/>
      <c r="C526" s="94" t="s">
        <v>107</v>
      </c>
      <c r="D526" s="599" t="s">
        <v>107</v>
      </c>
      <c r="E526" s="94" t="s">
        <v>107</v>
      </c>
      <c r="F526" s="602" t="s">
        <v>98</v>
      </c>
      <c r="G526" s="256" t="s">
        <v>98</v>
      </c>
      <c r="H526" s="256" t="s">
        <v>98</v>
      </c>
      <c r="I526" s="601"/>
      <c r="J526" s="408"/>
      <c r="K526" s="159"/>
      <c r="L526" s="46"/>
      <c r="M526" s="46"/>
      <c r="N526" s="46"/>
    </row>
    <row r="527" spans="1:14">
      <c r="B527" s="374" t="s">
        <v>666</v>
      </c>
      <c r="C527" s="376">
        <f>F488</f>
        <v>0</v>
      </c>
      <c r="D527" s="251">
        <f>IF(J9="y",0,IF(H489&lt;0,ABS(H489),0))</f>
        <v>0</v>
      </c>
      <c r="E527" s="379">
        <f>IF(H489&gt;0,H489,0)</f>
        <v>0</v>
      </c>
      <c r="F527" s="55"/>
      <c r="G527" s="105"/>
      <c r="H527" s="381"/>
      <c r="I527" s="375"/>
      <c r="J527" s="275"/>
      <c r="K527" s="159"/>
      <c r="L527" s="46"/>
      <c r="M527" s="46"/>
      <c r="N527" s="46"/>
    </row>
    <row r="528" spans="1:14">
      <c r="B528" s="348" t="s">
        <v>667</v>
      </c>
      <c r="C528" s="377">
        <f>F498</f>
        <v>539.68685923224393</v>
      </c>
      <c r="D528" s="107">
        <f>IF(H499&lt;0,ABS(H499),0)</f>
        <v>0</v>
      </c>
      <c r="E528" s="103">
        <f>IF(H499&gt;0,H499,0)</f>
        <v>366.77052660512527</v>
      </c>
      <c r="F528" s="16"/>
      <c r="G528" s="105"/>
      <c r="H528" s="105"/>
      <c r="I528" s="58"/>
      <c r="J528" s="386"/>
      <c r="K528" s="159"/>
      <c r="L528" s="46"/>
      <c r="M528" s="46"/>
      <c r="N528" s="46"/>
    </row>
    <row r="529" spans="1:14">
      <c r="B529" s="348" t="s">
        <v>668</v>
      </c>
      <c r="C529" s="377">
        <f>F508</f>
        <v>582.11920072890814</v>
      </c>
      <c r="D529" s="107">
        <f>IF(H509&lt;0,ABS(H509),0)</f>
        <v>0</v>
      </c>
      <c r="E529" s="103">
        <f>IF(H509&gt;0,H509,0)</f>
        <v>449.52330029862281</v>
      </c>
      <c r="F529" s="16"/>
      <c r="G529" s="105"/>
      <c r="H529" s="356"/>
      <c r="I529" s="350"/>
      <c r="J529" s="612"/>
      <c r="K529" s="159"/>
      <c r="L529" s="46"/>
      <c r="M529" s="46"/>
      <c r="N529" s="46"/>
    </row>
    <row r="530" spans="1:14">
      <c r="B530" s="348" t="s">
        <v>669</v>
      </c>
      <c r="C530" s="377">
        <f>F518</f>
        <v>582.11920072890814</v>
      </c>
      <c r="D530" s="107">
        <f>IF(H519&lt;0,ABS(H519),0)</f>
        <v>0</v>
      </c>
      <c r="E530" s="103">
        <f>IF(H519&gt;0,H519,0)</f>
        <v>411.19945453591083</v>
      </c>
      <c r="F530" s="16"/>
      <c r="G530" s="105"/>
      <c r="H530" s="105"/>
      <c r="I530" s="350"/>
      <c r="J530" s="612"/>
      <c r="K530" s="159"/>
      <c r="L530" s="46"/>
      <c r="M530" s="46"/>
      <c r="N530" s="46"/>
    </row>
    <row r="531" spans="1:14">
      <c r="B531" s="600" t="s">
        <v>671</v>
      </c>
      <c r="C531" s="393">
        <f>MAX(C527:C530)</f>
        <v>582.11920072890814</v>
      </c>
      <c r="D531" s="394">
        <f>MAX(D527:D530)</f>
        <v>0</v>
      </c>
      <c r="E531" s="393">
        <f>MAX(E527:E530)</f>
        <v>449.52330029862281</v>
      </c>
      <c r="F531" s="395">
        <f>((MAX(C531,D531,E531)*10^6)/($C$23*1000))^0.5</f>
        <v>637.98921431268514</v>
      </c>
      <c r="G531" s="316">
        <f>I467*1000</f>
        <v>1200</v>
      </c>
      <c r="H531" s="396">
        <f>G531-$I$13-C556/2</f>
        <v>1127.5</v>
      </c>
      <c r="I531" s="1976" t="str">
        <f>IF(H531&gt;=F531,"o.k","Not o.k")</f>
        <v>o.k</v>
      </c>
      <c r="J531" s="386"/>
      <c r="K531" s="159"/>
      <c r="L531" s="46"/>
      <c r="M531" s="46"/>
      <c r="N531" s="46"/>
    </row>
    <row r="532" spans="1:14">
      <c r="B532" s="369"/>
      <c r="C532" s="377"/>
      <c r="D532" s="368"/>
      <c r="E532" s="377"/>
      <c r="F532" s="16"/>
      <c r="G532" s="105"/>
      <c r="H532" s="356">
        <f>H531-I15</f>
        <v>1127.5</v>
      </c>
      <c r="I532" s="370" t="s">
        <v>2138</v>
      </c>
      <c r="J532" s="786"/>
      <c r="K532" s="159"/>
      <c r="L532" s="46"/>
      <c r="M532" s="46"/>
      <c r="N532" s="46"/>
    </row>
    <row r="533" spans="1:14">
      <c r="B533" s="371" t="s">
        <v>670</v>
      </c>
      <c r="C533" s="378">
        <f>(C531*10^6)/($C$18*$C$22*H531)</f>
        <v>3106.703352555835</v>
      </c>
      <c r="D533" s="372">
        <f>(D531*10^6)/($C$18*$C$22*H531)</f>
        <v>0</v>
      </c>
      <c r="E533" s="378">
        <f>(E531*10^6)/($C$18*$C$22*H532)</f>
        <v>2399.0542527046082</v>
      </c>
      <c r="F533" s="59"/>
      <c r="G533" s="106"/>
      <c r="H533" s="357"/>
      <c r="I533" s="373"/>
      <c r="J533" s="786"/>
      <c r="K533" s="159"/>
      <c r="L533" s="46"/>
      <c r="M533" s="46"/>
      <c r="N533" s="46"/>
    </row>
    <row r="534" spans="1:14">
      <c r="A534" s="187"/>
      <c r="B534" s="223"/>
      <c r="C534" s="223"/>
      <c r="D534" s="2"/>
      <c r="E534" s="223"/>
      <c r="G534" s="349"/>
      <c r="H534" s="294"/>
      <c r="I534" s="16"/>
      <c r="J534" s="386"/>
      <c r="K534" s="159"/>
      <c r="L534" s="46"/>
      <c r="M534" s="46"/>
      <c r="N534" s="46"/>
    </row>
    <row r="535" spans="1:14">
      <c r="A535" s="187"/>
      <c r="B535" s="383" t="s">
        <v>1107</v>
      </c>
      <c r="C535" s="223"/>
      <c r="D535" s="2"/>
      <c r="E535" s="223"/>
      <c r="G535" s="349"/>
      <c r="H535" s="294"/>
      <c r="I535" s="16"/>
      <c r="J535" s="386"/>
      <c r="K535" s="159"/>
      <c r="L535" s="46"/>
      <c r="M535" s="46"/>
      <c r="N535" s="46"/>
    </row>
    <row r="536" spans="1:14">
      <c r="A536" s="187"/>
      <c r="B536" s="385" t="s">
        <v>1125</v>
      </c>
      <c r="D536" s="386"/>
      <c r="G536" s="385" t="s">
        <v>1123</v>
      </c>
      <c r="I536" s="16"/>
      <c r="J536" s="386"/>
      <c r="K536" s="159"/>
      <c r="L536" s="46"/>
      <c r="M536" s="46"/>
      <c r="N536" s="46"/>
    </row>
    <row r="537" spans="1:14" ht="14.25">
      <c r="A537" s="187"/>
      <c r="B537" s="385" t="s">
        <v>441</v>
      </c>
      <c r="C537" s="386">
        <f>IF(F393&lt;=9,$G$106,$G$111)</f>
        <v>2E-3</v>
      </c>
      <c r="D537" s="385" t="s">
        <v>438</v>
      </c>
      <c r="E537" s="294"/>
      <c r="G537" s="385" t="s">
        <v>441</v>
      </c>
      <c r="H537" s="386">
        <f>IF(F393&lt;=9,$G$105,$G$110)</f>
        <v>1E-3</v>
      </c>
      <c r="I537" s="385" t="s">
        <v>438</v>
      </c>
      <c r="J537" s="386"/>
      <c r="K537" s="159"/>
      <c r="L537" s="46"/>
      <c r="M537" s="46"/>
      <c r="N537" s="46"/>
    </row>
    <row r="538" spans="1:14" ht="14.25">
      <c r="A538" s="187"/>
      <c r="B538" s="385" t="s">
        <v>442</v>
      </c>
      <c r="C538" s="386">
        <f>IF(E59&lt;=9,$G$106,$G$111)</f>
        <v>2.5000000000000001E-3</v>
      </c>
      <c r="D538" s="385" t="s">
        <v>438</v>
      </c>
      <c r="E538" s="294"/>
      <c r="F538" s="386"/>
      <c r="G538" s="385" t="s">
        <v>442</v>
      </c>
      <c r="H538" s="386">
        <f>IF(E59&lt;=9,$G$105,$G$110)</f>
        <v>1.5E-3</v>
      </c>
      <c r="I538" s="385" t="s">
        <v>438</v>
      </c>
      <c r="J538" s="386"/>
      <c r="K538" s="159"/>
      <c r="L538" s="46"/>
      <c r="M538" s="46"/>
      <c r="N538" s="46"/>
    </row>
    <row r="539" spans="1:14">
      <c r="J539" s="46"/>
      <c r="K539" s="159"/>
      <c r="L539" s="46"/>
      <c r="M539" s="46"/>
      <c r="N539" s="46"/>
    </row>
    <row r="540" spans="1:14">
      <c r="A540" s="936" t="str">
        <f>"Reinforcement Distribution of C/S Floor  for Sec  "&amp;C364</f>
        <v>Reinforcement Distribution of C/S Floor  for Sec  2-2</v>
      </c>
      <c r="G540" s="107"/>
      <c r="H540" s="107"/>
      <c r="J540" s="46"/>
      <c r="K540" s="159"/>
      <c r="L540" s="46"/>
      <c r="M540" s="46"/>
      <c r="N540" s="46"/>
    </row>
    <row r="541" spans="1:14">
      <c r="J541" s="46"/>
      <c r="K541" s="159"/>
      <c r="L541" s="46"/>
      <c r="M541" s="46"/>
      <c r="N541" s="46"/>
    </row>
    <row r="542" spans="1:14">
      <c r="A542" s="3147" t="s">
        <v>486</v>
      </c>
      <c r="B542" s="3148" t="s">
        <v>487</v>
      </c>
      <c r="C542" s="3148" t="s">
        <v>488</v>
      </c>
      <c r="D542" s="3148" t="s">
        <v>489</v>
      </c>
      <c r="E542" s="3149" t="s">
        <v>490</v>
      </c>
      <c r="F542" s="3150"/>
      <c r="G542" s="3150"/>
      <c r="H542" s="3150"/>
      <c r="I542" s="3150"/>
      <c r="J542" s="330"/>
      <c r="K542" s="159"/>
      <c r="L542" s="329"/>
      <c r="M542" s="46"/>
      <c r="N542" s="46"/>
    </row>
    <row r="543" spans="1:14">
      <c r="A543" s="3147"/>
      <c r="B543" s="3148"/>
      <c r="C543" s="3148"/>
      <c r="D543" s="3148"/>
      <c r="E543" s="94">
        <v>12</v>
      </c>
      <c r="F543" s="94">
        <v>16</v>
      </c>
      <c r="G543" s="94">
        <v>20</v>
      </c>
      <c r="H543" s="94">
        <v>22</v>
      </c>
      <c r="I543" s="94">
        <v>25</v>
      </c>
      <c r="J543" s="275"/>
      <c r="K543" s="159"/>
      <c r="L543" s="46"/>
      <c r="M543" s="46"/>
      <c r="N543" s="46"/>
    </row>
    <row r="544" spans="1:14" ht="14.25">
      <c r="A544" s="172"/>
      <c r="B544" s="256" t="s">
        <v>491</v>
      </c>
      <c r="C544" s="256" t="s">
        <v>491</v>
      </c>
      <c r="D544" s="256" t="s">
        <v>491</v>
      </c>
      <c r="E544" s="596" t="s">
        <v>98</v>
      </c>
      <c r="F544" s="596" t="s">
        <v>98</v>
      </c>
      <c r="G544" s="596" t="s">
        <v>98</v>
      </c>
      <c r="H544" s="596" t="s">
        <v>98</v>
      </c>
      <c r="I544" s="596" t="s">
        <v>98</v>
      </c>
      <c r="J544" s="759"/>
      <c r="K544" s="159"/>
      <c r="L544" s="46"/>
      <c r="M544" s="46"/>
      <c r="N544" s="46"/>
    </row>
    <row r="545" spans="1:19">
      <c r="A545" s="264" t="s">
        <v>440</v>
      </c>
      <c r="B545" s="55"/>
      <c r="C545" s="55"/>
      <c r="D545" s="55"/>
      <c r="E545" s="55"/>
      <c r="F545" s="55"/>
      <c r="G545" s="55"/>
      <c r="H545" s="55"/>
      <c r="I545" s="56"/>
      <c r="J545" s="386"/>
      <c r="K545" s="159"/>
      <c r="L545" s="46"/>
      <c r="M545" s="46"/>
      <c r="N545" s="46"/>
    </row>
    <row r="546" spans="1:19">
      <c r="A546" s="363" t="s">
        <v>441</v>
      </c>
      <c r="B546" s="318">
        <f>D533</f>
        <v>0</v>
      </c>
      <c r="C546" s="318">
        <f>IF(G531&gt;380,C537*1000*380,C537*1000*G531)</f>
        <v>760</v>
      </c>
      <c r="D546" s="318">
        <f>MAX(B546:C546)</f>
        <v>760</v>
      </c>
      <c r="E546" s="261">
        <f>PI()*(E543/2)^2*1000/$D546</f>
        <v>148.81228359109548</v>
      </c>
      <c r="F546" s="261">
        <f>PI()*(F543/2)^2*1000/$D546</f>
        <v>264.55517082861417</v>
      </c>
      <c r="G546" s="261">
        <f>PI()*(G543/2)^2*1000/$D546</f>
        <v>413.36745441970965</v>
      </c>
      <c r="H546" s="261">
        <f>PI()*(H543/2)^2*1000/$D546</f>
        <v>500.17461984784865</v>
      </c>
      <c r="I546" s="283">
        <f>PI()*(I543/2)^2*1000/$D546</f>
        <v>645.88664753079627</v>
      </c>
      <c r="J546" s="328"/>
      <c r="K546" s="159"/>
      <c r="L546" s="46"/>
      <c r="M546" s="46"/>
      <c r="N546" s="46"/>
    </row>
    <row r="547" spans="1:19">
      <c r="A547" s="364" t="s">
        <v>442</v>
      </c>
      <c r="B547" s="319"/>
      <c r="C547" s="318">
        <f>IF(G531&gt;380,C538*1000*380,C538*1000*G531)</f>
        <v>950</v>
      </c>
      <c r="D547" s="319">
        <f>MAX(B547:C547)</f>
        <v>950</v>
      </c>
      <c r="E547" s="261">
        <f>PI()*(E543/2)^2*1000/$D547</f>
        <v>119.04982687287638</v>
      </c>
      <c r="F547" s="261">
        <f>PI()*(F543/2)^2*1000/$D547</f>
        <v>211.6441366628913</v>
      </c>
      <c r="G547" s="261">
        <f>PI()*(G543/2)^2*1000/$D547</f>
        <v>330.69396353576775</v>
      </c>
      <c r="H547" s="261">
        <f>PI()*(H543/2)^2*1000/$D547</f>
        <v>400.13969587827893</v>
      </c>
      <c r="I547" s="283">
        <f>PI()*(I543/2)^2*1000/$D547</f>
        <v>516.70931802463701</v>
      </c>
      <c r="J547" s="328"/>
      <c r="K547" s="159"/>
      <c r="L547" s="46"/>
      <c r="M547" s="46"/>
      <c r="N547" s="46"/>
    </row>
    <row r="548" spans="1:19">
      <c r="A548" s="258" t="s">
        <v>443</v>
      </c>
      <c r="B548" s="265"/>
      <c r="C548" s="322"/>
      <c r="D548" s="322"/>
      <c r="E548" s="266"/>
      <c r="F548" s="266"/>
      <c r="G548" s="266"/>
      <c r="H548" s="266"/>
      <c r="I548" s="267"/>
      <c r="J548" s="330"/>
      <c r="K548" s="159"/>
      <c r="L548" s="46"/>
      <c r="M548" s="46"/>
      <c r="N548" s="46"/>
    </row>
    <row r="549" spans="1:19">
      <c r="A549" s="363" t="s">
        <v>441</v>
      </c>
      <c r="B549" s="318">
        <f>C533</f>
        <v>3106.703352555835</v>
      </c>
      <c r="C549" s="318">
        <f>IF(G531&gt;380,H537*1000*380,H537*1000*G531)</f>
        <v>380</v>
      </c>
      <c r="D549" s="318">
        <f>MAX(B549:C549)</f>
        <v>3106.703352555835</v>
      </c>
      <c r="E549" s="261">
        <f>PI()*(E543/2)^2*1000/$D549</f>
        <v>36.404291847237104</v>
      </c>
      <c r="F549" s="261">
        <f>PI()*(F543/2)^2*1000/$D549</f>
        <v>64.718741061754841</v>
      </c>
      <c r="G549" s="261">
        <f>PI()*(G543/2)^2*1000/$D549</f>
        <v>101.12303290899196</v>
      </c>
      <c r="H549" s="261">
        <f>PI()*(H543/2)^2*1000/$D549</f>
        <v>122.35886981988025</v>
      </c>
      <c r="I549" s="283">
        <f>PI()*(I543/2)^2*1000/$D549</f>
        <v>158.00473892029993</v>
      </c>
      <c r="J549" s="328"/>
      <c r="K549" s="159"/>
      <c r="L549" s="3173" t="s">
        <v>1140</v>
      </c>
      <c r="M549" s="3174"/>
      <c r="N549" s="3174"/>
      <c r="O549" s="3174"/>
      <c r="P549" s="3175"/>
    </row>
    <row r="550" spans="1:19">
      <c r="A550" s="364" t="s">
        <v>442</v>
      </c>
      <c r="B550" s="263"/>
      <c r="C550" s="319">
        <f>IF(G531&gt;380,H538*1000*380,H538*1000*G531)</f>
        <v>570</v>
      </c>
      <c r="D550" s="319">
        <f>MAX(B550:C550)</f>
        <v>570</v>
      </c>
      <c r="E550" s="284">
        <f>PI()*(E543/2)^2*1000/$D550</f>
        <v>198.41637812146064</v>
      </c>
      <c r="F550" s="284">
        <f>PI()*(F543/2)^2*1000/$D550</f>
        <v>352.74022777148554</v>
      </c>
      <c r="G550" s="284">
        <f>PI()*(G543/2)^2*1000/$D550</f>
        <v>551.15660589294623</v>
      </c>
      <c r="H550" s="284">
        <f>PI()*(H543/2)^2*1000/$D550</f>
        <v>666.89949313046486</v>
      </c>
      <c r="I550" s="285">
        <f>PI()*(I543/2)^2*1000/$D550</f>
        <v>861.18219670772839</v>
      </c>
      <c r="J550" s="328"/>
      <c r="K550" s="159"/>
      <c r="L550" s="3205" t="s">
        <v>876</v>
      </c>
      <c r="M550" s="3171" t="s">
        <v>442</v>
      </c>
      <c r="N550" s="3176"/>
      <c r="O550" s="3176"/>
      <c r="P550" s="3172"/>
      <c r="R550" s="3127" t="s">
        <v>441</v>
      </c>
      <c r="S550" s="3129"/>
    </row>
    <row r="551" spans="1:19" ht="15">
      <c r="A551" s="29"/>
      <c r="J551" s="46"/>
      <c r="K551" s="159"/>
      <c r="L551" s="3206"/>
      <c r="M551" s="3171" t="s">
        <v>440</v>
      </c>
      <c r="N551" s="3172"/>
      <c r="O551" s="3171" t="s">
        <v>443</v>
      </c>
      <c r="P551" s="3172"/>
      <c r="R551" s="3171" t="s">
        <v>440</v>
      </c>
      <c r="S551" s="3172"/>
    </row>
    <row r="552" spans="1:19">
      <c r="A552" s="264" t="s">
        <v>440</v>
      </c>
      <c r="B552" s="55"/>
      <c r="C552" s="252"/>
      <c r="D552" s="55"/>
      <c r="E552" s="55"/>
      <c r="F552" s="56"/>
      <c r="G552" s="1551" t="s">
        <v>2095</v>
      </c>
      <c r="H552" s="2641" t="s">
        <v>1358</v>
      </c>
      <c r="I552" s="1178" t="s">
        <v>2094</v>
      </c>
      <c r="J552" s="46"/>
      <c r="K552" s="159"/>
      <c r="L552" s="3207"/>
      <c r="M552" s="911" t="s">
        <v>709</v>
      </c>
      <c r="N552" s="902" t="s">
        <v>710</v>
      </c>
      <c r="O552" s="902" t="s">
        <v>709</v>
      </c>
      <c r="P552" s="913" t="s">
        <v>710</v>
      </c>
      <c r="R552" s="926" t="s">
        <v>709</v>
      </c>
      <c r="S552" s="894" t="s">
        <v>710</v>
      </c>
    </row>
    <row r="553" spans="1:19" ht="15.75">
      <c r="A553" s="363" t="s">
        <v>441</v>
      </c>
      <c r="B553" s="268" t="s">
        <v>136</v>
      </c>
      <c r="C553" s="269">
        <v>16</v>
      </c>
      <c r="D553" s="604" t="s">
        <v>481</v>
      </c>
      <c r="E553" s="271">
        <v>200</v>
      </c>
      <c r="F553" s="272" t="s">
        <v>482</v>
      </c>
      <c r="G553" s="2014" t="s">
        <v>2096</v>
      </c>
      <c r="H553" s="316">
        <f>PI()*(C553/2)^2*1000/E553</f>
        <v>1005.3096491487337</v>
      </c>
      <c r="I553" s="457">
        <f>H553*$C$18*$C$22*H531/10^6</f>
        <v>188.37010909524946</v>
      </c>
      <c r="J553" s="46"/>
      <c r="K553" s="159"/>
      <c r="L553" s="895" t="str">
        <f>L306</f>
        <v>1-1</v>
      </c>
      <c r="M553" s="895">
        <f t="shared" ref="M553:P553" si="16">M306</f>
        <v>16</v>
      </c>
      <c r="N553" s="895">
        <f t="shared" si="16"/>
        <v>200</v>
      </c>
      <c r="O553" s="895">
        <f t="shared" si="16"/>
        <v>16</v>
      </c>
      <c r="P553" s="899">
        <f t="shared" si="16"/>
        <v>250</v>
      </c>
      <c r="R553" s="926">
        <f>R306</f>
        <v>16</v>
      </c>
      <c r="S553" s="894">
        <f>S306</f>
        <v>200</v>
      </c>
    </row>
    <row r="554" spans="1:19" ht="15.75">
      <c r="A554" s="364" t="s">
        <v>442</v>
      </c>
      <c r="B554" s="278" t="s">
        <v>136</v>
      </c>
      <c r="C554" s="279">
        <v>16</v>
      </c>
      <c r="D554" s="280" t="s">
        <v>481</v>
      </c>
      <c r="E554" s="281">
        <v>200</v>
      </c>
      <c r="F554" s="282" t="s">
        <v>482</v>
      </c>
      <c r="G554" s="2639"/>
      <c r="H554" s="16"/>
      <c r="I554" s="2666" t="str">
        <f>IF(I553&gt;=Q26,"o.k","Not o.k")</f>
        <v>o.k</v>
      </c>
      <c r="J554" s="46"/>
      <c r="K554" s="159"/>
      <c r="L554" s="2017" t="str">
        <f t="shared" ref="L554:P557" si="17">L307</f>
        <v>2-2</v>
      </c>
      <c r="M554" s="2017">
        <f t="shared" si="17"/>
        <v>16</v>
      </c>
      <c r="N554" s="2017">
        <f t="shared" si="17"/>
        <v>200</v>
      </c>
      <c r="O554" s="2017">
        <f t="shared" si="17"/>
        <v>16</v>
      </c>
      <c r="P554" s="2018">
        <f t="shared" si="17"/>
        <v>250</v>
      </c>
      <c r="R554" s="2340">
        <f t="shared" ref="R554:S554" si="18">R307</f>
        <v>16</v>
      </c>
      <c r="S554" s="994">
        <f t="shared" si="18"/>
        <v>200</v>
      </c>
    </row>
    <row r="555" spans="1:19" ht="15">
      <c r="A555" s="258" t="s">
        <v>443</v>
      </c>
      <c r="B555" s="273"/>
      <c r="C555" s="274"/>
      <c r="D555" s="275"/>
      <c r="E555" s="276"/>
      <c r="F555" s="277"/>
      <c r="G555" s="2639"/>
      <c r="H555" s="16"/>
      <c r="I555" s="58"/>
      <c r="J555" s="46"/>
      <c r="K555" s="159"/>
      <c r="L555" s="895" t="str">
        <f t="shared" si="17"/>
        <v>3-3</v>
      </c>
      <c r="M555" s="895">
        <f t="shared" si="17"/>
        <v>16</v>
      </c>
      <c r="N555" s="895">
        <f t="shared" si="17"/>
        <v>200</v>
      </c>
      <c r="O555" s="895">
        <f t="shared" si="17"/>
        <v>16</v>
      </c>
      <c r="P555" s="899">
        <f t="shared" si="17"/>
        <v>250</v>
      </c>
      <c r="R555" s="2334">
        <f t="shared" ref="R555:S555" si="19">R308</f>
        <v>16</v>
      </c>
      <c r="S555" s="892">
        <f t="shared" si="19"/>
        <v>200</v>
      </c>
    </row>
    <row r="556" spans="1:19" ht="15.75">
      <c r="A556" s="363" t="s">
        <v>441</v>
      </c>
      <c r="B556" s="268" t="s">
        <v>136</v>
      </c>
      <c r="C556" s="397">
        <f>C439</f>
        <v>25</v>
      </c>
      <c r="D556" s="604" t="s">
        <v>481</v>
      </c>
      <c r="E556" s="398">
        <f>E439</f>
        <v>100</v>
      </c>
      <c r="F556" s="272" t="s">
        <v>482</v>
      </c>
      <c r="G556" s="2124" t="s">
        <v>2097</v>
      </c>
      <c r="H556" s="316">
        <f>PI()*(C556/2)^2*1000/$E556</f>
        <v>4908.7385212340523</v>
      </c>
      <c r="I556" s="457">
        <f>H556*$C$18*$C$22*H531/10^6</f>
        <v>919.775923316648</v>
      </c>
      <c r="J556" s="46"/>
      <c r="K556" s="159"/>
      <c r="L556" s="895" t="str">
        <f t="shared" si="17"/>
        <v>4-4</v>
      </c>
      <c r="M556" s="895">
        <f t="shared" si="17"/>
        <v>16</v>
      </c>
      <c r="N556" s="895">
        <f t="shared" si="17"/>
        <v>200</v>
      </c>
      <c r="O556" s="895">
        <f t="shared" si="17"/>
        <v>16</v>
      </c>
      <c r="P556" s="899">
        <f t="shared" si="17"/>
        <v>250</v>
      </c>
      <c r="R556" s="2334">
        <f t="shared" ref="R556:S556" si="20">R309</f>
        <v>16</v>
      </c>
      <c r="S556" s="892">
        <f t="shared" si="20"/>
        <v>200</v>
      </c>
    </row>
    <row r="557" spans="1:19" ht="15.75">
      <c r="A557" s="364" t="s">
        <v>442</v>
      </c>
      <c r="B557" s="278" t="s">
        <v>136</v>
      </c>
      <c r="C557" s="279">
        <v>16</v>
      </c>
      <c r="D557" s="280" t="s">
        <v>481</v>
      </c>
      <c r="E557" s="281">
        <v>250</v>
      </c>
      <c r="F557" s="282" t="s">
        <v>482</v>
      </c>
      <c r="G557" s="2640"/>
      <c r="H557" s="60"/>
      <c r="I557" s="465" t="str">
        <f>IF(I556&gt;=P26,"o.k","Not o.k")</f>
        <v>o.k</v>
      </c>
      <c r="J557" s="46"/>
      <c r="K557" s="159"/>
      <c r="L557" s="900" t="str">
        <f t="shared" si="17"/>
        <v>5-5</v>
      </c>
      <c r="M557" s="900">
        <f t="shared" si="17"/>
        <v>16</v>
      </c>
      <c r="N557" s="900">
        <f t="shared" si="17"/>
        <v>200</v>
      </c>
      <c r="O557" s="900">
        <f t="shared" si="17"/>
        <v>16</v>
      </c>
      <c r="P557" s="901">
        <f t="shared" si="17"/>
        <v>250</v>
      </c>
      <c r="R557" s="2336">
        <f t="shared" ref="R557:S557" si="21">R310</f>
        <v>16</v>
      </c>
      <c r="S557" s="893">
        <f t="shared" si="21"/>
        <v>150</v>
      </c>
    </row>
    <row r="558" spans="1:19">
      <c r="J558" s="46"/>
      <c r="K558" s="159"/>
    </row>
    <row r="559" spans="1:19">
      <c r="A559" s="2183" t="s">
        <v>602</v>
      </c>
      <c r="B559" s="2184"/>
      <c r="C559" s="2185" t="s">
        <v>1868</v>
      </c>
      <c r="D559" s="2184"/>
      <c r="E559" s="2184"/>
      <c r="J559" s="46"/>
      <c r="K559" s="159"/>
    </row>
    <row r="560" spans="1:19">
      <c r="B560" s="187" t="s">
        <v>940</v>
      </c>
      <c r="G560" s="126" t="str">
        <f>IF(AND(H499&lt;=F498/2,H509&lt;=F508/2,H519&lt;=F518/2),"For Curtailment follow the Remark","Curtailment not possible")</f>
        <v>Curtailment not possible</v>
      </c>
      <c r="H560" s="126"/>
      <c r="I560" s="126"/>
      <c r="J560" s="126"/>
      <c r="K560" s="159"/>
    </row>
    <row r="561" spans="1:25" ht="12.75" customHeight="1">
      <c r="K561" s="159"/>
      <c r="Q561" s="423"/>
      <c r="R561" s="406" t="s">
        <v>689</v>
      </c>
      <c r="S561" s="55"/>
      <c r="T561" s="55"/>
      <c r="U561" s="55"/>
      <c r="V561" s="55"/>
      <c r="W561" s="55"/>
      <c r="X561" s="55"/>
      <c r="Y561" s="2736" t="s">
        <v>945</v>
      </c>
    </row>
    <row r="562" spans="1:25" ht="14.25">
      <c r="B562" s="187" t="s">
        <v>1822</v>
      </c>
      <c r="F562" s="1995">
        <f>0.5*PI()*(C556/2)^2*1000/E556</f>
        <v>2454.3692606170262</v>
      </c>
      <c r="G562" s="187" t="s">
        <v>1348</v>
      </c>
      <c r="J562" s="46"/>
      <c r="K562" s="159"/>
      <c r="Q562" s="2084"/>
      <c r="R562" s="241" t="s">
        <v>941</v>
      </c>
      <c r="S562" s="16"/>
      <c r="T562" s="16"/>
      <c r="U562" s="16"/>
      <c r="V562" s="16"/>
      <c r="W562" s="16"/>
      <c r="X562" s="16"/>
      <c r="Y562" s="2735"/>
    </row>
    <row r="563" spans="1:25" ht="14.25">
      <c r="B563" s="385" t="s">
        <v>1825</v>
      </c>
      <c r="F563" s="33">
        <f>F562*$C$18*$C$22*H531/10^6</f>
        <v>459.887961658324</v>
      </c>
      <c r="G563" s="187" t="s">
        <v>107</v>
      </c>
      <c r="H563" s="2751" t="str">
        <f>IF(F563&gt;P$26,"&gt; Max End Me="&amp;FIXED(P$26,2)&amp;" kn-m","&lt; Max End Me="&amp;FIXED(P$26,2)&amp;" kn-m")</f>
        <v>&lt; Max End Me=582.12 kn-m</v>
      </c>
      <c r="I563" s="2751"/>
      <c r="J563" s="2751"/>
      <c r="K563" s="159"/>
      <c r="L563" s="2742" t="s">
        <v>2116</v>
      </c>
      <c r="M563" s="2743"/>
      <c r="N563" s="2744"/>
      <c r="O563" s="187"/>
      <c r="Q563" s="259" t="s">
        <v>707</v>
      </c>
      <c r="R563" s="241" t="s">
        <v>942</v>
      </c>
      <c r="S563" s="16"/>
      <c r="T563" s="16"/>
      <c r="U563" s="16"/>
      <c r="V563" s="16"/>
      <c r="W563" s="16"/>
      <c r="X563" s="16"/>
      <c r="Y563" s="2739"/>
    </row>
    <row r="564" spans="1:25" ht="14.25">
      <c r="B564" s="187" t="s">
        <v>1823</v>
      </c>
      <c r="J564" s="46"/>
      <c r="K564" s="159"/>
      <c r="L564" s="2745" t="s">
        <v>2117</v>
      </c>
      <c r="M564" s="2746"/>
      <c r="N564" s="2747"/>
      <c r="Q564" s="2084"/>
      <c r="R564" s="242">
        <f>D497/F480</f>
        <v>41.794516542703271</v>
      </c>
      <c r="S564" s="434" t="s">
        <v>685</v>
      </c>
      <c r="T564" s="242">
        <f>D497*2</f>
        <v>276.19800000000009</v>
      </c>
      <c r="U564" s="434" t="s">
        <v>686</v>
      </c>
      <c r="V564" s="242">
        <f>D497*H391+F498</f>
        <v>650.16605923224392</v>
      </c>
      <c r="W564" s="2737" t="s">
        <v>35</v>
      </c>
      <c r="X564" s="1048">
        <v>0</v>
      </c>
      <c r="Y564" s="256" t="s">
        <v>491</v>
      </c>
    </row>
    <row r="565" spans="1:25" ht="14.25">
      <c r="A565" s="203" t="s">
        <v>707</v>
      </c>
      <c r="B565" s="187" t="s">
        <v>1826</v>
      </c>
      <c r="J565" s="46"/>
      <c r="K565" s="159"/>
      <c r="L565" s="2748" t="s">
        <v>2118</v>
      </c>
      <c r="M565" s="2749"/>
      <c r="N565" s="2750"/>
      <c r="Q565" s="2084"/>
      <c r="R565" s="16"/>
      <c r="S565" s="16"/>
      <c r="T565" s="16"/>
      <c r="U565" s="16"/>
      <c r="V565" s="16"/>
      <c r="W565" s="16"/>
      <c r="X565" s="16"/>
      <c r="Y565" s="316" t="e">
        <f>V567*10^6/($C$18*$C$22*H531)</f>
        <v>#NUM!</v>
      </c>
    </row>
    <row r="566" spans="1:25" ht="14.25">
      <c r="B566" s="33">
        <f>D497/F480</f>
        <v>41.794516542703271</v>
      </c>
      <c r="C566" s="206" t="s">
        <v>685</v>
      </c>
      <c r="D566" s="33">
        <f>D497*2</f>
        <v>276.19800000000009</v>
      </c>
      <c r="E566" s="206" t="s">
        <v>686</v>
      </c>
      <c r="F566" s="33">
        <f>D497*H391+F498*2-F563*2</f>
        <v>270.07699514783985</v>
      </c>
      <c r="G566" s="1970" t="s">
        <v>35</v>
      </c>
      <c r="H566" s="18">
        <v>0</v>
      </c>
      <c r="J566" s="46"/>
      <c r="K566" s="159"/>
      <c r="Q566" s="2084"/>
      <c r="R566" s="241" t="s">
        <v>691</v>
      </c>
      <c r="S566" s="2097" t="e">
        <f>(-(-T564)-SQRT(T564^2-4*R564*V564))/(2*R564)</f>
        <v>#NUM!</v>
      </c>
      <c r="T566" s="241" t="s">
        <v>688</v>
      </c>
      <c r="U566" s="16"/>
      <c r="V566" s="16"/>
      <c r="W566" s="241" t="s">
        <v>690</v>
      </c>
      <c r="X566" s="16"/>
      <c r="Y566" s="58"/>
    </row>
    <row r="567" spans="1:25" ht="14.25">
      <c r="B567" s="33"/>
      <c r="C567" s="206"/>
      <c r="D567" s="33"/>
      <c r="E567" s="206"/>
      <c r="F567" s="33"/>
      <c r="G567" s="1970"/>
      <c r="H567" s="18"/>
      <c r="J567" s="46"/>
      <c r="K567" s="159"/>
      <c r="Q567" s="2084"/>
      <c r="R567" s="241" t="s">
        <v>687</v>
      </c>
      <c r="S567" s="16"/>
      <c r="T567" s="16"/>
      <c r="U567" s="16"/>
      <c r="V567" s="242" t="e">
        <f>F498+S566^2*D497/(2*F480)-D497*(S566-H391/2)</f>
        <v>#NUM!</v>
      </c>
      <c r="W567" s="241" t="s">
        <v>620</v>
      </c>
      <c r="X567" s="16"/>
      <c r="Y567" s="58"/>
    </row>
    <row r="568" spans="1:25">
      <c r="B568" s="187" t="s">
        <v>691</v>
      </c>
      <c r="C568" s="1996">
        <f>(-(-D566)-SQRT(D566^2-4*B566*F566))/(2*B566)</f>
        <v>1.1933217959349656</v>
      </c>
      <c r="D568" s="187" t="s">
        <v>688</v>
      </c>
      <c r="G568" s="187" t="s">
        <v>1827</v>
      </c>
      <c r="J568" s="46"/>
      <c r="K568" s="159"/>
      <c r="Q568" s="2084"/>
      <c r="R568" s="16"/>
      <c r="S568" s="16"/>
      <c r="T568" s="16"/>
      <c r="U568" s="16"/>
      <c r="V568" s="16"/>
      <c r="W568" s="16"/>
      <c r="X568" s="16"/>
      <c r="Y568" s="58"/>
    </row>
    <row r="569" spans="1:25" ht="14.25">
      <c r="B569" s="187" t="s">
        <v>687</v>
      </c>
      <c r="F569" s="33">
        <f>F498+C568^2*D497/(2*F480)-D497*(C568-H391/2)</f>
        <v>459.887961658324</v>
      </c>
      <c r="G569" s="187" t="s">
        <v>620</v>
      </c>
      <c r="J569" s="46"/>
      <c r="K569" s="159"/>
      <c r="Q569" s="2085"/>
      <c r="R569" s="59"/>
      <c r="S569" s="59"/>
      <c r="T569" s="59"/>
      <c r="U569" s="1977" t="s">
        <v>943</v>
      </c>
      <c r="V569" s="1732">
        <f>+F498/2</f>
        <v>269.84342961612197</v>
      </c>
      <c r="W569" s="1978" t="s">
        <v>620</v>
      </c>
      <c r="X569" s="400" t="e">
        <f>IF(V567=V569,"O.k","Not O.k")</f>
        <v>#NUM!</v>
      </c>
      <c r="Y569" s="60"/>
    </row>
    <row r="570" spans="1:25">
      <c r="B570" s="207" t="s">
        <v>2113</v>
      </c>
      <c r="C570" s="126"/>
      <c r="D570" s="126"/>
      <c r="E570" s="126"/>
      <c r="F570" s="246">
        <f>R$26</f>
        <v>449.52330029862281</v>
      </c>
      <c r="G570" s="207" t="s">
        <v>620</v>
      </c>
      <c r="K570" s="159"/>
      <c r="U570" s="46"/>
    </row>
    <row r="571" spans="1:25">
      <c r="B571" s="187" t="s">
        <v>692</v>
      </c>
      <c r="H571" s="33">
        <f>IF(C568&lt;D391,D391,C568)+40*C556/1000</f>
        <v>2.1933217959349656</v>
      </c>
      <c r="I571" s="187" t="s">
        <v>5</v>
      </c>
      <c r="J571" s="109"/>
      <c r="K571" s="159"/>
    </row>
    <row r="572" spans="1:25">
      <c r="J572" s="46"/>
      <c r="K572" s="159"/>
      <c r="L572" s="187"/>
    </row>
    <row r="573" spans="1:25" ht="12.75" customHeight="1">
      <c r="A573" s="3085" t="s">
        <v>944</v>
      </c>
      <c r="B573" s="355" t="s">
        <v>1147</v>
      </c>
      <c r="C573" s="3138" t="s">
        <v>2115</v>
      </c>
      <c r="D573" s="3118" t="s">
        <v>946</v>
      </c>
      <c r="E573" s="3122" t="s">
        <v>937</v>
      </c>
      <c r="F573" s="3122" t="s">
        <v>938</v>
      </c>
      <c r="G573" s="3228" t="s">
        <v>947</v>
      </c>
      <c r="H573" s="3118" t="s">
        <v>2120</v>
      </c>
      <c r="I573" s="3213" t="s">
        <v>676</v>
      </c>
      <c r="J573" s="3214"/>
      <c r="K573" s="159"/>
      <c r="L573" s="187"/>
    </row>
    <row r="574" spans="1:25">
      <c r="A574" s="3200"/>
      <c r="B574" s="365" t="s">
        <v>1149</v>
      </c>
      <c r="C574" s="3144"/>
      <c r="D574" s="3092"/>
      <c r="E574" s="3123"/>
      <c r="F574" s="3123"/>
      <c r="G574" s="3231"/>
      <c r="H574" s="3092"/>
      <c r="I574" s="960"/>
      <c r="J574" s="961"/>
      <c r="K574" s="159"/>
      <c r="L574" s="187"/>
      <c r="N574" s="129"/>
    </row>
    <row r="575" spans="1:25">
      <c r="A575" s="3086"/>
      <c r="B575" s="354" t="s">
        <v>1148</v>
      </c>
      <c r="C575" s="3144"/>
      <c r="D575" s="626"/>
      <c r="E575" s="360"/>
      <c r="F575" s="360"/>
      <c r="G575" s="3232"/>
      <c r="H575" s="3239"/>
      <c r="I575" s="959"/>
      <c r="J575" s="961"/>
      <c r="K575" s="159"/>
      <c r="L575" s="187"/>
      <c r="N575" s="129"/>
    </row>
    <row r="576" spans="1:25" ht="14.25">
      <c r="A576" s="2734" t="s">
        <v>5</v>
      </c>
      <c r="B576" s="256" t="s">
        <v>491</v>
      </c>
      <c r="C576" s="256" t="s">
        <v>491</v>
      </c>
      <c r="D576" s="256" t="s">
        <v>491</v>
      </c>
      <c r="E576" s="256" t="s">
        <v>491</v>
      </c>
      <c r="F576" s="625" t="s">
        <v>98</v>
      </c>
      <c r="G576" s="618" t="s">
        <v>5</v>
      </c>
      <c r="H576" s="625" t="s">
        <v>98</v>
      </c>
      <c r="I576" s="962"/>
      <c r="J576" s="963"/>
      <c r="K576" s="159"/>
      <c r="L576" s="187"/>
      <c r="N576" s="129"/>
    </row>
    <row r="577" spans="1:14">
      <c r="A577" s="2740">
        <f>H571</f>
        <v>2.1933217959349656</v>
      </c>
      <c r="B577" s="316">
        <f>0.5*PI()*(C556/2)^2*1000/E556</f>
        <v>2454.3692606170262</v>
      </c>
      <c r="C577" s="357">
        <f>F570*10^6/(fs*j*H531)</f>
        <v>2399.0542527046082</v>
      </c>
      <c r="D577" s="316">
        <f>C549</f>
        <v>380</v>
      </c>
      <c r="E577" s="316">
        <f>MAX(B577:D577)</f>
        <v>2454.3692606170262</v>
      </c>
      <c r="F577" s="619">
        <f>PI()*(C556/2)^2*1000/E577</f>
        <v>200</v>
      </c>
      <c r="G577" s="620">
        <v>1.45</v>
      </c>
      <c r="H577" s="621">
        <f>E556*2</f>
        <v>200</v>
      </c>
      <c r="I577" s="3215" t="str">
        <f>IF(OR(A577&gt;F480-0.5,H577&gt;F577),"No curtailment ","Do curtailment")</f>
        <v>Do curtailment</v>
      </c>
      <c r="J577" s="3216"/>
      <c r="K577" s="159"/>
      <c r="L577" s="1997" t="s">
        <v>645</v>
      </c>
      <c r="M577" s="1998">
        <f>F480</f>
        <v>3.3042372881355933</v>
      </c>
      <c r="N577" s="187" t="s">
        <v>5</v>
      </c>
    </row>
    <row r="578" spans="1:14">
      <c r="J578" s="46"/>
      <c r="K578" s="159"/>
    </row>
    <row r="579" spans="1:14">
      <c r="A579" s="2183" t="s">
        <v>602</v>
      </c>
      <c r="B579" s="2184"/>
      <c r="C579" s="2185" t="s">
        <v>1869</v>
      </c>
      <c r="D579" s="2184"/>
      <c r="E579" s="2184"/>
      <c r="J579" s="46"/>
      <c r="K579" s="159"/>
    </row>
    <row r="580" spans="1:14">
      <c r="G580" s="126" t="str">
        <f>IF(F591=0,"No curtailment needed ","For Curtailment follow the Remark")</f>
        <v xml:space="preserve">No curtailment needed </v>
      </c>
      <c r="H580" s="126"/>
      <c r="I580" s="126"/>
      <c r="J580" s="126"/>
      <c r="K580" s="159"/>
    </row>
    <row r="581" spans="1:14">
      <c r="B581" s="1" t="s">
        <v>657</v>
      </c>
      <c r="K581" s="159"/>
    </row>
    <row r="582" spans="1:14">
      <c r="B582" s="187" t="s">
        <v>1872</v>
      </c>
      <c r="F582" s="158">
        <f>IF(H499&lt;0,H499,0)</f>
        <v>0</v>
      </c>
      <c r="G582" s="187" t="s">
        <v>107</v>
      </c>
      <c r="K582" s="159"/>
    </row>
    <row r="583" spans="1:14">
      <c r="B583" s="187" t="s">
        <v>1873</v>
      </c>
      <c r="F583" s="33">
        <f>F582/2</f>
        <v>0</v>
      </c>
      <c r="G583" s="187" t="s">
        <v>107</v>
      </c>
      <c r="K583" s="159"/>
    </row>
    <row r="584" spans="1:14">
      <c r="B584" s="385"/>
      <c r="C584" s="46"/>
      <c r="D584" s="46"/>
      <c r="K584" s="159"/>
    </row>
    <row r="585" spans="1:14" ht="14.25">
      <c r="B585" s="187" t="s">
        <v>1826</v>
      </c>
      <c r="K585" s="159"/>
    </row>
    <row r="586" spans="1:14" ht="14.25">
      <c r="B586" s="33">
        <f>D497/$F$480</f>
        <v>41.794516542703271</v>
      </c>
      <c r="C586" s="206" t="s">
        <v>685</v>
      </c>
      <c r="D586" s="33">
        <f>D497*2</f>
        <v>276.19800000000009</v>
      </c>
      <c r="E586" s="206" t="s">
        <v>686</v>
      </c>
      <c r="F586" s="33">
        <f>D497*$D$391+F498*2-$F$583*2</f>
        <v>1189.8529184644879</v>
      </c>
      <c r="G586" s="2754" t="s">
        <v>35</v>
      </c>
      <c r="H586" s="18">
        <v>0</v>
      </c>
      <c r="K586" s="159"/>
    </row>
    <row r="587" spans="1:14">
      <c r="B587" s="187" t="s">
        <v>691</v>
      </c>
      <c r="C587" s="1996" t="e">
        <f>(-(-D586)-SQRT(D586^2-4*B586*F586))/(2*B586)</f>
        <v>#NUM!</v>
      </c>
      <c r="D587" s="187" t="s">
        <v>688</v>
      </c>
      <c r="F587" s="187" t="s">
        <v>1827</v>
      </c>
      <c r="K587" s="159"/>
    </row>
    <row r="588" spans="1:14" ht="14.25">
      <c r="B588" s="187" t="s">
        <v>687</v>
      </c>
      <c r="F588" s="33" t="e">
        <f>F498+C587^2*D497/(2*$F$480)-D497*(C587-$D$391/2)</f>
        <v>#NUM!</v>
      </c>
      <c r="G588" s="187" t="s">
        <v>620</v>
      </c>
      <c r="K588" s="159"/>
    </row>
    <row r="589" spans="1:14">
      <c r="K589" s="159"/>
    </row>
    <row r="590" spans="1:14">
      <c r="B590" s="1" t="s">
        <v>661</v>
      </c>
      <c r="K590" s="159"/>
    </row>
    <row r="591" spans="1:14">
      <c r="B591" s="187" t="s">
        <v>1872</v>
      </c>
      <c r="F591" s="158">
        <f>IF(H519&lt;0,H519,0)</f>
        <v>0</v>
      </c>
      <c r="G591" s="187" t="s">
        <v>107</v>
      </c>
      <c r="J591" s="46"/>
      <c r="K591" s="159"/>
    </row>
    <row r="592" spans="1:14">
      <c r="B592" s="187" t="s">
        <v>1873</v>
      </c>
      <c r="F592" s="33">
        <f>F591/2</f>
        <v>0</v>
      </c>
      <c r="G592" s="187" t="s">
        <v>107</v>
      </c>
      <c r="J592" s="46"/>
      <c r="K592" s="159"/>
    </row>
    <row r="593" spans="1:11" ht="14.25">
      <c r="B593" s="187" t="s">
        <v>1823</v>
      </c>
      <c r="J593" s="46"/>
      <c r="K593" s="159"/>
    </row>
    <row r="594" spans="1:11" ht="14.25">
      <c r="A594" s="203" t="s">
        <v>707</v>
      </c>
      <c r="B594" s="187" t="s">
        <v>1826</v>
      </c>
      <c r="J594" s="46"/>
      <c r="K594" s="159"/>
    </row>
    <row r="595" spans="1:11" ht="14.25">
      <c r="B595" s="33">
        <f>D517/F480</f>
        <v>41.311934223948164</v>
      </c>
      <c r="C595" s="206" t="s">
        <v>685</v>
      </c>
      <c r="D595" s="33">
        <f>D517*2</f>
        <v>273.00886701554896</v>
      </c>
      <c r="E595" s="206" t="s">
        <v>686</v>
      </c>
      <c r="F595" s="33">
        <f>D517*H391+F518*2-F592*2</f>
        <v>1273.4419482640358</v>
      </c>
      <c r="G595" s="2175" t="s">
        <v>35</v>
      </c>
      <c r="H595" s="18">
        <v>0</v>
      </c>
      <c r="J595" s="46"/>
      <c r="K595" s="159"/>
    </row>
    <row r="596" spans="1:11">
      <c r="B596" s="33"/>
      <c r="C596" s="206"/>
      <c r="D596" s="33"/>
      <c r="E596" s="206"/>
      <c r="F596" s="33"/>
      <c r="G596" s="2175"/>
      <c r="H596" s="18"/>
      <c r="J596" s="46"/>
      <c r="K596" s="159"/>
    </row>
    <row r="597" spans="1:11">
      <c r="B597" s="187" t="s">
        <v>691</v>
      </c>
      <c r="C597" s="1996" t="e">
        <f>(-(-D595)-SQRT(D595^2-4*B595*F595))/(2*B595)</f>
        <v>#NUM!</v>
      </c>
      <c r="D597" s="187" t="s">
        <v>688</v>
      </c>
      <c r="G597" s="187" t="s">
        <v>1827</v>
      </c>
      <c r="J597" s="46"/>
      <c r="K597" s="159"/>
    </row>
    <row r="598" spans="1:11" ht="14.25">
      <c r="B598" s="187" t="s">
        <v>687</v>
      </c>
      <c r="F598" s="33" t="e">
        <f>F518+C597^2*D517/(2*F480)-D517*(C597-H391/2)</f>
        <v>#NUM!</v>
      </c>
      <c r="G598" s="187" t="s">
        <v>620</v>
      </c>
      <c r="J598" s="46"/>
      <c r="K598" s="159"/>
    </row>
    <row r="599" spans="1:11">
      <c r="K599" s="159"/>
    </row>
    <row r="600" spans="1:11">
      <c r="B600" s="207" t="s">
        <v>2119</v>
      </c>
      <c r="C600" s="126"/>
      <c r="D600" s="126"/>
      <c r="E600" s="126"/>
      <c r="F600" s="126"/>
      <c r="H600" s="246">
        <f>Q$26</f>
        <v>0</v>
      </c>
      <c r="I600" s="207" t="s">
        <v>620</v>
      </c>
      <c r="K600" s="159"/>
    </row>
    <row r="601" spans="1:11">
      <c r="B601" t="s">
        <v>2127</v>
      </c>
      <c r="H601" s="33" t="e">
        <f>AC26</f>
        <v>#NUM!</v>
      </c>
      <c r="I601" t="s">
        <v>5</v>
      </c>
      <c r="K601" s="159"/>
    </row>
    <row r="602" spans="1:11">
      <c r="B602" s="187" t="s">
        <v>692</v>
      </c>
      <c r="H602" s="33" t="e">
        <f>H601-40*C553/1000</f>
        <v>#NUM!</v>
      </c>
      <c r="I602" s="187" t="s">
        <v>5</v>
      </c>
      <c r="J602" s="109"/>
      <c r="K602" s="159"/>
    </row>
    <row r="603" spans="1:11">
      <c r="B603" s="187" t="s">
        <v>1874</v>
      </c>
      <c r="H603" s="33" t="e">
        <f>IF(H602&lt;D391,0,H602)</f>
        <v>#NUM!</v>
      </c>
      <c r="I603" s="187" t="s">
        <v>5</v>
      </c>
      <c r="J603" s="109"/>
      <c r="K603" s="159"/>
    </row>
    <row r="604" spans="1:11">
      <c r="B604" s="187" t="s">
        <v>2122</v>
      </c>
      <c r="H604" s="33">
        <f>F391</f>
        <v>5.0084745762711869</v>
      </c>
      <c r="I604" s="187" t="s">
        <v>5</v>
      </c>
      <c r="J604" s="109"/>
      <c r="K604" s="159"/>
    </row>
    <row r="605" spans="1:11">
      <c r="B605" s="187" t="s">
        <v>2121</v>
      </c>
      <c r="H605" s="33" t="str">
        <f>IF(G611="","",H604-G611*2)</f>
        <v/>
      </c>
      <c r="I605" s="187" t="s">
        <v>5</v>
      </c>
      <c r="J605" s="109"/>
      <c r="K605" s="159"/>
    </row>
    <row r="606" spans="1:11">
      <c r="J606" s="46"/>
      <c r="K606" s="159"/>
    </row>
    <row r="607" spans="1:11" ht="12.75" customHeight="1">
      <c r="A607" s="3085" t="s">
        <v>1875</v>
      </c>
      <c r="B607" s="3085" t="s">
        <v>945</v>
      </c>
      <c r="C607" s="355" t="s">
        <v>1147</v>
      </c>
      <c r="D607" s="3118" t="s">
        <v>946</v>
      </c>
      <c r="E607" s="3122" t="s">
        <v>937</v>
      </c>
      <c r="F607" s="3118" t="s">
        <v>1150</v>
      </c>
      <c r="G607" s="3228" t="s">
        <v>1877</v>
      </c>
      <c r="H607" s="3118" t="s">
        <v>2120</v>
      </c>
      <c r="I607" s="3213" t="s">
        <v>676</v>
      </c>
      <c r="J607" s="3214"/>
      <c r="K607" s="159"/>
    </row>
    <row r="608" spans="1:11">
      <c r="A608" s="3202"/>
      <c r="B608" s="3200"/>
      <c r="C608" s="365" t="s">
        <v>1149</v>
      </c>
      <c r="D608" s="3092"/>
      <c r="E608" s="3123"/>
      <c r="F608" s="3092"/>
      <c r="G608" s="3231"/>
      <c r="H608" s="3092"/>
      <c r="I608" s="960"/>
      <c r="J608" s="961"/>
      <c r="K608" s="159"/>
    </row>
    <row r="609" spans="1:14">
      <c r="A609" s="3203"/>
      <c r="B609" s="3086"/>
      <c r="C609" s="354" t="s">
        <v>1148</v>
      </c>
      <c r="D609" s="2178"/>
      <c r="E609" s="360"/>
      <c r="F609" s="3239"/>
      <c r="G609" s="3232"/>
      <c r="H609" s="3239"/>
      <c r="I609" s="959"/>
      <c r="J609" s="961"/>
      <c r="K609" s="159"/>
    </row>
    <row r="610" spans="1:14" ht="14.25">
      <c r="A610" s="2173" t="s">
        <v>5</v>
      </c>
      <c r="B610" s="256" t="s">
        <v>491</v>
      </c>
      <c r="C610" s="256" t="s">
        <v>491</v>
      </c>
      <c r="D610" s="256" t="s">
        <v>491</v>
      </c>
      <c r="E610" s="256" t="s">
        <v>491</v>
      </c>
      <c r="F610" s="2174" t="s">
        <v>98</v>
      </c>
      <c r="G610" s="618" t="s">
        <v>5</v>
      </c>
      <c r="H610" s="2174" t="s">
        <v>98</v>
      </c>
      <c r="I610" s="962"/>
      <c r="J610" s="963"/>
      <c r="K610" s="159"/>
    </row>
    <row r="611" spans="1:14">
      <c r="A611" s="455" t="e">
        <f>H603</f>
        <v>#NUM!</v>
      </c>
      <c r="B611" s="316">
        <f>0.5*ABS(H600)*10^6/($C$18*$C$22*H531)</f>
        <v>0</v>
      </c>
      <c r="C611" s="316">
        <f>0.5*PI()*(C553/2)^2*1000/E553</f>
        <v>502.65482457436684</v>
      </c>
      <c r="D611" s="316">
        <f>C546</f>
        <v>760</v>
      </c>
      <c r="E611" s="316">
        <f>MAX(B611:D611)</f>
        <v>760</v>
      </c>
      <c r="F611" s="619">
        <f>PI()*(C553/2)^2*1000/E611</f>
        <v>264.55517082861417</v>
      </c>
      <c r="G611" s="620"/>
      <c r="H611" s="621">
        <f>E553*2</f>
        <v>400</v>
      </c>
      <c r="I611" s="3215" t="str">
        <f>IF(OR(H611&gt;F611,H600=0),"No curtailment ","Do curtailment")</f>
        <v xml:space="preserve">No curtailment </v>
      </c>
      <c r="J611" s="3216"/>
      <c r="K611" s="159"/>
    </row>
    <row r="612" spans="1:14">
      <c r="J612" s="46"/>
      <c r="K612" s="159"/>
    </row>
    <row r="613" spans="1:14" ht="14.25">
      <c r="A613" s="399" t="s">
        <v>1144</v>
      </c>
      <c r="B613" s="126"/>
      <c r="C613" s="2013" t="str">
        <f>L68</f>
        <v>3-3</v>
      </c>
      <c r="D613" s="126" t="s">
        <v>948</v>
      </c>
      <c r="E613" s="10"/>
      <c r="J613" s="46"/>
      <c r="K613" s="159"/>
      <c r="L613" s="46"/>
      <c r="M613" s="46"/>
      <c r="N613" s="46"/>
    </row>
    <row r="614" spans="1:14">
      <c r="J614" s="46"/>
      <c r="K614" s="159"/>
      <c r="L614" s="46"/>
      <c r="M614" s="46"/>
      <c r="N614" s="46"/>
    </row>
    <row r="615" spans="1:14">
      <c r="B615" s="1" t="s">
        <v>1110</v>
      </c>
      <c r="J615" s="46"/>
      <c r="K615" s="159"/>
      <c r="L615" s="46"/>
      <c r="M615" s="46"/>
      <c r="N615" s="46"/>
    </row>
    <row r="616" spans="1:14">
      <c r="B616" s="241" t="s">
        <v>1122</v>
      </c>
      <c r="C616" s="241"/>
      <c r="D616" s="16"/>
      <c r="G616" s="241" t="s">
        <v>1124</v>
      </c>
      <c r="J616" s="46"/>
      <c r="K616" s="159"/>
      <c r="L616" s="46"/>
      <c r="M616" s="46"/>
      <c r="N616" s="46"/>
    </row>
    <row r="617" spans="1:14" ht="14.25">
      <c r="B617" s="241" t="s">
        <v>111</v>
      </c>
      <c r="C617" s="16">
        <f>IF(I629&lt;=9,$G$105,$G$110)</f>
        <v>1E-3</v>
      </c>
      <c r="D617" s="241" t="s">
        <v>438</v>
      </c>
      <c r="G617" s="241" t="s">
        <v>111</v>
      </c>
      <c r="H617" s="16">
        <f>IF(I629&lt;=9,$G$106,$G$111)</f>
        <v>2E-3</v>
      </c>
      <c r="I617" s="241" t="s">
        <v>438</v>
      </c>
      <c r="J617" s="46"/>
      <c r="K617" s="159"/>
      <c r="L617" s="46"/>
      <c r="M617" s="46"/>
      <c r="N617" s="46"/>
    </row>
    <row r="618" spans="1:14" ht="14.25">
      <c r="B618" s="241" t="s">
        <v>110</v>
      </c>
      <c r="C618" s="16">
        <f>IF(E26&lt;=9,$G$105,$G$110)</f>
        <v>1.5E-3</v>
      </c>
      <c r="D618" s="241" t="s">
        <v>438</v>
      </c>
      <c r="E618" s="16"/>
      <c r="F618" s="16"/>
      <c r="G618" s="241" t="s">
        <v>110</v>
      </c>
      <c r="H618" s="16">
        <f>IF(E26&lt;=9,$G$106,$G$111)</f>
        <v>2.5000000000000001E-3</v>
      </c>
      <c r="I618" s="241" t="s">
        <v>438</v>
      </c>
      <c r="J618" s="46"/>
      <c r="K618" s="159"/>
      <c r="L618" s="46"/>
      <c r="M618" s="46"/>
      <c r="N618" s="46"/>
    </row>
    <row r="619" spans="1:14">
      <c r="B619" s="187" t="s">
        <v>601</v>
      </c>
      <c r="E619" s="129">
        <f>1000*(H640+H622)/2</f>
        <v>449.99999999999994</v>
      </c>
      <c r="F619" s="187" t="s">
        <v>98</v>
      </c>
      <c r="J619" s="46"/>
      <c r="K619" s="159"/>
      <c r="L619" s="46"/>
      <c r="M619" s="46"/>
      <c r="N619" s="46"/>
    </row>
    <row r="620" spans="1:14">
      <c r="J620" s="46"/>
      <c r="K620" s="159"/>
      <c r="L620" s="46"/>
      <c r="M620" s="46"/>
      <c r="N620" s="46"/>
    </row>
    <row r="621" spans="1:14">
      <c r="J621" s="46"/>
      <c r="K621" s="159"/>
      <c r="L621" s="46"/>
      <c r="M621" s="46"/>
      <c r="N621" s="46"/>
    </row>
    <row r="622" spans="1:14">
      <c r="C622" s="203" t="s">
        <v>149</v>
      </c>
      <c r="D622" s="36">
        <f>E39</f>
        <v>11.95</v>
      </c>
      <c r="H622" s="2550">
        <f>R68</f>
        <v>0.3</v>
      </c>
      <c r="I622" s="36"/>
      <c r="J622" s="489"/>
      <c r="K622" s="159"/>
      <c r="L622" s="46"/>
      <c r="M622" s="46"/>
      <c r="N622" s="46"/>
    </row>
    <row r="623" spans="1:14">
      <c r="C623" s="187"/>
      <c r="D623" s="2"/>
      <c r="G623" s="79"/>
      <c r="J623" s="46"/>
      <c r="K623" s="159"/>
      <c r="L623" s="46"/>
      <c r="M623" s="46"/>
      <c r="N623" s="46"/>
    </row>
    <row r="624" spans="1:14">
      <c r="C624" s="187"/>
      <c r="D624" s="203" t="s">
        <v>135</v>
      </c>
      <c r="E624" s="17"/>
      <c r="F624" s="36"/>
      <c r="J624" s="46"/>
      <c r="K624" s="159"/>
      <c r="L624" s="46"/>
      <c r="M624" s="46"/>
      <c r="N624" s="46"/>
    </row>
    <row r="625" spans="1:14">
      <c r="C625" s="206">
        <f>D622-C628</f>
        <v>0.63987671712524019</v>
      </c>
      <c r="E625" s="40"/>
      <c r="G625" s="826"/>
      <c r="J625" s="46"/>
      <c r="K625" s="159"/>
      <c r="L625" s="46"/>
      <c r="M625" s="46"/>
      <c r="N625" s="46"/>
    </row>
    <row r="626" spans="1:14">
      <c r="A626" s="17" t="s">
        <v>45</v>
      </c>
      <c r="C626" s="187"/>
      <c r="D626" s="54"/>
      <c r="E626" s="17"/>
      <c r="F626" s="36"/>
      <c r="G626" s="826"/>
      <c r="J626" s="46"/>
      <c r="K626" s="159"/>
      <c r="L626" s="46"/>
      <c r="M626" s="46"/>
      <c r="N626" s="46"/>
    </row>
    <row r="627" spans="1:14">
      <c r="C627" s="187"/>
      <c r="D627" s="33"/>
      <c r="E627" s="84">
        <f>IF(C628&gt;D622,H640-H622,C632*(H640-H622)/I629)</f>
        <v>0.26718580937819281</v>
      </c>
      <c r="G627" s="826"/>
      <c r="J627" s="46"/>
      <c r="K627" s="159"/>
      <c r="L627" s="46"/>
      <c r="M627" s="46"/>
      <c r="N627" s="46"/>
    </row>
    <row r="628" spans="1:14">
      <c r="C628" s="54">
        <f>F44</f>
        <v>11.310123282874759</v>
      </c>
      <c r="D628" s="33"/>
      <c r="E628" s="17"/>
      <c r="F628" s="36"/>
      <c r="G628" s="826"/>
      <c r="J628" s="46"/>
      <c r="K628" s="159"/>
      <c r="L628" s="46"/>
      <c r="M628" s="46"/>
      <c r="N628" s="46"/>
    </row>
    <row r="629" spans="1:14">
      <c r="C629" s="187"/>
      <c r="E629" s="40"/>
      <c r="H629" s="17" t="s">
        <v>600</v>
      </c>
      <c r="I629" s="10">
        <f>D622-G636</f>
        <v>5.85</v>
      </c>
      <c r="J629" s="44"/>
      <c r="K629" s="159"/>
      <c r="L629" s="46"/>
      <c r="M629" s="224"/>
      <c r="N629" s="46"/>
    </row>
    <row r="630" spans="1:14">
      <c r="A630" s="17" t="s">
        <v>44</v>
      </c>
      <c r="C630" s="187"/>
      <c r="E630" s="40"/>
      <c r="F630" s="33">
        <f>H42</f>
        <v>10</v>
      </c>
      <c r="G630" s="18" t="s">
        <v>5</v>
      </c>
      <c r="J630" s="46"/>
      <c r="K630" s="159"/>
      <c r="L630" s="46"/>
      <c r="M630" s="46"/>
      <c r="N630" s="46"/>
    </row>
    <row r="631" spans="1:14">
      <c r="C631" s="187"/>
      <c r="E631" s="88"/>
      <c r="G631" s="33"/>
      <c r="I631" s="10"/>
      <c r="J631" s="44"/>
      <c r="K631" s="159"/>
      <c r="L631" s="46"/>
      <c r="M631" s="46"/>
      <c r="N631" s="46"/>
    </row>
    <row r="632" spans="1:14">
      <c r="C632" s="206">
        <f>C628-G636</f>
        <v>5.2101232828747595</v>
      </c>
      <c r="E632" s="53"/>
      <c r="G632" s="826" t="s">
        <v>607</v>
      </c>
      <c r="J632" s="46"/>
      <c r="K632" s="159"/>
      <c r="L632" s="46"/>
      <c r="M632" s="46"/>
      <c r="N632" s="46"/>
    </row>
    <row r="633" spans="1:14">
      <c r="C633" s="187"/>
      <c r="D633" s="203"/>
      <c r="E633" s="346"/>
      <c r="F633" s="54">
        <f>IF(F630&lt;G636,0,F630-G636)</f>
        <v>3.9000000000000004</v>
      </c>
      <c r="G633" t="s">
        <v>5</v>
      </c>
      <c r="J633" s="46"/>
      <c r="K633" s="159"/>
      <c r="L633" s="46"/>
      <c r="M633" s="46"/>
    </row>
    <row r="634" spans="1:14">
      <c r="A634" s="2" t="s">
        <v>605</v>
      </c>
      <c r="C634" s="187"/>
      <c r="D634" s="1970"/>
      <c r="E634" s="17" t="s">
        <v>606</v>
      </c>
      <c r="F634" s="36"/>
      <c r="J634" s="46"/>
      <c r="K634" s="159"/>
      <c r="L634" s="46"/>
      <c r="M634" s="46"/>
      <c r="N634" s="46"/>
    </row>
    <row r="635" spans="1:14">
      <c r="C635" s="187"/>
      <c r="E635" s="40"/>
      <c r="J635" s="46"/>
      <c r="K635" s="159"/>
      <c r="L635" s="46"/>
      <c r="M635" s="46"/>
      <c r="N635" s="46"/>
    </row>
    <row r="636" spans="1:14">
      <c r="C636" s="187"/>
      <c r="E636" s="40"/>
      <c r="F636" s="17" t="s">
        <v>603</v>
      </c>
      <c r="G636" s="36">
        <f>D50</f>
        <v>6.1</v>
      </c>
      <c r="I636" s="10"/>
      <c r="J636" s="44"/>
      <c r="K636" s="159"/>
      <c r="L636" s="46"/>
      <c r="M636" s="46"/>
      <c r="N636" s="46"/>
    </row>
    <row r="637" spans="1:14">
      <c r="C637" s="187"/>
      <c r="F637" s="53"/>
      <c r="H637" s="33"/>
      <c r="I637" s="3223">
        <f>I716</f>
        <v>1.0013888888888889</v>
      </c>
      <c r="J637" s="46"/>
      <c r="K637" s="159"/>
      <c r="L637" s="46"/>
      <c r="M637" s="46"/>
      <c r="N637" s="46"/>
    </row>
    <row r="638" spans="1:14">
      <c r="C638" s="187"/>
      <c r="I638" s="3223"/>
      <c r="J638" s="44"/>
      <c r="K638" s="159"/>
      <c r="L638" s="46"/>
      <c r="N638" s="46"/>
    </row>
    <row r="639" spans="1:14">
      <c r="C639" s="187"/>
      <c r="G639" s="33"/>
      <c r="J639" s="46"/>
      <c r="K639" s="159"/>
      <c r="L639" s="46"/>
      <c r="M639" s="46"/>
      <c r="N639" s="46"/>
    </row>
    <row r="640" spans="1:14">
      <c r="C640" s="187"/>
      <c r="D640" s="10">
        <f>H640</f>
        <v>0.6</v>
      </c>
      <c r="F640" s="33">
        <f>F84</f>
        <v>7.7351694915254239</v>
      </c>
      <c r="G640" t="s">
        <v>5</v>
      </c>
      <c r="H640" s="2549">
        <f>S68</f>
        <v>0.6</v>
      </c>
      <c r="I640" s="126" t="str">
        <f>IF(AND(I668="ok",I669="ok"),"ok","Not ok")</f>
        <v>ok</v>
      </c>
      <c r="J640" s="46"/>
      <c r="K640" s="159"/>
      <c r="L640" s="46"/>
      <c r="M640" s="46"/>
      <c r="N640" s="46"/>
    </row>
    <row r="641" spans="1:14">
      <c r="C641" s="187"/>
      <c r="J641" s="46"/>
      <c r="K641" s="159"/>
      <c r="L641" s="46"/>
      <c r="M641" s="46"/>
      <c r="N641" s="46"/>
    </row>
    <row r="642" spans="1:14">
      <c r="C642" s="187"/>
      <c r="F642" s="33">
        <f>F640+H640+D640</f>
        <v>8.9351694915254232</v>
      </c>
      <c r="G642" t="s">
        <v>5</v>
      </c>
      <c r="J642" s="46"/>
      <c r="K642" s="159"/>
      <c r="L642" s="46"/>
      <c r="M642" s="61"/>
      <c r="N642" s="46"/>
    </row>
    <row r="643" spans="1:14">
      <c r="A643" s="187"/>
      <c r="J643" s="46"/>
      <c r="K643" s="159"/>
      <c r="L643" s="109"/>
      <c r="M643" s="61"/>
      <c r="N643" s="46"/>
    </row>
    <row r="644" spans="1:14">
      <c r="A644" s="187"/>
      <c r="B644" s="225" t="str">
        <f>"a) Design of Wall :  Sec  "&amp;C613</f>
        <v>a) Design of Wall :  Sec  3-3</v>
      </c>
      <c r="C644" s="174"/>
      <c r="D644" s="174"/>
      <c r="J644" s="46"/>
      <c r="K644" s="159"/>
      <c r="L644" s="46"/>
      <c r="M644" s="46"/>
      <c r="N644" s="46"/>
    </row>
    <row r="645" spans="1:14">
      <c r="B645" s="1" t="s">
        <v>612</v>
      </c>
      <c r="D645" s="2"/>
      <c r="E645" s="10"/>
      <c r="J645" s="46"/>
      <c r="K645" s="159"/>
      <c r="L645" s="46"/>
      <c r="M645" s="46"/>
      <c r="N645" s="46"/>
    </row>
    <row r="646" spans="1:14">
      <c r="A646" s="187"/>
      <c r="B646" s="187" t="s">
        <v>611</v>
      </c>
      <c r="D646" s="2"/>
      <c r="E646" s="10"/>
      <c r="J646" s="46"/>
      <c r="K646" s="159"/>
      <c r="L646" s="46"/>
      <c r="M646" s="46"/>
      <c r="N646" s="46"/>
    </row>
    <row r="647" spans="1:14">
      <c r="B647" s="18" t="s">
        <v>131</v>
      </c>
      <c r="D647" s="2" t="s">
        <v>35</v>
      </c>
      <c r="E647" s="54">
        <f>D622-G636</f>
        <v>5.85</v>
      </c>
      <c r="F647" t="s">
        <v>5</v>
      </c>
      <c r="J647" s="46"/>
      <c r="K647" s="159"/>
      <c r="L647" s="46"/>
      <c r="M647" s="109"/>
      <c r="N647" s="46"/>
    </row>
    <row r="648" spans="1:14" ht="15.75">
      <c r="A648" s="40"/>
      <c r="B648" s="187" t="s">
        <v>593</v>
      </c>
      <c r="D648" s="2" t="s">
        <v>35</v>
      </c>
      <c r="E648" s="54">
        <f>0.5*$J$8*$D$6*E647^2</f>
        <v>116.75917627620657</v>
      </c>
      <c r="F648" t="s">
        <v>21</v>
      </c>
      <c r="J648" s="46"/>
      <c r="K648" s="159"/>
      <c r="L648" s="46"/>
      <c r="M648" s="109"/>
      <c r="N648" s="388"/>
    </row>
    <row r="649" spans="1:14" ht="20.25">
      <c r="A649" s="40"/>
      <c r="B649" s="38" t="s">
        <v>594</v>
      </c>
      <c r="D649" s="2" t="s">
        <v>35</v>
      </c>
      <c r="E649" s="54">
        <f>(1/6)*$J$8*$D$6*E647^3</f>
        <v>227.68039373860279</v>
      </c>
      <c r="F649" t="s">
        <v>107</v>
      </c>
      <c r="J649" s="46"/>
      <c r="K649" s="159"/>
      <c r="L649" s="46"/>
      <c r="M649" s="46"/>
      <c r="N649" s="46"/>
    </row>
    <row r="650" spans="1:14" ht="15.75">
      <c r="J650" s="46"/>
      <c r="K650" s="159"/>
      <c r="L650" s="389"/>
      <c r="M650" s="388"/>
      <c r="N650" s="389"/>
    </row>
    <row r="651" spans="1:14" ht="15.75">
      <c r="B651" s="1" t="s">
        <v>649</v>
      </c>
      <c r="J651" s="46"/>
      <c r="K651" s="159"/>
      <c r="L651" s="389"/>
      <c r="M651" s="388"/>
      <c r="N651" s="389"/>
    </row>
    <row r="652" spans="1:14" ht="15.75">
      <c r="B652" s="1" t="str">
        <f>B154</f>
        <v>Case 1 :  When Static  Water Head on C/S Monsoon</v>
      </c>
      <c r="E652" s="86"/>
      <c r="J652" s="46"/>
      <c r="K652" s="159"/>
      <c r="L652" s="389"/>
      <c r="M652" s="388"/>
      <c r="N652" s="389"/>
    </row>
    <row r="653" spans="1:14" ht="15.75">
      <c r="B653" s="1"/>
      <c r="C653" s="187"/>
      <c r="E653" s="86"/>
      <c r="J653" s="46"/>
      <c r="K653" s="159"/>
      <c r="L653" s="389"/>
      <c r="M653" s="388"/>
      <c r="N653" s="389"/>
    </row>
    <row r="654" spans="1:14" ht="15.75">
      <c r="B654" s="2" t="s">
        <v>132</v>
      </c>
      <c r="C654" s="2" t="s">
        <v>35</v>
      </c>
      <c r="D654" s="54">
        <f>IF(C628&gt;D622,0,D622-C628)</f>
        <v>0.63987671712524019</v>
      </c>
      <c r="E654" t="s">
        <v>5</v>
      </c>
      <c r="F654" s="126" t="str">
        <f>IF(F633&gt;I629,"Wing Wall totally submerged, take WL upto "&amp;FIXED(D622,2),"")</f>
        <v/>
      </c>
      <c r="G654" s="126"/>
      <c r="H654" s="126"/>
      <c r="I654" s="126"/>
      <c r="J654" s="126"/>
      <c r="K654" s="159"/>
      <c r="L654" s="389"/>
      <c r="M654" s="388"/>
      <c r="N654" s="389"/>
    </row>
    <row r="655" spans="1:14">
      <c r="B655" s="2" t="s">
        <v>133</v>
      </c>
      <c r="C655" s="2" t="s">
        <v>35</v>
      </c>
      <c r="D655" s="54">
        <f>IF(C632&gt;I629,I629,C628-G636)</f>
        <v>5.2101232828747595</v>
      </c>
      <c r="E655" t="s">
        <v>5</v>
      </c>
      <c r="J655" s="46"/>
      <c r="K655" s="159"/>
      <c r="L655" s="46"/>
      <c r="M655" s="46"/>
      <c r="N655" s="46"/>
    </row>
    <row r="656" spans="1:14">
      <c r="B656" s="2" t="s">
        <v>134</v>
      </c>
      <c r="C656" s="2" t="s">
        <v>35</v>
      </c>
      <c r="D656" s="54">
        <f>IF(F633&gt;I629,I629,IF(F630-G636&lt;0,0,F630-G636))</f>
        <v>3.9000000000000004</v>
      </c>
      <c r="E656" t="s">
        <v>5</v>
      </c>
      <c r="J656" s="46"/>
      <c r="K656" s="159"/>
      <c r="L656" s="46"/>
      <c r="M656" s="46"/>
      <c r="N656" s="46"/>
    </row>
    <row r="657" spans="1:14" ht="20.25">
      <c r="A657" s="38" t="s">
        <v>624</v>
      </c>
      <c r="C657" s="2"/>
      <c r="D657" s="54">
        <f>0.5*$J$8*$D$5*D654^2</f>
        <v>1.2786633144691979</v>
      </c>
      <c r="E657" s="187" t="s">
        <v>341</v>
      </c>
      <c r="F657" s="38" t="s">
        <v>628</v>
      </c>
      <c r="I657" s="33">
        <f>D657*(D655+D654/3)</f>
        <v>6.9347224669974539</v>
      </c>
      <c r="J657" s="224"/>
      <c r="K657" s="159"/>
      <c r="L657" s="46"/>
      <c r="M657" s="46"/>
      <c r="N657" s="90"/>
    </row>
    <row r="658" spans="1:14" ht="18.75">
      <c r="A658" s="38" t="s">
        <v>625</v>
      </c>
      <c r="C658" s="2"/>
      <c r="D658" s="54">
        <f>$J$8*$D$5*D654*D655</f>
        <v>20.822740779204995</v>
      </c>
      <c r="E658" s="187" t="s">
        <v>341</v>
      </c>
      <c r="F658" s="38" t="s">
        <v>631</v>
      </c>
      <c r="I658" s="33">
        <f>D658*D655/2</f>
        <v>54.244523273500825</v>
      </c>
      <c r="J658" s="224"/>
      <c r="K658" s="159"/>
      <c r="L658" s="388"/>
      <c r="M658" s="389"/>
      <c r="N658" s="90"/>
    </row>
    <row r="659" spans="1:14" ht="20.25">
      <c r="A659" s="38" t="s">
        <v>626</v>
      </c>
      <c r="C659" s="2"/>
      <c r="D659" s="54">
        <f>0.5*($J$8*($D$6-$D$7)+$D$7)*D655^2</f>
        <v>177.69089671994143</v>
      </c>
      <c r="E659" s="187" t="s">
        <v>341</v>
      </c>
      <c r="F659" s="38" t="s">
        <v>629</v>
      </c>
      <c r="I659" s="33">
        <f>D659*D655/3</f>
        <v>308.5971593851537</v>
      </c>
      <c r="J659" s="224"/>
      <c r="K659" s="159"/>
      <c r="L659" s="388"/>
      <c r="M659" s="224"/>
      <c r="N659" s="109"/>
    </row>
    <row r="660" spans="1:14" ht="20.25">
      <c r="A660" s="38" t="s">
        <v>627</v>
      </c>
      <c r="C660" s="2"/>
      <c r="D660" s="211">
        <f>0.5*$D$7*D656^2</f>
        <v>74.60505000000002</v>
      </c>
      <c r="E660" s="187" t="s">
        <v>341</v>
      </c>
      <c r="F660" s="38" t="s">
        <v>630</v>
      </c>
      <c r="I660" s="212">
        <f>D660*D656/3</f>
        <v>96.986565000000041</v>
      </c>
      <c r="J660" s="785"/>
      <c r="K660" s="159"/>
      <c r="L660" s="388"/>
      <c r="M660" s="46"/>
      <c r="N660" s="90"/>
    </row>
    <row r="661" spans="1:14" ht="15.75">
      <c r="C661" s="38" t="s">
        <v>632</v>
      </c>
      <c r="D661" s="54">
        <f>D657+D658+D659-D660</f>
        <v>125.18725081361562</v>
      </c>
      <c r="E661" s="187" t="s">
        <v>341</v>
      </c>
      <c r="F661" s="18"/>
      <c r="H661" s="187" t="s">
        <v>633</v>
      </c>
      <c r="I661" s="54">
        <f>D657*(D655+D654/3)+D658*0.5*D655+D659*D655/3-D660*D656/3</f>
        <v>272.78984012565195</v>
      </c>
      <c r="J661" s="162"/>
      <c r="K661" s="159"/>
      <c r="L661" s="388"/>
      <c r="M661" s="389"/>
      <c r="N661" s="90"/>
    </row>
    <row r="662" spans="1:14">
      <c r="D662" s="2"/>
      <c r="E662" s="10"/>
      <c r="J662" s="46"/>
      <c r="K662" s="159"/>
      <c r="L662" s="388"/>
      <c r="M662" s="46"/>
      <c r="N662" s="90"/>
    </row>
    <row r="663" spans="1:14">
      <c r="B663" t="s">
        <v>129</v>
      </c>
      <c r="C663" s="17"/>
      <c r="D663" s="2" t="s">
        <v>35</v>
      </c>
      <c r="E663" s="210">
        <f>MAX(E648,D661)</f>
        <v>125.18725081361562</v>
      </c>
      <c r="F663" s="36" t="s">
        <v>21</v>
      </c>
      <c r="J663" s="46"/>
      <c r="K663" s="159"/>
      <c r="L663" s="46"/>
      <c r="M663" s="46"/>
      <c r="N663" s="46"/>
    </row>
    <row r="664" spans="1:14">
      <c r="B664" t="s">
        <v>130</v>
      </c>
      <c r="C664" s="17"/>
      <c r="D664" s="2" t="s">
        <v>35</v>
      </c>
      <c r="E664" s="210">
        <f>MAX(E649,ABS(I661))</f>
        <v>272.78984012565195</v>
      </c>
      <c r="F664" s="36" t="s">
        <v>107</v>
      </c>
      <c r="J664" s="46"/>
      <c r="K664" s="159"/>
      <c r="L664" s="46"/>
      <c r="M664" s="46"/>
      <c r="N664" s="46"/>
    </row>
    <row r="665" spans="1:14">
      <c r="B665" s="187" t="s">
        <v>599</v>
      </c>
      <c r="E665" s="129">
        <f>H640*1000</f>
        <v>600</v>
      </c>
      <c r="F665" s="187" t="s">
        <v>98</v>
      </c>
      <c r="J665" s="46"/>
      <c r="K665" s="159"/>
      <c r="L665" s="46"/>
      <c r="M665" s="46"/>
      <c r="N665" s="46"/>
    </row>
    <row r="666" spans="1:14">
      <c r="B666" s="187" t="s">
        <v>571</v>
      </c>
      <c r="E666" s="129">
        <f>E665-$I$13-C688/2</f>
        <v>530</v>
      </c>
      <c r="F666" s="187" t="s">
        <v>98</v>
      </c>
      <c r="J666" s="46"/>
      <c r="K666" s="159"/>
      <c r="L666" s="46"/>
      <c r="M666" s="46"/>
      <c r="N666" s="189"/>
    </row>
    <row r="667" spans="1:14">
      <c r="J667" s="46"/>
      <c r="K667" s="159"/>
      <c r="L667" s="388"/>
      <c r="M667" s="46"/>
      <c r="N667" s="46"/>
    </row>
    <row r="668" spans="1:14">
      <c r="A668" s="187" t="s">
        <v>578</v>
      </c>
      <c r="D668" s="2"/>
      <c r="G668" s="9">
        <f>(E663*10^3)/($C$24*1000)</f>
        <v>293.29683024233327</v>
      </c>
      <c r="H668" s="187" t="s">
        <v>98</v>
      </c>
      <c r="I668" s="126" t="str">
        <f>IF(G668&lt;=E666,"ok","Not ok")</f>
        <v>ok</v>
      </c>
      <c r="J668" s="46"/>
      <c r="K668" s="159"/>
      <c r="L668" s="289"/>
      <c r="M668" s="46"/>
      <c r="N668" s="46"/>
    </row>
    <row r="669" spans="1:14">
      <c r="A669" s="187" t="s">
        <v>577</v>
      </c>
      <c r="C669" s="201"/>
      <c r="D669" s="2"/>
      <c r="G669" s="9">
        <f>((E664*10^6)/($C$23*1000))^0.5</f>
        <v>436.73849195700052</v>
      </c>
      <c r="H669" s="187" t="s">
        <v>98</v>
      </c>
      <c r="I669" s="126" t="str">
        <f>IF(G669&lt;=E666,"ok","Not ok")</f>
        <v>ok</v>
      </c>
      <c r="J669" s="46"/>
      <c r="K669" s="159"/>
      <c r="L669" s="388"/>
      <c r="M669" s="46"/>
      <c r="N669" s="46"/>
    </row>
    <row r="670" spans="1:14">
      <c r="A670" s="187" t="s">
        <v>634</v>
      </c>
      <c r="E670" s="2"/>
      <c r="G670" s="9">
        <f>(E664*10^6)/($C$18*$C$22*E666)</f>
        <v>3097.1107379625146</v>
      </c>
      <c r="H670" s="187" t="s">
        <v>128</v>
      </c>
      <c r="J670" s="46"/>
      <c r="K670" s="159"/>
      <c r="L670" s="289"/>
      <c r="M670" s="46"/>
      <c r="N670" s="46"/>
    </row>
    <row r="671" spans="1:14">
      <c r="A671" s="187"/>
      <c r="E671" s="2"/>
      <c r="G671" s="9"/>
      <c r="H671" s="187"/>
      <c r="J671" s="46"/>
      <c r="K671" s="159"/>
      <c r="L671" s="289"/>
      <c r="M671" s="46"/>
      <c r="N671" s="46"/>
    </row>
    <row r="672" spans="1:14">
      <c r="A672" s="187" t="s">
        <v>1828</v>
      </c>
      <c r="E672" s="2"/>
      <c r="G672" s="1980">
        <f>IF(I661&lt;0,ABS(I661),0)</f>
        <v>0</v>
      </c>
      <c r="H672" s="36" t="s">
        <v>107</v>
      </c>
      <c r="J672" s="46"/>
      <c r="K672" s="159"/>
      <c r="L672" s="289"/>
      <c r="M672" s="46"/>
      <c r="N672" s="46"/>
    </row>
    <row r="673" spans="1:16">
      <c r="A673" s="187" t="s">
        <v>1829</v>
      </c>
      <c r="E673" s="2"/>
      <c r="G673" s="9">
        <f>(G672*10^6)/($C$18*$C$22*E666)</f>
        <v>0</v>
      </c>
      <c r="H673" s="187" t="s">
        <v>128</v>
      </c>
      <c r="J673" s="46"/>
      <c r="K673" s="159"/>
      <c r="L673" s="3219" t="s">
        <v>1940</v>
      </c>
      <c r="M673" s="3220"/>
      <c r="N673" s="3220"/>
      <c r="O673" s="3220"/>
      <c r="P673" s="3221"/>
    </row>
    <row r="674" spans="1:16">
      <c r="J674" s="46"/>
      <c r="K674" s="159"/>
      <c r="L674" s="2291" t="s">
        <v>876</v>
      </c>
      <c r="M674" s="3210" t="s">
        <v>492</v>
      </c>
      <c r="N674" s="3212"/>
      <c r="O674" s="3210" t="s">
        <v>493</v>
      </c>
      <c r="P674" s="3212"/>
    </row>
    <row r="675" spans="1:16">
      <c r="A675" s="936" t="str">
        <f>"Reinforcement Distribution of C/S Wing Wall for Sec "&amp;C613</f>
        <v>Reinforcement Distribution of C/S Wing Wall for Sec 3-3</v>
      </c>
      <c r="G675" s="107"/>
      <c r="H675" s="107"/>
      <c r="J675" s="46"/>
      <c r="K675" s="159"/>
      <c r="L675" s="2293"/>
      <c r="M675" s="2284" t="s">
        <v>709</v>
      </c>
      <c r="N675" s="1973" t="s">
        <v>710</v>
      </c>
      <c r="O675" s="1973" t="s">
        <v>709</v>
      </c>
      <c r="P675" s="2285" t="s">
        <v>710</v>
      </c>
    </row>
    <row r="676" spans="1:16">
      <c r="J676" s="46"/>
      <c r="K676" s="159"/>
      <c r="L676" s="2307" t="str">
        <f t="shared" ref="L676:P680" si="22">L427</f>
        <v>1-1</v>
      </c>
      <c r="M676" s="2308">
        <f t="shared" si="22"/>
        <v>25</v>
      </c>
      <c r="N676" s="2309">
        <f t="shared" si="22"/>
        <v>100</v>
      </c>
      <c r="O676" s="2308">
        <f t="shared" si="22"/>
        <v>16</v>
      </c>
      <c r="P676" s="2310">
        <f t="shared" si="22"/>
        <v>200</v>
      </c>
    </row>
    <row r="677" spans="1:16">
      <c r="A677" s="3147" t="s">
        <v>486</v>
      </c>
      <c r="B677" s="3148" t="s">
        <v>487</v>
      </c>
      <c r="C677" s="3148" t="s">
        <v>488</v>
      </c>
      <c r="D677" s="3148" t="s">
        <v>489</v>
      </c>
      <c r="E677" s="3149" t="s">
        <v>490</v>
      </c>
      <c r="F677" s="3150"/>
      <c r="G677" s="3150"/>
      <c r="H677" s="3150"/>
      <c r="I677" s="3150"/>
      <c r="J677" s="330"/>
      <c r="K677" s="159"/>
      <c r="L677" s="2311" t="str">
        <f t="shared" si="22"/>
        <v>2-2</v>
      </c>
      <c r="M677" s="2312">
        <f t="shared" si="22"/>
        <v>25</v>
      </c>
      <c r="N677" s="2313">
        <f t="shared" si="22"/>
        <v>100</v>
      </c>
      <c r="O677" s="2312">
        <f t="shared" si="22"/>
        <v>16</v>
      </c>
      <c r="P677" s="2314">
        <f t="shared" si="22"/>
        <v>200</v>
      </c>
    </row>
    <row r="678" spans="1:16">
      <c r="A678" s="3147"/>
      <c r="B678" s="3148"/>
      <c r="C678" s="3148"/>
      <c r="D678" s="3148"/>
      <c r="E678" s="94">
        <v>12</v>
      </c>
      <c r="F678" s="94">
        <v>16</v>
      </c>
      <c r="G678" s="94">
        <v>20</v>
      </c>
      <c r="H678" s="94">
        <v>22</v>
      </c>
      <c r="I678" s="94">
        <v>25</v>
      </c>
      <c r="J678" s="275"/>
      <c r="K678" s="159"/>
      <c r="L678" s="2021" t="str">
        <f t="shared" si="22"/>
        <v>3-3</v>
      </c>
      <c r="M678" s="2018">
        <f t="shared" si="22"/>
        <v>20</v>
      </c>
      <c r="N678" s="2019">
        <f t="shared" si="22"/>
        <v>100</v>
      </c>
      <c r="O678" s="2018">
        <f t="shared" si="22"/>
        <v>16</v>
      </c>
      <c r="P678" s="2020">
        <f t="shared" si="22"/>
        <v>200</v>
      </c>
    </row>
    <row r="679" spans="1:16" ht="14.25">
      <c r="A679" s="172"/>
      <c r="B679" s="256" t="s">
        <v>491</v>
      </c>
      <c r="C679" s="256" t="s">
        <v>491</v>
      </c>
      <c r="D679" s="256" t="s">
        <v>491</v>
      </c>
      <c r="E679" s="816" t="s">
        <v>98</v>
      </c>
      <c r="F679" s="816" t="s">
        <v>98</v>
      </c>
      <c r="G679" s="816" t="s">
        <v>98</v>
      </c>
      <c r="H679" s="816" t="s">
        <v>98</v>
      </c>
      <c r="I679" s="816" t="s">
        <v>98</v>
      </c>
      <c r="J679" s="759"/>
      <c r="K679" s="159"/>
      <c r="L679" s="2311" t="str">
        <f t="shared" si="22"/>
        <v>4-4</v>
      </c>
      <c r="M679" s="2312">
        <f t="shared" si="22"/>
        <v>16</v>
      </c>
      <c r="N679" s="2313">
        <f t="shared" si="22"/>
        <v>150</v>
      </c>
      <c r="O679" s="2312">
        <f t="shared" si="22"/>
        <v>16</v>
      </c>
      <c r="P679" s="2314">
        <f t="shared" si="22"/>
        <v>200</v>
      </c>
    </row>
    <row r="680" spans="1:16">
      <c r="A680" s="258" t="s">
        <v>492</v>
      </c>
      <c r="B680" s="55"/>
      <c r="C680" s="55"/>
      <c r="D680" s="55"/>
      <c r="E680" s="55"/>
      <c r="F680" s="55"/>
      <c r="G680" s="55"/>
      <c r="H680" s="55"/>
      <c r="I680" s="56"/>
      <c r="J680" s="386"/>
      <c r="K680" s="159"/>
      <c r="L680" s="2315" t="str">
        <f t="shared" si="22"/>
        <v>5-5</v>
      </c>
      <c r="M680" s="2316">
        <f t="shared" si="22"/>
        <v>16</v>
      </c>
      <c r="N680" s="2317">
        <f t="shared" si="22"/>
        <v>150</v>
      </c>
      <c r="O680" s="2316">
        <f t="shared" si="22"/>
        <v>16</v>
      </c>
      <c r="P680" s="2318">
        <f t="shared" si="22"/>
        <v>200</v>
      </c>
    </row>
    <row r="681" spans="1:16">
      <c r="A681" s="259" t="s">
        <v>111</v>
      </c>
      <c r="B681" s="318">
        <f>G670</f>
        <v>3097.1107379625146</v>
      </c>
      <c r="C681" s="318">
        <f>IF(E619&gt;380,C617*1000*380,C617*1000*E619)</f>
        <v>380</v>
      </c>
      <c r="D681" s="318">
        <f>MAX(B681:C681)</f>
        <v>3097.1107379625146</v>
      </c>
      <c r="E681" s="261">
        <f>PI()*(E678/2)^2*1000/$D681</f>
        <v>36.517046078770662</v>
      </c>
      <c r="F681" s="261">
        <f>PI()*(F678/2)^2*1000/$D681</f>
        <v>64.919193028925619</v>
      </c>
      <c r="G681" s="261">
        <f>PI()*(G678/2)^2*1000/$D681</f>
        <v>101.4362391076963</v>
      </c>
      <c r="H681" s="261">
        <f>PI()*(H678/2)^2*1000/$D681</f>
        <v>122.73784932031251</v>
      </c>
      <c r="I681" s="283">
        <f>PI()*(I678/2)^2*1000/$D681</f>
        <v>158.49412360577546</v>
      </c>
      <c r="J681" s="328"/>
      <c r="K681" s="159"/>
      <c r="L681" s="46"/>
      <c r="M681" s="46"/>
      <c r="N681" s="388"/>
    </row>
    <row r="682" spans="1:16">
      <c r="A682" s="262" t="s">
        <v>110</v>
      </c>
      <c r="B682" s="319"/>
      <c r="C682" s="318">
        <f>IF(E619&gt;380,C618*1000*380,C618*1000*E619)</f>
        <v>570</v>
      </c>
      <c r="D682" s="319">
        <f>MAX(B682:C682)</f>
        <v>570</v>
      </c>
      <c r="E682" s="261">
        <f>PI()*(E678/2)^2*1000/$D682</f>
        <v>198.41637812146064</v>
      </c>
      <c r="F682" s="261">
        <f>PI()*(F678/2)^2*1000/$D682</f>
        <v>352.74022777148554</v>
      </c>
      <c r="G682" s="261">
        <f>PI()*(G678/2)^2*1000/$D682</f>
        <v>551.15660589294623</v>
      </c>
      <c r="H682" s="261">
        <f>PI()*(H678/2)^2*1000/$D682</f>
        <v>666.89949313046486</v>
      </c>
      <c r="I682" s="283">
        <f>PI()*(I678/2)^2*1000/$D682</f>
        <v>861.18219670772839</v>
      </c>
      <c r="J682" s="328"/>
      <c r="K682" s="159"/>
      <c r="L682" s="46"/>
      <c r="M682" s="46"/>
      <c r="N682" s="46"/>
    </row>
    <row r="683" spans="1:16">
      <c r="A683" s="264" t="s">
        <v>493</v>
      </c>
      <c r="B683" s="265"/>
      <c r="C683" s="322"/>
      <c r="D683" s="322"/>
      <c r="E683" s="266"/>
      <c r="F683" s="266"/>
      <c r="G683" s="266"/>
      <c r="H683" s="266"/>
      <c r="I683" s="267"/>
      <c r="J683" s="330"/>
      <c r="K683" s="159"/>
      <c r="L683" s="3219" t="s">
        <v>1139</v>
      </c>
      <c r="M683" s="3220"/>
      <c r="N683" s="3220"/>
      <c r="O683" s="3220"/>
      <c r="P683" s="3221"/>
    </row>
    <row r="684" spans="1:16">
      <c r="A684" s="259" t="s">
        <v>111</v>
      </c>
      <c r="B684" s="318">
        <f>G673</f>
        <v>0</v>
      </c>
      <c r="C684" s="318">
        <f>IF(E619&gt;380,H617*1000*380,H617*1000*E619)</f>
        <v>760</v>
      </c>
      <c r="D684" s="318">
        <f>MAX(B684:C684)</f>
        <v>760</v>
      </c>
      <c r="E684" s="261">
        <f>PI()*(E678/2)^2*1000/$D684</f>
        <v>148.81228359109548</v>
      </c>
      <c r="F684" s="261">
        <f>PI()*(F678/2)^2*1000/$D684</f>
        <v>264.55517082861417</v>
      </c>
      <c r="G684" s="261">
        <f>PI()*(G678/2)^2*1000/$D684</f>
        <v>413.36745441970965</v>
      </c>
      <c r="H684" s="261">
        <f>PI()*(H678/2)^2*1000/$D684</f>
        <v>500.17461984784865</v>
      </c>
      <c r="I684" s="283">
        <f>PI()*(I678/2)^2*1000/$D684</f>
        <v>645.88664753079627</v>
      </c>
      <c r="J684" s="328"/>
      <c r="K684" s="159"/>
      <c r="L684" s="3208" t="s">
        <v>876</v>
      </c>
      <c r="M684" s="3210" t="s">
        <v>110</v>
      </c>
      <c r="N684" s="3211"/>
      <c r="O684" s="3211"/>
      <c r="P684" s="3212"/>
    </row>
    <row r="685" spans="1:16">
      <c r="A685" s="262" t="s">
        <v>110</v>
      </c>
      <c r="B685" s="263"/>
      <c r="C685" s="319">
        <f>IF(E619&gt;380,H618*1000*380,H618*1000*E619)</f>
        <v>950</v>
      </c>
      <c r="D685" s="319">
        <f>MAX(B685:C685)</f>
        <v>950</v>
      </c>
      <c r="E685" s="284">
        <f>PI()*(E678/2)^2*1000/$D685</f>
        <v>119.04982687287638</v>
      </c>
      <c r="F685" s="284">
        <f>PI()*(F678/2)^2*1000/$D685</f>
        <v>211.6441366628913</v>
      </c>
      <c r="G685" s="284">
        <f>PI()*(G678/2)^2*1000/$D685</f>
        <v>330.69396353576775</v>
      </c>
      <c r="H685" s="284">
        <f>PI()*(H678/2)^2*1000/$D685</f>
        <v>400.13969587827893</v>
      </c>
      <c r="I685" s="285">
        <f>PI()*(I678/2)^2*1000/$D685</f>
        <v>516.70931802463701</v>
      </c>
      <c r="J685" s="328"/>
      <c r="K685" s="159"/>
      <c r="L685" s="3209"/>
      <c r="M685" s="3210" t="s">
        <v>492</v>
      </c>
      <c r="N685" s="3212"/>
      <c r="O685" s="3210" t="s">
        <v>493</v>
      </c>
      <c r="P685" s="3212"/>
    </row>
    <row r="686" spans="1:16">
      <c r="J686" s="46"/>
      <c r="K686" s="159"/>
      <c r="L686" s="3209"/>
      <c r="M686" s="923" t="s">
        <v>709</v>
      </c>
      <c r="N686" s="1973" t="s">
        <v>710</v>
      </c>
      <c r="O686" s="1973" t="s">
        <v>709</v>
      </c>
      <c r="P686" s="925" t="s">
        <v>710</v>
      </c>
    </row>
    <row r="687" spans="1:16">
      <c r="A687" s="258" t="s">
        <v>492</v>
      </c>
      <c r="B687" s="55"/>
      <c r="C687" s="252"/>
      <c r="D687" s="55"/>
      <c r="E687" s="55"/>
      <c r="F687" s="56"/>
      <c r="G687" s="495" t="s">
        <v>2095</v>
      </c>
      <c r="H687" s="2641" t="s">
        <v>1358</v>
      </c>
      <c r="I687" s="1178" t="s">
        <v>2094</v>
      </c>
      <c r="J687" s="46"/>
      <c r="K687" s="159"/>
      <c r="L687" s="874" t="str">
        <f>L190</f>
        <v>1-1</v>
      </c>
      <c r="M687" s="875">
        <f t="shared" ref="M687:P687" si="23">M190</f>
        <v>16</v>
      </c>
      <c r="N687" s="880">
        <f t="shared" si="23"/>
        <v>200</v>
      </c>
      <c r="O687" s="875">
        <f t="shared" si="23"/>
        <v>16</v>
      </c>
      <c r="P687" s="881">
        <f t="shared" si="23"/>
        <v>200</v>
      </c>
    </row>
    <row r="688" spans="1:16" ht="15.75">
      <c r="A688" s="259" t="s">
        <v>111</v>
      </c>
      <c r="B688" s="268" t="s">
        <v>136</v>
      </c>
      <c r="C688" s="269">
        <v>20</v>
      </c>
      <c r="D688" s="827" t="s">
        <v>481</v>
      </c>
      <c r="E688" s="271">
        <v>100</v>
      </c>
      <c r="F688" s="272" t="s">
        <v>482</v>
      </c>
      <c r="G688" s="2014" t="s">
        <v>2098</v>
      </c>
      <c r="H688" s="316">
        <f>PI()*(C688/2)^2*1000/E688</f>
        <v>3141.5926535897934</v>
      </c>
      <c r="I688" s="2643">
        <f>H688*$C$18*$C$22*E666/10^6</f>
        <v>276.70775449135874</v>
      </c>
      <c r="J688" s="46"/>
      <c r="K688" s="159"/>
      <c r="L688" s="869" t="str">
        <f t="shared" ref="L688:P691" si="24">L191</f>
        <v>2-2</v>
      </c>
      <c r="M688" s="870">
        <f t="shared" si="24"/>
        <v>16</v>
      </c>
      <c r="N688" s="876">
        <f t="shared" si="24"/>
        <v>200</v>
      </c>
      <c r="O688" s="870">
        <f t="shared" si="24"/>
        <v>16</v>
      </c>
      <c r="P688" s="877">
        <f t="shared" si="24"/>
        <v>200</v>
      </c>
    </row>
    <row r="689" spans="1:16" ht="15.75">
      <c r="A689" s="262" t="s">
        <v>110</v>
      </c>
      <c r="B689" s="278" t="s">
        <v>136</v>
      </c>
      <c r="C689" s="279">
        <v>16</v>
      </c>
      <c r="D689" s="280" t="s">
        <v>481</v>
      </c>
      <c r="E689" s="281">
        <v>200</v>
      </c>
      <c r="F689" s="282" t="s">
        <v>482</v>
      </c>
      <c r="I689" s="465" t="str">
        <f>IF(I688&gt;=S26,"o.k","Not o.k")</f>
        <v>o.k</v>
      </c>
      <c r="J689" s="46"/>
      <c r="K689" s="159"/>
      <c r="L689" s="2017" t="str">
        <f t="shared" si="24"/>
        <v>3-3</v>
      </c>
      <c r="M689" s="2018">
        <f t="shared" si="24"/>
        <v>16</v>
      </c>
      <c r="N689" s="2019">
        <f t="shared" si="24"/>
        <v>200</v>
      </c>
      <c r="O689" s="2018">
        <f t="shared" si="24"/>
        <v>16</v>
      </c>
      <c r="P689" s="2020">
        <f t="shared" si="24"/>
        <v>200</v>
      </c>
    </row>
    <row r="690" spans="1:16" ht="15">
      <c r="A690" s="321" t="s">
        <v>493</v>
      </c>
      <c r="B690" s="273"/>
      <c r="C690" s="274"/>
      <c r="D690" s="275"/>
      <c r="E690" s="276"/>
      <c r="F690" s="277"/>
      <c r="J690" s="46"/>
      <c r="K690" s="159"/>
      <c r="L690" s="869" t="str">
        <f t="shared" si="24"/>
        <v>4-4</v>
      </c>
      <c r="M690" s="870">
        <f t="shared" si="24"/>
        <v>16</v>
      </c>
      <c r="N690" s="876">
        <f t="shared" si="24"/>
        <v>200</v>
      </c>
      <c r="O690" s="870">
        <f t="shared" si="24"/>
        <v>16</v>
      </c>
      <c r="P690" s="877">
        <f t="shared" si="24"/>
        <v>200</v>
      </c>
    </row>
    <row r="691" spans="1:16" ht="15.75">
      <c r="A691" s="259" t="s">
        <v>111</v>
      </c>
      <c r="B691" s="268" t="s">
        <v>136</v>
      </c>
      <c r="C691" s="269">
        <v>16</v>
      </c>
      <c r="D691" s="827" t="s">
        <v>481</v>
      </c>
      <c r="E691" s="271">
        <v>200</v>
      </c>
      <c r="F691" s="272" t="s">
        <v>482</v>
      </c>
      <c r="J691" s="46"/>
      <c r="K691" s="159"/>
      <c r="L691" s="871" t="str">
        <f t="shared" si="24"/>
        <v>5-5</v>
      </c>
      <c r="M691" s="872">
        <f t="shared" si="24"/>
        <v>16</v>
      </c>
      <c r="N691" s="878">
        <f t="shared" si="24"/>
        <v>200</v>
      </c>
      <c r="O691" s="872">
        <f t="shared" si="24"/>
        <v>16</v>
      </c>
      <c r="P691" s="879">
        <f t="shared" si="24"/>
        <v>200</v>
      </c>
    </row>
    <row r="692" spans="1:16" ht="15.75">
      <c r="A692" s="262" t="s">
        <v>110</v>
      </c>
      <c r="B692" s="278" t="s">
        <v>136</v>
      </c>
      <c r="C692" s="279">
        <v>16</v>
      </c>
      <c r="D692" s="280" t="s">
        <v>481</v>
      </c>
      <c r="E692" s="281">
        <v>200</v>
      </c>
      <c r="F692" s="282" t="s">
        <v>482</v>
      </c>
      <c r="J692" s="46"/>
      <c r="K692" s="159"/>
    </row>
    <row r="693" spans="1:16">
      <c r="J693" s="46"/>
      <c r="K693" s="159"/>
    </row>
    <row r="694" spans="1:16">
      <c r="A694" s="41" t="s">
        <v>939</v>
      </c>
      <c r="J694" s="46"/>
      <c r="K694" s="159"/>
    </row>
    <row r="695" spans="1:16">
      <c r="A695" s="187" t="s">
        <v>651</v>
      </c>
      <c r="F695" s="33">
        <f>(6*E649/(2*$J$8*$D$6))^(1/3)</f>
        <v>4.6431480770069822</v>
      </c>
      <c r="G695" s="2874" t="s">
        <v>1003</v>
      </c>
      <c r="H695" s="2878">
        <v>-0.2</v>
      </c>
      <c r="I695" s="187" t="str">
        <f>"= "&amp;FIXED(F695-H695,2)&amp;" m from top"</f>
        <v>= 4.84 m from top</v>
      </c>
      <c r="K695" s="159"/>
    </row>
    <row r="696" spans="1:16">
      <c r="A696" s="187" t="s">
        <v>652</v>
      </c>
      <c r="F696" s="33">
        <f>(6*E649/(4*$J$8*$D$6))^(1/3)</f>
        <v>3.6852690709425038</v>
      </c>
      <c r="G696" s="2874" t="s">
        <v>1003</v>
      </c>
      <c r="H696" s="2878"/>
      <c r="I696" s="187" t="str">
        <f>"= "&amp;FIXED(F696-H696,2)&amp;" m from top"</f>
        <v>= 3.69 m from top</v>
      </c>
      <c r="J696" s="187"/>
      <c r="K696" s="159"/>
    </row>
    <row r="697" spans="1:16">
      <c r="E697" s="46"/>
      <c r="J697" s="46"/>
      <c r="K697" s="159"/>
    </row>
    <row r="698" spans="1:16">
      <c r="A698" s="3085" t="s">
        <v>1148</v>
      </c>
      <c r="B698" s="3085" t="s">
        <v>621</v>
      </c>
      <c r="C698" s="347" t="s">
        <v>614</v>
      </c>
      <c r="D698" s="355" t="s">
        <v>615</v>
      </c>
      <c r="E698" s="347" t="s">
        <v>619</v>
      </c>
      <c r="F698" s="355" t="s">
        <v>616</v>
      </c>
      <c r="G698" s="355" t="s">
        <v>676</v>
      </c>
      <c r="H698" s="3224" t="s">
        <v>487</v>
      </c>
      <c r="I698" s="3148" t="s">
        <v>488</v>
      </c>
      <c r="J698" s="611"/>
      <c r="K698" s="159"/>
    </row>
    <row r="699" spans="1:16">
      <c r="A699" s="3204"/>
      <c r="B699" s="3086"/>
      <c r="C699" s="77"/>
      <c r="D699" s="104"/>
      <c r="E699" s="77"/>
      <c r="F699" s="104"/>
      <c r="G699" s="824"/>
      <c r="H699" s="3227"/>
      <c r="I699" s="3148"/>
      <c r="J699" s="611"/>
      <c r="K699" s="159"/>
    </row>
    <row r="700" spans="1:16" ht="14.25">
      <c r="A700" s="104"/>
      <c r="B700" s="354" t="s">
        <v>5</v>
      </c>
      <c r="C700" s="280" t="s">
        <v>620</v>
      </c>
      <c r="D700" s="354" t="s">
        <v>98</v>
      </c>
      <c r="E700" s="280" t="s">
        <v>98</v>
      </c>
      <c r="F700" s="354" t="s">
        <v>98</v>
      </c>
      <c r="G700" s="825"/>
      <c r="H700" s="822" t="s">
        <v>491</v>
      </c>
      <c r="I700" s="256" t="s">
        <v>491</v>
      </c>
      <c r="J700" s="408"/>
      <c r="K700" s="159"/>
    </row>
    <row r="701" spans="1:16">
      <c r="A701" s="365" t="s">
        <v>617</v>
      </c>
      <c r="B701" s="2706">
        <f>F695-H695</f>
        <v>4.8431480770069824</v>
      </c>
      <c r="C701" s="107">
        <f>$J$8*$D$6*B701^3/6</f>
        <v>129.19368277647717</v>
      </c>
      <c r="D701" s="356">
        <f>((C701*10^6)/($C$23*1000))^0.5</f>
        <v>300.55780729735608</v>
      </c>
      <c r="E701" s="349">
        <f>(H622+B701*(H640-H622)/I629)*1000</f>
        <v>548.36656805164012</v>
      </c>
      <c r="F701" s="356">
        <f>E701-$I$13-C688/2</f>
        <v>478.36656805164012</v>
      </c>
      <c r="G701" s="123" t="str">
        <f>IF(F701&gt;=D701,"O.k","Not O.k")</f>
        <v>O.k</v>
      </c>
      <c r="H701" s="349">
        <f>C701*10^6/($C$18*$C$22*F701)</f>
        <v>1625.1178869483488</v>
      </c>
      <c r="I701" s="123">
        <f>IF(E701&gt;380,C617*1000*380,C617*1000*E701)</f>
        <v>380</v>
      </c>
      <c r="J701" s="275"/>
      <c r="K701" s="159"/>
    </row>
    <row r="702" spans="1:16">
      <c r="A702" s="354" t="s">
        <v>618</v>
      </c>
      <c r="B702" s="2708">
        <f>F696-H696</f>
        <v>3.6852690709425038</v>
      </c>
      <c r="C702" s="121">
        <f>$J$8*$D$6*B702^3/6</f>
        <v>56.920098434650697</v>
      </c>
      <c r="D702" s="357">
        <f>((C702*10^6)/($C$23*1000))^0.5</f>
        <v>199.49875775464221</v>
      </c>
      <c r="E702" s="310">
        <f>(H622+B702*(H640-H622)/I629)*1000</f>
        <v>488.98815748423095</v>
      </c>
      <c r="F702" s="357">
        <f>E702-$I$13-C688/2</f>
        <v>418.98815748423095</v>
      </c>
      <c r="G702" s="104" t="str">
        <f>IF(F702&gt;=D702,"O.k","Not O.k")</f>
        <v>O.k</v>
      </c>
      <c r="H702" s="310">
        <f>C702*10^6/($C$18*$C$22*F702)</f>
        <v>817.46338017986875</v>
      </c>
      <c r="I702" s="104">
        <f>IF(E702&gt;380,C617*1000*380,C617*1000*E702)</f>
        <v>380</v>
      </c>
      <c r="J702" s="275"/>
      <c r="K702" s="159"/>
    </row>
    <row r="703" spans="1:16">
      <c r="J703" s="46"/>
      <c r="K703" s="159"/>
      <c r="L703" s="46"/>
    </row>
    <row r="704" spans="1:16">
      <c r="A704" s="3228" t="s">
        <v>613</v>
      </c>
      <c r="B704" s="3122" t="s">
        <v>937</v>
      </c>
      <c r="C704" s="3122" t="s">
        <v>938</v>
      </c>
      <c r="D704" s="3085" t="s">
        <v>623</v>
      </c>
      <c r="E704" s="3119" t="s">
        <v>622</v>
      </c>
      <c r="G704" s="3233" t="s">
        <v>2112</v>
      </c>
      <c r="H704" s="3234"/>
      <c r="I704" s="3235"/>
      <c r="J704" s="46"/>
      <c r="K704" s="159"/>
    </row>
    <row r="705" spans="1:16">
      <c r="A705" s="3229"/>
      <c r="B705" s="3123"/>
      <c r="C705" s="3123"/>
      <c r="D705" s="3200"/>
      <c r="E705" s="3120"/>
      <c r="G705" s="3122" t="s">
        <v>2110</v>
      </c>
      <c r="H705" s="3244" t="s">
        <v>2111</v>
      </c>
      <c r="I705" s="1541" t="s">
        <v>676</v>
      </c>
      <c r="J705" s="46"/>
      <c r="K705" s="159"/>
    </row>
    <row r="706" spans="1:16">
      <c r="A706" s="3230"/>
      <c r="B706" s="360"/>
      <c r="C706" s="360"/>
      <c r="D706" s="3086"/>
      <c r="E706" s="359"/>
      <c r="G706" s="3241"/>
      <c r="H706" s="3204"/>
      <c r="I706" s="1244"/>
      <c r="J706" s="46"/>
      <c r="K706" s="159"/>
    </row>
    <row r="707" spans="1:16" ht="14.25">
      <c r="A707" s="820" t="s">
        <v>5</v>
      </c>
      <c r="B707" s="256" t="s">
        <v>491</v>
      </c>
      <c r="C707" s="817" t="s">
        <v>98</v>
      </c>
      <c r="D707" s="817" t="s">
        <v>5</v>
      </c>
      <c r="E707" s="358" t="s">
        <v>98</v>
      </c>
      <c r="G707" s="2668" t="s">
        <v>491</v>
      </c>
      <c r="H707" s="94" t="s">
        <v>107</v>
      </c>
      <c r="I707" s="1289"/>
      <c r="J707" s="46"/>
      <c r="K707" s="159"/>
    </row>
    <row r="708" spans="1:16">
      <c r="A708" s="352">
        <f>(I629-B701)+40*C688/1000</f>
        <v>1.8068519229930173</v>
      </c>
      <c r="B708" s="356">
        <f>MAX(H701:I701)</f>
        <v>1625.1178869483488</v>
      </c>
      <c r="C708" s="350">
        <f>PI()*(C688/2)^2*1000/B708</f>
        <v>193.31475450615375</v>
      </c>
      <c r="D708" s="591">
        <v>2</v>
      </c>
      <c r="E708" s="609">
        <f>IF(D708="","",E688*2)</f>
        <v>200</v>
      </c>
      <c r="G708" s="2725">
        <f>IF(D708="","",PI()*(C688/2)^2*1000/E708)</f>
        <v>1570.7963267948967</v>
      </c>
      <c r="H708" s="2676">
        <f>IF(D708="","",G708*$C$18*$C$22*F701/10^6)</f>
        <v>124.87522534840294</v>
      </c>
      <c r="I708" s="2726" t="str">
        <f>IF(D708="","",IF(AND(H708&gt;=C702),"o.k","Not o.k"))</f>
        <v>o.k</v>
      </c>
      <c r="J708" s="46"/>
      <c r="K708" s="159"/>
    </row>
    <row r="709" spans="1:16">
      <c r="A709" s="353">
        <f>(I629-B702)+40*C688/1000</f>
        <v>2.9647309290574961</v>
      </c>
      <c r="B709" s="357">
        <f>MAX(H702:I702)</f>
        <v>817.46338017986875</v>
      </c>
      <c r="C709" s="311">
        <f>PI()*(C688/2)^2*1000/B709</f>
        <v>384.30989445650033</v>
      </c>
      <c r="D709" s="592">
        <v>3</v>
      </c>
      <c r="E709" s="610">
        <f>IF(D709="","",E708*2)</f>
        <v>400</v>
      </c>
      <c r="G709" s="2727">
        <f>IF(D709="","",PI()*(C688/2)^2*1000/E709)</f>
        <v>785.39816339744834</v>
      </c>
      <c r="H709" s="2673">
        <f>IF(D709="","",G709*$C$18*$C$22*F702/10^6)</f>
        <v>54.687392554685538</v>
      </c>
      <c r="I709" s="2728" t="str">
        <f>IF(D709="","",IF(AND(H709&gt;=C702),"o.k","Not o.k"))</f>
        <v>Not o.k</v>
      </c>
      <c r="J709" s="46"/>
      <c r="K709" s="159"/>
    </row>
    <row r="710" spans="1:16">
      <c r="J710" s="46"/>
      <c r="K710" s="159"/>
      <c r="L710" s="46"/>
      <c r="N710" s="46"/>
    </row>
    <row r="711" spans="1:16">
      <c r="B711" s="176" t="str">
        <f>"b) Design of Floor  :  Sec  "&amp;C613</f>
        <v>b) Design of Floor  :  Sec  3-3</v>
      </c>
      <c r="C711" s="392"/>
      <c r="D711" s="174"/>
      <c r="H711" s="46"/>
      <c r="I711" s="46"/>
      <c r="J711" s="46"/>
      <c r="K711" s="159"/>
      <c r="L711" s="46"/>
      <c r="M711" s="46"/>
      <c r="N711" s="46"/>
      <c r="O711" s="46"/>
      <c r="P711" s="46"/>
    </row>
    <row r="712" spans="1:16">
      <c r="J712" s="46"/>
      <c r="K712" s="159"/>
      <c r="L712" s="46"/>
      <c r="M712" s="46"/>
      <c r="N712" s="46"/>
    </row>
    <row r="713" spans="1:16">
      <c r="A713" s="187" t="s">
        <v>1105</v>
      </c>
      <c r="I713" s="115">
        <f>Hydraulic!E1075</f>
        <v>0.9265812985680707</v>
      </c>
      <c r="J713" t="s">
        <v>5</v>
      </c>
      <c r="K713" s="159"/>
      <c r="L713" s="46"/>
      <c r="M713" s="46"/>
      <c r="N713" s="46"/>
    </row>
    <row r="714" spans="1:16">
      <c r="A714" s="187" t="str">
        <f>"Considering Wt of wall,  Floor thickness can be reduced  =2*0.5*("&amp;H622&amp;"+"&amp;H640&amp;")*"&amp;I629&amp;"/"&amp;FIXED(F642,2)&amp;"="</f>
        <v>Considering Wt of wall,  Floor thickness can be reduced  =2*0.5*(0.3+0.6)*5.85/8.94=</v>
      </c>
      <c r="B714" s="187"/>
      <c r="E714" s="33"/>
      <c r="I714" s="224">
        <f>2*0.5*(H622+H640)*I629/F642</f>
        <v>0.58924455825864264</v>
      </c>
      <c r="J714" t="s">
        <v>5</v>
      </c>
      <c r="K714" s="159"/>
      <c r="L714" s="46"/>
      <c r="M714" s="46"/>
      <c r="N714" s="46"/>
    </row>
    <row r="715" spans="1:16">
      <c r="A715" s="187" t="s">
        <v>1821</v>
      </c>
      <c r="I715" s="33">
        <f>I713-I714</f>
        <v>0.33733674030942806</v>
      </c>
      <c r="J715" t="s">
        <v>5</v>
      </c>
      <c r="K715" s="159"/>
      <c r="L715" s="46"/>
      <c r="M715" s="46"/>
      <c r="N715" s="46"/>
    </row>
    <row r="716" spans="1:16">
      <c r="A716" t="s">
        <v>684</v>
      </c>
      <c r="I716" s="914">
        <f>F69</f>
        <v>1.0013888888888889</v>
      </c>
      <c r="J716" t="s">
        <v>5</v>
      </c>
      <c r="K716" s="159"/>
      <c r="L716" s="46"/>
      <c r="M716" s="46"/>
      <c r="N716" s="46"/>
    </row>
    <row r="717" spans="1:16">
      <c r="J717" s="46"/>
      <c r="K717" s="159"/>
      <c r="L717" s="46"/>
      <c r="M717" s="46"/>
      <c r="N717" s="46"/>
    </row>
    <row r="718" spans="1:16">
      <c r="F718" s="187" t="s">
        <v>637</v>
      </c>
      <c r="H718" s="187" t="s">
        <v>636</v>
      </c>
      <c r="J718" s="46"/>
      <c r="K718" s="159"/>
      <c r="L718" s="46"/>
      <c r="M718" s="46"/>
      <c r="N718" s="46"/>
    </row>
    <row r="719" spans="1:16">
      <c r="E719" s="191" t="s">
        <v>607</v>
      </c>
      <c r="J719" s="46"/>
      <c r="K719" s="159"/>
      <c r="L719" s="46"/>
      <c r="N719" s="46"/>
    </row>
    <row r="720" spans="1:16">
      <c r="F720" s="17" t="s">
        <v>935</v>
      </c>
      <c r="G720" s="36">
        <f>F640/4</f>
        <v>1.933792372881356</v>
      </c>
      <c r="J720" s="46"/>
      <c r="K720" s="159"/>
      <c r="L720" s="46"/>
      <c r="M720" s="46"/>
      <c r="N720" s="46"/>
    </row>
    <row r="721" spans="2:14">
      <c r="C721" s="1" t="s">
        <v>658</v>
      </c>
      <c r="D721" s="36"/>
      <c r="F721" s="36"/>
      <c r="H721" s="191"/>
      <c r="I721" s="187" t="s">
        <v>659</v>
      </c>
      <c r="J721" s="109"/>
      <c r="K721" s="159"/>
      <c r="L721" s="46"/>
      <c r="M721" s="46"/>
      <c r="N721" s="46"/>
    </row>
    <row r="722" spans="2:14">
      <c r="F722" s="203" t="s">
        <v>644</v>
      </c>
      <c r="G722" s="36">
        <f>(F642-H640)/2</f>
        <v>4.1675847457627118</v>
      </c>
      <c r="J722" s="46"/>
      <c r="K722" s="159"/>
      <c r="L722" s="46"/>
      <c r="M722" s="46"/>
      <c r="N722" s="46"/>
    </row>
    <row r="723" spans="2:14">
      <c r="J723" s="46"/>
      <c r="K723" s="159"/>
      <c r="L723" s="46"/>
      <c r="M723" s="46"/>
      <c r="N723" s="46"/>
    </row>
    <row r="724" spans="2:14">
      <c r="C724" s="2008"/>
      <c r="D724" s="2008"/>
      <c r="E724" s="2008"/>
      <c r="F724" s="2008"/>
      <c r="G724" s="2008"/>
      <c r="H724" s="3060">
        <f>I716</f>
        <v>1.0013888888888889</v>
      </c>
      <c r="J724" s="46"/>
      <c r="K724" s="159"/>
      <c r="L724" s="46"/>
      <c r="M724" s="46"/>
      <c r="N724" s="46"/>
    </row>
    <row r="725" spans="2:14">
      <c r="B725" s="187" t="s">
        <v>642</v>
      </c>
      <c r="C725" s="2008"/>
      <c r="D725" s="2008"/>
      <c r="E725" s="2008"/>
      <c r="F725" s="2008"/>
      <c r="G725" s="2008"/>
      <c r="H725" s="3060"/>
      <c r="I725" s="203" t="s">
        <v>646</v>
      </c>
      <c r="J725" s="288"/>
      <c r="K725" s="159"/>
      <c r="L725" s="46"/>
      <c r="M725" s="46"/>
      <c r="N725" s="46"/>
    </row>
    <row r="726" spans="2:14">
      <c r="J726" s="46"/>
      <c r="K726" s="159"/>
      <c r="L726" s="46"/>
      <c r="M726" s="46"/>
      <c r="N726" s="46"/>
    </row>
    <row r="727" spans="2:14">
      <c r="C727" s="191" t="s">
        <v>537</v>
      </c>
      <c r="F727" s="203" t="s">
        <v>643</v>
      </c>
      <c r="G727" s="36">
        <f>F642/4</f>
        <v>2.2337923728813558</v>
      </c>
      <c r="J727" s="46"/>
      <c r="K727" s="159"/>
      <c r="L727" s="46"/>
      <c r="M727" s="46"/>
      <c r="N727" s="46"/>
    </row>
    <row r="728" spans="2:14">
      <c r="E728" s="826" t="s">
        <v>641</v>
      </c>
      <c r="F728" s="826"/>
      <c r="J728" s="46"/>
      <c r="K728" s="159"/>
      <c r="L728" s="46"/>
      <c r="M728" s="46"/>
      <c r="N728" s="46"/>
    </row>
    <row r="729" spans="2:14">
      <c r="E729" s="203" t="s">
        <v>645</v>
      </c>
      <c r="F729" s="36">
        <f>F642/2</f>
        <v>4.4675847457627116</v>
      </c>
      <c r="J729" s="46"/>
      <c r="K729" s="159"/>
      <c r="L729" s="46"/>
      <c r="M729" s="46"/>
      <c r="N729" s="46"/>
    </row>
    <row r="730" spans="2:14">
      <c r="J730" s="46"/>
      <c r="K730" s="159"/>
      <c r="L730" s="46"/>
      <c r="M730" s="46"/>
      <c r="N730" s="46"/>
    </row>
    <row r="731" spans="2:14">
      <c r="B731" s="1" t="s">
        <v>654</v>
      </c>
      <c r="J731" s="46"/>
      <c r="K731" s="159"/>
      <c r="L731" s="46"/>
      <c r="M731" s="46"/>
      <c r="N731" s="46"/>
    </row>
    <row r="732" spans="2:14">
      <c r="B732" s="187" t="s">
        <v>655</v>
      </c>
      <c r="J732" s="46"/>
      <c r="K732" s="159"/>
      <c r="L732" s="46"/>
      <c r="M732" s="46"/>
      <c r="N732" s="46"/>
    </row>
    <row r="733" spans="2:14">
      <c r="J733" s="46"/>
      <c r="K733" s="159"/>
      <c r="L733" s="46"/>
      <c r="M733" s="46"/>
      <c r="N733" s="46"/>
    </row>
    <row r="734" spans="2:14">
      <c r="B734" s="187" t="s">
        <v>639</v>
      </c>
      <c r="D734" s="33">
        <f>0.5*(H640+H622)*I629*$D$3</f>
        <v>62.126999999999988</v>
      </c>
      <c r="E734" s="187" t="s">
        <v>341</v>
      </c>
      <c r="J734" s="46"/>
      <c r="K734" s="159"/>
      <c r="L734" s="46"/>
      <c r="M734" s="46"/>
      <c r="N734" s="46"/>
    </row>
    <row r="735" spans="2:14">
      <c r="B735" s="187" t="s">
        <v>656</v>
      </c>
      <c r="D735" s="33">
        <v>0</v>
      </c>
      <c r="E735" s="187" t="s">
        <v>341</v>
      </c>
      <c r="J735" s="46"/>
      <c r="K735" s="159"/>
      <c r="L735" s="46"/>
      <c r="M735" s="46"/>
      <c r="N735" s="46"/>
    </row>
    <row r="736" spans="2:14">
      <c r="B736" s="187" t="s">
        <v>638</v>
      </c>
      <c r="D736" s="33">
        <f>+D734+D735</f>
        <v>62.126999999999988</v>
      </c>
      <c r="E736" s="187" t="s">
        <v>341</v>
      </c>
      <c r="J736" s="46"/>
      <c r="K736" s="159"/>
      <c r="L736" s="46"/>
      <c r="M736" s="46"/>
      <c r="N736" s="46"/>
    </row>
    <row r="737" spans="1:14" ht="15.75">
      <c r="B737" s="187" t="s">
        <v>681</v>
      </c>
      <c r="D737" s="33"/>
      <c r="F737" s="33">
        <v>0</v>
      </c>
      <c r="J737" s="46"/>
      <c r="K737" s="159"/>
      <c r="L737" s="46"/>
      <c r="M737" s="46"/>
      <c r="N737" s="46"/>
    </row>
    <row r="738" spans="1:14">
      <c r="B738" s="187" t="s">
        <v>678</v>
      </c>
      <c r="D738" s="33"/>
      <c r="H738" s="33">
        <f>F737+D736*G727-(D734+D735)*G722</f>
        <v>-120.14071874999996</v>
      </c>
      <c r="I738" s="187" t="s">
        <v>620</v>
      </c>
      <c r="J738" s="109"/>
      <c r="K738" s="159"/>
      <c r="L738" s="46"/>
      <c r="M738" s="46"/>
      <c r="N738" s="46"/>
    </row>
    <row r="739" spans="1:14">
      <c r="B739" s="187"/>
      <c r="D739" s="33"/>
      <c r="H739" s="215" t="str">
        <f>IF(H738&gt;0,"(bottom tension)","(top tension)")</f>
        <v>(top tension)</v>
      </c>
      <c r="J739" s="46"/>
      <c r="K739" s="159"/>
      <c r="L739" s="46"/>
      <c r="M739" s="46"/>
      <c r="N739" s="46"/>
    </row>
    <row r="740" spans="1:14">
      <c r="B740" s="1" t="s">
        <v>657</v>
      </c>
      <c r="J740" s="46"/>
      <c r="K740" s="159"/>
      <c r="L740" s="46"/>
      <c r="M740" s="46"/>
      <c r="N740" s="46"/>
    </row>
    <row r="741" spans="1:14">
      <c r="B741" s="187" t="s">
        <v>611</v>
      </c>
      <c r="J741" s="46"/>
      <c r="K741" s="159"/>
      <c r="L741" s="46"/>
      <c r="M741" s="46"/>
      <c r="N741" s="46"/>
    </row>
    <row r="742" spans="1:14">
      <c r="J742" s="46"/>
      <c r="K742" s="159"/>
    </row>
    <row r="743" spans="1:14">
      <c r="B743" s="187" t="s">
        <v>600</v>
      </c>
      <c r="D743" s="33">
        <f>I629</f>
        <v>5.85</v>
      </c>
      <c r="E743" s="187" t="s">
        <v>5</v>
      </c>
      <c r="J743" s="46"/>
      <c r="K743" s="159"/>
    </row>
    <row r="744" spans="1:14">
      <c r="B744" s="187" t="s">
        <v>639</v>
      </c>
      <c r="D744" s="33">
        <f>D734</f>
        <v>62.126999999999988</v>
      </c>
      <c r="E744" s="187" t="s">
        <v>341</v>
      </c>
      <c r="J744" s="46"/>
      <c r="K744" s="159"/>
    </row>
    <row r="745" spans="1:14">
      <c r="B745" s="30" t="s">
        <v>640</v>
      </c>
      <c r="D745" s="33">
        <f>0.5*(H640-H622)*I629*$D$6</f>
        <v>16.584749999999996</v>
      </c>
      <c r="E745" s="187" t="s">
        <v>341</v>
      </c>
      <c r="J745" s="46"/>
      <c r="K745" s="159"/>
    </row>
    <row r="746" spans="1:14">
      <c r="B746" s="187" t="s">
        <v>638</v>
      </c>
      <c r="D746" s="33">
        <f>D744+D745</f>
        <v>78.711749999999981</v>
      </c>
      <c r="E746" s="187" t="s">
        <v>341</v>
      </c>
      <c r="J746" s="46"/>
      <c r="K746" s="159"/>
    </row>
    <row r="747" spans="1:14" ht="15.75">
      <c r="A747" s="187"/>
      <c r="B747" s="187" t="s">
        <v>677</v>
      </c>
      <c r="F747" s="33">
        <f>$J$8*$D$6*D743^3/6</f>
        <v>227.68039373860282</v>
      </c>
      <c r="G747" s="187" t="s">
        <v>620</v>
      </c>
      <c r="H747" s="23" t="str">
        <f>IF(F747&gt;0,"(bottom tension)","(top tension)")</f>
        <v>(bottom tension)</v>
      </c>
      <c r="J747" s="46"/>
      <c r="K747" s="159"/>
    </row>
    <row r="748" spans="1:14">
      <c r="B748" s="187" t="s">
        <v>678</v>
      </c>
      <c r="H748" s="33">
        <f>F747+D746*G727-(D744+D745)*G722</f>
        <v>75.468211932458757</v>
      </c>
      <c r="I748" s="187" t="s">
        <v>620</v>
      </c>
      <c r="J748" s="109"/>
      <c r="K748" s="159"/>
    </row>
    <row r="749" spans="1:14">
      <c r="B749" s="187"/>
      <c r="H749" s="215" t="str">
        <f>IF(H748&gt;0,"(bottom tension)","(top tension)")</f>
        <v>(bottom tension)</v>
      </c>
      <c r="J749" s="46"/>
      <c r="K749" s="159"/>
    </row>
    <row r="750" spans="1:14">
      <c r="B750" s="1" t="s">
        <v>660</v>
      </c>
      <c r="H750" s="33"/>
      <c r="J750" s="46"/>
      <c r="K750" s="159"/>
    </row>
    <row r="751" spans="1:14">
      <c r="B751" s="1" t="str">
        <f>B154</f>
        <v>Case 1 :  When Static  Water Head on C/S Monsoon</v>
      </c>
      <c r="H751" s="33"/>
      <c r="J751" s="46"/>
      <c r="K751" s="159"/>
    </row>
    <row r="752" spans="1:14">
      <c r="B752" s="187"/>
      <c r="H752" s="33"/>
      <c r="J752" s="46"/>
      <c r="K752" s="159"/>
    </row>
    <row r="753" spans="1:14">
      <c r="B753" s="187" t="s">
        <v>639</v>
      </c>
      <c r="D753" s="33">
        <f>D744</f>
        <v>62.126999999999988</v>
      </c>
      <c r="E753" s="187" t="s">
        <v>341</v>
      </c>
      <c r="F753" s="187"/>
      <c r="H753" s="187"/>
      <c r="J753" s="46"/>
      <c r="K753" s="159"/>
    </row>
    <row r="754" spans="1:14">
      <c r="B754" s="30" t="s">
        <v>640</v>
      </c>
      <c r="D754" s="33">
        <f>0.5*D655*E627*$D$6+0.5*(H640-H622+E627)*D654*$D$5</f>
        <v>16.294406805036047</v>
      </c>
      <c r="E754" s="187" t="s">
        <v>341</v>
      </c>
      <c r="H754" s="33"/>
      <c r="J754" s="46"/>
      <c r="K754" s="159"/>
    </row>
    <row r="755" spans="1:14">
      <c r="B755" s="187" t="s">
        <v>647</v>
      </c>
      <c r="D755" s="33">
        <f>D656*$D$7*F640/2</f>
        <v>147.96992478813561</v>
      </c>
      <c r="E755" s="187" t="s">
        <v>341</v>
      </c>
      <c r="H755" s="33"/>
      <c r="J755" s="46"/>
      <c r="K755" s="159"/>
    </row>
    <row r="756" spans="1:14">
      <c r="B756" s="187" t="s">
        <v>648</v>
      </c>
      <c r="D756" s="33">
        <f>D753+D754+D755</f>
        <v>226.39133159317166</v>
      </c>
      <c r="E756" s="187" t="s">
        <v>341</v>
      </c>
      <c r="H756" s="33"/>
      <c r="J756" s="46"/>
      <c r="K756" s="159"/>
      <c r="L756" s="46"/>
      <c r="M756" s="46"/>
      <c r="N756" s="46"/>
    </row>
    <row r="757" spans="1:14">
      <c r="A757" s="187"/>
      <c r="B757" s="187" t="s">
        <v>682</v>
      </c>
      <c r="F757" s="33">
        <f>I661</f>
        <v>272.78984012565195</v>
      </c>
      <c r="G757" s="187" t="s">
        <v>107</v>
      </c>
      <c r="H757" s="23" t="str">
        <f>IF(F757&gt;0,"(bottom tension)","(top tension)")</f>
        <v>(bottom tension)</v>
      </c>
      <c r="I757" s="33"/>
      <c r="J757" s="224"/>
      <c r="K757" s="159"/>
      <c r="L757" s="46"/>
      <c r="M757" s="46"/>
      <c r="N757" s="46"/>
    </row>
    <row r="758" spans="1:14">
      <c r="B758" s="187" t="s">
        <v>936</v>
      </c>
      <c r="H758" s="33">
        <f>F757+D756*G727-(D753+D754)*G722-D755*G720</f>
        <v>165.53009921188783</v>
      </c>
      <c r="I758" s="187" t="s">
        <v>620</v>
      </c>
      <c r="J758" s="109"/>
      <c r="K758" s="159"/>
      <c r="L758" s="46"/>
      <c r="M758" s="46"/>
      <c r="N758" s="46"/>
    </row>
    <row r="759" spans="1:14">
      <c r="B759" s="187"/>
      <c r="H759" s="215" t="str">
        <f>IF(H758&gt;0,"(bottom tension)","(top tension)")</f>
        <v>(bottom tension)</v>
      </c>
      <c r="J759" s="46"/>
      <c r="K759" s="159"/>
      <c r="L759" s="46"/>
      <c r="M759" s="46"/>
      <c r="N759" s="46"/>
    </row>
    <row r="760" spans="1:14">
      <c r="B760" s="1" t="s">
        <v>661</v>
      </c>
      <c r="H760" s="33"/>
      <c r="J760" s="46"/>
      <c r="K760" s="159"/>
      <c r="L760" s="46"/>
      <c r="M760" s="46"/>
      <c r="N760" s="46"/>
    </row>
    <row r="761" spans="1:14">
      <c r="B761" s="187" t="s">
        <v>662</v>
      </c>
      <c r="G761" s="2203" t="s">
        <v>1878</v>
      </c>
      <c r="H761" s="2204"/>
      <c r="I761" s="2203"/>
      <c r="J761" s="2203"/>
      <c r="K761" s="159"/>
      <c r="L761" s="46"/>
      <c r="M761" s="46"/>
      <c r="N761" s="46"/>
    </row>
    <row r="762" spans="1:14">
      <c r="B762" s="187"/>
      <c r="H762" s="33"/>
      <c r="J762" s="46"/>
      <c r="K762" s="159"/>
    </row>
    <row r="763" spans="1:14">
      <c r="B763" s="187" t="s">
        <v>639</v>
      </c>
      <c r="D763" s="33">
        <f>D753</f>
        <v>62.126999999999988</v>
      </c>
      <c r="E763" s="187" t="s">
        <v>341</v>
      </c>
      <c r="F763" s="187"/>
      <c r="H763" s="187"/>
      <c r="J763" s="46"/>
      <c r="K763" s="159"/>
    </row>
    <row r="764" spans="1:14">
      <c r="B764" s="30" t="s">
        <v>640</v>
      </c>
      <c r="D764" s="33">
        <f>D754</f>
        <v>16.294406805036047</v>
      </c>
      <c r="E764" s="187" t="s">
        <v>341</v>
      </c>
      <c r="H764" s="33"/>
      <c r="J764" s="46"/>
      <c r="K764" s="159"/>
    </row>
    <row r="765" spans="1:14">
      <c r="B765" s="187" t="s">
        <v>647</v>
      </c>
      <c r="D765" s="33">
        <f>IF($F$4=1,0,D755)</f>
        <v>147.96992478813561</v>
      </c>
      <c r="E765" s="187" t="s">
        <v>341</v>
      </c>
      <c r="H765" s="187" t="s">
        <v>1879</v>
      </c>
      <c r="J765" s="46"/>
      <c r="K765" s="159"/>
    </row>
    <row r="766" spans="1:14">
      <c r="B766" s="187" t="s">
        <v>663</v>
      </c>
      <c r="D766" s="33">
        <f>D763+D764</f>
        <v>78.421406805036042</v>
      </c>
      <c r="E766" s="187" t="s">
        <v>341</v>
      </c>
      <c r="H766" s="33"/>
      <c r="J766" s="46"/>
      <c r="K766" s="159"/>
    </row>
    <row r="767" spans="1:14">
      <c r="B767" s="187" t="s">
        <v>679</v>
      </c>
      <c r="F767" s="33">
        <f>F757</f>
        <v>272.78984012565195</v>
      </c>
      <c r="G767" s="187" t="s">
        <v>107</v>
      </c>
      <c r="H767" s="23" t="str">
        <f>IF(F767&gt;0,"(bottom tension)","(top tension)")</f>
        <v>(bottom tension)</v>
      </c>
      <c r="I767" s="33"/>
      <c r="J767" s="224"/>
      <c r="K767" s="159"/>
    </row>
    <row r="768" spans="1:14">
      <c r="B768" s="187" t="s">
        <v>680</v>
      </c>
      <c r="H768" s="33">
        <f>F767+D766*G727-(D763+D764)*G722</f>
        <v>121.13912177544717</v>
      </c>
      <c r="I768" s="187" t="s">
        <v>341</v>
      </c>
      <c r="J768" s="109"/>
      <c r="K768" s="159"/>
      <c r="L768" s="46"/>
      <c r="M768" s="46"/>
      <c r="N768" s="46"/>
    </row>
    <row r="769" spans="1:14">
      <c r="A769" s="187"/>
      <c r="B769" s="187"/>
      <c r="H769" s="215" t="str">
        <f>IF(H768&gt;0,"(bottom tension)","(top tension)")</f>
        <v>(bottom tension)</v>
      </c>
      <c r="J769" s="46"/>
      <c r="K769" s="159"/>
      <c r="L769" s="46"/>
      <c r="M769" s="46"/>
      <c r="N769" s="46"/>
    </row>
    <row r="770" spans="1:14">
      <c r="B770" s="41" t="s">
        <v>664</v>
      </c>
      <c r="H770" s="215"/>
      <c r="J770" s="46"/>
      <c r="K770" s="159"/>
      <c r="L770" s="46"/>
      <c r="M770" s="90"/>
      <c r="N770" s="44"/>
    </row>
    <row r="771" spans="1:14">
      <c r="B771" s="187"/>
      <c r="H771" s="215"/>
      <c r="J771" s="46"/>
      <c r="K771" s="159"/>
      <c r="L771" s="46"/>
      <c r="M771" s="46"/>
      <c r="N771" s="46"/>
    </row>
    <row r="772" spans="1:14">
      <c r="B772" s="374" t="s">
        <v>673</v>
      </c>
      <c r="C772" s="3118" t="s">
        <v>675</v>
      </c>
      <c r="D772" s="3070" t="s">
        <v>674</v>
      </c>
      <c r="E772" s="3068"/>
      <c r="F772" s="374" t="s">
        <v>615</v>
      </c>
      <c r="G772" s="355" t="s">
        <v>619</v>
      </c>
      <c r="H772" s="355" t="s">
        <v>616</v>
      </c>
      <c r="I772" s="382" t="s">
        <v>676</v>
      </c>
      <c r="J772" s="562"/>
      <c r="K772" s="159"/>
      <c r="L772" s="46"/>
      <c r="M772" s="46"/>
      <c r="N772" s="46"/>
    </row>
    <row r="773" spans="1:14">
      <c r="B773" s="348"/>
      <c r="C773" s="3092"/>
      <c r="D773" s="3121" t="s">
        <v>665</v>
      </c>
      <c r="E773" s="3118" t="s">
        <v>672</v>
      </c>
      <c r="F773" s="16"/>
      <c r="G773" s="104"/>
      <c r="H773" s="824"/>
      <c r="I773" s="366"/>
      <c r="J773" s="385"/>
      <c r="K773" s="159"/>
      <c r="L773" s="46"/>
      <c r="M773" s="46"/>
      <c r="N773" s="46"/>
    </row>
    <row r="774" spans="1:14">
      <c r="B774" s="367"/>
      <c r="C774" s="365"/>
      <c r="D774" s="3121"/>
      <c r="E774" s="3092"/>
      <c r="F774" s="16"/>
      <c r="G774" s="824"/>
      <c r="H774" s="365"/>
      <c r="I774" s="380"/>
      <c r="J774" s="408"/>
      <c r="K774" s="159"/>
      <c r="L774" s="46"/>
      <c r="M774" s="46"/>
      <c r="N774" s="46"/>
    </row>
    <row r="775" spans="1:14">
      <c r="B775" s="818"/>
      <c r="C775" s="94" t="s">
        <v>107</v>
      </c>
      <c r="D775" s="819" t="s">
        <v>107</v>
      </c>
      <c r="E775" s="94" t="s">
        <v>107</v>
      </c>
      <c r="F775" s="822" t="s">
        <v>98</v>
      </c>
      <c r="G775" s="256" t="s">
        <v>98</v>
      </c>
      <c r="H775" s="256" t="s">
        <v>98</v>
      </c>
      <c r="I775" s="821"/>
      <c r="J775" s="408"/>
      <c r="K775" s="159"/>
      <c r="L775" s="46"/>
      <c r="M775" s="46"/>
      <c r="N775" s="46"/>
    </row>
    <row r="776" spans="1:14">
      <c r="B776" s="374" t="s">
        <v>666</v>
      </c>
      <c r="C776" s="376">
        <f>F737</f>
        <v>0</v>
      </c>
      <c r="D776" s="251">
        <f>IF(J9="y",0,IF(H738&lt;0,ABS(H738),0))</f>
        <v>0</v>
      </c>
      <c r="E776" s="379">
        <f>IF(H738&gt;0,H738,0)</f>
        <v>0</v>
      </c>
      <c r="F776" s="55"/>
      <c r="G776" s="824"/>
      <c r="H776" s="381"/>
      <c r="I776" s="375"/>
      <c r="J776" s="275"/>
      <c r="K776" s="159"/>
      <c r="L776" s="46"/>
      <c r="M776" s="46"/>
      <c r="N776" s="46"/>
    </row>
    <row r="777" spans="1:14">
      <c r="B777" s="348" t="s">
        <v>667</v>
      </c>
      <c r="C777" s="377">
        <f>F747</f>
        <v>227.68039373860282</v>
      </c>
      <c r="D777" s="107">
        <f>IF(H748&lt;0,ABS(H748),0)</f>
        <v>0</v>
      </c>
      <c r="E777" s="103">
        <f>IF(H748&gt;0,H748,0)</f>
        <v>75.468211932458757</v>
      </c>
      <c r="F777" s="16"/>
      <c r="G777" s="824"/>
      <c r="H777" s="824"/>
      <c r="I777" s="58"/>
      <c r="J777" s="386"/>
      <c r="K777" s="159"/>
      <c r="L777" s="46"/>
      <c r="M777" s="46"/>
      <c r="N777" s="46"/>
    </row>
    <row r="778" spans="1:14">
      <c r="B778" s="348" t="s">
        <v>668</v>
      </c>
      <c r="C778" s="377">
        <f>F757</f>
        <v>272.78984012565195</v>
      </c>
      <c r="D778" s="107">
        <f>IF(H758&lt;0,ABS(H758),0)</f>
        <v>0</v>
      </c>
      <c r="E778" s="103">
        <f>IF(H758&gt;0,H758,0)</f>
        <v>165.53009921188783</v>
      </c>
      <c r="F778" s="16"/>
      <c r="G778" s="824"/>
      <c r="H778" s="356"/>
      <c r="I778" s="350"/>
      <c r="J778" s="612"/>
      <c r="K778" s="159"/>
      <c r="L778" s="46"/>
      <c r="M778" s="46"/>
      <c r="N778" s="46"/>
    </row>
    <row r="779" spans="1:14">
      <c r="B779" s="348" t="s">
        <v>669</v>
      </c>
      <c r="C779" s="377">
        <f>F767</f>
        <v>272.78984012565195</v>
      </c>
      <c r="D779" s="107">
        <f>IF(H768&lt;0,ABS(H768),0)</f>
        <v>0</v>
      </c>
      <c r="E779" s="103">
        <f>IF(H768&gt;0,H768,0)</f>
        <v>121.13912177544717</v>
      </c>
      <c r="F779" s="16"/>
      <c r="G779" s="824"/>
      <c r="H779" s="824"/>
      <c r="I779" s="350"/>
      <c r="J779" s="612"/>
      <c r="K779" s="159"/>
      <c r="L779" s="46"/>
      <c r="M779" s="46"/>
      <c r="N779" s="46"/>
    </row>
    <row r="780" spans="1:14">
      <c r="B780" s="820" t="s">
        <v>671</v>
      </c>
      <c r="C780" s="393">
        <f>MAX(C776:C779)</f>
        <v>272.78984012565195</v>
      </c>
      <c r="D780" s="394">
        <f>MAX(D776:D779)</f>
        <v>0</v>
      </c>
      <c r="E780" s="393">
        <f>MAX(E776:E779)</f>
        <v>165.53009921188783</v>
      </c>
      <c r="F780" s="395">
        <f>((MAX(C780,D780,E780)*10^6)/($C$23*1000))^0.5</f>
        <v>436.73849195700052</v>
      </c>
      <c r="G780" s="316">
        <f>I716*1000</f>
        <v>1001.3888888888889</v>
      </c>
      <c r="H780" s="396">
        <f>G780-$I$13-C805/2</f>
        <v>931.38888888888891</v>
      </c>
      <c r="I780" s="1976" t="str">
        <f>IF(H780&gt;=F780,"o.k","Not o.k")</f>
        <v>o.k</v>
      </c>
      <c r="J780" s="386"/>
      <c r="K780" s="159"/>
      <c r="L780" s="46"/>
      <c r="M780" s="46"/>
      <c r="N780" s="46"/>
    </row>
    <row r="781" spans="1:14">
      <c r="B781" s="369"/>
      <c r="C781" s="377"/>
      <c r="D781" s="368"/>
      <c r="E781" s="377"/>
      <c r="F781" s="16"/>
      <c r="G781" s="824"/>
      <c r="H781" s="356">
        <f>H780-$I$15</f>
        <v>931.38888888888891</v>
      </c>
      <c r="I781" s="370" t="s">
        <v>2138</v>
      </c>
      <c r="J781" s="786"/>
      <c r="K781" s="159"/>
      <c r="L781" s="46"/>
      <c r="M781" s="46"/>
      <c r="N781" s="46"/>
    </row>
    <row r="782" spans="1:14">
      <c r="B782" s="371" t="s">
        <v>670</v>
      </c>
      <c r="C782" s="378">
        <f>(C780*10^6)/($C$18*$C$22*H780)</f>
        <v>1762.3880966395698</v>
      </c>
      <c r="D782" s="372">
        <f>(D780*10^6)/($C$18*$C$22*H780)</f>
        <v>0</v>
      </c>
      <c r="E782" s="378">
        <f>(E780*10^6)/($C$18*$C$22*H781)</f>
        <v>1069.4250062693786</v>
      </c>
      <c r="F782" s="59"/>
      <c r="G782" s="825"/>
      <c r="H782" s="357"/>
      <c r="I782" s="373"/>
      <c r="J782" s="786"/>
      <c r="K782" s="159"/>
      <c r="L782" s="46"/>
      <c r="M782" s="46"/>
      <c r="N782" s="46"/>
    </row>
    <row r="783" spans="1:14">
      <c r="A783" s="187"/>
      <c r="B783" s="223"/>
      <c r="C783" s="223"/>
      <c r="D783" s="2"/>
      <c r="E783" s="223"/>
      <c r="G783" s="349"/>
      <c r="H783" s="294"/>
      <c r="I783" s="16"/>
      <c r="J783" s="386"/>
      <c r="K783" s="159"/>
      <c r="L783" s="46"/>
      <c r="M783" s="46"/>
      <c r="N783" s="46"/>
    </row>
    <row r="784" spans="1:14">
      <c r="A784" s="187"/>
      <c r="B784" s="383" t="s">
        <v>1107</v>
      </c>
      <c r="C784" s="223"/>
      <c r="D784" s="2"/>
      <c r="E784" s="223"/>
      <c r="G784" s="349"/>
      <c r="H784" s="294"/>
      <c r="I784" s="16"/>
      <c r="J784" s="386"/>
      <c r="K784" s="159"/>
      <c r="L784" s="46"/>
      <c r="M784" s="46"/>
      <c r="N784" s="46"/>
    </row>
    <row r="785" spans="1:19">
      <c r="A785" s="187"/>
      <c r="B785" s="385" t="s">
        <v>1125</v>
      </c>
      <c r="D785" s="386"/>
      <c r="G785" s="385" t="s">
        <v>1123</v>
      </c>
      <c r="I785" s="16"/>
      <c r="J785" s="386"/>
      <c r="K785" s="159"/>
      <c r="L785" s="46"/>
      <c r="M785" s="46"/>
      <c r="N785" s="46"/>
    </row>
    <row r="786" spans="1:19" ht="14.25">
      <c r="A786" s="187"/>
      <c r="B786" s="385" t="s">
        <v>441</v>
      </c>
      <c r="C786" s="386">
        <f>IF(F642&lt;=9,$G$106,$G$111)</f>
        <v>2E-3</v>
      </c>
      <c r="D786" s="385" t="s">
        <v>438</v>
      </c>
      <c r="E786" s="294"/>
      <c r="G786" s="385" t="s">
        <v>441</v>
      </c>
      <c r="H786" s="386">
        <f>IF(F642&lt;=9,$G$105,$G$110)</f>
        <v>1E-3</v>
      </c>
      <c r="I786" s="385" t="s">
        <v>438</v>
      </c>
      <c r="J786" s="386"/>
      <c r="K786" s="159"/>
      <c r="L786" s="46"/>
      <c r="M786" s="46"/>
      <c r="N786" s="46"/>
    </row>
    <row r="787" spans="1:19" ht="14.25">
      <c r="A787" s="187"/>
      <c r="B787" s="385" t="s">
        <v>442</v>
      </c>
      <c r="C787" s="386">
        <f>IF(E59&lt;=9,$G$106,$G$111)</f>
        <v>2.5000000000000001E-3</v>
      </c>
      <c r="D787" s="385" t="s">
        <v>438</v>
      </c>
      <c r="E787" s="294"/>
      <c r="F787" s="386"/>
      <c r="G787" s="385" t="s">
        <v>442</v>
      </c>
      <c r="H787" s="386">
        <f>IF(E59&lt;=9,$G$105,$G$110)</f>
        <v>1.5E-3</v>
      </c>
      <c r="I787" s="385" t="s">
        <v>438</v>
      </c>
      <c r="J787" s="386"/>
      <c r="K787" s="159"/>
      <c r="L787" s="46"/>
      <c r="M787" s="46"/>
      <c r="N787" s="46"/>
    </row>
    <row r="788" spans="1:19">
      <c r="J788" s="46"/>
      <c r="K788" s="159"/>
      <c r="L788" s="46"/>
      <c r="M788" s="46"/>
      <c r="N788" s="46"/>
    </row>
    <row r="789" spans="1:19">
      <c r="A789" s="936" t="str">
        <f>"Reinforcement Distribution of C/S Floor  for Sec  "&amp;C613</f>
        <v>Reinforcement Distribution of C/S Floor  for Sec  3-3</v>
      </c>
      <c r="G789" s="107"/>
      <c r="H789" s="107"/>
      <c r="J789" s="46"/>
      <c r="K789" s="159"/>
      <c r="L789" s="46"/>
      <c r="M789" s="46"/>
      <c r="N789" s="46"/>
    </row>
    <row r="790" spans="1:19">
      <c r="J790" s="46"/>
      <c r="K790" s="159"/>
      <c r="L790" s="46"/>
      <c r="M790" s="46"/>
      <c r="N790" s="46"/>
    </row>
    <row r="791" spans="1:19">
      <c r="A791" s="3147" t="s">
        <v>486</v>
      </c>
      <c r="B791" s="3148" t="s">
        <v>487</v>
      </c>
      <c r="C791" s="3148" t="s">
        <v>488</v>
      </c>
      <c r="D791" s="3148" t="s">
        <v>489</v>
      </c>
      <c r="E791" s="3149" t="s">
        <v>490</v>
      </c>
      <c r="F791" s="3150"/>
      <c r="G791" s="3150"/>
      <c r="H791" s="3150"/>
      <c r="I791" s="3150"/>
      <c r="J791" s="330"/>
      <c r="K791" s="159"/>
      <c r="L791" s="329"/>
      <c r="M791" s="46"/>
      <c r="N791" s="46"/>
    </row>
    <row r="792" spans="1:19">
      <c r="A792" s="3147"/>
      <c r="B792" s="3148"/>
      <c r="C792" s="3148"/>
      <c r="D792" s="3148"/>
      <c r="E792" s="94">
        <v>12</v>
      </c>
      <c r="F792" s="94">
        <v>16</v>
      </c>
      <c r="G792" s="94">
        <v>20</v>
      </c>
      <c r="H792" s="94">
        <v>22</v>
      </c>
      <c r="I792" s="94">
        <v>25</v>
      </c>
      <c r="J792" s="275"/>
      <c r="K792" s="159"/>
      <c r="L792" s="46"/>
      <c r="M792" s="46"/>
      <c r="N792" s="46"/>
    </row>
    <row r="793" spans="1:19" ht="14.25">
      <c r="A793" s="172"/>
      <c r="B793" s="256" t="s">
        <v>491</v>
      </c>
      <c r="C793" s="256" t="s">
        <v>491</v>
      </c>
      <c r="D793" s="256" t="s">
        <v>491</v>
      </c>
      <c r="E793" s="816" t="s">
        <v>98</v>
      </c>
      <c r="F793" s="816" t="s">
        <v>98</v>
      </c>
      <c r="G793" s="816" t="s">
        <v>98</v>
      </c>
      <c r="H793" s="816" t="s">
        <v>98</v>
      </c>
      <c r="I793" s="816" t="s">
        <v>98</v>
      </c>
      <c r="J793" s="759"/>
      <c r="K793" s="159"/>
      <c r="L793" s="3173" t="s">
        <v>1140</v>
      </c>
      <c r="M793" s="3174"/>
      <c r="N793" s="3174"/>
      <c r="O793" s="3174"/>
      <c r="P793" s="3175"/>
    </row>
    <row r="794" spans="1:19">
      <c r="A794" s="264" t="s">
        <v>440</v>
      </c>
      <c r="B794" s="55"/>
      <c r="C794" s="55"/>
      <c r="D794" s="55"/>
      <c r="E794" s="55"/>
      <c r="F794" s="55"/>
      <c r="G794" s="55"/>
      <c r="H794" s="55"/>
      <c r="I794" s="56"/>
      <c r="J794" s="386"/>
      <c r="K794" s="159"/>
      <c r="L794" s="3205" t="s">
        <v>876</v>
      </c>
      <c r="M794" s="3171" t="s">
        <v>442</v>
      </c>
      <c r="N794" s="3176"/>
      <c r="O794" s="3176"/>
      <c r="P794" s="3172"/>
      <c r="R794" s="3127" t="s">
        <v>441</v>
      </c>
      <c r="S794" s="3129"/>
    </row>
    <row r="795" spans="1:19">
      <c r="A795" s="363" t="s">
        <v>441</v>
      </c>
      <c r="B795" s="318">
        <f>D782</f>
        <v>0</v>
      </c>
      <c r="C795" s="318">
        <f>IF(G780&gt;380,C786*1000*380,C786*1000*G780)</f>
        <v>760</v>
      </c>
      <c r="D795" s="318">
        <f>MAX(B795:C795)</f>
        <v>760</v>
      </c>
      <c r="E795" s="261">
        <f>PI()*(E792/2)^2*1000/$D795</f>
        <v>148.81228359109548</v>
      </c>
      <c r="F795" s="261">
        <f>PI()*(F792/2)^2*1000/$D795</f>
        <v>264.55517082861417</v>
      </c>
      <c r="G795" s="261">
        <f>PI()*(G792/2)^2*1000/$D795</f>
        <v>413.36745441970965</v>
      </c>
      <c r="H795" s="261">
        <f>PI()*(H792/2)^2*1000/$D795</f>
        <v>500.17461984784865</v>
      </c>
      <c r="I795" s="283">
        <f>PI()*(I792/2)^2*1000/$D795</f>
        <v>645.88664753079627</v>
      </c>
      <c r="J795" s="328"/>
      <c r="K795" s="159"/>
      <c r="L795" s="3206"/>
      <c r="M795" s="3171" t="s">
        <v>440</v>
      </c>
      <c r="N795" s="3172"/>
      <c r="O795" s="3171" t="s">
        <v>443</v>
      </c>
      <c r="P795" s="3172"/>
      <c r="R795" s="3171" t="s">
        <v>440</v>
      </c>
      <c r="S795" s="3172"/>
    </row>
    <row r="796" spans="1:19">
      <c r="A796" s="364" t="s">
        <v>442</v>
      </c>
      <c r="B796" s="319"/>
      <c r="C796" s="318">
        <f>IF(G780&gt;380,C787*1000*380,C787*1000*G780)</f>
        <v>950</v>
      </c>
      <c r="D796" s="319">
        <f>MAX(B796:C796)</f>
        <v>950</v>
      </c>
      <c r="E796" s="261">
        <f>PI()*(E792/2)^2*1000/$D796</f>
        <v>119.04982687287638</v>
      </c>
      <c r="F796" s="261">
        <f>PI()*(F792/2)^2*1000/$D796</f>
        <v>211.6441366628913</v>
      </c>
      <c r="G796" s="261">
        <f>PI()*(G792/2)^2*1000/$D796</f>
        <v>330.69396353576775</v>
      </c>
      <c r="H796" s="261">
        <f>PI()*(H792/2)^2*1000/$D796</f>
        <v>400.13969587827893</v>
      </c>
      <c r="I796" s="283">
        <f>PI()*(I792/2)^2*1000/$D796</f>
        <v>516.70931802463701</v>
      </c>
      <c r="J796" s="328"/>
      <c r="K796" s="159"/>
      <c r="L796" s="3207"/>
      <c r="M796" s="911" t="s">
        <v>709</v>
      </c>
      <c r="N796" s="912" t="s">
        <v>710</v>
      </c>
      <c r="O796" s="912" t="s">
        <v>709</v>
      </c>
      <c r="P796" s="913" t="s">
        <v>710</v>
      </c>
      <c r="R796" s="926" t="s">
        <v>709</v>
      </c>
      <c r="S796" s="894" t="s">
        <v>710</v>
      </c>
    </row>
    <row r="797" spans="1:19">
      <c r="A797" s="258" t="s">
        <v>443</v>
      </c>
      <c r="B797" s="265"/>
      <c r="C797" s="322"/>
      <c r="D797" s="322"/>
      <c r="E797" s="266"/>
      <c r="F797" s="266"/>
      <c r="G797" s="266"/>
      <c r="H797" s="266"/>
      <c r="I797" s="267"/>
      <c r="J797" s="330"/>
      <c r="K797" s="159"/>
      <c r="L797" s="897" t="str">
        <f>L306</f>
        <v>1-1</v>
      </c>
      <c r="M797" s="897">
        <f t="shared" ref="M797:P797" si="25">M306</f>
        <v>16</v>
      </c>
      <c r="N797" s="897">
        <f t="shared" si="25"/>
        <v>200</v>
      </c>
      <c r="O797" s="897">
        <f t="shared" si="25"/>
        <v>16</v>
      </c>
      <c r="P797" s="898">
        <f t="shared" si="25"/>
        <v>250</v>
      </c>
      <c r="R797" s="926">
        <f>R306</f>
        <v>16</v>
      </c>
      <c r="S797" s="894">
        <f>S306</f>
        <v>200</v>
      </c>
    </row>
    <row r="798" spans="1:19">
      <c r="A798" s="363" t="s">
        <v>441</v>
      </c>
      <c r="B798" s="318">
        <f>C782</f>
        <v>1762.3880966395698</v>
      </c>
      <c r="C798" s="318">
        <f>IF(G780&gt;380,H786*1000*380,H786*1000*G780)</f>
        <v>380</v>
      </c>
      <c r="D798" s="318">
        <f>MAX(B798:C798)</f>
        <v>1762.3880966395698</v>
      </c>
      <c r="E798" s="261">
        <f>PI()*(E792/2)^2*1000/$D798</f>
        <v>64.172775420397301</v>
      </c>
      <c r="F798" s="261">
        <f>PI()*(F792/2)^2*1000/$D798</f>
        <v>114.08493408070629</v>
      </c>
      <c r="G798" s="261">
        <f>PI()*(G792/2)^2*1000/$D798</f>
        <v>178.25770950110362</v>
      </c>
      <c r="H798" s="261">
        <f>PI()*(H792/2)^2*1000/$D798</f>
        <v>215.69182849633535</v>
      </c>
      <c r="I798" s="283">
        <f>PI()*(I792/2)^2*1000/$D798</f>
        <v>278.52767109547437</v>
      </c>
      <c r="J798" s="328"/>
      <c r="K798" s="159"/>
      <c r="L798" s="895" t="str">
        <f t="shared" ref="L798:P801" si="26">L307</f>
        <v>2-2</v>
      </c>
      <c r="M798" s="895">
        <f t="shared" si="26"/>
        <v>16</v>
      </c>
      <c r="N798" s="895">
        <f t="shared" si="26"/>
        <v>200</v>
      </c>
      <c r="O798" s="895">
        <f t="shared" si="26"/>
        <v>16</v>
      </c>
      <c r="P798" s="899">
        <f t="shared" si="26"/>
        <v>250</v>
      </c>
      <c r="R798" s="2334">
        <f t="shared" ref="R798:S798" si="27">R307</f>
        <v>16</v>
      </c>
      <c r="S798" s="892">
        <f t="shared" si="27"/>
        <v>200</v>
      </c>
    </row>
    <row r="799" spans="1:19">
      <c r="A799" s="364" t="s">
        <v>442</v>
      </c>
      <c r="B799" s="263"/>
      <c r="C799" s="319">
        <f>IF(G780&gt;380,H787*1000*380,H787*1000*G780)</f>
        <v>570</v>
      </c>
      <c r="D799" s="319">
        <f>MAX(B799:C799)</f>
        <v>570</v>
      </c>
      <c r="E799" s="284">
        <f>PI()*(E792/2)^2*1000/$D799</f>
        <v>198.41637812146064</v>
      </c>
      <c r="F799" s="284">
        <f>PI()*(F792/2)^2*1000/$D799</f>
        <v>352.74022777148554</v>
      </c>
      <c r="G799" s="284">
        <f>PI()*(G792/2)^2*1000/$D799</f>
        <v>551.15660589294623</v>
      </c>
      <c r="H799" s="284">
        <f>PI()*(H792/2)^2*1000/$D799</f>
        <v>666.89949313046486</v>
      </c>
      <c r="I799" s="285">
        <f>PI()*(I792/2)^2*1000/$D799</f>
        <v>861.18219670772839</v>
      </c>
      <c r="J799" s="328"/>
      <c r="K799" s="159"/>
      <c r="L799" s="2017" t="str">
        <f t="shared" si="26"/>
        <v>3-3</v>
      </c>
      <c r="M799" s="2017">
        <f t="shared" si="26"/>
        <v>16</v>
      </c>
      <c r="N799" s="2017">
        <f t="shared" si="26"/>
        <v>200</v>
      </c>
      <c r="O799" s="2017">
        <f t="shared" si="26"/>
        <v>16</v>
      </c>
      <c r="P799" s="2018">
        <f t="shared" si="26"/>
        <v>250</v>
      </c>
      <c r="R799" s="2335">
        <f t="shared" ref="R799:S799" si="28">R308</f>
        <v>16</v>
      </c>
      <c r="S799" s="2337">
        <f t="shared" si="28"/>
        <v>200</v>
      </c>
    </row>
    <row r="800" spans="1:19" ht="15">
      <c r="A800" s="29"/>
      <c r="J800" s="46"/>
      <c r="K800" s="159"/>
      <c r="L800" s="895" t="str">
        <f t="shared" si="26"/>
        <v>4-4</v>
      </c>
      <c r="M800" s="895">
        <f t="shared" si="26"/>
        <v>16</v>
      </c>
      <c r="N800" s="895">
        <f t="shared" si="26"/>
        <v>200</v>
      </c>
      <c r="O800" s="895">
        <f t="shared" si="26"/>
        <v>16</v>
      </c>
      <c r="P800" s="899">
        <f t="shared" si="26"/>
        <v>250</v>
      </c>
      <c r="R800" s="2334">
        <f t="shared" ref="R800:S800" si="29">R309</f>
        <v>16</v>
      </c>
      <c r="S800" s="892">
        <f t="shared" si="29"/>
        <v>200</v>
      </c>
    </row>
    <row r="801" spans="1:23">
      <c r="A801" s="264" t="s">
        <v>440</v>
      </c>
      <c r="B801" s="55"/>
      <c r="C801" s="252"/>
      <c r="D801" s="55"/>
      <c r="E801" s="55"/>
      <c r="F801" s="56"/>
      <c r="G801" s="1551" t="s">
        <v>2095</v>
      </c>
      <c r="H801" s="2641" t="s">
        <v>1358</v>
      </c>
      <c r="I801" s="1178" t="s">
        <v>2094</v>
      </c>
      <c r="J801" s="46"/>
      <c r="K801" s="159"/>
      <c r="L801" s="900" t="str">
        <f t="shared" si="26"/>
        <v>5-5</v>
      </c>
      <c r="M801" s="900">
        <f t="shared" si="26"/>
        <v>16</v>
      </c>
      <c r="N801" s="900">
        <f t="shared" si="26"/>
        <v>200</v>
      </c>
      <c r="O801" s="900">
        <f t="shared" si="26"/>
        <v>16</v>
      </c>
      <c r="P801" s="901">
        <f t="shared" si="26"/>
        <v>250</v>
      </c>
      <c r="R801" s="2336">
        <f t="shared" ref="R801:S801" si="30">R310</f>
        <v>16</v>
      </c>
      <c r="S801" s="893">
        <f t="shared" si="30"/>
        <v>150</v>
      </c>
    </row>
    <row r="802" spans="1:23" ht="15.75">
      <c r="A802" s="363" t="s">
        <v>441</v>
      </c>
      <c r="B802" s="268" t="s">
        <v>136</v>
      </c>
      <c r="C802" s="269">
        <v>16</v>
      </c>
      <c r="D802" s="827" t="s">
        <v>481</v>
      </c>
      <c r="E802" s="271">
        <v>200</v>
      </c>
      <c r="F802" s="272" t="s">
        <v>482</v>
      </c>
      <c r="G802" s="2014" t="s">
        <v>2096</v>
      </c>
      <c r="H802" s="316">
        <f>PI()*(C802/2)^2*1000/E802</f>
        <v>1005.3096491487337</v>
      </c>
      <c r="I802" s="457">
        <f>H802*$C$18*$C$22*H780/10^6</f>
        <v>155.60605464310706</v>
      </c>
      <c r="J802" s="46"/>
      <c r="K802" s="159"/>
    </row>
    <row r="803" spans="1:23" ht="15.75">
      <c r="A803" s="364" t="s">
        <v>442</v>
      </c>
      <c r="B803" s="278" t="s">
        <v>136</v>
      </c>
      <c r="C803" s="279">
        <v>16</v>
      </c>
      <c r="D803" s="280" t="s">
        <v>481</v>
      </c>
      <c r="E803" s="281">
        <v>200</v>
      </c>
      <c r="F803" s="282" t="s">
        <v>482</v>
      </c>
      <c r="G803" s="2639"/>
      <c r="H803" s="16"/>
      <c r="I803" s="2666" t="str">
        <f>IF(I802&gt;=T26,"o.k","Not o.k")</f>
        <v>o.k</v>
      </c>
      <c r="J803" s="46"/>
      <c r="K803" s="159"/>
      <c r="L803" s="46"/>
      <c r="M803" s="46"/>
      <c r="N803" s="46"/>
    </row>
    <row r="804" spans="1:23" ht="15">
      <c r="A804" s="258" t="s">
        <v>443</v>
      </c>
      <c r="B804" s="273"/>
      <c r="C804" s="274"/>
      <c r="D804" s="275"/>
      <c r="E804" s="276"/>
      <c r="F804" s="277"/>
      <c r="G804" s="2639"/>
      <c r="H804" s="16"/>
      <c r="I804" s="58"/>
      <c r="J804" s="46"/>
      <c r="K804" s="159"/>
      <c r="L804" s="46"/>
      <c r="M804" s="46"/>
      <c r="N804" s="46"/>
    </row>
    <row r="805" spans="1:23" ht="15.75">
      <c r="A805" s="363" t="s">
        <v>441</v>
      </c>
      <c r="B805" s="268" t="s">
        <v>136</v>
      </c>
      <c r="C805" s="397">
        <f>C688</f>
        <v>20</v>
      </c>
      <c r="D805" s="827" t="s">
        <v>481</v>
      </c>
      <c r="E805" s="398">
        <f>E688</f>
        <v>100</v>
      </c>
      <c r="F805" s="272" t="s">
        <v>482</v>
      </c>
      <c r="G805" s="2124" t="s">
        <v>2097</v>
      </c>
      <c r="H805" s="316">
        <f>PI()*(C805/2)^2*1000/$E805</f>
        <v>3141.5926535897934</v>
      </c>
      <c r="I805" s="457">
        <f>H805*$C$18*$C$22*H780/10^6</f>
        <v>486.26892075970966</v>
      </c>
      <c r="J805" s="46"/>
      <c r="K805" s="159"/>
      <c r="L805" s="46"/>
      <c r="M805" s="46"/>
      <c r="N805" s="46"/>
    </row>
    <row r="806" spans="1:23" ht="15.75">
      <c r="A806" s="364" t="s">
        <v>442</v>
      </c>
      <c r="B806" s="278" t="s">
        <v>136</v>
      </c>
      <c r="C806" s="279">
        <v>16</v>
      </c>
      <c r="D806" s="280" t="s">
        <v>481</v>
      </c>
      <c r="E806" s="281">
        <v>250</v>
      </c>
      <c r="F806" s="282" t="s">
        <v>482</v>
      </c>
      <c r="G806" s="2640"/>
      <c r="H806" s="60"/>
      <c r="I806" s="465" t="str">
        <f>IF(I805&gt;=S26,"o.k","Not o.k")</f>
        <v>o.k</v>
      </c>
      <c r="J806" s="46"/>
      <c r="K806" s="159"/>
      <c r="L806" s="46"/>
      <c r="M806" s="46"/>
      <c r="N806" s="46"/>
    </row>
    <row r="807" spans="1:23">
      <c r="J807" s="46"/>
      <c r="K807" s="159"/>
    </row>
    <row r="808" spans="1:23">
      <c r="B808" s="2183" t="s">
        <v>602</v>
      </c>
      <c r="C808" s="2184"/>
      <c r="D808" s="2185" t="s">
        <v>1868</v>
      </c>
      <c r="E808" s="2184"/>
      <c r="F808" s="2184"/>
      <c r="J808" s="46"/>
      <c r="K808" s="159"/>
    </row>
    <row r="809" spans="1:23">
      <c r="B809" s="187" t="s">
        <v>940</v>
      </c>
      <c r="G809" s="126" t="str">
        <f>IF(AND(H748&lt;=F747/2,H758&lt;=F757/2,H768&lt;=F767/2),"For Curtailment follow the Remark","Curtailment not possible")</f>
        <v>Curtailment not possible</v>
      </c>
      <c r="H809" s="126"/>
      <c r="I809" s="126"/>
      <c r="J809" s="126"/>
      <c r="K809" s="159"/>
    </row>
    <row r="810" spans="1:23" ht="12.75" customHeight="1">
      <c r="B810" s="187" t="s">
        <v>1822</v>
      </c>
      <c r="F810" s="1995">
        <f>0.5*PI()*(C805/2)^2*1000/E805</f>
        <v>1570.7963267948967</v>
      </c>
      <c r="G810" s="187" t="s">
        <v>1348</v>
      </c>
      <c r="J810" s="46"/>
      <c r="K810" s="159"/>
      <c r="P810" s="495" t="s">
        <v>689</v>
      </c>
      <c r="Q810" s="55"/>
      <c r="R810" s="55"/>
      <c r="S810" s="55"/>
      <c r="T810" s="55"/>
      <c r="U810" s="55"/>
      <c r="V810" s="55"/>
      <c r="W810" s="2736" t="s">
        <v>945</v>
      </c>
    </row>
    <row r="811" spans="1:23" ht="14.25">
      <c r="B811" s="385" t="s">
        <v>1825</v>
      </c>
      <c r="F811" s="33">
        <f>F810*$C$18*$C$22*H780/10^6</f>
        <v>243.13446037985483</v>
      </c>
      <c r="G811" s="187" t="s">
        <v>107</v>
      </c>
      <c r="H811" s="2751" t="str">
        <f>IF(F811&gt;S$26,"&gt; Max End Me="&amp;FIXED(S$26,2)&amp;" kn-m","&lt; Max End Me="&amp;FIXED(S$26,2)&amp;" kn-m")</f>
        <v>&lt; Max End Me=272.79 kn-m</v>
      </c>
      <c r="I811" s="2751"/>
      <c r="J811" s="2751"/>
      <c r="K811" s="159"/>
      <c r="L811" s="2742" t="s">
        <v>2116</v>
      </c>
      <c r="M811" s="2743"/>
      <c r="N811" s="2744"/>
      <c r="O811" s="2084"/>
      <c r="P811" s="369" t="s">
        <v>941</v>
      </c>
      <c r="Q811" s="16"/>
      <c r="R811" s="16"/>
      <c r="S811" s="16"/>
      <c r="T811" s="16"/>
      <c r="U811" s="16"/>
      <c r="V811" s="16"/>
      <c r="W811" s="2735"/>
    </row>
    <row r="812" spans="1:23" ht="14.25">
      <c r="B812" s="187" t="s">
        <v>1823</v>
      </c>
      <c r="J812" s="46"/>
      <c r="K812" s="159"/>
      <c r="L812" s="2745" t="s">
        <v>2117</v>
      </c>
      <c r="M812" s="2746"/>
      <c r="N812" s="2747"/>
      <c r="O812" s="259" t="s">
        <v>707</v>
      </c>
      <c r="P812" s="369" t="s">
        <v>942</v>
      </c>
      <c r="Q812" s="16"/>
      <c r="R812" s="16"/>
      <c r="S812" s="16"/>
      <c r="T812" s="16"/>
      <c r="U812" s="16"/>
      <c r="V812" s="16"/>
      <c r="W812" s="2739"/>
    </row>
    <row r="813" spans="1:23" ht="14.25">
      <c r="A813" s="203" t="s">
        <v>707</v>
      </c>
      <c r="B813" s="187" t="s">
        <v>1826</v>
      </c>
      <c r="J813" s="46"/>
      <c r="K813" s="159"/>
      <c r="L813" s="2748" t="s">
        <v>2118</v>
      </c>
      <c r="M813" s="2749"/>
      <c r="N813" s="2750"/>
      <c r="O813" s="2084"/>
      <c r="P813" s="424">
        <f>D746/F729</f>
        <v>17.618412291933417</v>
      </c>
      <c r="Q813" s="434" t="s">
        <v>685</v>
      </c>
      <c r="R813" s="242">
        <f>D746*2</f>
        <v>157.42349999999996</v>
      </c>
      <c r="S813" s="434" t="s">
        <v>686</v>
      </c>
      <c r="T813" s="242">
        <f>D746*H640+F747</f>
        <v>274.90744373860281</v>
      </c>
      <c r="U813" s="2737" t="s">
        <v>35</v>
      </c>
      <c r="V813" s="1048">
        <v>0</v>
      </c>
      <c r="W813" s="256" t="s">
        <v>491</v>
      </c>
    </row>
    <row r="814" spans="1:23" ht="14.25">
      <c r="B814" s="33">
        <f>D746/F729</f>
        <v>17.618412291933417</v>
      </c>
      <c r="C814" s="206" t="s">
        <v>685</v>
      </c>
      <c r="D814" s="33">
        <f>D746*2</f>
        <v>157.42349999999996</v>
      </c>
      <c r="E814" s="206" t="s">
        <v>686</v>
      </c>
      <c r="F814" s="33">
        <f>D746*H640+F747*2-F811*2</f>
        <v>16.318916717495938</v>
      </c>
      <c r="G814" s="1979" t="s">
        <v>35</v>
      </c>
      <c r="H814" s="18">
        <v>0</v>
      </c>
      <c r="J814" s="46"/>
      <c r="K814" s="159"/>
      <c r="P814" s="2738"/>
      <c r="Q814" s="16"/>
      <c r="R814" s="16"/>
      <c r="S814" s="16"/>
      <c r="T814" s="16"/>
      <c r="U814" s="16"/>
      <c r="V814" s="16"/>
      <c r="W814" s="316">
        <f>T816*10^6/($C$18*$C$22*H780)</f>
        <v>735.47683370153334</v>
      </c>
    </row>
    <row r="815" spans="1:23">
      <c r="B815" s="33"/>
      <c r="C815" s="206"/>
      <c r="D815" s="33"/>
      <c r="E815" s="206"/>
      <c r="F815" s="33"/>
      <c r="G815" s="1979"/>
      <c r="H815" s="18"/>
      <c r="J815" s="46"/>
      <c r="K815" s="159"/>
      <c r="P815" s="369" t="s">
        <v>691</v>
      </c>
      <c r="Q815" s="242">
        <f>(-(-R813)-SQRT(R813^2-4*P813*T813))/(2*P813)</f>
        <v>2.3805064289804405</v>
      </c>
      <c r="R815" s="241" t="s">
        <v>688</v>
      </c>
      <c r="S815" s="16"/>
      <c r="T815" s="16"/>
      <c r="U815" s="241" t="s">
        <v>690</v>
      </c>
      <c r="V815" s="16"/>
      <c r="W815" s="58"/>
    </row>
    <row r="816" spans="1:23" ht="14.25">
      <c r="B816" s="187" t="s">
        <v>691</v>
      </c>
      <c r="C816" s="1996">
        <f>(-(-D814)-SQRT(D814^2-4*B814*F814))/(2*B814)</f>
        <v>0.10489391619005332</v>
      </c>
      <c r="D816" s="187" t="s">
        <v>688</v>
      </c>
      <c r="G816" s="187" t="s">
        <v>1827</v>
      </c>
      <c r="J816" s="46"/>
      <c r="K816" s="159"/>
      <c r="P816" s="369" t="s">
        <v>687</v>
      </c>
      <c r="Q816" s="16"/>
      <c r="R816" s="16"/>
      <c r="S816" s="16"/>
      <c r="T816" s="242">
        <f>F747+Q815^2*D746/(2*F729)-D746*(Q815-H640/2)</f>
        <v>113.84019686930139</v>
      </c>
      <c r="U816" s="241" t="s">
        <v>620</v>
      </c>
      <c r="V816" s="16"/>
      <c r="W816" s="58"/>
    </row>
    <row r="817" spans="1:23" ht="14.25">
      <c r="B817" s="187" t="s">
        <v>687</v>
      </c>
      <c r="F817" s="33">
        <f>F747+C816^2*D746/(2*F729)-D746*(C816-H640/2)</f>
        <v>243.13446037985486</v>
      </c>
      <c r="G817" s="187" t="s">
        <v>620</v>
      </c>
      <c r="J817" s="46"/>
      <c r="K817" s="159"/>
      <c r="P817" s="425"/>
      <c r="Q817" s="2098"/>
      <c r="R817" s="1553"/>
      <c r="S817" s="1497" t="s">
        <v>943</v>
      </c>
      <c r="T817" s="212">
        <f>+F747/2</f>
        <v>113.84019686930141</v>
      </c>
      <c r="U817" s="204" t="s">
        <v>620</v>
      </c>
      <c r="V817" s="1504" t="str">
        <f>IF(T816=T817,"O.k","Not O.k")</f>
        <v>O.k</v>
      </c>
      <c r="W817" s="60"/>
    </row>
    <row r="818" spans="1:23">
      <c r="B818" s="207" t="s">
        <v>2113</v>
      </c>
      <c r="C818" s="126"/>
      <c r="D818" s="126"/>
      <c r="E818" s="126"/>
      <c r="F818" s="246">
        <f>U$26</f>
        <v>165.53009921188783</v>
      </c>
      <c r="G818" s="207" t="s">
        <v>620</v>
      </c>
      <c r="H818" s="33"/>
      <c r="I818" s="187"/>
      <c r="J818" s="109"/>
      <c r="K818" s="159"/>
      <c r="M818" s="33"/>
      <c r="N818" s="624"/>
      <c r="O818" s="46"/>
    </row>
    <row r="819" spans="1:23">
      <c r="B819" s="187" t="s">
        <v>692</v>
      </c>
      <c r="H819" s="33">
        <f>MAX(C816,D640)+40*C805/1000</f>
        <v>1.4</v>
      </c>
      <c r="I819" s="187" t="s">
        <v>5</v>
      </c>
      <c r="J819" s="109"/>
      <c r="K819" s="159"/>
      <c r="M819">
        <f>(-(-D814)+SQRT(D814^2-4*B814*F814))/(2*B814)</f>
        <v>8.830275575335369</v>
      </c>
    </row>
    <row r="820" spans="1:23">
      <c r="J820" s="46"/>
      <c r="K820" s="159"/>
      <c r="L820" s="187"/>
      <c r="N820" s="129"/>
      <c r="O820" s="385"/>
    </row>
    <row r="821" spans="1:23" ht="12.75" customHeight="1">
      <c r="A821" s="3085" t="s">
        <v>944</v>
      </c>
      <c r="B821" s="355" t="s">
        <v>1147</v>
      </c>
      <c r="C821" s="3138" t="s">
        <v>2115</v>
      </c>
      <c r="D821" s="3118" t="s">
        <v>946</v>
      </c>
      <c r="E821" s="3122" t="s">
        <v>937</v>
      </c>
      <c r="F821" s="3118" t="s">
        <v>938</v>
      </c>
      <c r="G821" s="3085" t="s">
        <v>947</v>
      </c>
      <c r="H821" s="3118" t="s">
        <v>2120</v>
      </c>
      <c r="I821" s="3213" t="s">
        <v>676</v>
      </c>
      <c r="J821" s="3214"/>
      <c r="K821" s="159"/>
      <c r="L821" s="187"/>
      <c r="N821" s="129"/>
    </row>
    <row r="822" spans="1:23">
      <c r="A822" s="3200"/>
      <c r="B822" s="365" t="s">
        <v>1149</v>
      </c>
      <c r="C822" s="3144"/>
      <c r="D822" s="3092"/>
      <c r="E822" s="3123"/>
      <c r="F822" s="3092"/>
      <c r="G822" s="3200"/>
      <c r="H822" s="3092"/>
      <c r="I822" s="960"/>
      <c r="J822" s="961"/>
      <c r="K822" s="159"/>
      <c r="L822" s="187"/>
      <c r="M822">
        <f>+M825*2</f>
        <v>8.9351694915254232</v>
      </c>
      <c r="N822" s="129"/>
    </row>
    <row r="823" spans="1:23">
      <c r="A823" s="3086"/>
      <c r="B823" s="471" t="s">
        <v>1148</v>
      </c>
      <c r="C823" s="3144"/>
      <c r="D823" s="824"/>
      <c r="E823" s="360"/>
      <c r="F823" s="2741"/>
      <c r="G823" s="3086"/>
      <c r="H823" s="3239"/>
      <c r="I823" s="959"/>
      <c r="J823" s="961"/>
      <c r="K823" s="159"/>
      <c r="L823" s="187"/>
      <c r="M823" s="33">
        <f>+M819-M822</f>
        <v>-0.10489391619005417</v>
      </c>
      <c r="N823" s="129"/>
    </row>
    <row r="824" spans="1:23" ht="14.25">
      <c r="A824" s="2734" t="s">
        <v>5</v>
      </c>
      <c r="B824" s="256" t="s">
        <v>491</v>
      </c>
      <c r="C824" s="256" t="s">
        <v>491</v>
      </c>
      <c r="D824" s="256" t="s">
        <v>491</v>
      </c>
      <c r="E824" s="256" t="s">
        <v>491</v>
      </c>
      <c r="F824" s="817" t="s">
        <v>98</v>
      </c>
      <c r="G824" s="618" t="s">
        <v>5</v>
      </c>
      <c r="H824" s="817" t="s">
        <v>98</v>
      </c>
      <c r="I824" s="962"/>
      <c r="J824" s="963"/>
      <c r="K824" s="159"/>
      <c r="L824" s="187"/>
      <c r="N824" s="129"/>
    </row>
    <row r="825" spans="1:23">
      <c r="A825" s="2740">
        <f>H819</f>
        <v>1.4</v>
      </c>
      <c r="B825" s="316">
        <f>0.5*PI()*(C805/2)^2*1000/E805</f>
        <v>1570.7963267948967</v>
      </c>
      <c r="C825" s="357">
        <f>F818*10^6/(fs*j*H780)</f>
        <v>1069.4250062693786</v>
      </c>
      <c r="D825" s="316">
        <f>C798</f>
        <v>380</v>
      </c>
      <c r="E825" s="316">
        <f>MAX(B825:D825)</f>
        <v>1570.7963267948967</v>
      </c>
      <c r="F825" s="619">
        <f>PI()*(C805/2)^2*1000/E825</f>
        <v>200</v>
      </c>
      <c r="G825" s="620">
        <v>1.5</v>
      </c>
      <c r="H825" s="621">
        <f>E805*2</f>
        <v>200</v>
      </c>
      <c r="I825" s="3215" t="str">
        <f>IF(OR(A825&gt;F729-0.5,H825&gt;F825),"No curtailment ","Do curtailment")</f>
        <v>Do curtailment</v>
      </c>
      <c r="J825" s="3216"/>
      <c r="K825" s="159"/>
      <c r="L825" s="1997" t="s">
        <v>645</v>
      </c>
      <c r="M825" s="1998">
        <f>F729</f>
        <v>4.4675847457627116</v>
      </c>
      <c r="N825" s="187" t="s">
        <v>5</v>
      </c>
    </row>
    <row r="826" spans="1:23">
      <c r="B826" s="2176"/>
      <c r="C826" s="349"/>
      <c r="D826" s="349"/>
      <c r="E826" s="349"/>
      <c r="F826" s="349"/>
      <c r="G826" s="349"/>
      <c r="H826" s="349"/>
      <c r="I826" s="349"/>
      <c r="J826" s="349"/>
      <c r="K826" s="159"/>
      <c r="L826" s="349"/>
      <c r="M826" s="349"/>
      <c r="N826" s="349"/>
    </row>
    <row r="827" spans="1:23">
      <c r="B827" s="2183" t="s">
        <v>602</v>
      </c>
      <c r="C827" s="2184"/>
      <c r="D827" s="2185" t="s">
        <v>1869</v>
      </c>
      <c r="E827" s="2184"/>
      <c r="F827" s="2184"/>
      <c r="J827" s="46"/>
      <c r="K827" s="159"/>
      <c r="L827" s="349"/>
      <c r="M827" s="349"/>
      <c r="N827" s="349"/>
    </row>
    <row r="828" spans="1:23">
      <c r="G828" s="126" t="str">
        <f>IF(F838=0,"No curtailment needed ","For Curtailment follow the Remark")</f>
        <v xml:space="preserve">No curtailment needed </v>
      </c>
      <c r="H828" s="126"/>
      <c r="I828" s="126"/>
      <c r="J828" s="126"/>
      <c r="K828" s="159"/>
      <c r="L828" s="349"/>
      <c r="M828" s="349"/>
      <c r="N828" s="349"/>
    </row>
    <row r="829" spans="1:23">
      <c r="B829" s="1" t="s">
        <v>657</v>
      </c>
      <c r="C829" s="46"/>
      <c r="D829" s="46"/>
      <c r="K829" s="159"/>
      <c r="L829" s="349"/>
      <c r="M829" s="349"/>
      <c r="N829" s="349"/>
    </row>
    <row r="830" spans="1:23">
      <c r="B830" s="187" t="s">
        <v>1872</v>
      </c>
      <c r="F830" s="158">
        <f>IF(H748&lt;0,H748,0)</f>
        <v>0</v>
      </c>
      <c r="G830" s="187" t="s">
        <v>107</v>
      </c>
      <c r="K830" s="159"/>
      <c r="L830" s="349"/>
      <c r="M830" s="349"/>
      <c r="N830" s="349"/>
    </row>
    <row r="831" spans="1:23">
      <c r="B831" s="385" t="s">
        <v>1825</v>
      </c>
      <c r="C831" s="46"/>
      <c r="D831" s="46"/>
      <c r="F831" s="33">
        <f>F830/2</f>
        <v>0</v>
      </c>
      <c r="K831" s="159"/>
      <c r="L831" s="349"/>
      <c r="M831" s="349"/>
      <c r="N831" s="349"/>
    </row>
    <row r="832" spans="1:23" ht="14.25">
      <c r="B832" s="187" t="s">
        <v>1826</v>
      </c>
      <c r="K832" s="159"/>
      <c r="L832" s="349"/>
      <c r="M832" s="349"/>
      <c r="N832" s="349"/>
    </row>
    <row r="833" spans="1:14" ht="14.25">
      <c r="B833" s="33">
        <f>D746/F729</f>
        <v>17.618412291933417</v>
      </c>
      <c r="C833" s="206" t="s">
        <v>685</v>
      </c>
      <c r="D833" s="33">
        <f>D746*2</f>
        <v>157.42349999999996</v>
      </c>
      <c r="E833" s="206" t="s">
        <v>686</v>
      </c>
      <c r="F833" s="33">
        <f>D746*D640+F747*2-F831*2</f>
        <v>502.5878374772056</v>
      </c>
      <c r="G833" s="2754" t="s">
        <v>35</v>
      </c>
      <c r="H833" s="18">
        <v>0</v>
      </c>
      <c r="K833" s="159"/>
      <c r="L833" s="349"/>
      <c r="M833" s="349"/>
      <c r="N833" s="349"/>
    </row>
    <row r="834" spans="1:14">
      <c r="B834" s="187" t="s">
        <v>691</v>
      </c>
      <c r="C834" s="1996" t="e">
        <f>(-(-D833)-SQRT(D833^2-4*B833*F833))/(2*B833)</f>
        <v>#NUM!</v>
      </c>
      <c r="D834" s="187" t="s">
        <v>688</v>
      </c>
      <c r="F834" s="187" t="s">
        <v>1827</v>
      </c>
      <c r="K834" s="159"/>
      <c r="L834" s="349"/>
      <c r="M834" s="349"/>
      <c r="N834" s="349"/>
    </row>
    <row r="835" spans="1:14" ht="14.25">
      <c r="B835" s="187" t="s">
        <v>687</v>
      </c>
      <c r="F835" s="33" t="e">
        <f>F747+C834^2*D746/(2*F729)-D746*(C834-D640/2)</f>
        <v>#NUM!</v>
      </c>
      <c r="G835" s="187" t="s">
        <v>620</v>
      </c>
      <c r="K835" s="159"/>
      <c r="L835" s="349"/>
      <c r="M835" s="349"/>
      <c r="N835" s="349"/>
    </row>
    <row r="836" spans="1:14">
      <c r="K836" s="159"/>
      <c r="L836" s="349"/>
      <c r="M836" s="349"/>
      <c r="N836" s="349"/>
    </row>
    <row r="837" spans="1:14">
      <c r="B837" s="1" t="s">
        <v>661</v>
      </c>
      <c r="C837" s="46"/>
      <c r="D837" s="46"/>
      <c r="K837" s="159"/>
      <c r="L837" s="349"/>
      <c r="M837" s="349"/>
      <c r="N837" s="349"/>
    </row>
    <row r="838" spans="1:14">
      <c r="B838" s="187" t="s">
        <v>1872</v>
      </c>
      <c r="F838" s="158">
        <f>IF(H768&lt;0,H768,0)</f>
        <v>0</v>
      </c>
      <c r="G838" s="187" t="s">
        <v>107</v>
      </c>
      <c r="J838" s="46"/>
      <c r="K838" s="159"/>
      <c r="L838" s="349"/>
      <c r="M838" s="349"/>
      <c r="N838" s="349"/>
    </row>
    <row r="839" spans="1:14">
      <c r="B839" s="187" t="s">
        <v>1873</v>
      </c>
      <c r="F839" s="33">
        <f>F838/2</f>
        <v>0</v>
      </c>
      <c r="G839" s="187" t="s">
        <v>107</v>
      </c>
      <c r="J839" s="46"/>
      <c r="K839" s="159"/>
      <c r="L839" s="349"/>
      <c r="M839" s="349"/>
      <c r="N839" s="349"/>
    </row>
    <row r="840" spans="1:14" ht="14.25">
      <c r="B840" s="187" t="s">
        <v>1823</v>
      </c>
      <c r="J840" s="46"/>
      <c r="K840" s="159"/>
      <c r="L840" s="349"/>
      <c r="M840" s="349"/>
      <c r="N840" s="349"/>
    </row>
    <row r="841" spans="1:14" ht="14.25">
      <c r="A841" s="203" t="s">
        <v>707</v>
      </c>
      <c r="B841" s="187" t="s">
        <v>1826</v>
      </c>
      <c r="J841" s="46"/>
      <c r="K841" s="159"/>
      <c r="L841" s="349"/>
      <c r="M841" s="349"/>
      <c r="N841" s="349"/>
    </row>
    <row r="842" spans="1:14" ht="14.25">
      <c r="B842" s="33">
        <f>D766/F729</f>
        <v>17.553423441920149</v>
      </c>
      <c r="C842" s="206" t="s">
        <v>685</v>
      </c>
      <c r="D842" s="33">
        <f>D766*2</f>
        <v>156.84281361007208</v>
      </c>
      <c r="E842" s="206" t="s">
        <v>686</v>
      </c>
      <c r="F842" s="33">
        <f>D766*H640+F767*2-F839*2</f>
        <v>592.63252433432558</v>
      </c>
      <c r="G842" s="2175" t="s">
        <v>35</v>
      </c>
      <c r="H842" s="18">
        <v>0</v>
      </c>
      <c r="J842" s="46"/>
      <c r="K842" s="159"/>
      <c r="L842" s="349"/>
      <c r="M842" s="349"/>
      <c r="N842" s="349"/>
    </row>
    <row r="843" spans="1:14">
      <c r="B843" s="33"/>
      <c r="C843" s="206"/>
      <c r="D843" s="33"/>
      <c r="E843" s="206"/>
      <c r="F843" s="33"/>
      <c r="G843" s="2175"/>
      <c r="H843" s="18"/>
      <c r="J843" s="46"/>
      <c r="K843" s="159"/>
      <c r="L843" s="349"/>
      <c r="M843" s="349"/>
      <c r="N843" s="349"/>
    </row>
    <row r="844" spans="1:14">
      <c r="B844" s="187" t="s">
        <v>691</v>
      </c>
      <c r="C844" s="1996" t="e">
        <f>(-(-D842)-SQRT(D842^2-4*B842*F842))/(2*B842)</f>
        <v>#NUM!</v>
      </c>
      <c r="D844" s="187" t="s">
        <v>688</v>
      </c>
      <c r="G844" s="187" t="s">
        <v>1827</v>
      </c>
      <c r="J844" s="46"/>
      <c r="K844" s="159"/>
      <c r="L844" s="349"/>
      <c r="M844" s="349"/>
      <c r="N844" s="349"/>
    </row>
    <row r="845" spans="1:14" ht="14.25">
      <c r="B845" s="187" t="s">
        <v>687</v>
      </c>
      <c r="F845" s="33" t="e">
        <f>F767+C844^2*D766/(2*F729)-D766*(C844-H640/2)</f>
        <v>#NUM!</v>
      </c>
      <c r="G845" s="187" t="s">
        <v>620</v>
      </c>
      <c r="J845" s="46"/>
      <c r="K845" s="159"/>
    </row>
    <row r="846" spans="1:14">
      <c r="K846" s="159"/>
    </row>
    <row r="847" spans="1:14">
      <c r="B847" s="207" t="s">
        <v>2119</v>
      </c>
      <c r="C847" s="126"/>
      <c r="D847" s="126"/>
      <c r="E847" s="126"/>
      <c r="F847" s="126"/>
      <c r="G847" s="126"/>
      <c r="H847" s="246">
        <f>T$26</f>
        <v>0</v>
      </c>
      <c r="I847" s="207" t="s">
        <v>620</v>
      </c>
      <c r="K847" s="159"/>
    </row>
    <row r="848" spans="1:14">
      <c r="B848" t="s">
        <v>2127</v>
      </c>
      <c r="C848" s="46"/>
      <c r="D848" s="46"/>
      <c r="E848" s="46"/>
      <c r="F848" s="46"/>
      <c r="G848" s="46"/>
      <c r="H848" s="224" t="e">
        <f>AD26</f>
        <v>#NUM!</v>
      </c>
      <c r="I848" s="109" t="s">
        <v>5</v>
      </c>
      <c r="J848" s="46"/>
      <c r="K848" s="159"/>
    </row>
    <row r="849" spans="1:14">
      <c r="B849" s="187" t="s">
        <v>692</v>
      </c>
      <c r="H849" s="33" t="e">
        <f>H848-40*C802/1000</f>
        <v>#NUM!</v>
      </c>
      <c r="I849" s="187" t="s">
        <v>5</v>
      </c>
      <c r="J849" s="109"/>
      <c r="K849" s="159"/>
    </row>
    <row r="850" spans="1:14">
      <c r="B850" s="187" t="s">
        <v>1876</v>
      </c>
      <c r="H850" s="33" t="e">
        <f>IF(H849&lt;D640,0,H849-D640)</f>
        <v>#NUM!</v>
      </c>
      <c r="I850" s="187" t="s">
        <v>5</v>
      </c>
      <c r="J850" s="109"/>
      <c r="K850" s="159"/>
    </row>
    <row r="851" spans="1:14">
      <c r="B851" s="187" t="s">
        <v>2122</v>
      </c>
      <c r="H851" s="33">
        <f>F640</f>
        <v>7.7351694915254239</v>
      </c>
      <c r="I851" s="187" t="s">
        <v>5</v>
      </c>
      <c r="J851" s="109"/>
      <c r="K851" s="159"/>
      <c r="L851" s="46"/>
      <c r="M851" s="46"/>
      <c r="N851" s="46"/>
    </row>
    <row r="852" spans="1:14">
      <c r="B852" s="187" t="s">
        <v>2121</v>
      </c>
      <c r="H852" s="33" t="str">
        <f>IF(G858="","",H851-G858*2)</f>
        <v/>
      </c>
      <c r="I852" s="187" t="s">
        <v>5</v>
      </c>
      <c r="J852" s="109"/>
      <c r="K852" s="159"/>
    </row>
    <row r="853" spans="1:14">
      <c r="J853" s="46"/>
      <c r="K853" s="159"/>
    </row>
    <row r="854" spans="1:14" ht="12.75" customHeight="1">
      <c r="A854" s="3085" t="s">
        <v>1875</v>
      </c>
      <c r="B854" s="3085" t="s">
        <v>945</v>
      </c>
      <c r="C854" s="355" t="s">
        <v>1147</v>
      </c>
      <c r="D854" s="3118" t="s">
        <v>946</v>
      </c>
      <c r="E854" s="3122" t="s">
        <v>937</v>
      </c>
      <c r="F854" s="3118" t="s">
        <v>1150</v>
      </c>
      <c r="G854" s="3228" t="s">
        <v>1877</v>
      </c>
      <c r="H854" s="3118" t="s">
        <v>2120</v>
      </c>
      <c r="I854" s="3213" t="s">
        <v>676</v>
      </c>
      <c r="J854" s="3214"/>
      <c r="K854" s="159"/>
    </row>
    <row r="855" spans="1:14">
      <c r="A855" s="3202"/>
      <c r="B855" s="3200"/>
      <c r="C855" s="365" t="s">
        <v>1149</v>
      </c>
      <c r="D855" s="3092"/>
      <c r="E855" s="3123"/>
      <c r="F855" s="3092"/>
      <c r="G855" s="3231"/>
      <c r="H855" s="3092"/>
      <c r="I855" s="960"/>
      <c r="J855" s="961"/>
      <c r="K855" s="159"/>
    </row>
    <row r="856" spans="1:14">
      <c r="A856" s="3203"/>
      <c r="B856" s="3086"/>
      <c r="C856" s="354" t="s">
        <v>1148</v>
      </c>
      <c r="D856" s="2178"/>
      <c r="E856" s="360"/>
      <c r="F856" s="3239"/>
      <c r="G856" s="3232"/>
      <c r="H856" s="3239"/>
      <c r="I856" s="959"/>
      <c r="J856" s="961"/>
      <c r="K856" s="159"/>
    </row>
    <row r="857" spans="1:14" ht="14.25">
      <c r="A857" s="2173" t="s">
        <v>5</v>
      </c>
      <c r="B857" s="256" t="s">
        <v>491</v>
      </c>
      <c r="C857" s="256" t="s">
        <v>491</v>
      </c>
      <c r="D857" s="256" t="s">
        <v>491</v>
      </c>
      <c r="E857" s="256" t="s">
        <v>491</v>
      </c>
      <c r="F857" s="2174" t="s">
        <v>98</v>
      </c>
      <c r="G857" s="618" t="s">
        <v>5</v>
      </c>
      <c r="H857" s="2174" t="s">
        <v>98</v>
      </c>
      <c r="I857" s="962"/>
      <c r="J857" s="963"/>
      <c r="K857" s="159"/>
    </row>
    <row r="858" spans="1:14">
      <c r="A858" s="455" t="e">
        <f>H850</f>
        <v>#NUM!</v>
      </c>
      <c r="B858" s="316">
        <f>0.5*ABS(H847)*10^6/($C$18*$C$22*H780)</f>
        <v>0</v>
      </c>
      <c r="C858" s="316">
        <f>0.5*PI()*(C802/2)^2*1000/E802</f>
        <v>502.65482457436684</v>
      </c>
      <c r="D858" s="316">
        <f>C795</f>
        <v>760</v>
      </c>
      <c r="E858" s="316">
        <f>MAX(B858:D858)</f>
        <v>760</v>
      </c>
      <c r="F858" s="619">
        <f>PI()*(C802/2)^2*1000/E858</f>
        <v>264.55517082861417</v>
      </c>
      <c r="G858" s="620"/>
      <c r="H858" s="621">
        <f>E802*2</f>
        <v>400</v>
      </c>
      <c r="I858" s="3215" t="str">
        <f>IF(OR(H858&gt;F858,H847=0),"No curtailment ","Do curtailment")</f>
        <v xml:space="preserve">No curtailment </v>
      </c>
      <c r="J858" s="3216"/>
      <c r="K858" s="159"/>
      <c r="L858" s="349"/>
      <c r="M858" s="349"/>
      <c r="N858" s="349"/>
    </row>
    <row r="859" spans="1:14">
      <c r="B859" s="2176"/>
      <c r="C859" s="349"/>
      <c r="D859" s="349"/>
      <c r="E859" s="349"/>
      <c r="F859" s="349"/>
      <c r="G859" s="349"/>
      <c r="H859" s="349"/>
      <c r="I859" s="349"/>
      <c r="J859" s="349"/>
      <c r="K859" s="159"/>
      <c r="L859" s="349"/>
      <c r="M859" s="349"/>
      <c r="N859" s="349"/>
    </row>
    <row r="860" spans="1:14" ht="14.25">
      <c r="A860" s="399" t="s">
        <v>1145</v>
      </c>
      <c r="B860" s="126"/>
      <c r="C860" s="938" t="str">
        <f>L69</f>
        <v>4-4</v>
      </c>
      <c r="D860" s="126" t="s">
        <v>948</v>
      </c>
      <c r="E860" s="10"/>
      <c r="J860" s="46"/>
      <c r="K860" s="159"/>
      <c r="L860" s="46"/>
      <c r="M860" s="46"/>
    </row>
    <row r="861" spans="1:14">
      <c r="J861" s="46"/>
      <c r="K861" s="159"/>
      <c r="L861" s="46"/>
      <c r="M861" s="46"/>
    </row>
    <row r="862" spans="1:14">
      <c r="B862" s="1" t="s">
        <v>1110</v>
      </c>
      <c r="J862" s="46"/>
      <c r="K862" s="159"/>
      <c r="L862" s="46"/>
      <c r="M862" s="46"/>
    </row>
    <row r="863" spans="1:14">
      <c r="B863" s="241" t="s">
        <v>1114</v>
      </c>
      <c r="D863" s="16"/>
      <c r="G863" s="241" t="s">
        <v>1124</v>
      </c>
      <c r="J863" s="46"/>
      <c r="K863" s="159"/>
      <c r="L863" s="46"/>
      <c r="M863" s="46"/>
    </row>
    <row r="864" spans="1:14" ht="14.25">
      <c r="B864" s="241" t="s">
        <v>111</v>
      </c>
      <c r="C864" s="16">
        <f>IF(I876&lt;=9,$G$105,$G$110)</f>
        <v>1E-3</v>
      </c>
      <c r="D864" s="241" t="s">
        <v>438</v>
      </c>
      <c r="G864" s="241" t="s">
        <v>111</v>
      </c>
      <c r="H864" s="16">
        <f>IF(I876&lt;=9,$G$106,$G$111)</f>
        <v>2E-3</v>
      </c>
      <c r="I864" s="241" t="s">
        <v>438</v>
      </c>
      <c r="J864" s="46"/>
      <c r="K864" s="159"/>
      <c r="L864" s="46"/>
      <c r="M864" s="46"/>
    </row>
    <row r="865" spans="1:13" ht="14.25">
      <c r="B865" s="241" t="s">
        <v>110</v>
      </c>
      <c r="C865" s="16">
        <f>IF($E$26&lt;=9,$G$105,$G$110)</f>
        <v>1.5E-3</v>
      </c>
      <c r="D865" s="241" t="s">
        <v>438</v>
      </c>
      <c r="E865" s="16"/>
      <c r="F865" s="16"/>
      <c r="G865" s="241" t="s">
        <v>110</v>
      </c>
      <c r="H865" s="16">
        <f>IF($E$26&lt;=9,$G$106,$G$111)</f>
        <v>2.5000000000000001E-3</v>
      </c>
      <c r="I865" s="241" t="s">
        <v>438</v>
      </c>
      <c r="J865" s="46"/>
      <c r="K865" s="159"/>
      <c r="L865" s="46"/>
      <c r="M865" s="46"/>
    </row>
    <row r="866" spans="1:13">
      <c r="B866" s="187" t="s">
        <v>601</v>
      </c>
      <c r="E866" s="129">
        <f>1000*(H887+H869)/2</f>
        <v>375</v>
      </c>
      <c r="F866" s="187" t="s">
        <v>98</v>
      </c>
      <c r="J866" s="46"/>
      <c r="K866" s="159"/>
      <c r="L866" s="46"/>
      <c r="M866" s="46"/>
    </row>
    <row r="867" spans="1:13">
      <c r="J867" s="46"/>
      <c r="K867" s="159"/>
      <c r="L867" s="46"/>
      <c r="M867" s="46"/>
    </row>
    <row r="868" spans="1:13">
      <c r="J868" s="46"/>
      <c r="K868" s="159"/>
      <c r="L868" s="46"/>
      <c r="M868" s="46"/>
    </row>
    <row r="869" spans="1:13">
      <c r="C869" s="203" t="s">
        <v>149</v>
      </c>
      <c r="D869" s="36">
        <f>B41</f>
        <v>10</v>
      </c>
      <c r="H869" s="2550">
        <f>R69</f>
        <v>0.3</v>
      </c>
      <c r="I869" s="36"/>
      <c r="J869" s="489"/>
      <c r="K869" s="159"/>
      <c r="L869" s="46"/>
      <c r="M869" s="46"/>
    </row>
    <row r="870" spans="1:13">
      <c r="C870" s="187"/>
      <c r="D870" s="2"/>
      <c r="G870" s="79"/>
      <c r="J870" s="46"/>
      <c r="K870" s="159"/>
      <c r="L870" s="46"/>
      <c r="M870" s="46"/>
    </row>
    <row r="871" spans="1:13">
      <c r="C871" s="187"/>
      <c r="D871" s="18" t="s">
        <v>604</v>
      </c>
      <c r="E871" s="17"/>
      <c r="F871" s="36"/>
      <c r="J871" s="46"/>
      <c r="K871" s="159"/>
      <c r="L871" s="46"/>
      <c r="M871" s="46"/>
    </row>
    <row r="872" spans="1:13">
      <c r="C872" s="206">
        <f>D869-C875</f>
        <v>-1.0662614721136716</v>
      </c>
      <c r="E872" s="40"/>
      <c r="G872" s="603"/>
      <c r="J872" s="46"/>
      <c r="K872" s="159"/>
      <c r="L872" s="46"/>
      <c r="M872" s="46"/>
    </row>
    <row r="873" spans="1:13">
      <c r="A873" s="17" t="s">
        <v>45</v>
      </c>
      <c r="C873" s="187"/>
      <c r="D873" s="54" t="s">
        <v>135</v>
      </c>
      <c r="E873" s="17"/>
      <c r="F873" s="36"/>
      <c r="G873" s="603"/>
      <c r="J873" s="46"/>
      <c r="K873" s="159"/>
      <c r="L873" s="46"/>
      <c r="M873" s="46"/>
    </row>
    <row r="874" spans="1:13">
      <c r="C874" s="187"/>
      <c r="D874" s="33"/>
      <c r="E874" s="84">
        <f>IF(C875&gt;D869,H887-H869,C879*(H887-H869)/I876)</f>
        <v>0.15000000000000002</v>
      </c>
      <c r="G874" s="603"/>
      <c r="J874" s="46"/>
      <c r="K874" s="159"/>
      <c r="L874" s="46"/>
      <c r="M874" s="46"/>
    </row>
    <row r="875" spans="1:13">
      <c r="C875" s="54">
        <f>E44</f>
        <v>11.066261472113672</v>
      </c>
      <c r="D875" s="33"/>
      <c r="E875" s="17"/>
      <c r="F875" s="36"/>
      <c r="G875" s="603"/>
      <c r="J875" s="46"/>
      <c r="K875" s="159"/>
      <c r="L875" s="46"/>
      <c r="M875" s="46"/>
    </row>
    <row r="876" spans="1:13">
      <c r="C876" s="187"/>
      <c r="E876" s="40"/>
      <c r="H876" s="17" t="s">
        <v>600</v>
      </c>
      <c r="I876" s="10">
        <f>D869-G883</f>
        <v>3.9000000000000004</v>
      </c>
      <c r="J876" s="44"/>
      <c r="K876" s="159"/>
      <c r="L876" s="46"/>
      <c r="M876" s="224"/>
    </row>
    <row r="877" spans="1:13">
      <c r="A877" s="17" t="s">
        <v>44</v>
      </c>
      <c r="C877" s="187"/>
      <c r="E877" s="40"/>
      <c r="F877" s="33">
        <f>H42</f>
        <v>10</v>
      </c>
      <c r="G877" s="18" t="s">
        <v>5</v>
      </c>
      <c r="J877" s="46"/>
      <c r="K877" s="159"/>
      <c r="L877" s="46"/>
      <c r="M877" s="46"/>
    </row>
    <row r="878" spans="1:13">
      <c r="C878" s="187"/>
      <c r="E878" s="88"/>
      <c r="G878" s="33"/>
      <c r="I878" s="10"/>
      <c r="J878" s="44"/>
      <c r="K878" s="159"/>
      <c r="L878" s="46"/>
      <c r="M878" s="46"/>
    </row>
    <row r="879" spans="1:13">
      <c r="C879" s="206">
        <f>C875-G883</f>
        <v>4.966261472113672</v>
      </c>
      <c r="E879" s="53"/>
      <c r="G879" s="603" t="s">
        <v>607</v>
      </c>
      <c r="J879" s="46"/>
      <c r="K879" s="159"/>
      <c r="L879" s="46"/>
      <c r="M879" s="46"/>
    </row>
    <row r="880" spans="1:13">
      <c r="C880" s="187"/>
      <c r="E880" s="346"/>
      <c r="F880" s="54">
        <f>IF(F877&lt;G883,0,F877-G883)</f>
        <v>3.9000000000000004</v>
      </c>
      <c r="G880" t="s">
        <v>5</v>
      </c>
      <c r="J880" s="46"/>
      <c r="K880" s="159"/>
      <c r="L880" s="46"/>
      <c r="M880" s="46"/>
    </row>
    <row r="881" spans="1:13">
      <c r="A881" s="2" t="s">
        <v>605</v>
      </c>
      <c r="C881" s="187"/>
      <c r="E881" s="17" t="s">
        <v>606</v>
      </c>
      <c r="F881" s="36"/>
      <c r="J881" s="46"/>
      <c r="K881" s="159"/>
      <c r="L881" s="46"/>
      <c r="M881" s="46"/>
    </row>
    <row r="882" spans="1:13">
      <c r="C882" s="187"/>
      <c r="E882" s="40"/>
      <c r="J882" s="46"/>
      <c r="K882" s="159"/>
      <c r="L882" s="46"/>
      <c r="M882" s="46"/>
    </row>
    <row r="883" spans="1:13">
      <c r="C883" s="187"/>
      <c r="E883" s="40"/>
      <c r="F883" s="17" t="s">
        <v>603</v>
      </c>
      <c r="G883" s="36">
        <f>D50</f>
        <v>6.1</v>
      </c>
      <c r="I883" s="10"/>
      <c r="J883" s="44"/>
      <c r="K883" s="159"/>
      <c r="L883" s="46"/>
      <c r="M883" s="46"/>
    </row>
    <row r="884" spans="1:13">
      <c r="C884" s="187"/>
      <c r="F884" s="53"/>
      <c r="H884" s="33"/>
      <c r="I884" s="3223">
        <f>I963</f>
        <v>0.8027777777777777</v>
      </c>
      <c r="J884" s="46"/>
      <c r="K884" s="159"/>
      <c r="L884" s="46"/>
      <c r="M884" s="46"/>
    </row>
    <row r="885" spans="1:13">
      <c r="C885" s="187"/>
      <c r="I885" s="3223"/>
      <c r="J885" s="44"/>
      <c r="K885" s="159"/>
      <c r="L885" s="46"/>
      <c r="M885" s="46"/>
    </row>
    <row r="886" spans="1:13">
      <c r="C886" s="187"/>
      <c r="G886" s="33"/>
      <c r="J886" s="46"/>
      <c r="K886" s="159"/>
      <c r="L886" s="46"/>
      <c r="M886" s="46"/>
    </row>
    <row r="887" spans="1:13">
      <c r="C887" s="187"/>
      <c r="D887" s="10">
        <f>H887</f>
        <v>0.45</v>
      </c>
      <c r="F887" s="33">
        <f>D84</f>
        <v>10.461864406779661</v>
      </c>
      <c r="G887" t="s">
        <v>5</v>
      </c>
      <c r="H887" s="2549">
        <f>S69</f>
        <v>0.45</v>
      </c>
      <c r="I887" s="126" t="str">
        <f>IF(AND(I915="ok",I916="ok"),"ok","Not ok")</f>
        <v>ok</v>
      </c>
      <c r="J887" s="46"/>
      <c r="K887" s="159"/>
      <c r="M887" s="46"/>
    </row>
    <row r="888" spans="1:13">
      <c r="C888" s="187"/>
      <c r="J888" s="46"/>
      <c r="K888" s="159"/>
      <c r="L888" s="46"/>
      <c r="M888" s="46"/>
    </row>
    <row r="889" spans="1:13">
      <c r="C889" s="187"/>
      <c r="F889" s="33">
        <f>F887+H887+D887</f>
        <v>11.361864406779659</v>
      </c>
      <c r="G889" t="s">
        <v>5</v>
      </c>
      <c r="J889" s="46"/>
      <c r="K889" s="159"/>
      <c r="L889" s="46"/>
      <c r="M889" s="61"/>
    </row>
    <row r="890" spans="1:13">
      <c r="A890" s="187"/>
      <c r="J890" s="46"/>
      <c r="K890" s="159"/>
      <c r="L890" s="109"/>
      <c r="M890" s="61"/>
    </row>
    <row r="891" spans="1:13">
      <c r="A891" s="187"/>
      <c r="B891" s="225" t="str">
        <f>"a) Design of Wall  :  Sec  "&amp;C860</f>
        <v>a) Design of Wall  :  Sec  4-4</v>
      </c>
      <c r="C891" s="174"/>
      <c r="D891" s="174"/>
      <c r="J891" s="46"/>
      <c r="K891" s="159"/>
      <c r="L891" s="46"/>
      <c r="M891" s="46"/>
    </row>
    <row r="892" spans="1:13">
      <c r="B892" s="1" t="s">
        <v>612</v>
      </c>
      <c r="D892" s="2"/>
      <c r="E892" s="10"/>
      <c r="J892" s="46"/>
      <c r="K892" s="159"/>
      <c r="L892" s="46"/>
      <c r="M892" s="46"/>
    </row>
    <row r="893" spans="1:13">
      <c r="A893" s="187"/>
      <c r="B893" s="187" t="s">
        <v>611</v>
      </c>
      <c r="D893" s="2"/>
      <c r="E893" s="10"/>
      <c r="J893" s="46"/>
      <c r="K893" s="159"/>
      <c r="L893" s="46"/>
      <c r="M893" s="46"/>
    </row>
    <row r="894" spans="1:13">
      <c r="B894" s="18" t="s">
        <v>131</v>
      </c>
      <c r="D894" s="2" t="s">
        <v>35</v>
      </c>
      <c r="E894" s="10">
        <f>D869-G883</f>
        <v>3.9000000000000004</v>
      </c>
      <c r="F894" t="s">
        <v>5</v>
      </c>
      <c r="J894" s="46"/>
      <c r="K894" s="159"/>
      <c r="L894" s="46"/>
      <c r="M894" s="109"/>
    </row>
    <row r="895" spans="1:13" ht="15.75">
      <c r="A895" s="40"/>
      <c r="B895" s="187" t="s">
        <v>593</v>
      </c>
      <c r="D895" s="2" t="s">
        <v>35</v>
      </c>
      <c r="E895" s="10">
        <f>0.5*$J$8*$D$6*E894^2</f>
        <v>51.892967233869598</v>
      </c>
      <c r="F895" t="s">
        <v>21</v>
      </c>
      <c r="J895" s="46"/>
      <c r="K895" s="159"/>
      <c r="L895" s="46"/>
      <c r="M895" s="109"/>
    </row>
    <row r="896" spans="1:13" ht="20.25">
      <c r="A896" s="40"/>
      <c r="B896" s="38" t="s">
        <v>594</v>
      </c>
      <c r="D896" s="2" t="s">
        <v>35</v>
      </c>
      <c r="E896" s="10">
        <f>(1/6)*$J$8*$D$6*E894^3</f>
        <v>67.460857404030477</v>
      </c>
      <c r="F896" t="s">
        <v>107</v>
      </c>
      <c r="J896" s="46"/>
      <c r="K896" s="159"/>
      <c r="L896" s="46"/>
      <c r="M896" s="46"/>
    </row>
    <row r="897" spans="1:13" ht="15.75">
      <c r="J897" s="46"/>
      <c r="K897" s="159"/>
      <c r="L897" s="389"/>
      <c r="M897" s="388"/>
    </row>
    <row r="898" spans="1:13" ht="15.75">
      <c r="B898" s="1" t="s">
        <v>649</v>
      </c>
      <c r="J898" s="46"/>
      <c r="K898" s="159"/>
      <c r="L898" s="389"/>
      <c r="M898" s="388"/>
    </row>
    <row r="899" spans="1:13" ht="15.75">
      <c r="B899" s="1" t="str">
        <f>B154</f>
        <v>Case 1 :  When Static  Water Head on C/S Monsoon</v>
      </c>
      <c r="E899" s="86"/>
      <c r="J899" s="46"/>
      <c r="K899" s="159"/>
      <c r="L899" s="389"/>
      <c r="M899" s="388"/>
    </row>
    <row r="900" spans="1:13" ht="15.75">
      <c r="B900" s="1"/>
      <c r="C900" s="187"/>
      <c r="E900" s="86"/>
      <c r="J900" s="46"/>
      <c r="K900" s="159"/>
      <c r="L900" s="389"/>
      <c r="M900" s="388"/>
    </row>
    <row r="901" spans="1:13" ht="15.75">
      <c r="B901" s="2" t="s">
        <v>132</v>
      </c>
      <c r="C901" s="2" t="s">
        <v>35</v>
      </c>
      <c r="D901" s="10">
        <f>IF(C875&gt;D869,0,D869-C875)</f>
        <v>0</v>
      </c>
      <c r="E901" t="s">
        <v>5</v>
      </c>
      <c r="F901" s="126" t="str">
        <f>IF(F880&gt;I876,"Wing Wall totally submerged, take WL upto "&amp;FIXED(D869,2),"")</f>
        <v/>
      </c>
      <c r="G901" s="126"/>
      <c r="H901" s="126"/>
      <c r="I901" s="126"/>
      <c r="J901" s="126"/>
      <c r="K901" s="159"/>
      <c r="L901" s="389"/>
      <c r="M901" s="388"/>
    </row>
    <row r="902" spans="1:13">
      <c r="B902" s="2" t="s">
        <v>133</v>
      </c>
      <c r="C902" s="2" t="s">
        <v>35</v>
      </c>
      <c r="D902" s="10">
        <f>IF(C879&gt;I876,I876,C875-G883)</f>
        <v>3.9000000000000004</v>
      </c>
      <c r="E902" t="s">
        <v>5</v>
      </c>
      <c r="J902" s="46"/>
      <c r="K902" s="159"/>
      <c r="L902" s="46"/>
      <c r="M902" s="46"/>
    </row>
    <row r="903" spans="1:13">
      <c r="B903" s="2" t="s">
        <v>134</v>
      </c>
      <c r="C903" s="2" t="s">
        <v>35</v>
      </c>
      <c r="D903" s="10">
        <f>IF(F880&gt;I876,I876,IF(F877-G883&lt;0,0,F877-G883))</f>
        <v>3.9000000000000004</v>
      </c>
      <c r="E903" t="s">
        <v>5</v>
      </c>
      <c r="J903" s="46"/>
      <c r="K903" s="159"/>
      <c r="L903" s="46"/>
      <c r="M903" s="46"/>
    </row>
    <row r="904" spans="1:13" ht="20.25">
      <c r="A904" s="38" t="s">
        <v>624</v>
      </c>
      <c r="C904" s="2"/>
      <c r="D904" s="54">
        <f>0.5*$J$8*$D$5*D901^2</f>
        <v>0</v>
      </c>
      <c r="E904" s="187" t="s">
        <v>341</v>
      </c>
      <c r="F904" s="38" t="s">
        <v>628</v>
      </c>
      <c r="I904" s="33">
        <f>D904*(D902+D901/3)</f>
        <v>0</v>
      </c>
      <c r="J904" s="224"/>
      <c r="K904" s="159"/>
      <c r="L904" s="46"/>
      <c r="M904" s="46"/>
    </row>
    <row r="905" spans="1:13" ht="18.75">
      <c r="A905" s="38" t="s">
        <v>625</v>
      </c>
      <c r="C905" s="2"/>
      <c r="D905" s="54">
        <f>$J$8*$D$5*D901*D902</f>
        <v>0</v>
      </c>
      <c r="E905" s="187" t="s">
        <v>341</v>
      </c>
      <c r="F905" s="38" t="s">
        <v>631</v>
      </c>
      <c r="I905" s="33">
        <f>D905*D902/2</f>
        <v>0</v>
      </c>
      <c r="J905" s="224"/>
      <c r="K905" s="159"/>
      <c r="L905" s="388"/>
      <c r="M905" s="389"/>
    </row>
    <row r="906" spans="1:13" ht="20.25">
      <c r="A906" s="38" t="s">
        <v>626</v>
      </c>
      <c r="C906" s="2"/>
      <c r="D906" s="54">
        <f>0.5*($J$8*($D$6-$D$7)+$D$7)*D902^2</f>
        <v>99.563096145813489</v>
      </c>
      <c r="E906" s="187" t="s">
        <v>341</v>
      </c>
      <c r="F906" s="38" t="s">
        <v>629</v>
      </c>
      <c r="I906" s="33">
        <f>D906*D902/3</f>
        <v>129.43202498955756</v>
      </c>
      <c r="J906" s="224"/>
      <c r="K906" s="159"/>
      <c r="L906" s="388"/>
      <c r="M906" s="224"/>
    </row>
    <row r="907" spans="1:13" ht="20.25">
      <c r="A907" s="38" t="s">
        <v>627</v>
      </c>
      <c r="C907" s="2"/>
      <c r="D907" s="211">
        <f>0.5*$D$7*D903^2</f>
        <v>74.60505000000002</v>
      </c>
      <c r="E907" s="187" t="s">
        <v>341</v>
      </c>
      <c r="F907" s="38" t="s">
        <v>630</v>
      </c>
      <c r="I907" s="212">
        <f>D907*D903/3</f>
        <v>96.986565000000041</v>
      </c>
      <c r="J907" s="785"/>
      <c r="K907" s="159"/>
      <c r="L907" s="388"/>
      <c r="M907" s="46"/>
    </row>
    <row r="908" spans="1:13" ht="15.75">
      <c r="C908" s="38" t="s">
        <v>632</v>
      </c>
      <c r="D908" s="54">
        <f>D904+D905+D906-D907</f>
        <v>24.958046145813469</v>
      </c>
      <c r="E908" s="187" t="s">
        <v>341</v>
      </c>
      <c r="F908" s="18"/>
      <c r="H908" s="187" t="s">
        <v>633</v>
      </c>
      <c r="I908" s="54">
        <f>D904*(D902+D901/3)+D905*0.5*D902+D906*D902/3-D907*D903/3</f>
        <v>32.44545998955752</v>
      </c>
      <c r="J908" s="162"/>
      <c r="K908" s="159"/>
      <c r="L908" s="162"/>
      <c r="M908" s="389"/>
    </row>
    <row r="909" spans="1:13">
      <c r="D909" s="2"/>
      <c r="E909" s="10"/>
      <c r="J909" s="46"/>
      <c r="K909" s="159"/>
      <c r="L909" s="388"/>
      <c r="M909" s="46"/>
    </row>
    <row r="910" spans="1:13">
      <c r="B910" t="s">
        <v>129</v>
      </c>
      <c r="C910" s="17"/>
      <c r="D910" s="2" t="s">
        <v>35</v>
      </c>
      <c r="E910" s="87">
        <f>MAX(E895,D908)</f>
        <v>51.892967233869598</v>
      </c>
      <c r="F910" s="10" t="s">
        <v>21</v>
      </c>
      <c r="J910" s="46"/>
      <c r="K910" s="159"/>
      <c r="L910" s="46"/>
      <c r="M910" s="46"/>
    </row>
    <row r="911" spans="1:13">
      <c r="B911" t="s">
        <v>130</v>
      </c>
      <c r="C911" s="17"/>
      <c r="D911" s="2" t="s">
        <v>35</v>
      </c>
      <c r="E911" s="87">
        <f>MAX(E896,I908)</f>
        <v>67.460857404030477</v>
      </c>
      <c r="F911" s="10" t="s">
        <v>107</v>
      </c>
      <c r="J911" s="46"/>
      <c r="K911" s="159"/>
      <c r="L911" s="46"/>
      <c r="M911" s="46"/>
    </row>
    <row r="912" spans="1:13">
      <c r="B912" s="187" t="s">
        <v>599</v>
      </c>
      <c r="E912" s="129">
        <f>H887*1000</f>
        <v>450</v>
      </c>
      <c r="F912" s="187" t="s">
        <v>98</v>
      </c>
      <c r="J912" s="46"/>
      <c r="K912" s="159"/>
      <c r="L912" s="46"/>
      <c r="M912" s="46"/>
    </row>
    <row r="913" spans="1:16">
      <c r="B913" s="187" t="s">
        <v>571</v>
      </c>
      <c r="E913" s="129">
        <f>E912-$I$13-C935/2</f>
        <v>382</v>
      </c>
      <c r="F913" s="187" t="s">
        <v>98</v>
      </c>
      <c r="J913" s="46"/>
      <c r="K913" s="159"/>
      <c r="L913" s="46"/>
      <c r="M913" s="46"/>
    </row>
    <row r="914" spans="1:16">
      <c r="J914" s="46"/>
      <c r="K914" s="159"/>
      <c r="L914" s="388"/>
      <c r="M914" s="46"/>
    </row>
    <row r="915" spans="1:16">
      <c r="A915" s="187" t="s">
        <v>578</v>
      </c>
      <c r="D915" s="2"/>
      <c r="G915" s="9">
        <f>(E910*10^3)/($C$24*1000)</f>
        <v>121.57821745141999</v>
      </c>
      <c r="H915" s="187" t="s">
        <v>98</v>
      </c>
      <c r="I915" s="126" t="str">
        <f>IF(G915&lt;=E913,"ok","Not ok")</f>
        <v>ok</v>
      </c>
      <c r="J915" s="46"/>
      <c r="K915" s="159"/>
      <c r="L915" s="289"/>
      <c r="M915" s="46"/>
    </row>
    <row r="916" spans="1:16">
      <c r="A916" s="187" t="s">
        <v>577</v>
      </c>
      <c r="C916" s="201"/>
      <c r="D916" s="2"/>
      <c r="G916" s="9">
        <f>((E911*10^6)/($C$23*1000))^0.5</f>
        <v>217.18673814132541</v>
      </c>
      <c r="H916" s="187" t="s">
        <v>98</v>
      </c>
      <c r="I916" s="126" t="str">
        <f>IF(G916&lt;=E913,"ok","Not ok")</f>
        <v>ok</v>
      </c>
      <c r="J916" s="46"/>
      <c r="K916" s="159"/>
      <c r="L916" s="388"/>
      <c r="M916" s="46"/>
    </row>
    <row r="917" spans="1:16">
      <c r="A917" s="187" t="s">
        <v>634</v>
      </c>
      <c r="E917" s="2"/>
      <c r="G917" s="9">
        <f>(E911*10^6)/($C$18*$C$22*E913)</f>
        <v>1062.6565071860221</v>
      </c>
      <c r="H917" s="187" t="s">
        <v>128</v>
      </c>
      <c r="J917" s="46"/>
      <c r="K917" s="159"/>
      <c r="L917" s="289"/>
      <c r="M917" s="46"/>
    </row>
    <row r="918" spans="1:16">
      <c r="A918" s="187"/>
      <c r="E918" s="2"/>
      <c r="G918" s="9"/>
      <c r="H918" s="187"/>
      <c r="J918" s="46"/>
      <c r="K918" s="159"/>
      <c r="L918" s="289"/>
      <c r="M918" s="46"/>
    </row>
    <row r="919" spans="1:16">
      <c r="A919" s="187" t="s">
        <v>1828</v>
      </c>
      <c r="E919" s="2"/>
      <c r="G919" s="1980">
        <f>IF(I908&lt;0,ABS(I908),0)</f>
        <v>0</v>
      </c>
      <c r="H919" s="36" t="s">
        <v>107</v>
      </c>
      <c r="J919" s="46"/>
      <c r="K919" s="159"/>
      <c r="L919" s="289"/>
      <c r="M919" s="46"/>
    </row>
    <row r="920" spans="1:16">
      <c r="A920" s="187" t="s">
        <v>1829</v>
      </c>
      <c r="E920" s="2"/>
      <c r="G920" s="9">
        <f>(G919*10^6)/($C$18*$C$22*E913)</f>
        <v>0</v>
      </c>
      <c r="H920" s="187" t="s">
        <v>128</v>
      </c>
      <c r="J920" s="46"/>
      <c r="K920" s="159"/>
    </row>
    <row r="921" spans="1:16">
      <c r="J921" s="46"/>
      <c r="K921" s="159"/>
    </row>
    <row r="922" spans="1:16">
      <c r="A922" s="936" t="str">
        <f>"Reinforcement Distribution of C/S Wing Wall  for Sec "&amp;C860</f>
        <v>Reinforcement Distribution of C/S Wing Wall  for Sec 4-4</v>
      </c>
      <c r="G922" s="107"/>
      <c r="H922" s="107"/>
      <c r="J922" s="46"/>
      <c r="K922" s="159"/>
    </row>
    <row r="923" spans="1:16">
      <c r="J923" s="46"/>
      <c r="K923" s="159"/>
    </row>
    <row r="924" spans="1:16">
      <c r="A924" s="3147" t="s">
        <v>486</v>
      </c>
      <c r="B924" s="3148" t="s">
        <v>487</v>
      </c>
      <c r="C924" s="3148" t="s">
        <v>488</v>
      </c>
      <c r="D924" s="3148" t="s">
        <v>489</v>
      </c>
      <c r="E924" s="3149" t="s">
        <v>490</v>
      </c>
      <c r="F924" s="3150"/>
      <c r="G924" s="3150"/>
      <c r="H924" s="3150"/>
      <c r="I924" s="3150"/>
      <c r="J924" s="330"/>
      <c r="K924" s="159"/>
      <c r="L924" s="3219" t="s">
        <v>1940</v>
      </c>
      <c r="M924" s="3220"/>
      <c r="N924" s="3220"/>
      <c r="O924" s="3220"/>
      <c r="P924" s="3221"/>
    </row>
    <row r="925" spans="1:16">
      <c r="A925" s="3147"/>
      <c r="B925" s="3148"/>
      <c r="C925" s="3148"/>
      <c r="D925" s="3148"/>
      <c r="E925" s="94">
        <v>12</v>
      </c>
      <c r="F925" s="94">
        <v>16</v>
      </c>
      <c r="G925" s="94">
        <v>20</v>
      </c>
      <c r="H925" s="94">
        <v>22</v>
      </c>
      <c r="I925" s="94">
        <v>25</v>
      </c>
      <c r="J925" s="275"/>
      <c r="K925" s="159"/>
      <c r="L925" s="2291" t="s">
        <v>876</v>
      </c>
      <c r="M925" s="3210" t="s">
        <v>492</v>
      </c>
      <c r="N925" s="3212"/>
      <c r="O925" s="3210" t="s">
        <v>493</v>
      </c>
      <c r="P925" s="3212"/>
    </row>
    <row r="926" spans="1:16" ht="14.25">
      <c r="A926" s="172"/>
      <c r="B926" s="256" t="s">
        <v>491</v>
      </c>
      <c r="C926" s="256" t="s">
        <v>491</v>
      </c>
      <c r="D926" s="256" t="s">
        <v>491</v>
      </c>
      <c r="E926" s="596" t="s">
        <v>98</v>
      </c>
      <c r="F926" s="596" t="s">
        <v>98</v>
      </c>
      <c r="G926" s="596" t="s">
        <v>98</v>
      </c>
      <c r="H926" s="596" t="s">
        <v>98</v>
      </c>
      <c r="I926" s="596" t="s">
        <v>98</v>
      </c>
      <c r="J926" s="759"/>
      <c r="K926" s="159"/>
      <c r="L926" s="2292"/>
      <c r="M926" s="923" t="s">
        <v>709</v>
      </c>
      <c r="N926" s="2319" t="s">
        <v>710</v>
      </c>
      <c r="O926" s="2319" t="s">
        <v>709</v>
      </c>
      <c r="P926" s="925" t="s">
        <v>710</v>
      </c>
    </row>
    <row r="927" spans="1:16">
      <c r="A927" s="258" t="s">
        <v>492</v>
      </c>
      <c r="B927" s="55"/>
      <c r="C927" s="55"/>
      <c r="D927" s="55"/>
      <c r="E927" s="55"/>
      <c r="F927" s="55"/>
      <c r="G927" s="55"/>
      <c r="H927" s="55"/>
      <c r="I927" s="56"/>
      <c r="J927" s="386"/>
      <c r="K927" s="159"/>
      <c r="L927" s="2307" t="str">
        <f t="shared" ref="L927:P931" si="31">L676</f>
        <v>1-1</v>
      </c>
      <c r="M927" s="2308">
        <f t="shared" si="31"/>
        <v>25</v>
      </c>
      <c r="N927" s="2309">
        <f t="shared" si="31"/>
        <v>100</v>
      </c>
      <c r="O927" s="2308">
        <f t="shared" si="31"/>
        <v>16</v>
      </c>
      <c r="P927" s="2310">
        <f t="shared" si="31"/>
        <v>200</v>
      </c>
    </row>
    <row r="928" spans="1:16">
      <c r="A928" s="259" t="s">
        <v>111</v>
      </c>
      <c r="B928" s="318">
        <f>G917</f>
        <v>1062.6565071860221</v>
      </c>
      <c r="C928" s="318">
        <f>IF(E866&gt;380,C864*1000*380,C864*1000*E866)</f>
        <v>375</v>
      </c>
      <c r="D928" s="318">
        <f>MAX(B928:C928)</f>
        <v>1062.6565071860221</v>
      </c>
      <c r="E928" s="261">
        <f>PI()*(E925/2)^2*1000/$D928</f>
        <v>106.42887401943368</v>
      </c>
      <c r="F928" s="261">
        <f>PI()*(F925/2)^2*1000/$D928</f>
        <v>189.20688714565983</v>
      </c>
      <c r="G928" s="261">
        <f>PI()*(G925/2)^2*1000/$D928</f>
        <v>295.63576116509358</v>
      </c>
      <c r="H928" s="261">
        <f>PI()*(H925/2)^2*1000/$D928</f>
        <v>357.71927100976319</v>
      </c>
      <c r="I928" s="283">
        <f>PI()*(I925/2)^2*1000/$D928</f>
        <v>461.93087682045865</v>
      </c>
      <c r="J928" s="328"/>
      <c r="K928" s="159"/>
      <c r="L928" s="2311" t="str">
        <f t="shared" si="31"/>
        <v>2-2</v>
      </c>
      <c r="M928" s="2312">
        <f t="shared" si="31"/>
        <v>25</v>
      </c>
      <c r="N928" s="2313">
        <f t="shared" si="31"/>
        <v>100</v>
      </c>
      <c r="O928" s="2312">
        <f t="shared" si="31"/>
        <v>16</v>
      </c>
      <c r="P928" s="2314">
        <f t="shared" si="31"/>
        <v>200</v>
      </c>
    </row>
    <row r="929" spans="1:16">
      <c r="A929" s="262" t="s">
        <v>110</v>
      </c>
      <c r="B929" s="319"/>
      <c r="C929" s="318">
        <f>IF(E866&gt;380,C865*1000*380,C865*1000*E866)</f>
        <v>562.5</v>
      </c>
      <c r="D929" s="319">
        <f>MAX(B929:C929)</f>
        <v>562.5</v>
      </c>
      <c r="E929" s="261">
        <f>PI()*(E925/2)^2*1000/$D929</f>
        <v>201.06192982974676</v>
      </c>
      <c r="F929" s="261">
        <f>PI()*(F925/2)^2*1000/$D929</f>
        <v>357.44343080843868</v>
      </c>
      <c r="G929" s="261">
        <f>PI()*(G925/2)^2*1000/$D929</f>
        <v>558.50536063818549</v>
      </c>
      <c r="H929" s="261">
        <f>PI()*(H925/2)^2*1000/$D929</f>
        <v>675.79148637220442</v>
      </c>
      <c r="I929" s="283">
        <f>PI()*(I925/2)^2*1000/$D929</f>
        <v>872.66462599716476</v>
      </c>
      <c r="J929" s="328"/>
      <c r="K929" s="159"/>
      <c r="L929" s="2311" t="str">
        <f t="shared" si="31"/>
        <v>3-3</v>
      </c>
      <c r="M929" s="2312">
        <f t="shared" si="31"/>
        <v>20</v>
      </c>
      <c r="N929" s="2313">
        <f t="shared" si="31"/>
        <v>100</v>
      </c>
      <c r="O929" s="2312">
        <f t="shared" si="31"/>
        <v>16</v>
      </c>
      <c r="P929" s="2314">
        <f t="shared" si="31"/>
        <v>200</v>
      </c>
    </row>
    <row r="930" spans="1:16">
      <c r="A930" s="264" t="s">
        <v>493</v>
      </c>
      <c r="B930" s="265"/>
      <c r="C930" s="322"/>
      <c r="D930" s="322"/>
      <c r="E930" s="266"/>
      <c r="F930" s="266"/>
      <c r="G930" s="266"/>
      <c r="H930" s="266"/>
      <c r="I930" s="267"/>
      <c r="J930" s="330"/>
      <c r="K930" s="159"/>
      <c r="L930" s="2021" t="str">
        <f t="shared" si="31"/>
        <v>4-4</v>
      </c>
      <c r="M930" s="2018">
        <f t="shared" si="31"/>
        <v>16</v>
      </c>
      <c r="N930" s="2019">
        <f t="shared" si="31"/>
        <v>150</v>
      </c>
      <c r="O930" s="2018">
        <f t="shared" si="31"/>
        <v>16</v>
      </c>
      <c r="P930" s="2020">
        <f t="shared" si="31"/>
        <v>200</v>
      </c>
    </row>
    <row r="931" spans="1:16">
      <c r="A931" s="259" t="s">
        <v>111</v>
      </c>
      <c r="B931" s="318">
        <f>G920</f>
        <v>0</v>
      </c>
      <c r="C931" s="318">
        <f>IF(E866&gt;380,H864*1000*380,H864*1000*E866)</f>
        <v>750</v>
      </c>
      <c r="D931" s="318">
        <f>MAX(B931:C931)</f>
        <v>750</v>
      </c>
      <c r="E931" s="261">
        <f>PI()*(E925/2)^2*1000/$D931</f>
        <v>150.79644737231007</v>
      </c>
      <c r="F931" s="261">
        <f>PI()*(F925/2)^2*1000/$D931</f>
        <v>268.08257310632899</v>
      </c>
      <c r="G931" s="261">
        <f>PI()*(G925/2)^2*1000/$D931</f>
        <v>418.87902047863912</v>
      </c>
      <c r="H931" s="261">
        <f>PI()*(H925/2)^2*1000/$D931</f>
        <v>506.84361477915331</v>
      </c>
      <c r="I931" s="283">
        <f>PI()*(I925/2)^2*1000/$D931</f>
        <v>654.49846949787366</v>
      </c>
      <c r="J931" s="328"/>
      <c r="K931" s="159"/>
      <c r="L931" s="2315" t="str">
        <f t="shared" si="31"/>
        <v>5-5</v>
      </c>
      <c r="M931" s="2316">
        <f t="shared" si="31"/>
        <v>16</v>
      </c>
      <c r="N931" s="2317">
        <f t="shared" si="31"/>
        <v>150</v>
      </c>
      <c r="O931" s="2316">
        <f t="shared" si="31"/>
        <v>16</v>
      </c>
      <c r="P931" s="2318">
        <f t="shared" si="31"/>
        <v>200</v>
      </c>
    </row>
    <row r="932" spans="1:16">
      <c r="A932" s="262" t="s">
        <v>110</v>
      </c>
      <c r="B932" s="263"/>
      <c r="C932" s="319">
        <f>IF(E866&gt;380,H865*1000*380,H865*1000*E866)</f>
        <v>937.5</v>
      </c>
      <c r="D932" s="319">
        <f>MAX(B932:C932)</f>
        <v>937.5</v>
      </c>
      <c r="E932" s="284">
        <f>PI()*(E925/2)^2*1000/$D932</f>
        <v>120.63715789784806</v>
      </c>
      <c r="F932" s="284">
        <f>PI()*(F925/2)^2*1000/$D932</f>
        <v>214.4660584850632</v>
      </c>
      <c r="G932" s="284">
        <f>PI()*(G925/2)^2*1000/$D932</f>
        <v>335.10321638291128</v>
      </c>
      <c r="H932" s="284">
        <f>PI()*(H925/2)^2*1000/$D932</f>
        <v>405.47489182332265</v>
      </c>
      <c r="I932" s="285">
        <f>PI()*(I925/2)^2*1000/$D932</f>
        <v>523.59877559829886</v>
      </c>
      <c r="J932" s="328"/>
      <c r="K932" s="159"/>
    </row>
    <row r="933" spans="1:16">
      <c r="J933" s="46"/>
      <c r="K933" s="159"/>
    </row>
    <row r="934" spans="1:16">
      <c r="A934" s="258" t="s">
        <v>492</v>
      </c>
      <c r="B934" s="55"/>
      <c r="C934" s="252"/>
      <c r="D934" s="55"/>
      <c r="E934" s="55"/>
      <c r="F934" s="56"/>
      <c r="G934" s="495" t="s">
        <v>2095</v>
      </c>
      <c r="H934" s="2641" t="s">
        <v>1358</v>
      </c>
      <c r="I934" s="1178" t="s">
        <v>2094</v>
      </c>
      <c r="J934" s="46"/>
      <c r="K934" s="159"/>
    </row>
    <row r="935" spans="1:16" ht="15.75">
      <c r="A935" s="259" t="s">
        <v>111</v>
      </c>
      <c r="B935" s="268" t="s">
        <v>136</v>
      </c>
      <c r="C935" s="269">
        <v>16</v>
      </c>
      <c r="D935" s="604" t="s">
        <v>481</v>
      </c>
      <c r="E935" s="271">
        <v>150</v>
      </c>
      <c r="F935" s="272" t="s">
        <v>482</v>
      </c>
      <c r="G935" s="2014" t="s">
        <v>2098</v>
      </c>
      <c r="H935" s="316">
        <f>PI()*(C935/2)^2*1000/E935</f>
        <v>1340.4128655316449</v>
      </c>
      <c r="I935" s="2643">
        <f>H935*$C$18*$C$22*E913/10^6</f>
        <v>85.093725557292302</v>
      </c>
      <c r="J935" s="46"/>
      <c r="K935" s="159"/>
      <c r="L935" s="3219" t="s">
        <v>1139</v>
      </c>
      <c r="M935" s="3220"/>
      <c r="N935" s="3220"/>
      <c r="O935" s="3220"/>
      <c r="P935" s="3221"/>
    </row>
    <row r="936" spans="1:16" ht="15.75">
      <c r="A936" s="262" t="s">
        <v>110</v>
      </c>
      <c r="B936" s="278" t="s">
        <v>136</v>
      </c>
      <c r="C936" s="279">
        <v>16</v>
      </c>
      <c r="D936" s="280" t="s">
        <v>481</v>
      </c>
      <c r="E936" s="281">
        <v>200</v>
      </c>
      <c r="F936" s="282" t="s">
        <v>482</v>
      </c>
      <c r="I936" s="465" t="str">
        <f>IF(I935&gt;=V26,"o.k","Not o.k")</f>
        <v>o.k</v>
      </c>
      <c r="J936" s="46"/>
      <c r="K936" s="159"/>
      <c r="L936" s="3208" t="s">
        <v>876</v>
      </c>
      <c r="M936" s="3210" t="s">
        <v>110</v>
      </c>
      <c r="N936" s="3211"/>
      <c r="O936" s="3211"/>
      <c r="P936" s="3212"/>
    </row>
    <row r="937" spans="1:16" ht="15">
      <c r="A937" s="321" t="s">
        <v>493</v>
      </c>
      <c r="B937" s="273"/>
      <c r="C937" s="274"/>
      <c r="D937" s="275"/>
      <c r="E937" s="276"/>
      <c r="F937" s="277"/>
      <c r="J937" s="46"/>
      <c r="K937" s="159"/>
      <c r="L937" s="3209"/>
      <c r="M937" s="3210" t="s">
        <v>492</v>
      </c>
      <c r="N937" s="3212"/>
      <c r="O937" s="3210" t="s">
        <v>493</v>
      </c>
      <c r="P937" s="3212"/>
    </row>
    <row r="938" spans="1:16" ht="15.75">
      <c r="A938" s="259" t="s">
        <v>111</v>
      </c>
      <c r="B938" s="268" t="s">
        <v>136</v>
      </c>
      <c r="C938" s="269">
        <v>16</v>
      </c>
      <c r="D938" s="604" t="s">
        <v>481</v>
      </c>
      <c r="E938" s="271">
        <v>200</v>
      </c>
      <c r="F938" s="272" t="s">
        <v>482</v>
      </c>
      <c r="J938" s="46"/>
      <c r="K938" s="159"/>
      <c r="L938" s="3209"/>
      <c r="M938" s="923" t="s">
        <v>709</v>
      </c>
      <c r="N938" s="924" t="s">
        <v>710</v>
      </c>
      <c r="O938" s="924" t="s">
        <v>709</v>
      </c>
      <c r="P938" s="925" t="s">
        <v>710</v>
      </c>
    </row>
    <row r="939" spans="1:16" ht="15.75">
      <c r="A939" s="262" t="s">
        <v>110</v>
      </c>
      <c r="B939" s="278" t="s">
        <v>136</v>
      </c>
      <c r="C939" s="279">
        <v>16</v>
      </c>
      <c r="D939" s="280" t="s">
        <v>481</v>
      </c>
      <c r="E939" s="281">
        <v>200</v>
      </c>
      <c r="F939" s="282" t="s">
        <v>482</v>
      </c>
      <c r="J939" s="46"/>
      <c r="K939" s="159"/>
      <c r="L939" s="874" t="str">
        <f t="shared" ref="L939:P943" si="32">L190</f>
        <v>1-1</v>
      </c>
      <c r="M939" s="875">
        <f t="shared" si="32"/>
        <v>16</v>
      </c>
      <c r="N939" s="880">
        <f t="shared" si="32"/>
        <v>200</v>
      </c>
      <c r="O939" s="875">
        <f t="shared" si="32"/>
        <v>16</v>
      </c>
      <c r="P939" s="881">
        <f t="shared" si="32"/>
        <v>200</v>
      </c>
    </row>
    <row r="940" spans="1:16">
      <c r="J940" s="46"/>
      <c r="K940" s="159"/>
      <c r="L940" s="869" t="str">
        <f t="shared" si="32"/>
        <v>2-2</v>
      </c>
      <c r="M940" s="870">
        <f t="shared" si="32"/>
        <v>16</v>
      </c>
      <c r="N940" s="876">
        <f t="shared" si="32"/>
        <v>200</v>
      </c>
      <c r="O940" s="870">
        <f t="shared" si="32"/>
        <v>16</v>
      </c>
      <c r="P940" s="877">
        <f t="shared" si="32"/>
        <v>200</v>
      </c>
    </row>
    <row r="941" spans="1:16">
      <c r="A941" s="41" t="s">
        <v>939</v>
      </c>
      <c r="J941" s="46"/>
      <c r="K941" s="159"/>
      <c r="L941" s="869" t="str">
        <f t="shared" si="32"/>
        <v>3-3</v>
      </c>
      <c r="M941" s="870">
        <f t="shared" si="32"/>
        <v>16</v>
      </c>
      <c r="N941" s="876">
        <f t="shared" si="32"/>
        <v>200</v>
      </c>
      <c r="O941" s="870">
        <f t="shared" si="32"/>
        <v>16</v>
      </c>
      <c r="P941" s="877">
        <f t="shared" si="32"/>
        <v>200</v>
      </c>
    </row>
    <row r="942" spans="1:16">
      <c r="A942" s="187" t="s">
        <v>651</v>
      </c>
      <c r="F942" s="33">
        <f>(6*E896/(2*$J$8*$D$6))^(1/3)</f>
        <v>3.0954320513379887</v>
      </c>
      <c r="G942" s="2874" t="s">
        <v>1003</v>
      </c>
      <c r="H942" s="2878"/>
      <c r="I942" s="187" t="str">
        <f>"= "&amp;FIXED(F942-H942,2)&amp;" m from top"</f>
        <v>= 3.10 m from top</v>
      </c>
      <c r="K942" s="159"/>
      <c r="L942" s="2017" t="str">
        <f t="shared" si="32"/>
        <v>4-4</v>
      </c>
      <c r="M942" s="2018">
        <f t="shared" si="32"/>
        <v>16</v>
      </c>
      <c r="N942" s="2019">
        <f t="shared" si="32"/>
        <v>200</v>
      </c>
      <c r="O942" s="2018">
        <f t="shared" si="32"/>
        <v>16</v>
      </c>
      <c r="P942" s="2020">
        <f t="shared" si="32"/>
        <v>200</v>
      </c>
    </row>
    <row r="943" spans="1:16">
      <c r="A943" s="187" t="s">
        <v>652</v>
      </c>
      <c r="F943" s="33">
        <f>(6*E896/(4*$J$8*$D$6))^(1/3)</f>
        <v>2.4568460472950027</v>
      </c>
      <c r="G943" s="2874" t="s">
        <v>1003</v>
      </c>
      <c r="H943" s="2878"/>
      <c r="I943" s="187" t="str">
        <f>"= "&amp;FIXED(F943-H943,2)&amp;" m from top"</f>
        <v>= 2.46 m from top</v>
      </c>
      <c r="J943" s="187"/>
      <c r="K943" s="159"/>
      <c r="L943" s="871" t="str">
        <f t="shared" si="32"/>
        <v>5-5</v>
      </c>
      <c r="M943" s="872">
        <f t="shared" si="32"/>
        <v>16</v>
      </c>
      <c r="N943" s="878">
        <f t="shared" si="32"/>
        <v>200</v>
      </c>
      <c r="O943" s="872">
        <f t="shared" si="32"/>
        <v>16</v>
      </c>
      <c r="P943" s="879">
        <f t="shared" si="32"/>
        <v>200</v>
      </c>
    </row>
    <row r="944" spans="1:16">
      <c r="E944" s="46"/>
      <c r="J944" s="46"/>
      <c r="K944" s="159"/>
    </row>
    <row r="945" spans="1:13">
      <c r="A945" s="248" t="s">
        <v>602</v>
      </c>
      <c r="B945" s="3085" t="s">
        <v>621</v>
      </c>
      <c r="C945" s="347" t="s">
        <v>614</v>
      </c>
      <c r="D945" s="355" t="s">
        <v>615</v>
      </c>
      <c r="E945" s="347" t="s">
        <v>619</v>
      </c>
      <c r="F945" s="355" t="s">
        <v>616</v>
      </c>
      <c r="G945" s="355" t="s">
        <v>676</v>
      </c>
      <c r="H945" s="3224" t="s">
        <v>487</v>
      </c>
      <c r="I945" s="3148" t="s">
        <v>488</v>
      </c>
      <c r="J945" s="611"/>
      <c r="K945" s="159"/>
    </row>
    <row r="946" spans="1:13">
      <c r="A946" s="156"/>
      <c r="B946" s="3086"/>
      <c r="C946" s="77"/>
      <c r="D946" s="104"/>
      <c r="E946" s="77"/>
      <c r="F946" s="104"/>
      <c r="G946" s="105"/>
      <c r="H946" s="3227"/>
      <c r="I946" s="3148"/>
      <c r="J946" s="611"/>
      <c r="K946" s="159"/>
    </row>
    <row r="947" spans="1:13" ht="14.25">
      <c r="A947" s="156"/>
      <c r="B947" s="354" t="s">
        <v>5</v>
      </c>
      <c r="C947" s="280" t="s">
        <v>620</v>
      </c>
      <c r="D947" s="354" t="s">
        <v>98</v>
      </c>
      <c r="E947" s="280" t="s">
        <v>98</v>
      </c>
      <c r="F947" s="354" t="s">
        <v>98</v>
      </c>
      <c r="G947" s="106"/>
      <c r="H947" s="602" t="s">
        <v>491</v>
      </c>
      <c r="I947" s="256" t="s">
        <v>491</v>
      </c>
      <c r="J947" s="408"/>
      <c r="K947" s="159"/>
    </row>
    <row r="948" spans="1:13">
      <c r="A948" s="348" t="s">
        <v>617</v>
      </c>
      <c r="B948" s="2706">
        <f>F942-H942</f>
        <v>3.0954320513379887</v>
      </c>
      <c r="C948" s="107">
        <f>$J$8*$D$6*B948^3/6</f>
        <v>33.730428702015224</v>
      </c>
      <c r="D948" s="356">
        <f>((C948*10^6)/($C$23*1000))^0.5</f>
        <v>153.57421532351816</v>
      </c>
      <c r="E948" s="349">
        <f>(H869+B948*(H887-H869)/I876)*1000</f>
        <v>419.05507889761498</v>
      </c>
      <c r="F948" s="356">
        <f>E948-$I$13-C935/2</f>
        <v>351.05507889761498</v>
      </c>
      <c r="G948" s="123" t="str">
        <f>IF(F948&gt;=D948,"O.k","Not O.k")</f>
        <v>O.k</v>
      </c>
      <c r="H948" s="349">
        <f>C948*10^6/($C$18*$C$22*F948)</f>
        <v>578.16395509755728</v>
      </c>
      <c r="I948" s="123">
        <f>IF(E948&gt;380,C864*1000*380,C864*1000*E948)</f>
        <v>380</v>
      </c>
      <c r="J948" s="275"/>
      <c r="K948" s="159"/>
    </row>
    <row r="949" spans="1:13">
      <c r="A949" s="351" t="s">
        <v>618</v>
      </c>
      <c r="B949" s="2708">
        <f>F943-H943</f>
        <v>2.4568460472950027</v>
      </c>
      <c r="C949" s="121">
        <f>$J$8*$D$6*B949^3/6</f>
        <v>16.865214351007619</v>
      </c>
      <c r="D949" s="357">
        <f>((C949*10^6)/($C$23*1000))^0.5</f>
        <v>108.5933690706627</v>
      </c>
      <c r="E949" s="310">
        <f>(H869+B949*(H887-H869)/I876)*1000</f>
        <v>394.49407874211551</v>
      </c>
      <c r="F949" s="357">
        <f>E949-$I$13-C935/2</f>
        <v>326.49407874211551</v>
      </c>
      <c r="G949" s="104" t="str">
        <f>IF(F949&gt;=D949,"O.k","Not O.k")</f>
        <v>O.k</v>
      </c>
      <c r="H949" s="310">
        <f>C949*10^6/($C$18*$C$22*F949)</f>
        <v>310.82859703689445</v>
      </c>
      <c r="I949" s="104">
        <f>IF(E949&gt;380,C864*1000*380,C864*1000*E949)</f>
        <v>380</v>
      </c>
      <c r="J949" s="275"/>
      <c r="K949" s="159"/>
    </row>
    <row r="950" spans="1:13">
      <c r="J950" s="46"/>
      <c r="K950" s="159"/>
    </row>
    <row r="951" spans="1:13" ht="12.75" customHeight="1">
      <c r="A951" s="3085" t="s">
        <v>613</v>
      </c>
      <c r="B951" s="3118" t="s">
        <v>937</v>
      </c>
      <c r="C951" s="3118" t="s">
        <v>938</v>
      </c>
      <c r="D951" s="3085" t="s">
        <v>623</v>
      </c>
      <c r="E951" s="3118" t="s">
        <v>622</v>
      </c>
      <c r="G951" s="3233" t="s">
        <v>2112</v>
      </c>
      <c r="H951" s="3234"/>
      <c r="I951" s="3235"/>
      <c r="J951" s="46"/>
      <c r="K951" s="159"/>
    </row>
    <row r="952" spans="1:13">
      <c r="A952" s="3200"/>
      <c r="B952" s="3092"/>
      <c r="C952" s="3092"/>
      <c r="D952" s="3200"/>
      <c r="E952" s="3092"/>
      <c r="G952" s="3122" t="s">
        <v>2110</v>
      </c>
      <c r="H952" s="3244" t="s">
        <v>2111</v>
      </c>
      <c r="I952" s="1541" t="s">
        <v>676</v>
      </c>
      <c r="J952" s="46"/>
      <c r="K952" s="159"/>
    </row>
    <row r="953" spans="1:13">
      <c r="A953" s="3086"/>
      <c r="B953" s="360"/>
      <c r="C953" s="360"/>
      <c r="D953" s="3086"/>
      <c r="E953" s="359"/>
      <c r="G953" s="3241"/>
      <c r="H953" s="3204"/>
      <c r="I953" s="1244"/>
      <c r="J953" s="46"/>
      <c r="K953" s="159"/>
    </row>
    <row r="954" spans="1:13" ht="14.25">
      <c r="A954" s="600" t="s">
        <v>5</v>
      </c>
      <c r="B954" s="256" t="s">
        <v>491</v>
      </c>
      <c r="C954" s="597" t="s">
        <v>98</v>
      </c>
      <c r="D954" s="625" t="s">
        <v>5</v>
      </c>
      <c r="E954" s="358" t="s">
        <v>98</v>
      </c>
      <c r="G954" s="2668" t="s">
        <v>491</v>
      </c>
      <c r="H954" s="94" t="s">
        <v>107</v>
      </c>
      <c r="I954" s="1289"/>
      <c r="J954" s="46"/>
      <c r="K954" s="159"/>
    </row>
    <row r="955" spans="1:13" ht="12.75" customHeight="1">
      <c r="A955" s="352">
        <f>(I876-B948)+40*C935/1000</f>
        <v>1.4445679486620118</v>
      </c>
      <c r="B955" s="356">
        <f>MAX(H948:I948)</f>
        <v>578.16395509755728</v>
      </c>
      <c r="C955" s="350">
        <f>PI()*(C935/2)^2*1000/B955</f>
        <v>347.75936489472139</v>
      </c>
      <c r="D955" s="591">
        <v>2</v>
      </c>
      <c r="E955" s="609">
        <f>IF(D955="","",E935*2)</f>
        <v>300</v>
      </c>
      <c r="G955" s="2725">
        <f>IF(D955="","",PI()*(C935/2)^2*1000/E955)</f>
        <v>670.20643276582246</v>
      </c>
      <c r="H955" s="2676">
        <f>IF(D955="","",G955*$C$18*$C$22*F948/10^6)</f>
        <v>39.100241543464982</v>
      </c>
      <c r="I955" s="2726" t="str">
        <f>IF(D955="","",IF(AND(H955&gt;=C948),"o.k","Not o.k"))</f>
        <v>o.k</v>
      </c>
      <c r="J955" s="46"/>
      <c r="K955" s="159"/>
    </row>
    <row r="956" spans="1:13">
      <c r="A956" s="353">
        <f>(I876-B949)+40*C935/1000</f>
        <v>2.0831539527049978</v>
      </c>
      <c r="B956" s="357">
        <f>MAX(H949:I949)</f>
        <v>380</v>
      </c>
      <c r="C956" s="311">
        <f>PI()*(C935/2)^2*1000/B956</f>
        <v>529.11034165722833</v>
      </c>
      <c r="D956" s="592"/>
      <c r="E956" s="610" t="str">
        <f>IF(D956="","",E955*2)</f>
        <v/>
      </c>
      <c r="G956" s="2727" t="str">
        <f>IF(D956="","",PI()*(C935/2)^2*1000/E956)</f>
        <v/>
      </c>
      <c r="H956" s="2673" t="str">
        <f>IF(D956="","",G956*$C$18*$C$22*F949/10^6)</f>
        <v/>
      </c>
      <c r="I956" s="2728" t="str">
        <f>IF(D956="","",IF(AND(H956&gt;=C949),"o.k","Not o.k"))</f>
        <v/>
      </c>
      <c r="J956" s="46"/>
      <c r="K956" s="159"/>
    </row>
    <row r="957" spans="1:13">
      <c r="J957" s="46"/>
      <c r="K957" s="159"/>
      <c r="L957" s="46"/>
      <c r="M957" s="46"/>
    </row>
    <row r="958" spans="1:13">
      <c r="B958" s="176" t="str">
        <f>"b) Design of Floor  :  Sec  "&amp;C860</f>
        <v>b) Design of Floor  :  Sec  4-4</v>
      </c>
      <c r="C958" s="392"/>
      <c r="D958" s="174"/>
      <c r="J958" s="46"/>
      <c r="K958" s="159"/>
      <c r="L958" s="46"/>
      <c r="M958" s="46"/>
    </row>
    <row r="959" spans="1:13">
      <c r="J959" s="46"/>
      <c r="K959" s="159"/>
      <c r="L959" s="46"/>
      <c r="M959" s="46"/>
    </row>
    <row r="960" spans="1:13">
      <c r="A960" s="187" t="s">
        <v>1105</v>
      </c>
      <c r="I960" s="33">
        <f>Hydraulic!D1075</f>
        <v>0.75630486924597384</v>
      </c>
      <c r="J960" t="s">
        <v>5</v>
      </c>
      <c r="K960" s="159"/>
      <c r="L960" s="46"/>
      <c r="M960" s="46"/>
    </row>
    <row r="961" spans="1:13">
      <c r="A961" s="187" t="str">
        <f>"Considering Wt of wall,  Floor thickness can be reduced  =2*0.5*("&amp;H869&amp;"+"&amp;H887&amp;")*"&amp;I876&amp;"/"&amp;FIXED(F889,2)&amp;"="</f>
        <v>Considering Wt of wall,  Floor thickness can be reduced  =2*0.5*(0.3+0.45)*3.9/11.36=</v>
      </c>
      <c r="B961" s="187"/>
      <c r="E961" s="33"/>
      <c r="I961" s="224">
        <f>2*0.5*(H869+H887)*I876/F889</f>
        <v>0.25744014320877162</v>
      </c>
      <c r="J961" t="s">
        <v>5</v>
      </c>
      <c r="K961" s="159"/>
      <c r="L961" s="46"/>
      <c r="M961" s="46"/>
    </row>
    <row r="962" spans="1:13">
      <c r="A962" s="187" t="s">
        <v>1821</v>
      </c>
      <c r="I962" s="33">
        <f>I960-I961</f>
        <v>0.49886472603720222</v>
      </c>
      <c r="J962" t="s">
        <v>5</v>
      </c>
      <c r="K962" s="159"/>
      <c r="L962" s="46"/>
      <c r="M962" s="46"/>
    </row>
    <row r="963" spans="1:13">
      <c r="A963" t="s">
        <v>684</v>
      </c>
      <c r="I963" s="334">
        <f>E68</f>
        <v>0.8027777777777777</v>
      </c>
      <c r="J963" t="s">
        <v>5</v>
      </c>
      <c r="K963" s="159"/>
      <c r="L963" s="46"/>
      <c r="M963" s="46"/>
    </row>
    <row r="964" spans="1:13">
      <c r="J964" s="46"/>
      <c r="K964" s="159"/>
      <c r="L964" s="46"/>
      <c r="M964" s="46"/>
    </row>
    <row r="965" spans="1:13">
      <c r="F965" s="187" t="s">
        <v>637</v>
      </c>
      <c r="H965" s="187" t="s">
        <v>636</v>
      </c>
      <c r="J965" s="46"/>
      <c r="K965" s="159"/>
      <c r="L965" s="46"/>
      <c r="M965" s="46"/>
    </row>
    <row r="966" spans="1:13">
      <c r="E966" s="191" t="s">
        <v>607</v>
      </c>
      <c r="J966" s="46"/>
      <c r="K966" s="159"/>
      <c r="L966" s="46"/>
    </row>
    <row r="967" spans="1:13">
      <c r="F967" s="17" t="s">
        <v>935</v>
      </c>
      <c r="G967" s="36">
        <f>F887/4</f>
        <v>2.6154661016949152</v>
      </c>
      <c r="J967" s="46"/>
      <c r="K967" s="159"/>
      <c r="L967" s="46"/>
      <c r="M967" s="46"/>
    </row>
    <row r="968" spans="1:13">
      <c r="C968" s="1" t="s">
        <v>658</v>
      </c>
      <c r="D968" s="36"/>
      <c r="F968" s="36"/>
      <c r="H968" s="191"/>
      <c r="I968" s="187" t="s">
        <v>659</v>
      </c>
      <c r="J968" s="109"/>
      <c r="K968" s="159"/>
      <c r="L968" s="46"/>
      <c r="M968" s="46"/>
    </row>
    <row r="969" spans="1:13">
      <c r="F969" s="203" t="s">
        <v>644</v>
      </c>
      <c r="G969" s="36">
        <f>(F889-H887)/2</f>
        <v>5.4559322033898301</v>
      </c>
      <c r="J969" s="46"/>
      <c r="K969" s="159"/>
      <c r="L969" s="46"/>
      <c r="M969" s="46"/>
    </row>
    <row r="970" spans="1:13">
      <c r="J970" s="46"/>
      <c r="K970" s="159"/>
      <c r="L970" s="46"/>
      <c r="M970" s="46"/>
    </row>
    <row r="971" spans="1:13">
      <c r="C971" s="1999"/>
      <c r="D971" s="1999"/>
      <c r="E971" s="1999"/>
      <c r="F971" s="1999"/>
      <c r="G971" s="1999"/>
      <c r="H971" s="3060">
        <f>I963</f>
        <v>0.8027777777777777</v>
      </c>
      <c r="J971" s="46"/>
      <c r="K971" s="159"/>
      <c r="L971" s="46"/>
      <c r="M971" s="46"/>
    </row>
    <row r="972" spans="1:13">
      <c r="B972" s="187" t="s">
        <v>642</v>
      </c>
      <c r="C972" s="1999"/>
      <c r="D972" s="1999"/>
      <c r="E972" s="1999"/>
      <c r="F972" s="1999"/>
      <c r="G972" s="1999"/>
      <c r="H972" s="3060"/>
      <c r="I972" s="203" t="s">
        <v>646</v>
      </c>
      <c r="J972" s="288"/>
      <c r="K972" s="159"/>
      <c r="L972" s="46"/>
      <c r="M972" s="46"/>
    </row>
    <row r="973" spans="1:13">
      <c r="J973" s="46"/>
      <c r="K973" s="159"/>
      <c r="L973" s="46"/>
      <c r="M973" s="46"/>
    </row>
    <row r="974" spans="1:13">
      <c r="C974" s="191" t="s">
        <v>537</v>
      </c>
      <c r="F974" s="203" t="s">
        <v>643</v>
      </c>
      <c r="G974" s="36">
        <f>F889/4</f>
        <v>2.8404661016949149</v>
      </c>
      <c r="J974" s="46"/>
      <c r="K974" s="159"/>
      <c r="L974" s="46"/>
      <c r="M974" s="46"/>
    </row>
    <row r="975" spans="1:13">
      <c r="E975" s="603" t="s">
        <v>641</v>
      </c>
      <c r="F975" s="603"/>
      <c r="J975" s="46"/>
      <c r="K975" s="159"/>
      <c r="L975" s="46"/>
      <c r="M975" s="46"/>
    </row>
    <row r="976" spans="1:13">
      <c r="E976" s="203" t="s">
        <v>645</v>
      </c>
      <c r="F976" s="36">
        <f>F889/2</f>
        <v>5.6809322033898297</v>
      </c>
      <c r="J976" s="46"/>
      <c r="K976" s="159"/>
      <c r="L976" s="46"/>
      <c r="M976" s="46"/>
    </row>
    <row r="977" spans="2:13">
      <c r="J977" s="46"/>
      <c r="K977" s="159"/>
      <c r="L977" s="46"/>
      <c r="M977" s="46"/>
    </row>
    <row r="978" spans="2:13">
      <c r="B978" s="1" t="s">
        <v>654</v>
      </c>
      <c r="J978" s="46"/>
      <c r="K978" s="159"/>
      <c r="L978" s="46"/>
      <c r="M978" s="46"/>
    </row>
    <row r="979" spans="2:13">
      <c r="B979" s="187" t="s">
        <v>655</v>
      </c>
      <c r="J979" s="46"/>
      <c r="K979" s="159"/>
      <c r="L979" s="46"/>
      <c r="M979" s="46"/>
    </row>
    <row r="980" spans="2:13">
      <c r="J980" s="46"/>
      <c r="K980" s="159"/>
      <c r="L980" s="46"/>
      <c r="M980" s="46"/>
    </row>
    <row r="981" spans="2:13">
      <c r="B981" s="187" t="s">
        <v>639</v>
      </c>
      <c r="D981" s="33">
        <f>0.5*(H887+H869)*I876*$D$3</f>
        <v>34.515000000000008</v>
      </c>
      <c r="E981" s="187" t="s">
        <v>341</v>
      </c>
      <c r="J981" s="46"/>
      <c r="K981" s="159"/>
      <c r="L981" s="46"/>
      <c r="M981" s="46"/>
    </row>
    <row r="982" spans="2:13">
      <c r="B982" s="187" t="s">
        <v>656</v>
      </c>
      <c r="D982" s="33">
        <v>0</v>
      </c>
      <c r="E982" s="187" t="s">
        <v>341</v>
      </c>
      <c r="J982" s="46"/>
      <c r="K982" s="159"/>
      <c r="L982" s="46"/>
      <c r="M982" s="46"/>
    </row>
    <row r="983" spans="2:13">
      <c r="B983" s="187" t="s">
        <v>638</v>
      </c>
      <c r="D983" s="33">
        <f>+D981+D982</f>
        <v>34.515000000000008</v>
      </c>
      <c r="E983" s="187" t="s">
        <v>341</v>
      </c>
      <c r="J983" s="46"/>
      <c r="K983" s="159"/>
      <c r="L983" s="46"/>
      <c r="M983" s="46"/>
    </row>
    <row r="984" spans="2:13" ht="15.75">
      <c r="B984" s="187" t="s">
        <v>681</v>
      </c>
      <c r="D984" s="33"/>
      <c r="F984" s="33">
        <v>0</v>
      </c>
      <c r="J984" s="46"/>
      <c r="K984" s="159"/>
      <c r="L984" s="46"/>
      <c r="M984" s="46"/>
    </row>
    <row r="985" spans="2:13">
      <c r="B985" s="187" t="s">
        <v>678</v>
      </c>
      <c r="D985" s="33"/>
      <c r="H985" s="33">
        <f>F984+D983*G974-(D981+D982)*G969</f>
        <v>-90.272812500000015</v>
      </c>
      <c r="I985" s="187" t="s">
        <v>620</v>
      </c>
      <c r="J985" s="109"/>
      <c r="K985" s="159"/>
      <c r="L985" s="46"/>
      <c r="M985" s="46"/>
    </row>
    <row r="986" spans="2:13">
      <c r="B986" s="187"/>
      <c r="D986" s="33"/>
      <c r="H986" s="215" t="str">
        <f>IF(H985&gt;0,"(bottom tension)","(top tension)")</f>
        <v>(top tension)</v>
      </c>
      <c r="J986" s="46"/>
      <c r="K986" s="159"/>
      <c r="L986" s="46"/>
      <c r="M986" s="46"/>
    </row>
    <row r="987" spans="2:13">
      <c r="B987" s="1" t="s">
        <v>657</v>
      </c>
      <c r="J987" s="46"/>
      <c r="K987" s="159"/>
      <c r="L987" s="46"/>
      <c r="M987" s="46"/>
    </row>
    <row r="988" spans="2:13">
      <c r="B988" s="187" t="s">
        <v>611</v>
      </c>
      <c r="J988" s="46"/>
      <c r="K988" s="159"/>
      <c r="L988" s="46"/>
      <c r="M988" s="46"/>
    </row>
    <row r="989" spans="2:13">
      <c r="J989" s="46"/>
      <c r="K989" s="159"/>
    </row>
    <row r="990" spans="2:13">
      <c r="B990" s="187" t="s">
        <v>600</v>
      </c>
      <c r="D990" s="33">
        <f>I876</f>
        <v>3.9000000000000004</v>
      </c>
      <c r="E990" s="187" t="s">
        <v>5</v>
      </c>
      <c r="J990" s="46"/>
      <c r="K990" s="159"/>
    </row>
    <row r="991" spans="2:13">
      <c r="B991" s="187" t="s">
        <v>639</v>
      </c>
      <c r="D991" s="33">
        <f>D981</f>
        <v>34.515000000000008</v>
      </c>
      <c r="E991" s="187" t="s">
        <v>341</v>
      </c>
      <c r="J991" s="46"/>
      <c r="K991" s="159"/>
    </row>
    <row r="992" spans="2:13">
      <c r="B992" s="30" t="s">
        <v>640</v>
      </c>
      <c r="D992" s="33">
        <f>0.5*(H887-H869)*I876*$D$6</f>
        <v>5.5282500000000017</v>
      </c>
      <c r="E992" s="187" t="s">
        <v>341</v>
      </c>
      <c r="J992" s="46"/>
      <c r="K992" s="159"/>
    </row>
    <row r="993" spans="1:13">
      <c r="B993" s="187" t="s">
        <v>638</v>
      </c>
      <c r="D993" s="33">
        <f>D991+D992</f>
        <v>40.043250000000008</v>
      </c>
      <c r="E993" s="187" t="s">
        <v>341</v>
      </c>
      <c r="J993" s="46"/>
      <c r="K993" s="159"/>
    </row>
    <row r="994" spans="1:13" ht="15.75">
      <c r="A994" s="187"/>
      <c r="B994" s="187" t="s">
        <v>677</v>
      </c>
      <c r="F994" s="33">
        <f>$J$8*$D$6*D990^3/6</f>
        <v>67.460857404030492</v>
      </c>
      <c r="G994" s="187" t="s">
        <v>620</v>
      </c>
      <c r="H994" s="23" t="str">
        <f>IF(F994&gt;0,"(bottom tension)","(top tension)")</f>
        <v>(bottom tension)</v>
      </c>
      <c r="J994" s="46"/>
      <c r="K994" s="159"/>
    </row>
    <row r="995" spans="1:13">
      <c r="B995" s="187" t="s">
        <v>678</v>
      </c>
      <c r="H995" s="33">
        <f>F994+D993*G974-(D991+D992)*G969</f>
        <v>-37.270905572664446</v>
      </c>
      <c r="I995" s="187" t="s">
        <v>620</v>
      </c>
      <c r="J995" s="109"/>
      <c r="K995" s="159"/>
    </row>
    <row r="996" spans="1:13">
      <c r="B996" s="187"/>
      <c r="H996" s="215" t="str">
        <f>IF(H995&gt;0,"(bottom tension)","(top tension)")</f>
        <v>(top tension)</v>
      </c>
      <c r="J996" s="46"/>
      <c r="K996" s="159"/>
    </row>
    <row r="997" spans="1:13">
      <c r="B997" s="1" t="s">
        <v>660</v>
      </c>
      <c r="H997" s="33"/>
      <c r="J997" s="46"/>
      <c r="K997" s="159"/>
    </row>
    <row r="998" spans="1:13">
      <c r="B998" s="1" t="str">
        <f>B154</f>
        <v>Case 1 :  When Static  Water Head on C/S Monsoon</v>
      </c>
      <c r="H998" s="33"/>
      <c r="J998" s="46"/>
      <c r="K998" s="159"/>
    </row>
    <row r="999" spans="1:13">
      <c r="B999" s="187"/>
      <c r="H999" s="33"/>
      <c r="J999" s="46"/>
      <c r="K999" s="159"/>
    </row>
    <row r="1000" spans="1:13">
      <c r="B1000" s="187" t="s">
        <v>639</v>
      </c>
      <c r="D1000" s="33">
        <f>D991</f>
        <v>34.515000000000008</v>
      </c>
      <c r="E1000" s="187" t="s">
        <v>341</v>
      </c>
      <c r="F1000" s="187"/>
      <c r="H1000" s="187"/>
      <c r="J1000" s="46"/>
      <c r="K1000" s="159"/>
    </row>
    <row r="1001" spans="1:13">
      <c r="B1001" s="30" t="s">
        <v>640</v>
      </c>
      <c r="D1001" s="33">
        <f>0.5*D902*E874*$D$6+0.5*(H887-H869+E874)*D901*$D$5</f>
        <v>5.5282500000000017</v>
      </c>
      <c r="E1001" s="187" t="s">
        <v>341</v>
      </c>
      <c r="H1001" s="33"/>
      <c r="J1001" s="46"/>
      <c r="K1001" s="159"/>
    </row>
    <row r="1002" spans="1:13">
      <c r="B1002" s="187" t="s">
        <v>647</v>
      </c>
      <c r="D1002" s="33">
        <f>D903*$D$7*F887/2</f>
        <v>200.13023516949156</v>
      </c>
      <c r="E1002" s="187" t="s">
        <v>341</v>
      </c>
      <c r="H1002" s="33"/>
      <c r="J1002" s="46"/>
      <c r="K1002" s="159"/>
    </row>
    <row r="1003" spans="1:13">
      <c r="B1003" s="187" t="s">
        <v>648</v>
      </c>
      <c r="D1003" s="33">
        <f>D1000+D1001+D1002</f>
        <v>240.17348516949156</v>
      </c>
      <c r="E1003" s="187" t="s">
        <v>341</v>
      </c>
      <c r="H1003" s="33"/>
      <c r="J1003" s="46"/>
      <c r="K1003" s="159"/>
    </row>
    <row r="1004" spans="1:13">
      <c r="A1004" s="187"/>
      <c r="B1004" s="187" t="s">
        <v>682</v>
      </c>
      <c r="F1004" s="33">
        <f>I908</f>
        <v>32.44545998955752</v>
      </c>
      <c r="G1004" s="187" t="s">
        <v>107</v>
      </c>
      <c r="H1004" s="23" t="str">
        <f>IF(F1004&gt;0,"(bottom tension)","(top tension)")</f>
        <v>(bottom tension)</v>
      </c>
      <c r="I1004" s="33"/>
      <c r="J1004" s="224"/>
      <c r="K1004" s="159"/>
      <c r="L1004" s="46"/>
      <c r="M1004" s="46"/>
    </row>
    <row r="1005" spans="1:13">
      <c r="B1005" s="187" t="s">
        <v>1141</v>
      </c>
      <c r="H1005" s="33">
        <f>F1004+D1003*G974-(D1000+D1001)*G969-D1002*G967</f>
        <v>-27.257000074001894</v>
      </c>
      <c r="I1005" s="187" t="s">
        <v>620</v>
      </c>
      <c r="J1005" s="109"/>
      <c r="K1005" s="159"/>
      <c r="L1005" s="46"/>
      <c r="M1005" s="46"/>
    </row>
    <row r="1006" spans="1:13">
      <c r="B1006" s="187"/>
      <c r="H1006" s="215" t="str">
        <f>IF(H1005&gt;0,"(bottom tension)","(top tension)")</f>
        <v>(top tension)</v>
      </c>
      <c r="J1006" s="46"/>
      <c r="K1006" s="159"/>
      <c r="L1006" s="46"/>
      <c r="M1006" s="46"/>
    </row>
    <row r="1007" spans="1:13">
      <c r="B1007" s="1" t="s">
        <v>661</v>
      </c>
      <c r="H1007" s="33"/>
      <c r="J1007" s="46"/>
      <c r="K1007" s="159"/>
      <c r="L1007" s="46"/>
      <c r="M1007" s="46"/>
    </row>
    <row r="1008" spans="1:13">
      <c r="B1008" s="187" t="s">
        <v>662</v>
      </c>
      <c r="G1008" s="2203" t="s">
        <v>1878</v>
      </c>
      <c r="H1008" s="2204"/>
      <c r="I1008" s="2203"/>
      <c r="J1008" s="2203"/>
      <c r="K1008" s="159"/>
      <c r="L1008" s="46"/>
      <c r="M1008" s="46"/>
    </row>
    <row r="1009" spans="1:13">
      <c r="B1009" s="187"/>
      <c r="H1009" s="33"/>
      <c r="J1009" s="46"/>
      <c r="K1009" s="159"/>
    </row>
    <row r="1010" spans="1:13">
      <c r="B1010" s="187" t="s">
        <v>639</v>
      </c>
      <c r="D1010" s="33">
        <f>D1000</f>
        <v>34.515000000000008</v>
      </c>
      <c r="E1010" s="187" t="s">
        <v>341</v>
      </c>
      <c r="F1010" s="187"/>
      <c r="H1010" s="187"/>
      <c r="J1010" s="46"/>
      <c r="K1010" s="159"/>
    </row>
    <row r="1011" spans="1:13">
      <c r="B1011" s="30" t="s">
        <v>640</v>
      </c>
      <c r="D1011" s="33">
        <f>D1001</f>
        <v>5.5282500000000017</v>
      </c>
      <c r="E1011" s="187" t="s">
        <v>341</v>
      </c>
      <c r="H1011" s="33"/>
      <c r="J1011" s="46"/>
      <c r="K1011" s="159"/>
    </row>
    <row r="1012" spans="1:13">
      <c r="B1012" s="187" t="s">
        <v>647</v>
      </c>
      <c r="D1012" s="33">
        <f>IF($F$4=1,0,D1002)</f>
        <v>200.13023516949156</v>
      </c>
      <c r="E1012" s="187" t="s">
        <v>341</v>
      </c>
      <c r="H1012" s="187" t="s">
        <v>1879</v>
      </c>
      <c r="J1012" s="46"/>
      <c r="K1012" s="159"/>
    </row>
    <row r="1013" spans="1:13">
      <c r="B1013" s="187" t="s">
        <v>663</v>
      </c>
      <c r="D1013" s="33">
        <f>D1010+D1011</f>
        <v>40.043250000000008</v>
      </c>
      <c r="E1013" s="187" t="s">
        <v>341</v>
      </c>
      <c r="H1013" s="33"/>
      <c r="J1013" s="46"/>
      <c r="K1013" s="159"/>
    </row>
    <row r="1014" spans="1:13">
      <c r="B1014" s="187" t="s">
        <v>679</v>
      </c>
      <c r="F1014" s="33">
        <f>F1004</f>
        <v>32.44545998955752</v>
      </c>
      <c r="G1014" s="187" t="s">
        <v>107</v>
      </c>
      <c r="H1014" s="23" t="str">
        <f>IF(F1014&gt;0,"(bottom tension)","(top tension)")</f>
        <v>(bottom tension)</v>
      </c>
      <c r="I1014" s="33"/>
      <c r="J1014" s="224"/>
      <c r="K1014" s="159"/>
    </row>
    <row r="1015" spans="1:13">
      <c r="B1015" s="187" t="s">
        <v>680</v>
      </c>
      <c r="H1015" s="33">
        <f>F1014+D1013*G974-(D1010+D1011)*G969</f>
        <v>-72.286302987137418</v>
      </c>
      <c r="I1015" s="187" t="s">
        <v>341</v>
      </c>
      <c r="J1015" s="109"/>
      <c r="K1015" s="159"/>
      <c r="L1015" s="46"/>
      <c r="M1015" s="46"/>
    </row>
    <row r="1016" spans="1:13">
      <c r="A1016" s="187"/>
      <c r="B1016" s="187"/>
      <c r="H1016" s="215" t="str">
        <f>IF(H1015&gt;0,"(bottom tension)","(top tension)")</f>
        <v>(top tension)</v>
      </c>
      <c r="J1016" s="46"/>
      <c r="K1016" s="159"/>
      <c r="L1016" s="46"/>
      <c r="M1016" s="46"/>
    </row>
    <row r="1017" spans="1:13">
      <c r="B1017" s="41" t="s">
        <v>664</v>
      </c>
      <c r="H1017" s="215"/>
      <c r="J1017" s="46"/>
      <c r="K1017" s="159"/>
      <c r="L1017" s="46"/>
      <c r="M1017" s="90"/>
    </row>
    <row r="1018" spans="1:13">
      <c r="B1018" s="187"/>
      <c r="H1018" s="215"/>
      <c r="J1018" s="46"/>
      <c r="K1018" s="159"/>
      <c r="L1018" s="46"/>
      <c r="M1018" s="46"/>
    </row>
    <row r="1019" spans="1:13">
      <c r="B1019" s="374" t="s">
        <v>673</v>
      </c>
      <c r="C1019" s="3118" t="s">
        <v>675</v>
      </c>
      <c r="D1019" s="3070" t="s">
        <v>674</v>
      </c>
      <c r="E1019" s="3068"/>
      <c r="F1019" s="374" t="s">
        <v>615</v>
      </c>
      <c r="G1019" s="355" t="s">
        <v>619</v>
      </c>
      <c r="H1019" s="355" t="s">
        <v>616</v>
      </c>
      <c r="I1019" s="382" t="s">
        <v>676</v>
      </c>
      <c r="J1019" s="562"/>
      <c r="K1019" s="159"/>
      <c r="L1019" s="46"/>
      <c r="M1019" s="46"/>
    </row>
    <row r="1020" spans="1:13">
      <c r="B1020" s="348"/>
      <c r="C1020" s="3092"/>
      <c r="D1020" s="3121" t="s">
        <v>665</v>
      </c>
      <c r="E1020" s="3118" t="s">
        <v>672</v>
      </c>
      <c r="F1020" s="16"/>
      <c r="G1020" s="104"/>
      <c r="H1020" s="105"/>
      <c r="I1020" s="366"/>
      <c r="J1020" s="385"/>
      <c r="K1020" s="159"/>
      <c r="L1020" s="46"/>
      <c r="M1020" s="46"/>
    </row>
    <row r="1021" spans="1:13">
      <c r="B1021" s="367"/>
      <c r="C1021" s="365"/>
      <c r="D1021" s="3121"/>
      <c r="E1021" s="3092"/>
      <c r="F1021" s="16"/>
      <c r="G1021" s="105"/>
      <c r="H1021" s="365"/>
      <c r="I1021" s="380"/>
      <c r="J1021" s="408"/>
      <c r="K1021" s="159"/>
      <c r="L1021" s="46"/>
      <c r="M1021" s="46"/>
    </row>
    <row r="1022" spans="1:13">
      <c r="B1022" s="598"/>
      <c r="C1022" s="94" t="s">
        <v>107</v>
      </c>
      <c r="D1022" s="599" t="s">
        <v>107</v>
      </c>
      <c r="E1022" s="94" t="s">
        <v>107</v>
      </c>
      <c r="F1022" s="602" t="s">
        <v>98</v>
      </c>
      <c r="G1022" s="256" t="s">
        <v>98</v>
      </c>
      <c r="H1022" s="256" t="s">
        <v>98</v>
      </c>
      <c r="I1022" s="601"/>
      <c r="J1022" s="408"/>
      <c r="K1022" s="159"/>
      <c r="L1022" s="46"/>
      <c r="M1022" s="46"/>
    </row>
    <row r="1023" spans="1:13">
      <c r="B1023" s="374" t="s">
        <v>666</v>
      </c>
      <c r="C1023" s="376">
        <f>F984</f>
        <v>0</v>
      </c>
      <c r="D1023" s="251">
        <f>IF(J9="y",0,IF(H985&lt;0,ABS(H985),0))</f>
        <v>0</v>
      </c>
      <c r="E1023" s="379">
        <f>IF(H985&gt;0,H985,0)</f>
        <v>0</v>
      </c>
      <c r="F1023" s="55"/>
      <c r="G1023" s="105"/>
      <c r="H1023" s="381"/>
      <c r="I1023" s="375"/>
      <c r="J1023" s="275"/>
      <c r="K1023" s="159"/>
      <c r="L1023" s="46"/>
      <c r="M1023" s="46"/>
    </row>
    <row r="1024" spans="1:13">
      <c r="B1024" s="348" t="s">
        <v>667</v>
      </c>
      <c r="C1024" s="377">
        <f>F994</f>
        <v>67.460857404030492</v>
      </c>
      <c r="D1024" s="107">
        <f>IF(H995&lt;0,ABS(H995),0)</f>
        <v>37.270905572664446</v>
      </c>
      <c r="E1024" s="103">
        <f>IF(H995&gt;0,H995,0)</f>
        <v>0</v>
      </c>
      <c r="F1024" s="16"/>
      <c r="G1024" s="105"/>
      <c r="H1024" s="105"/>
      <c r="I1024" s="58"/>
      <c r="J1024" s="386"/>
      <c r="K1024" s="159"/>
      <c r="L1024" s="46"/>
      <c r="M1024" s="46"/>
    </row>
    <row r="1025" spans="1:19">
      <c r="B1025" s="348" t="s">
        <v>668</v>
      </c>
      <c r="C1025" s="377">
        <f>F1004</f>
        <v>32.44545998955752</v>
      </c>
      <c r="D1025" s="107">
        <f>IF(H1005&lt;0,ABS(H1005),0)</f>
        <v>27.257000074001894</v>
      </c>
      <c r="E1025" s="103">
        <f>IF(H1005&gt;0,H1005,0)</f>
        <v>0</v>
      </c>
      <c r="F1025" s="16"/>
      <c r="G1025" s="105"/>
      <c r="H1025" s="356"/>
      <c r="I1025" s="350"/>
      <c r="J1025" s="612"/>
      <c r="K1025" s="159"/>
      <c r="L1025" s="46"/>
      <c r="M1025" s="46"/>
    </row>
    <row r="1026" spans="1:19">
      <c r="B1026" s="348" t="s">
        <v>669</v>
      </c>
      <c r="C1026" s="377">
        <f>F1014</f>
        <v>32.44545998955752</v>
      </c>
      <c r="D1026" s="107">
        <f>IF(H1015&lt;0,ABS(H1015),0)</f>
        <v>72.286302987137418</v>
      </c>
      <c r="E1026" s="103">
        <f>IF(H1015&gt;0,H1015,0)</f>
        <v>0</v>
      </c>
      <c r="F1026" s="16"/>
      <c r="G1026" s="105"/>
      <c r="H1026" s="105"/>
      <c r="I1026" s="350"/>
      <c r="J1026" s="612"/>
      <c r="K1026" s="159"/>
      <c r="L1026" s="46"/>
      <c r="M1026" s="46"/>
    </row>
    <row r="1027" spans="1:19">
      <c r="B1027" s="600" t="s">
        <v>671</v>
      </c>
      <c r="C1027" s="393">
        <f>MAX(C1023:C1026)</f>
        <v>67.460857404030492</v>
      </c>
      <c r="D1027" s="394">
        <f>MAX(D1023:D1026)</f>
        <v>72.286302987137418</v>
      </c>
      <c r="E1027" s="393">
        <f>MAX(E1023:E1026)</f>
        <v>0</v>
      </c>
      <c r="F1027" s="395">
        <f>((MAX(C1027,D1027,E1027)*10^6)/($C$23*1000))^0.5</f>
        <v>224.82022669567806</v>
      </c>
      <c r="G1027" s="316">
        <f>I963*1000</f>
        <v>802.77777777777771</v>
      </c>
      <c r="H1027" s="396">
        <f>G1027-$I$13-C1052/2</f>
        <v>734.77777777777771</v>
      </c>
      <c r="I1027" s="1976" t="str">
        <f>IF(H1027&gt;=F1027,"o.k","Not o.k")</f>
        <v>o.k</v>
      </c>
      <c r="J1027" s="386"/>
      <c r="K1027" s="159"/>
      <c r="L1027" s="46"/>
      <c r="M1027" s="46"/>
    </row>
    <row r="1028" spans="1:19">
      <c r="B1028" s="369"/>
      <c r="C1028" s="377"/>
      <c r="D1028" s="368"/>
      <c r="E1028" s="377"/>
      <c r="F1028" s="16"/>
      <c r="G1028" s="105"/>
      <c r="H1028" s="356">
        <f>H1027-$I$15</f>
        <v>734.77777777777771</v>
      </c>
      <c r="I1028" s="370" t="s">
        <v>2138</v>
      </c>
      <c r="J1028" s="786"/>
      <c r="K1028" s="159"/>
      <c r="L1028" s="46"/>
      <c r="M1028" s="46"/>
    </row>
    <row r="1029" spans="1:19">
      <c r="B1029" s="371" t="s">
        <v>670</v>
      </c>
      <c r="C1029" s="378">
        <f>(C1027*10^6)/($C$18*$C$22*H1027)</f>
        <v>552.45925778096841</v>
      </c>
      <c r="D1029" s="372">
        <f>(D1027*10^6)/($C$18*$C$22*H1027)</f>
        <v>591.97642651986496</v>
      </c>
      <c r="E1029" s="378">
        <f>(E1027*10^6)/($C$18*$C$22*H1028)</f>
        <v>0</v>
      </c>
      <c r="F1029" s="59"/>
      <c r="G1029" s="106"/>
      <c r="H1029" s="357"/>
      <c r="I1029" s="373"/>
      <c r="J1029" s="786"/>
      <c r="K1029" s="159"/>
      <c r="L1029" s="46"/>
      <c r="M1029" s="46"/>
    </row>
    <row r="1030" spans="1:19">
      <c r="A1030" s="187"/>
      <c r="B1030" s="223"/>
      <c r="C1030" s="223"/>
      <c r="D1030" s="2"/>
      <c r="E1030" s="223"/>
      <c r="G1030" s="349"/>
      <c r="H1030" s="294"/>
      <c r="I1030" s="16"/>
      <c r="J1030" s="386"/>
      <c r="K1030" s="159"/>
      <c r="L1030" s="46"/>
      <c r="M1030" s="46"/>
    </row>
    <row r="1031" spans="1:19">
      <c r="A1031" s="187"/>
      <c r="B1031" s="383" t="s">
        <v>1107</v>
      </c>
      <c r="C1031" s="223"/>
      <c r="D1031" s="2"/>
      <c r="E1031" s="223"/>
      <c r="G1031" s="349"/>
      <c r="H1031" s="294"/>
      <c r="I1031" s="16"/>
      <c r="J1031" s="386"/>
      <c r="K1031" s="159"/>
      <c r="L1031" s="46"/>
      <c r="M1031" s="46"/>
    </row>
    <row r="1032" spans="1:19">
      <c r="A1032" s="187"/>
      <c r="B1032" s="385" t="s">
        <v>1125</v>
      </c>
      <c r="D1032" s="386"/>
      <c r="G1032" s="385" t="s">
        <v>1123</v>
      </c>
      <c r="H1032" s="294"/>
      <c r="I1032" s="16"/>
      <c r="J1032" s="386"/>
      <c r="K1032" s="159"/>
      <c r="L1032" s="46"/>
      <c r="M1032" s="46"/>
    </row>
    <row r="1033" spans="1:19" ht="14.25">
      <c r="A1033" s="187"/>
      <c r="B1033" s="385" t="s">
        <v>441</v>
      </c>
      <c r="C1033" s="386">
        <f>IF(F889&lt;=9,$G$106,$G$111)</f>
        <v>2.5000000000000001E-3</v>
      </c>
      <c r="D1033" s="385" t="s">
        <v>438</v>
      </c>
      <c r="G1033" s="385" t="s">
        <v>441</v>
      </c>
      <c r="H1033" s="386">
        <f>IF(F889&lt;=9,$G$105,$G$110)</f>
        <v>1.5E-3</v>
      </c>
      <c r="I1033" s="385" t="s">
        <v>438</v>
      </c>
      <c r="J1033" s="386"/>
      <c r="K1033" s="159"/>
      <c r="L1033" s="46"/>
      <c r="M1033" s="46"/>
    </row>
    <row r="1034" spans="1:19" ht="14.25">
      <c r="A1034" s="187"/>
      <c r="B1034" s="385" t="s">
        <v>442</v>
      </c>
      <c r="C1034" s="386">
        <f>IF(E59&lt;=9,$G$106,$G$111)</f>
        <v>2.5000000000000001E-3</v>
      </c>
      <c r="D1034" s="385" t="s">
        <v>438</v>
      </c>
      <c r="E1034" s="386"/>
      <c r="F1034" s="386"/>
      <c r="G1034" s="385" t="s">
        <v>442</v>
      </c>
      <c r="H1034" s="386">
        <f>IF(E59&lt;=9,$G$105,$G$110)</f>
        <v>1.5E-3</v>
      </c>
      <c r="I1034" s="385" t="s">
        <v>438</v>
      </c>
      <c r="J1034" s="386"/>
      <c r="K1034" s="159"/>
      <c r="L1034" s="46"/>
      <c r="M1034" s="46"/>
    </row>
    <row r="1035" spans="1:19">
      <c r="J1035" s="46"/>
      <c r="K1035" s="159"/>
      <c r="L1035" s="46"/>
      <c r="M1035" s="46"/>
    </row>
    <row r="1036" spans="1:19">
      <c r="A1036" s="936" t="str">
        <f>"Reinforcement Distribution of C/S Floor  for Sec  "&amp;C860</f>
        <v>Reinforcement Distribution of C/S Floor  for Sec  4-4</v>
      </c>
      <c r="G1036" s="107"/>
      <c r="H1036" s="107"/>
      <c r="J1036" s="46"/>
      <c r="K1036" s="159"/>
      <c r="L1036" s="46"/>
      <c r="M1036" s="46"/>
    </row>
    <row r="1037" spans="1:19">
      <c r="J1037" s="46"/>
      <c r="K1037" s="159"/>
      <c r="L1037" s="46"/>
      <c r="M1037" s="46"/>
    </row>
    <row r="1038" spans="1:19">
      <c r="A1038" s="3147" t="s">
        <v>486</v>
      </c>
      <c r="B1038" s="3148" t="s">
        <v>487</v>
      </c>
      <c r="C1038" s="3148" t="s">
        <v>488</v>
      </c>
      <c r="D1038" s="3148" t="s">
        <v>489</v>
      </c>
      <c r="E1038" s="3149" t="s">
        <v>490</v>
      </c>
      <c r="F1038" s="3150"/>
      <c r="G1038" s="3150"/>
      <c r="H1038" s="3150"/>
      <c r="I1038" s="3150"/>
      <c r="J1038" s="330"/>
      <c r="K1038" s="159"/>
    </row>
    <row r="1039" spans="1:19">
      <c r="A1039" s="3147"/>
      <c r="B1039" s="3148"/>
      <c r="C1039" s="3148"/>
      <c r="D1039" s="3148"/>
      <c r="E1039" s="94">
        <v>12</v>
      </c>
      <c r="F1039" s="94">
        <v>16</v>
      </c>
      <c r="G1039" s="94">
        <v>20</v>
      </c>
      <c r="H1039" s="94">
        <v>22</v>
      </c>
      <c r="I1039" s="94">
        <v>25</v>
      </c>
      <c r="J1039" s="275"/>
      <c r="K1039" s="159"/>
      <c r="L1039" s="3173" t="s">
        <v>1140</v>
      </c>
      <c r="M1039" s="3174"/>
      <c r="N1039" s="3174"/>
      <c r="O1039" s="3174"/>
      <c r="P1039" s="3175"/>
    </row>
    <row r="1040" spans="1:19" ht="14.25">
      <c r="A1040" s="172"/>
      <c r="B1040" s="256" t="s">
        <v>491</v>
      </c>
      <c r="C1040" s="256" t="s">
        <v>491</v>
      </c>
      <c r="D1040" s="256" t="s">
        <v>491</v>
      </c>
      <c r="E1040" s="596" t="s">
        <v>98</v>
      </c>
      <c r="F1040" s="596" t="s">
        <v>98</v>
      </c>
      <c r="G1040" s="596" t="s">
        <v>98</v>
      </c>
      <c r="H1040" s="596" t="s">
        <v>98</v>
      </c>
      <c r="I1040" s="596" t="s">
        <v>98</v>
      </c>
      <c r="J1040" s="759"/>
      <c r="K1040" s="159"/>
      <c r="L1040" s="3205" t="s">
        <v>876</v>
      </c>
      <c r="M1040" s="3171" t="s">
        <v>442</v>
      </c>
      <c r="N1040" s="3176"/>
      <c r="O1040" s="3176"/>
      <c r="P1040" s="3172"/>
      <c r="R1040" s="3127" t="s">
        <v>441</v>
      </c>
      <c r="S1040" s="3129"/>
    </row>
    <row r="1041" spans="1:23">
      <c r="A1041" s="264" t="s">
        <v>440</v>
      </c>
      <c r="B1041" s="55"/>
      <c r="C1041" s="55"/>
      <c r="D1041" s="55"/>
      <c r="E1041" s="55"/>
      <c r="F1041" s="55"/>
      <c r="G1041" s="55"/>
      <c r="H1041" s="55"/>
      <c r="I1041" s="56"/>
      <c r="J1041" s="386"/>
      <c r="K1041" s="159"/>
      <c r="L1041" s="3206"/>
      <c r="M1041" s="3171" t="s">
        <v>440</v>
      </c>
      <c r="N1041" s="3172"/>
      <c r="O1041" s="3171" t="s">
        <v>443</v>
      </c>
      <c r="P1041" s="3172"/>
      <c r="R1041" s="3171" t="s">
        <v>440</v>
      </c>
      <c r="S1041" s="3172"/>
    </row>
    <row r="1042" spans="1:23">
      <c r="A1042" s="363" t="s">
        <v>441</v>
      </c>
      <c r="B1042" s="318">
        <f>D1029</f>
        <v>591.97642651986496</v>
      </c>
      <c r="C1042" s="318">
        <f>IF(G1027&gt;380,C1033*1000*380,C1033*1000*G1027)</f>
        <v>950</v>
      </c>
      <c r="D1042" s="318">
        <f>MAX(B1042:C1042)</f>
        <v>950</v>
      </c>
      <c r="E1042" s="261">
        <f>PI()*(E1039/2)^2*1000/$D1042</f>
        <v>119.04982687287638</v>
      </c>
      <c r="F1042" s="261">
        <f>PI()*(F1039/2)^2*1000/$D1042</f>
        <v>211.6441366628913</v>
      </c>
      <c r="G1042" s="261">
        <f>PI()*(G1039/2)^2*1000/$D1042</f>
        <v>330.69396353576775</v>
      </c>
      <c r="H1042" s="261">
        <f>PI()*(H1039/2)^2*1000/$D1042</f>
        <v>400.13969587827893</v>
      </c>
      <c r="I1042" s="283">
        <f>PI()*(I1039/2)^2*1000/$D1042</f>
        <v>516.70931802463701</v>
      </c>
      <c r="J1042" s="328"/>
      <c r="K1042" s="159"/>
      <c r="L1042" s="3206"/>
      <c r="M1042" s="926" t="s">
        <v>709</v>
      </c>
      <c r="N1042" s="927" t="s">
        <v>710</v>
      </c>
      <c r="O1042" s="927" t="s">
        <v>709</v>
      </c>
      <c r="P1042" s="928" t="s">
        <v>710</v>
      </c>
      <c r="R1042" s="926" t="s">
        <v>709</v>
      </c>
      <c r="S1042" s="894" t="s">
        <v>710</v>
      </c>
    </row>
    <row r="1043" spans="1:23">
      <c r="A1043" s="364" t="s">
        <v>442</v>
      </c>
      <c r="B1043" s="319"/>
      <c r="C1043" s="318">
        <f>IF(G1027&gt;380,C1034*1000*380,C1034*1000*G1027)</f>
        <v>950</v>
      </c>
      <c r="D1043" s="319">
        <f>MAX(B1043:C1043)</f>
        <v>950</v>
      </c>
      <c r="E1043" s="261">
        <f>PI()*(E1039/2)^2*1000/$D1043</f>
        <v>119.04982687287638</v>
      </c>
      <c r="F1043" s="261">
        <f>PI()*(F1039/2)^2*1000/$D1043</f>
        <v>211.6441366628913</v>
      </c>
      <c r="G1043" s="261">
        <f>PI()*(G1039/2)^2*1000/$D1043</f>
        <v>330.69396353576775</v>
      </c>
      <c r="H1043" s="261">
        <f>PI()*(H1039/2)^2*1000/$D1043</f>
        <v>400.13969587827893</v>
      </c>
      <c r="I1043" s="283">
        <f>PI()*(I1039/2)^2*1000/$D1043</f>
        <v>516.70931802463701</v>
      </c>
      <c r="J1043" s="328"/>
      <c r="K1043" s="159"/>
      <c r="L1043" s="897" t="str">
        <f>L306</f>
        <v>1-1</v>
      </c>
      <c r="M1043" s="898">
        <f t="shared" ref="M1043:P1043" si="33">M306</f>
        <v>16</v>
      </c>
      <c r="N1043" s="907">
        <f t="shared" si="33"/>
        <v>200</v>
      </c>
      <c r="O1043" s="898">
        <f t="shared" si="33"/>
        <v>16</v>
      </c>
      <c r="P1043" s="908">
        <f t="shared" si="33"/>
        <v>250</v>
      </c>
      <c r="R1043" s="926">
        <f>R306</f>
        <v>16</v>
      </c>
      <c r="S1043" s="894">
        <f>S306</f>
        <v>200</v>
      </c>
    </row>
    <row r="1044" spans="1:23">
      <c r="A1044" s="258" t="s">
        <v>443</v>
      </c>
      <c r="B1044" s="265"/>
      <c r="C1044" s="322"/>
      <c r="D1044" s="322"/>
      <c r="E1044" s="266"/>
      <c r="F1044" s="266"/>
      <c r="G1044" s="266"/>
      <c r="H1044" s="266"/>
      <c r="I1044" s="267"/>
      <c r="J1044" s="330"/>
      <c r="K1044" s="159"/>
      <c r="L1044" s="895" t="str">
        <f t="shared" ref="L1044:P1047" si="34">L307</f>
        <v>2-2</v>
      </c>
      <c r="M1044" s="899">
        <f t="shared" si="34"/>
        <v>16</v>
      </c>
      <c r="N1044" s="903">
        <f t="shared" si="34"/>
        <v>200</v>
      </c>
      <c r="O1044" s="899">
        <f t="shared" si="34"/>
        <v>16</v>
      </c>
      <c r="P1044" s="904">
        <f t="shared" si="34"/>
        <v>250</v>
      </c>
      <c r="R1044" s="2334">
        <f t="shared" ref="R1044:S1047" si="35">R307</f>
        <v>16</v>
      </c>
      <c r="S1044" s="892">
        <f t="shared" si="35"/>
        <v>200</v>
      </c>
    </row>
    <row r="1045" spans="1:23">
      <c r="A1045" s="363" t="s">
        <v>441</v>
      </c>
      <c r="B1045" s="318">
        <f>C1029</f>
        <v>552.45925778096841</v>
      </c>
      <c r="C1045" s="318">
        <f>IF(G1027&gt;380,H1033*1000*380,H1033*1000*G1027)</f>
        <v>570</v>
      </c>
      <c r="D1045" s="318">
        <f>MAX(B1045:C1045)</f>
        <v>570</v>
      </c>
      <c r="E1045" s="261">
        <f>PI()*(E1039/2)^2*1000/$D1045</f>
        <v>198.41637812146064</v>
      </c>
      <c r="F1045" s="261">
        <f>PI()*(F1039/2)^2*1000/$D1045</f>
        <v>352.74022777148554</v>
      </c>
      <c r="G1045" s="261">
        <f>PI()*(G1039/2)^2*1000/$D1045</f>
        <v>551.15660589294623</v>
      </c>
      <c r="H1045" s="261">
        <f>PI()*(H1039/2)^2*1000/$D1045</f>
        <v>666.89949313046486</v>
      </c>
      <c r="I1045" s="283">
        <f>PI()*(I1039/2)^2*1000/$D1045</f>
        <v>861.18219670772839</v>
      </c>
      <c r="J1045" s="328"/>
      <c r="K1045" s="159"/>
      <c r="L1045" s="895" t="str">
        <f t="shared" si="34"/>
        <v>3-3</v>
      </c>
      <c r="M1045" s="899">
        <f t="shared" si="34"/>
        <v>16</v>
      </c>
      <c r="N1045" s="903">
        <f t="shared" si="34"/>
        <v>200</v>
      </c>
      <c r="O1045" s="899">
        <f t="shared" si="34"/>
        <v>16</v>
      </c>
      <c r="P1045" s="904">
        <f t="shared" si="34"/>
        <v>250</v>
      </c>
      <c r="R1045" s="2334">
        <f t="shared" si="35"/>
        <v>16</v>
      </c>
      <c r="S1045" s="892">
        <f t="shared" si="35"/>
        <v>200</v>
      </c>
    </row>
    <row r="1046" spans="1:23">
      <c r="A1046" s="364" t="s">
        <v>442</v>
      </c>
      <c r="B1046" s="263"/>
      <c r="C1046" s="319">
        <f>IF(G1027&gt;380,H1034*1000*380,H1034*1000*G1027)</f>
        <v>570</v>
      </c>
      <c r="D1046" s="319">
        <f>MAX(B1046:C1046)</f>
        <v>570</v>
      </c>
      <c r="E1046" s="284">
        <f>PI()*(E1039/2)^2*1000/$D1046</f>
        <v>198.41637812146064</v>
      </c>
      <c r="F1046" s="284">
        <f>PI()*(F1039/2)^2*1000/$D1046</f>
        <v>352.74022777148554</v>
      </c>
      <c r="G1046" s="284">
        <f>PI()*(G1039/2)^2*1000/$D1046</f>
        <v>551.15660589294623</v>
      </c>
      <c r="H1046" s="284">
        <f>PI()*(H1039/2)^2*1000/$D1046</f>
        <v>666.89949313046486</v>
      </c>
      <c r="I1046" s="285">
        <f>PI()*(I1039/2)^2*1000/$D1046</f>
        <v>861.18219670772839</v>
      </c>
      <c r="J1046" s="328"/>
      <c r="K1046" s="159"/>
      <c r="L1046" s="2017" t="str">
        <f t="shared" si="34"/>
        <v>4-4</v>
      </c>
      <c r="M1046" s="2018">
        <f t="shared" si="34"/>
        <v>16</v>
      </c>
      <c r="N1046" s="2019">
        <f t="shared" si="34"/>
        <v>200</v>
      </c>
      <c r="O1046" s="2018">
        <f t="shared" si="34"/>
        <v>16</v>
      </c>
      <c r="P1046" s="2020">
        <f t="shared" si="34"/>
        <v>250</v>
      </c>
      <c r="R1046" s="2335">
        <f t="shared" si="35"/>
        <v>16</v>
      </c>
      <c r="S1046" s="2337">
        <f t="shared" si="35"/>
        <v>200</v>
      </c>
    </row>
    <row r="1047" spans="1:23" ht="15">
      <c r="A1047" s="29"/>
      <c r="J1047" s="46"/>
      <c r="K1047" s="159"/>
      <c r="L1047" s="900" t="str">
        <f t="shared" si="34"/>
        <v>5-5</v>
      </c>
      <c r="M1047" s="901">
        <f t="shared" si="34"/>
        <v>16</v>
      </c>
      <c r="N1047" s="905">
        <f t="shared" si="34"/>
        <v>200</v>
      </c>
      <c r="O1047" s="901">
        <f t="shared" si="34"/>
        <v>16</v>
      </c>
      <c r="P1047" s="906">
        <f t="shared" si="34"/>
        <v>250</v>
      </c>
      <c r="R1047" s="2336">
        <f t="shared" si="35"/>
        <v>16</v>
      </c>
      <c r="S1047" s="893">
        <f t="shared" si="35"/>
        <v>150</v>
      </c>
    </row>
    <row r="1048" spans="1:23">
      <c r="A1048" s="264" t="s">
        <v>440</v>
      </c>
      <c r="B1048" s="55"/>
      <c r="C1048" s="252"/>
      <c r="D1048" s="55"/>
      <c r="E1048" s="55"/>
      <c r="F1048" s="56"/>
      <c r="G1048" s="1551" t="s">
        <v>2095</v>
      </c>
      <c r="H1048" s="2641" t="s">
        <v>1358</v>
      </c>
      <c r="I1048" s="1178" t="s">
        <v>2094</v>
      </c>
      <c r="J1048" s="46"/>
      <c r="K1048" s="159"/>
      <c r="L1048" s="46"/>
      <c r="M1048" s="46"/>
    </row>
    <row r="1049" spans="1:23" ht="15.75">
      <c r="A1049" s="363" t="s">
        <v>441</v>
      </c>
      <c r="B1049" s="268" t="s">
        <v>136</v>
      </c>
      <c r="C1049" s="269">
        <v>16</v>
      </c>
      <c r="D1049" s="604" t="s">
        <v>481</v>
      </c>
      <c r="E1049" s="271">
        <v>200</v>
      </c>
      <c r="F1049" s="272" t="s">
        <v>482</v>
      </c>
      <c r="G1049" s="2014" t="s">
        <v>2096</v>
      </c>
      <c r="H1049" s="316">
        <f>PI()*(C1049/2)^2*1000/E1049</f>
        <v>1005.3096491487337</v>
      </c>
      <c r="I1049" s="457">
        <f>H1049*$C$18*$C$22*H1027/10^6</f>
        <v>122.75846577451438</v>
      </c>
      <c r="J1049" s="46"/>
      <c r="K1049" s="159"/>
      <c r="L1049" s="46"/>
      <c r="M1049" s="46"/>
    </row>
    <row r="1050" spans="1:23" ht="15.75">
      <c r="A1050" s="364" t="s">
        <v>442</v>
      </c>
      <c r="B1050" s="278" t="s">
        <v>136</v>
      </c>
      <c r="C1050" s="279">
        <v>16</v>
      </c>
      <c r="D1050" s="280" t="s">
        <v>481</v>
      </c>
      <c r="E1050" s="281">
        <v>200</v>
      </c>
      <c r="F1050" s="282" t="s">
        <v>482</v>
      </c>
      <c r="G1050" s="2639"/>
      <c r="H1050" s="16"/>
      <c r="I1050" s="2666" t="str">
        <f>IF(I1049&gt;=W26,"o.k","Not o.k")</f>
        <v>o.k</v>
      </c>
      <c r="J1050" s="46"/>
      <c r="K1050" s="159"/>
      <c r="L1050" s="46"/>
      <c r="M1050" s="46"/>
    </row>
    <row r="1051" spans="1:23" ht="15">
      <c r="A1051" s="258" t="s">
        <v>443</v>
      </c>
      <c r="B1051" s="273"/>
      <c r="C1051" s="274"/>
      <c r="D1051" s="275"/>
      <c r="E1051" s="276"/>
      <c r="F1051" s="277"/>
      <c r="G1051" s="2639"/>
      <c r="H1051" s="16"/>
      <c r="I1051" s="58"/>
      <c r="J1051" s="46"/>
      <c r="K1051" s="159"/>
      <c r="L1051" s="46"/>
      <c r="M1051" s="46"/>
    </row>
    <row r="1052" spans="1:23" ht="15.75">
      <c r="A1052" s="363" t="s">
        <v>441</v>
      </c>
      <c r="B1052" s="268" t="s">
        <v>136</v>
      </c>
      <c r="C1052" s="397">
        <f>C935</f>
        <v>16</v>
      </c>
      <c r="D1052" s="604" t="s">
        <v>481</v>
      </c>
      <c r="E1052" s="398">
        <f>E935</f>
        <v>150</v>
      </c>
      <c r="F1052" s="272" t="s">
        <v>482</v>
      </c>
      <c r="G1052" s="2124" t="s">
        <v>2097</v>
      </c>
      <c r="H1052" s="316">
        <f>PI()*(C1052/2)^2*1000/$E1052</f>
        <v>1340.4128655316449</v>
      </c>
      <c r="I1052" s="457">
        <f>H1052*$C$18*$C$22*H1027/10^6</f>
        <v>163.67795436601918</v>
      </c>
      <c r="J1052" s="46"/>
      <c r="K1052" s="159"/>
      <c r="L1052" s="46"/>
      <c r="M1052" s="46"/>
    </row>
    <row r="1053" spans="1:23" ht="15.75">
      <c r="A1053" s="364" t="s">
        <v>442</v>
      </c>
      <c r="B1053" s="278" t="s">
        <v>136</v>
      </c>
      <c r="C1053" s="279">
        <v>16</v>
      </c>
      <c r="D1053" s="280" t="s">
        <v>481</v>
      </c>
      <c r="E1053" s="281">
        <v>250</v>
      </c>
      <c r="F1053" s="282" t="s">
        <v>482</v>
      </c>
      <c r="G1053" s="2640"/>
      <c r="H1053" s="60"/>
      <c r="I1053" s="465" t="str">
        <f>IF(I1052&gt;=V26,"o.k","Not o.k")</f>
        <v>o.k</v>
      </c>
      <c r="J1053" s="46"/>
      <c r="K1053" s="159"/>
      <c r="L1053" s="46"/>
      <c r="M1053" s="46"/>
    </row>
    <row r="1054" spans="1:23">
      <c r="J1054" s="46"/>
      <c r="K1054" s="159"/>
    </row>
    <row r="1055" spans="1:23">
      <c r="B1055" s="2183" t="s">
        <v>602</v>
      </c>
      <c r="C1055" s="2184"/>
      <c r="D1055" s="2185" t="s">
        <v>1868</v>
      </c>
      <c r="E1055" s="2184"/>
      <c r="F1055" s="2184"/>
      <c r="J1055" s="46"/>
      <c r="K1055" s="159"/>
    </row>
    <row r="1056" spans="1:23" ht="12.75" customHeight="1">
      <c r="B1056" s="2184" t="s">
        <v>940</v>
      </c>
      <c r="C1056" s="2184"/>
      <c r="D1056" s="2184"/>
      <c r="E1056" s="2184"/>
      <c r="F1056" s="2184"/>
      <c r="G1056" s="126" t="str">
        <f>IF(AND(H995&lt;=F994/2,H1005&lt;=F1004/2,H1015&lt;=F1014/2),"For Curtailment follow the Remark","Curtailment not possible")</f>
        <v>For Curtailment follow the Remark</v>
      </c>
      <c r="H1056" s="126"/>
      <c r="I1056" s="126"/>
      <c r="J1056" s="126"/>
      <c r="K1056" s="159"/>
      <c r="O1056" s="423"/>
      <c r="P1056" s="406" t="s">
        <v>689</v>
      </c>
      <c r="Q1056" s="55"/>
      <c r="R1056" s="55"/>
      <c r="S1056" s="55"/>
      <c r="T1056" s="55"/>
      <c r="U1056" s="55"/>
      <c r="V1056" s="55"/>
      <c r="W1056" s="2736" t="s">
        <v>945</v>
      </c>
    </row>
    <row r="1057" spans="1:23" ht="14.25">
      <c r="K1057" s="159"/>
      <c r="O1057" s="2084"/>
      <c r="P1057" s="241" t="s">
        <v>941</v>
      </c>
      <c r="Q1057" s="16"/>
      <c r="R1057" s="16"/>
      <c r="S1057" s="16"/>
      <c r="T1057" s="16"/>
      <c r="U1057" s="16"/>
      <c r="V1057" s="16"/>
      <c r="W1057" s="2735"/>
    </row>
    <row r="1058" spans="1:23" ht="14.25">
      <c r="B1058" s="187" t="s">
        <v>1822</v>
      </c>
      <c r="F1058" s="1995">
        <f>0.5*PI()*(C1052/2)^2*1000/E1052</f>
        <v>670.20643276582246</v>
      </c>
      <c r="G1058" s="187" t="s">
        <v>1348</v>
      </c>
      <c r="J1058" s="46"/>
      <c r="K1058" s="159"/>
      <c r="O1058" s="259" t="s">
        <v>707</v>
      </c>
      <c r="P1058" s="241" t="s">
        <v>942</v>
      </c>
      <c r="Q1058" s="16"/>
      <c r="R1058" s="16"/>
      <c r="S1058" s="16"/>
      <c r="T1058" s="16"/>
      <c r="U1058" s="16"/>
      <c r="V1058" s="16"/>
      <c r="W1058" s="2739"/>
    </row>
    <row r="1059" spans="1:23" ht="14.25">
      <c r="B1059" s="385" t="s">
        <v>1825</v>
      </c>
      <c r="F1059" s="33">
        <f>F1058*$C$18*$C$22*H1027/10^6</f>
        <v>81.83897718300959</v>
      </c>
      <c r="G1059" s="187" t="s">
        <v>107</v>
      </c>
      <c r="H1059" s="2751" t="str">
        <f>IF(F1059&gt;V$26,"&gt; Max End Me="&amp;FIXED(V$26,2)&amp;" kn-m","&lt; Max End Me="&amp;FIXED(V$26,2)&amp;" kn-m")</f>
        <v>&gt; Max End Me=67.46 kn-m</v>
      </c>
      <c r="I1059" s="2751"/>
      <c r="J1059" s="2751"/>
      <c r="K1059" s="159"/>
      <c r="L1059" s="2742" t="s">
        <v>2116</v>
      </c>
      <c r="M1059" s="2743"/>
      <c r="N1059" s="2744"/>
      <c r="O1059" s="2084"/>
      <c r="P1059" s="242">
        <f>D993/F976</f>
        <v>7.0487111210561668</v>
      </c>
      <c r="Q1059" s="434" t="s">
        <v>685</v>
      </c>
      <c r="R1059" s="242">
        <f>D993*2</f>
        <v>80.086500000000015</v>
      </c>
      <c r="S1059" s="434" t="s">
        <v>686</v>
      </c>
      <c r="T1059" s="242">
        <f>D993*H887+F994</f>
        <v>85.480319904030495</v>
      </c>
      <c r="U1059" s="2737" t="s">
        <v>35</v>
      </c>
      <c r="V1059" s="1048">
        <v>0</v>
      </c>
      <c r="W1059" s="256" t="s">
        <v>491</v>
      </c>
    </row>
    <row r="1060" spans="1:23" ht="14.25">
      <c r="B1060" s="187" t="s">
        <v>1823</v>
      </c>
      <c r="J1060" s="46"/>
      <c r="K1060" s="159"/>
      <c r="L1060" s="2745" t="s">
        <v>2117</v>
      </c>
      <c r="M1060" s="2746"/>
      <c r="N1060" s="2747"/>
      <c r="O1060" s="2084"/>
      <c r="P1060" s="242"/>
      <c r="Q1060" s="434"/>
      <c r="R1060" s="242"/>
      <c r="S1060" s="434"/>
      <c r="T1060" s="242"/>
      <c r="U1060" s="2737"/>
      <c r="V1060" s="1048"/>
      <c r="W1060" s="316">
        <f>T1064*10^6/($C$18*$C$22*H1027)</f>
        <v>276.22962889048415</v>
      </c>
    </row>
    <row r="1061" spans="1:23" ht="14.25">
      <c r="A1061" s="203" t="s">
        <v>707</v>
      </c>
      <c r="B1061" s="187" t="s">
        <v>1826</v>
      </c>
      <c r="J1061" s="46"/>
      <c r="K1061" s="159"/>
      <c r="L1061" s="2748" t="s">
        <v>2118</v>
      </c>
      <c r="M1061" s="2749"/>
      <c r="N1061" s="2750"/>
      <c r="O1061" s="2084"/>
      <c r="P1061" s="242"/>
      <c r="Q1061" s="434"/>
      <c r="R1061" s="242"/>
      <c r="S1061" s="434"/>
      <c r="T1061" s="242"/>
      <c r="U1061" s="2737"/>
      <c r="V1061" s="1048"/>
      <c r="W1061" s="58"/>
    </row>
    <row r="1062" spans="1:23" ht="14.25">
      <c r="B1062" s="33">
        <f>D993/F976</f>
        <v>7.0487111210561668</v>
      </c>
      <c r="C1062" s="206" t="s">
        <v>685</v>
      </c>
      <c r="D1062" s="33">
        <f>D993*2</f>
        <v>80.086500000000015</v>
      </c>
      <c r="E1062" s="206" t="s">
        <v>686</v>
      </c>
      <c r="F1062" s="33">
        <f>D993*H887+F994*2-F1059*2</f>
        <v>-10.736777057958193</v>
      </c>
      <c r="G1062" s="1979" t="s">
        <v>35</v>
      </c>
      <c r="H1062" s="18">
        <v>0</v>
      </c>
      <c r="J1062" s="46"/>
      <c r="K1062" s="159"/>
      <c r="O1062" s="2084"/>
      <c r="P1062" s="16"/>
      <c r="Q1062" s="16"/>
      <c r="R1062" s="16"/>
      <c r="S1062" s="16"/>
      <c r="T1062" s="16"/>
      <c r="U1062" s="16"/>
      <c r="V1062" s="16"/>
      <c r="W1062" s="58"/>
    </row>
    <row r="1063" spans="1:23">
      <c r="B1063" s="33"/>
      <c r="C1063" s="206"/>
      <c r="D1063" s="33"/>
      <c r="E1063" s="206"/>
      <c r="F1063" s="33"/>
      <c r="G1063" s="1979"/>
      <c r="H1063" s="18"/>
      <c r="J1063" s="46"/>
      <c r="K1063" s="159"/>
      <c r="O1063" s="2084"/>
      <c r="P1063" s="241" t="s">
        <v>691</v>
      </c>
      <c r="Q1063" s="242">
        <f>(-(-R1059)-SQRT(R1059^2-4*P1059*T1059))/(2*P1059)</f>
        <v>1.1925131545654821</v>
      </c>
      <c r="R1063" s="241" t="s">
        <v>688</v>
      </c>
      <c r="S1063" s="16"/>
      <c r="T1063" s="16"/>
      <c r="U1063" s="241" t="s">
        <v>690</v>
      </c>
      <c r="V1063" s="16"/>
      <c r="W1063" s="58"/>
    </row>
    <row r="1064" spans="1:23" ht="14.25">
      <c r="B1064" s="187" t="s">
        <v>691</v>
      </c>
      <c r="C1064" s="1996">
        <f>(-(-D1062)-SQRT(D1062^2-4*B1062*F1062))/(2*B1062)</f>
        <v>-0.13251911880998618</v>
      </c>
      <c r="D1064" s="187" t="s">
        <v>688</v>
      </c>
      <c r="G1064" s="187" t="s">
        <v>1827</v>
      </c>
      <c r="J1064" s="46"/>
      <c r="K1064" s="159"/>
      <c r="O1064" s="2084"/>
      <c r="P1064" s="241" t="s">
        <v>687</v>
      </c>
      <c r="Q1064" s="16"/>
      <c r="R1064" s="16"/>
      <c r="S1064" s="16"/>
      <c r="T1064" s="242">
        <f>F994+Q1063^2*D993/(2*F976)-D993*(Q1063-H887/2)</f>
        <v>33.730428702015239</v>
      </c>
      <c r="U1064" s="241" t="s">
        <v>620</v>
      </c>
      <c r="V1064" s="16"/>
      <c r="W1064" s="58"/>
    </row>
    <row r="1065" spans="1:23" ht="14.25">
      <c r="B1065" s="187" t="s">
        <v>687</v>
      </c>
      <c r="F1065" s="33">
        <f>F994+C1064^2*D993/(2*F976)-D993*(C1064-H887/2)</f>
        <v>81.83897718300959</v>
      </c>
      <c r="G1065" s="187" t="s">
        <v>620</v>
      </c>
      <c r="J1065" s="46"/>
      <c r="K1065" s="159"/>
      <c r="O1065" s="2085"/>
      <c r="P1065" s="59"/>
      <c r="Q1065" s="59"/>
      <c r="R1065" s="59"/>
      <c r="S1065" s="1497" t="s">
        <v>943</v>
      </c>
      <c r="T1065" s="212">
        <f>+F994/2</f>
        <v>33.730428702015246</v>
      </c>
      <c r="U1065" s="204" t="s">
        <v>620</v>
      </c>
      <c r="V1065" s="1504" t="str">
        <f>IF(T1064=T1065,"O.k","Not O.k")</f>
        <v>O.k</v>
      </c>
      <c r="W1065" s="60"/>
    </row>
    <row r="1066" spans="1:23">
      <c r="B1066" s="207" t="s">
        <v>2113</v>
      </c>
      <c r="C1066" s="126"/>
      <c r="D1066" s="126"/>
      <c r="E1066" s="126"/>
      <c r="F1066" s="246">
        <f>X$26</f>
        <v>0</v>
      </c>
      <c r="G1066" s="207" t="s">
        <v>620</v>
      </c>
      <c r="J1066" s="46"/>
      <c r="K1066" s="159"/>
      <c r="O1066" s="16"/>
      <c r="P1066" s="16"/>
      <c r="Q1066" s="16"/>
      <c r="R1066" s="16"/>
      <c r="S1066" s="974"/>
      <c r="T1066" s="242"/>
      <c r="U1066" s="241"/>
      <c r="V1066" s="117"/>
      <c r="W1066" s="16"/>
    </row>
    <row r="1067" spans="1:23">
      <c r="B1067" s="187" t="s">
        <v>692</v>
      </c>
      <c r="H1067" s="33">
        <f>MAX(C1064,D887)+40*C1052/1000</f>
        <v>1.0900000000000001</v>
      </c>
      <c r="I1067" s="187" t="s">
        <v>5</v>
      </c>
      <c r="J1067" s="109"/>
      <c r="K1067" s="159"/>
      <c r="L1067" s="33"/>
    </row>
    <row r="1068" spans="1:23">
      <c r="J1068" s="46"/>
      <c r="K1068" s="159"/>
      <c r="L1068" s="109"/>
      <c r="M1068" s="46"/>
      <c r="N1068" s="405"/>
      <c r="O1068" s="385"/>
      <c r="P1068" s="624"/>
      <c r="Q1068" s="46"/>
    </row>
    <row r="1069" spans="1:23" ht="12.75" customHeight="1">
      <c r="A1069" s="3085" t="s">
        <v>944</v>
      </c>
      <c r="B1069" s="355" t="s">
        <v>1147</v>
      </c>
      <c r="C1069" s="3138" t="s">
        <v>2115</v>
      </c>
      <c r="D1069" s="3118" t="s">
        <v>946</v>
      </c>
      <c r="E1069" s="3122" t="s">
        <v>937</v>
      </c>
      <c r="F1069" s="3122" t="s">
        <v>938</v>
      </c>
      <c r="G1069" s="3228" t="s">
        <v>947</v>
      </c>
      <c r="H1069" s="3118" t="s">
        <v>2120</v>
      </c>
      <c r="I1069" s="3213" t="s">
        <v>676</v>
      </c>
      <c r="J1069" s="3214"/>
      <c r="K1069" s="159"/>
      <c r="L1069" s="109"/>
      <c r="M1069" s="46"/>
      <c r="N1069" s="405"/>
      <c r="O1069" s="385"/>
      <c r="Q1069" s="46"/>
    </row>
    <row r="1070" spans="1:23">
      <c r="A1070" s="3200"/>
      <c r="B1070" s="365" t="s">
        <v>1149</v>
      </c>
      <c r="C1070" s="3144"/>
      <c r="D1070" s="3092"/>
      <c r="E1070" s="3123"/>
      <c r="F1070" s="3123"/>
      <c r="G1070" s="3231"/>
      <c r="H1070" s="3092"/>
      <c r="I1070" s="960"/>
      <c r="J1070" s="961"/>
      <c r="K1070" s="159"/>
      <c r="L1070" s="109"/>
      <c r="M1070" s="46"/>
      <c r="N1070" s="405"/>
      <c r="O1070" s="385"/>
      <c r="Q1070" s="46"/>
    </row>
    <row r="1071" spans="1:23">
      <c r="A1071" s="3086"/>
      <c r="B1071" s="354" t="s">
        <v>1148</v>
      </c>
      <c r="C1071" s="3144"/>
      <c r="D1071" s="626"/>
      <c r="E1071" s="360"/>
      <c r="F1071" s="360"/>
      <c r="G1071" s="3232"/>
      <c r="H1071" s="3239"/>
      <c r="I1071" s="959"/>
      <c r="J1071" s="961"/>
      <c r="K1071" s="159"/>
      <c r="L1071" s="109"/>
      <c r="M1071" s="46"/>
      <c r="N1071" s="405"/>
      <c r="O1071" s="385"/>
      <c r="Q1071" s="46"/>
    </row>
    <row r="1072" spans="1:23" ht="14.25">
      <c r="A1072" s="2734" t="s">
        <v>5</v>
      </c>
      <c r="B1072" s="256" t="s">
        <v>491</v>
      </c>
      <c r="C1072" s="256" t="s">
        <v>491</v>
      </c>
      <c r="D1072" s="256" t="s">
        <v>491</v>
      </c>
      <c r="E1072" s="256" t="s">
        <v>491</v>
      </c>
      <c r="F1072" s="625" t="s">
        <v>98</v>
      </c>
      <c r="G1072" s="618" t="s">
        <v>5</v>
      </c>
      <c r="H1072" s="625" t="s">
        <v>98</v>
      </c>
      <c r="I1072" s="962"/>
      <c r="J1072" s="963"/>
      <c r="K1072" s="159"/>
      <c r="L1072" s="109"/>
      <c r="M1072" s="46"/>
      <c r="N1072" s="405"/>
      <c r="O1072" s="385"/>
      <c r="Q1072" s="46"/>
    </row>
    <row r="1073" spans="1:17">
      <c r="A1073" s="2740">
        <f>H1067</f>
        <v>1.0900000000000001</v>
      </c>
      <c r="B1073" s="316">
        <f>0.5*PI()*(C1052/2)^2*1000/E1052</f>
        <v>670.20643276582246</v>
      </c>
      <c r="C1073" s="357">
        <f>F1066*10^6/(fs*j*H1027)</f>
        <v>0</v>
      </c>
      <c r="D1073" s="316">
        <f>C1045</f>
        <v>570</v>
      </c>
      <c r="E1073" s="316">
        <f>MAX(B1073:D1073)</f>
        <v>670.20643276582246</v>
      </c>
      <c r="F1073" s="619">
        <f>PI()*(C1052/2)^2*1000/E1073</f>
        <v>300</v>
      </c>
      <c r="G1073" s="620">
        <v>1.25</v>
      </c>
      <c r="H1073" s="621">
        <f>E1052*2</f>
        <v>300</v>
      </c>
      <c r="I1073" s="3215" t="str">
        <f>IF(OR(A1073&gt;F976-0.5,H1073&gt;F1073),"No curtailment ","Do curtailment")</f>
        <v>Do curtailment</v>
      </c>
      <c r="J1073" s="3216"/>
      <c r="K1073" s="159"/>
      <c r="L1073" s="1997" t="s">
        <v>645</v>
      </c>
      <c r="M1073" s="1998">
        <f>F976</f>
        <v>5.6809322033898297</v>
      </c>
      <c r="N1073" s="187" t="s">
        <v>5</v>
      </c>
      <c r="O1073" s="385"/>
      <c r="Q1073" s="46"/>
    </row>
    <row r="1074" spans="1:17">
      <c r="J1074" s="46"/>
      <c r="K1074" s="159"/>
    </row>
    <row r="1075" spans="1:17">
      <c r="B1075" s="2183" t="s">
        <v>602</v>
      </c>
      <c r="C1075" s="2184"/>
      <c r="D1075" s="2185" t="s">
        <v>1869</v>
      </c>
      <c r="E1075" s="2184"/>
      <c r="F1075" s="2184"/>
      <c r="J1075" s="46"/>
      <c r="K1075" s="159"/>
    </row>
    <row r="1076" spans="1:17">
      <c r="B1076" s="187"/>
      <c r="G1076" s="126" t="str">
        <f>IF(F1086=0,"No curtailment needed ","For Curtailment follow the Remark")</f>
        <v>For Curtailment follow the Remark</v>
      </c>
      <c r="H1076" s="126"/>
      <c r="I1076" s="126"/>
      <c r="J1076" s="126"/>
      <c r="K1076" s="159"/>
    </row>
    <row r="1077" spans="1:17">
      <c r="B1077" s="1" t="s">
        <v>657</v>
      </c>
      <c r="C1077" s="46"/>
      <c r="K1077" s="159"/>
    </row>
    <row r="1078" spans="1:17">
      <c r="B1078" s="187" t="s">
        <v>1872</v>
      </c>
      <c r="F1078" s="158">
        <f>IF(H995&lt;0,H995,0)</f>
        <v>-37.270905572664446</v>
      </c>
      <c r="G1078" s="187" t="s">
        <v>107</v>
      </c>
      <c r="K1078" s="159"/>
    </row>
    <row r="1079" spans="1:17">
      <c r="B1079" s="187" t="s">
        <v>2128</v>
      </c>
      <c r="C1079" s="46"/>
      <c r="D1079" s="46"/>
      <c r="F1079" s="33">
        <f>F1078/2</f>
        <v>-18.635452786332223</v>
      </c>
      <c r="K1079" s="159"/>
    </row>
    <row r="1080" spans="1:17" ht="14.25">
      <c r="B1080" s="187" t="s">
        <v>1826</v>
      </c>
      <c r="K1080" s="159"/>
    </row>
    <row r="1081" spans="1:17" ht="14.25">
      <c r="B1081" s="33">
        <f>D993/F976</f>
        <v>7.0487111210561668</v>
      </c>
      <c r="C1081" s="206" t="s">
        <v>685</v>
      </c>
      <c r="D1081" s="33">
        <f>D993*2</f>
        <v>80.086500000000015</v>
      </c>
      <c r="E1081" s="206" t="s">
        <v>686</v>
      </c>
      <c r="F1081" s="33">
        <f>D993*D887+F994*2-F1079*2</f>
        <v>190.21208288072543</v>
      </c>
      <c r="G1081" s="2754" t="s">
        <v>35</v>
      </c>
      <c r="H1081" s="18">
        <v>0</v>
      </c>
      <c r="K1081" s="159"/>
    </row>
    <row r="1082" spans="1:17">
      <c r="B1082" s="187" t="s">
        <v>691</v>
      </c>
      <c r="C1082" s="1996">
        <f>(-(-D1081)-SQRT(D1081^2-4*B1081*F1081))/(2*B1081)</f>
        <v>3.3814496629350961</v>
      </c>
      <c r="D1082" s="187" t="s">
        <v>688</v>
      </c>
      <c r="F1082" s="187" t="s">
        <v>1827</v>
      </c>
      <c r="K1082" s="159"/>
    </row>
    <row r="1083" spans="1:17" ht="14.25">
      <c r="B1083" s="187" t="s">
        <v>687</v>
      </c>
      <c r="F1083" s="33">
        <f>F994+C1082^2*D993/(2*F976)-D993*(C1082-D887/2)</f>
        <v>-18.635452786332237</v>
      </c>
      <c r="G1083" s="187" t="s">
        <v>620</v>
      </c>
      <c r="K1083" s="159"/>
    </row>
    <row r="1084" spans="1:17">
      <c r="K1084" s="159"/>
    </row>
    <row r="1085" spans="1:17">
      <c r="B1085" s="1" t="s">
        <v>661</v>
      </c>
      <c r="K1085" s="159"/>
    </row>
    <row r="1086" spans="1:17">
      <c r="B1086" s="187" t="s">
        <v>1872</v>
      </c>
      <c r="F1086" s="158">
        <f>IF(H1015&lt;0,H1015,0)</f>
        <v>-72.286302987137418</v>
      </c>
      <c r="G1086" s="187" t="s">
        <v>107</v>
      </c>
      <c r="J1086" s="46"/>
      <c r="K1086" s="159"/>
    </row>
    <row r="1087" spans="1:17">
      <c r="B1087" s="187" t="s">
        <v>1873</v>
      </c>
      <c r="F1087" s="33">
        <f>F1086/2</f>
        <v>-36.143151493568709</v>
      </c>
      <c r="G1087" s="187" t="s">
        <v>107</v>
      </c>
      <c r="J1087" s="46"/>
      <c r="K1087" s="159"/>
    </row>
    <row r="1088" spans="1:17" ht="14.25">
      <c r="B1088" s="187" t="s">
        <v>1823</v>
      </c>
      <c r="J1088" s="46"/>
      <c r="K1088" s="159"/>
    </row>
    <row r="1089" spans="1:13" ht="14.25">
      <c r="A1089" s="203" t="s">
        <v>707</v>
      </c>
      <c r="B1089" s="187" t="s">
        <v>1826</v>
      </c>
      <c r="J1089" s="46"/>
      <c r="K1089" s="159"/>
    </row>
    <row r="1090" spans="1:13" ht="14.25">
      <c r="B1090" s="33">
        <f>D1013/F976</f>
        <v>7.0487111210561668</v>
      </c>
      <c r="C1090" s="206" t="s">
        <v>685</v>
      </c>
      <c r="D1090" s="33">
        <f>D1013*2</f>
        <v>80.086500000000015</v>
      </c>
      <c r="E1090" s="206" t="s">
        <v>686</v>
      </c>
      <c r="F1090" s="33">
        <f>D1013*H887+F1014*2-F1087*2</f>
        <v>155.19668546625246</v>
      </c>
      <c r="G1090" s="2175" t="s">
        <v>35</v>
      </c>
      <c r="H1090" s="18">
        <v>0</v>
      </c>
      <c r="J1090" s="46"/>
      <c r="K1090" s="159"/>
    </row>
    <row r="1091" spans="1:13">
      <c r="B1091" s="33"/>
      <c r="C1091" s="206"/>
      <c r="D1091" s="33"/>
      <c r="E1091" s="206"/>
      <c r="F1091" s="33"/>
      <c r="G1091" s="2175"/>
      <c r="H1091" s="18"/>
      <c r="J1091" s="46"/>
      <c r="K1091" s="159"/>
    </row>
    <row r="1092" spans="1:13">
      <c r="B1092" s="187" t="s">
        <v>691</v>
      </c>
      <c r="C1092" s="1996">
        <f>(-(-D1090)-SQRT(D1090^2-4*B1090*F1090))/(2*B1090)</f>
        <v>2.4785500943559051</v>
      </c>
      <c r="D1092" s="187" t="s">
        <v>688</v>
      </c>
      <c r="G1092" s="187" t="s">
        <v>1827</v>
      </c>
      <c r="J1092" s="46"/>
      <c r="K1092" s="159"/>
    </row>
    <row r="1093" spans="1:13" ht="14.25">
      <c r="B1093" s="187" t="s">
        <v>687</v>
      </c>
      <c r="F1093" s="33">
        <f>F1014+C1092^2*D1013/(2*F976)-D1013*(C1092-H887/2)</f>
        <v>-36.143151493568723</v>
      </c>
      <c r="G1093" s="187" t="s">
        <v>620</v>
      </c>
      <c r="J1093" s="46"/>
      <c r="K1093" s="159"/>
    </row>
    <row r="1094" spans="1:13">
      <c r="K1094" s="159"/>
    </row>
    <row r="1095" spans="1:13">
      <c r="B1095" s="207" t="s">
        <v>2119</v>
      </c>
      <c r="C1095" s="126"/>
      <c r="D1095" s="126"/>
      <c r="E1095" s="126"/>
      <c r="F1095" s="126"/>
      <c r="G1095" s="126"/>
      <c r="H1095" s="246">
        <f>W$26</f>
        <v>72.286302987137418</v>
      </c>
      <c r="I1095" s="207" t="s">
        <v>620</v>
      </c>
      <c r="K1095" s="159"/>
    </row>
    <row r="1096" spans="1:13">
      <c r="B1096" t="s">
        <v>2127</v>
      </c>
      <c r="H1096" s="33">
        <f>AE26</f>
        <v>2.4785500943559051</v>
      </c>
      <c r="K1096" s="159"/>
    </row>
    <row r="1097" spans="1:13">
      <c r="B1097" s="187" t="s">
        <v>692</v>
      </c>
      <c r="H1097" s="33">
        <f>H1096-40*C1049/1000</f>
        <v>1.838550094355905</v>
      </c>
      <c r="I1097" s="187" t="s">
        <v>5</v>
      </c>
      <c r="J1097" s="109"/>
      <c r="K1097" s="159"/>
    </row>
    <row r="1098" spans="1:13">
      <c r="B1098" s="187" t="s">
        <v>1876</v>
      </c>
      <c r="H1098" s="33">
        <f>IF(H1097&lt;D887,0,H1097-D887)</f>
        <v>1.388550094355905</v>
      </c>
      <c r="I1098" s="187" t="s">
        <v>5</v>
      </c>
      <c r="J1098" s="109"/>
      <c r="K1098" s="159"/>
      <c r="L1098" s="46"/>
      <c r="M1098" s="46"/>
    </row>
    <row r="1099" spans="1:13">
      <c r="B1099" s="187" t="s">
        <v>2122</v>
      </c>
      <c r="H1099" s="33">
        <f>F887</f>
        <v>10.461864406779661</v>
      </c>
      <c r="I1099" s="187" t="s">
        <v>5</v>
      </c>
      <c r="J1099" s="109"/>
      <c r="K1099" s="159"/>
    </row>
    <row r="1100" spans="1:13">
      <c r="B1100" s="187" t="s">
        <v>2121</v>
      </c>
      <c r="H1100" s="33" t="str">
        <f>IF(G1106="","",H1099-G1106*2)</f>
        <v/>
      </c>
      <c r="I1100" s="187" t="s">
        <v>5</v>
      </c>
      <c r="J1100" s="109"/>
      <c r="K1100" s="159"/>
    </row>
    <row r="1101" spans="1:13">
      <c r="J1101" s="46"/>
      <c r="K1101" s="159"/>
    </row>
    <row r="1102" spans="1:13">
      <c r="A1102" s="3085" t="s">
        <v>1875</v>
      </c>
      <c r="B1102" s="3118" t="s">
        <v>945</v>
      </c>
      <c r="C1102" s="355" t="s">
        <v>1147</v>
      </c>
      <c r="D1102" s="3118" t="s">
        <v>946</v>
      </c>
      <c r="E1102" s="3122" t="s">
        <v>937</v>
      </c>
      <c r="F1102" s="3122" t="s">
        <v>938</v>
      </c>
      <c r="G1102" s="3228" t="s">
        <v>947</v>
      </c>
      <c r="H1102" s="3118" t="s">
        <v>622</v>
      </c>
      <c r="I1102" s="3213" t="s">
        <v>676</v>
      </c>
      <c r="J1102" s="3214"/>
      <c r="K1102" s="159"/>
    </row>
    <row r="1103" spans="1:13">
      <c r="A1103" s="3202"/>
      <c r="B1103" s="3092"/>
      <c r="C1103" s="365" t="s">
        <v>1149</v>
      </c>
      <c r="D1103" s="3092"/>
      <c r="E1103" s="3123"/>
      <c r="F1103" s="3123"/>
      <c r="G1103" s="3231"/>
      <c r="H1103" s="3092"/>
      <c r="I1103" s="960"/>
      <c r="J1103" s="961"/>
      <c r="K1103" s="159"/>
    </row>
    <row r="1104" spans="1:13">
      <c r="A1104" s="3203"/>
      <c r="B1104" s="2192"/>
      <c r="C1104" s="354" t="s">
        <v>1148</v>
      </c>
      <c r="D1104" s="2178"/>
      <c r="E1104" s="360"/>
      <c r="F1104" s="360"/>
      <c r="G1104" s="3232"/>
      <c r="H1104" s="2177"/>
      <c r="I1104" s="959"/>
      <c r="J1104" s="961"/>
      <c r="K1104" s="159"/>
    </row>
    <row r="1105" spans="1:13" ht="14.25">
      <c r="A1105" s="2173" t="s">
        <v>5</v>
      </c>
      <c r="B1105" s="256" t="s">
        <v>491</v>
      </c>
      <c r="C1105" s="256" t="s">
        <v>491</v>
      </c>
      <c r="D1105" s="256" t="s">
        <v>491</v>
      </c>
      <c r="E1105" s="256" t="s">
        <v>491</v>
      </c>
      <c r="F1105" s="2174" t="s">
        <v>98</v>
      </c>
      <c r="G1105" s="618" t="s">
        <v>5</v>
      </c>
      <c r="H1105" s="2174" t="s">
        <v>98</v>
      </c>
      <c r="I1105" s="962"/>
      <c r="J1105" s="963"/>
      <c r="K1105" s="159"/>
    </row>
    <row r="1106" spans="1:13">
      <c r="A1106" s="455">
        <f>H1098</f>
        <v>1.388550094355905</v>
      </c>
      <c r="B1106" s="316">
        <f>0.5*ABS(H1095)*10^6/($C$18*$C$22*H1027)</f>
        <v>295.98821325993248</v>
      </c>
      <c r="C1106" s="316">
        <f>0.5*PI()*(C1049/2)^2*1000/E1049</f>
        <v>502.65482457436684</v>
      </c>
      <c r="D1106" s="316">
        <f>C1042</f>
        <v>950</v>
      </c>
      <c r="E1106" s="316">
        <f>MAX(B1106:D1106)</f>
        <v>950</v>
      </c>
      <c r="F1106" s="619">
        <f>PI()*(C1049/2)^2*1000/E1106</f>
        <v>211.6441366628913</v>
      </c>
      <c r="G1106" s="620"/>
      <c r="H1106" s="621">
        <f>E1049*2</f>
        <v>400</v>
      </c>
      <c r="I1106" s="3215" t="str">
        <f>IF(OR(H1106&gt;F1106,H1095=0),"No curtailment ","Do curtailment")</f>
        <v xml:space="preserve">No curtailment </v>
      </c>
      <c r="J1106" s="3216"/>
      <c r="K1106" s="159"/>
    </row>
    <row r="1107" spans="1:13">
      <c r="J1107" s="46"/>
      <c r="K1107" s="159"/>
    </row>
    <row r="1108" spans="1:13" ht="14.25">
      <c r="A1108" s="399" t="s">
        <v>2072</v>
      </c>
      <c r="B1108" s="126"/>
      <c r="C1108" s="2035" t="str">
        <f>L70</f>
        <v>5-5</v>
      </c>
      <c r="D1108" s="692" t="s">
        <v>948</v>
      </c>
      <c r="E1108" s="10"/>
      <c r="J1108" s="46"/>
      <c r="K1108" s="159"/>
      <c r="L1108" s="46"/>
    </row>
    <row r="1109" spans="1:13">
      <c r="J1109" s="46"/>
      <c r="K1109" s="159"/>
      <c r="L1109" s="46"/>
    </row>
    <row r="1110" spans="1:13">
      <c r="B1110" s="1" t="s">
        <v>1110</v>
      </c>
      <c r="J1110" s="46"/>
      <c r="K1110" s="159"/>
      <c r="L1110" s="46"/>
    </row>
    <row r="1111" spans="1:13">
      <c r="B1111" s="241" t="s">
        <v>1122</v>
      </c>
      <c r="D1111" s="16"/>
      <c r="G1111" s="241" t="s">
        <v>1124</v>
      </c>
      <c r="J1111" s="46"/>
      <c r="K1111" s="159"/>
      <c r="L1111" s="46"/>
    </row>
    <row r="1112" spans="1:13" ht="14.25">
      <c r="B1112" s="241" t="s">
        <v>111</v>
      </c>
      <c r="C1112" s="16">
        <f>IF(I1124&lt;=9,$G$105,$G$110)</f>
        <v>1E-3</v>
      </c>
      <c r="D1112" s="241" t="s">
        <v>438</v>
      </c>
      <c r="G1112" s="241" t="s">
        <v>111</v>
      </c>
      <c r="H1112" s="16">
        <f>IF(I1124&lt;=9,$G$106,$G$111)</f>
        <v>2E-3</v>
      </c>
      <c r="I1112" s="241" t="s">
        <v>438</v>
      </c>
      <c r="J1112" s="46"/>
      <c r="K1112" s="159"/>
      <c r="L1112" s="46"/>
    </row>
    <row r="1113" spans="1:13" ht="14.25">
      <c r="B1113" s="241" t="s">
        <v>110</v>
      </c>
      <c r="C1113" s="16">
        <f>IF($E$26&lt;=9,$G$105,$G$110)</f>
        <v>1.5E-3</v>
      </c>
      <c r="D1113" s="241" t="s">
        <v>438</v>
      </c>
      <c r="E1113" s="16"/>
      <c r="F1113" s="16"/>
      <c r="G1113" s="241" t="s">
        <v>110</v>
      </c>
      <c r="H1113" s="16">
        <f>IF($E$26&lt;=9,$G$106,$G$111)</f>
        <v>2.5000000000000001E-3</v>
      </c>
      <c r="I1113" s="241" t="s">
        <v>438</v>
      </c>
      <c r="J1113" s="46"/>
      <c r="K1113" s="159"/>
      <c r="L1113" s="46"/>
    </row>
    <row r="1114" spans="1:13">
      <c r="B1114" s="187" t="s">
        <v>601</v>
      </c>
      <c r="E1114" s="129">
        <f>1000*(H1135+H1117)/2</f>
        <v>375</v>
      </c>
      <c r="F1114" s="187" t="s">
        <v>98</v>
      </c>
      <c r="J1114" s="46"/>
      <c r="K1114" s="159"/>
      <c r="L1114" s="46"/>
    </row>
    <row r="1115" spans="1:13">
      <c r="J1115" s="46"/>
      <c r="K1115" s="159"/>
      <c r="L1115" s="46"/>
    </row>
    <row r="1116" spans="1:13">
      <c r="J1116" s="46"/>
      <c r="K1116" s="159"/>
      <c r="L1116" s="46"/>
    </row>
    <row r="1117" spans="1:13">
      <c r="C1117" s="203" t="s">
        <v>149</v>
      </c>
      <c r="D1117" s="36">
        <f>B41</f>
        <v>10</v>
      </c>
      <c r="H1117" s="2550">
        <f>R70</f>
        <v>0.3</v>
      </c>
      <c r="I1117" s="36"/>
      <c r="J1117" s="489"/>
      <c r="K1117" s="159"/>
      <c r="L1117" s="46"/>
    </row>
    <row r="1118" spans="1:13">
      <c r="C1118" s="187"/>
      <c r="D1118" s="2"/>
      <c r="G1118" s="79"/>
      <c r="J1118" s="46"/>
      <c r="K1118" s="159"/>
      <c r="L1118" s="46"/>
    </row>
    <row r="1119" spans="1:13">
      <c r="C1119" s="187"/>
      <c r="D1119" s="18" t="s">
        <v>604</v>
      </c>
      <c r="E1119" s="17"/>
      <c r="F1119" s="36"/>
      <c r="J1119" s="46"/>
      <c r="K1119" s="159"/>
      <c r="L1119" s="46"/>
    </row>
    <row r="1120" spans="1:13">
      <c r="C1120" s="206">
        <f>D1117-C1123</f>
        <v>-0.92869839937664977</v>
      </c>
      <c r="E1120" s="40"/>
      <c r="G1120" s="603"/>
      <c r="J1120" s="46"/>
      <c r="K1120" s="159"/>
      <c r="L1120" s="46"/>
      <c r="M1120" s="607"/>
    </row>
    <row r="1121" spans="1:12">
      <c r="A1121" s="17" t="s">
        <v>45</v>
      </c>
      <c r="C1121" s="187"/>
      <c r="D1121" s="54" t="s">
        <v>135</v>
      </c>
      <c r="E1121" s="17"/>
      <c r="F1121" s="36"/>
      <c r="G1121" s="603"/>
      <c r="J1121" s="46"/>
      <c r="K1121" s="159"/>
      <c r="L1121" s="46"/>
    </row>
    <row r="1122" spans="1:12">
      <c r="C1122" s="187"/>
      <c r="D1122" s="33"/>
      <c r="E1122" s="84">
        <f>IF(C1123&gt;D1117,H1135-H1117,C1127*(H1135-H1117)/I1124)</f>
        <v>0.15000000000000002</v>
      </c>
      <c r="G1122" s="603"/>
      <c r="J1122" s="46"/>
      <c r="K1122" s="159"/>
      <c r="L1122" s="46"/>
    </row>
    <row r="1123" spans="1:12">
      <c r="C1123" s="54">
        <f>A44</f>
        <v>10.92869839937665</v>
      </c>
      <c r="D1123" s="33"/>
      <c r="E1123" s="17"/>
      <c r="F1123" s="36"/>
      <c r="G1123" s="603"/>
      <c r="J1123" s="46"/>
      <c r="K1123" s="159"/>
      <c r="L1123" s="46"/>
    </row>
    <row r="1124" spans="1:12">
      <c r="C1124" s="187"/>
      <c r="E1124" s="40"/>
      <c r="H1124" s="17" t="s">
        <v>600</v>
      </c>
      <c r="I1124" s="10">
        <f>D1117-G1131</f>
        <v>3.9000000000000004</v>
      </c>
      <c r="J1124" s="44"/>
      <c r="K1124" s="159"/>
      <c r="L1124" s="46"/>
    </row>
    <row r="1125" spans="1:12">
      <c r="A1125" s="17" t="s">
        <v>44</v>
      </c>
      <c r="C1125" s="187"/>
      <c r="E1125" s="40"/>
      <c r="F1125" s="33">
        <f>H42</f>
        <v>10</v>
      </c>
      <c r="G1125" s="18" t="s">
        <v>5</v>
      </c>
      <c r="J1125" s="46"/>
      <c r="K1125" s="159"/>
      <c r="L1125" s="46"/>
    </row>
    <row r="1126" spans="1:12">
      <c r="C1126" s="187"/>
      <c r="E1126" s="88"/>
      <c r="G1126" s="33"/>
      <c r="I1126" s="10"/>
      <c r="J1126" s="44"/>
      <c r="K1126" s="159"/>
      <c r="L1126" s="46"/>
    </row>
    <row r="1127" spans="1:12">
      <c r="C1127" s="206">
        <f>C1123-G1131</f>
        <v>4.8286983993766501</v>
      </c>
      <c r="E1127" s="53"/>
      <c r="G1127" s="603" t="s">
        <v>607</v>
      </c>
      <c r="J1127" s="46"/>
      <c r="K1127" s="159"/>
      <c r="L1127" s="46"/>
    </row>
    <row r="1128" spans="1:12">
      <c r="C1128" s="187"/>
      <c r="E1128" s="346"/>
      <c r="F1128" s="54">
        <f>IF(F1125&lt;G1131,0,F1125-G1131)</f>
        <v>3.9000000000000004</v>
      </c>
      <c r="G1128" t="s">
        <v>5</v>
      </c>
      <c r="J1128" s="46"/>
      <c r="K1128" s="159"/>
      <c r="L1128" s="46"/>
    </row>
    <row r="1129" spans="1:12">
      <c r="A1129" s="2" t="s">
        <v>605</v>
      </c>
      <c r="C1129" s="187"/>
      <c r="E1129" s="17" t="s">
        <v>606</v>
      </c>
      <c r="F1129" s="36"/>
      <c r="J1129" s="46"/>
      <c r="K1129" s="159"/>
      <c r="L1129" s="46"/>
    </row>
    <row r="1130" spans="1:12">
      <c r="C1130" s="187"/>
      <c r="E1130" s="40"/>
      <c r="J1130" s="46"/>
      <c r="K1130" s="159"/>
      <c r="L1130" s="46"/>
    </row>
    <row r="1131" spans="1:12">
      <c r="C1131" s="187"/>
      <c r="E1131" s="40"/>
      <c r="F1131" s="17" t="s">
        <v>603</v>
      </c>
      <c r="G1131" s="36">
        <f>D50</f>
        <v>6.1</v>
      </c>
      <c r="I1131" s="10"/>
      <c r="J1131" s="44"/>
      <c r="K1131" s="159"/>
      <c r="L1131" s="46"/>
    </row>
    <row r="1132" spans="1:12">
      <c r="C1132" s="187"/>
      <c r="F1132" s="53"/>
      <c r="H1132" s="33"/>
      <c r="I1132" s="3223">
        <f>I1211</f>
        <v>0.65</v>
      </c>
      <c r="J1132" s="46"/>
      <c r="K1132" s="159"/>
      <c r="L1132" s="46"/>
    </row>
    <row r="1133" spans="1:12">
      <c r="C1133" s="187"/>
      <c r="I1133" s="3223"/>
      <c r="J1133" s="44"/>
      <c r="K1133" s="159"/>
      <c r="L1133" s="46"/>
    </row>
    <row r="1134" spans="1:12">
      <c r="C1134" s="187"/>
      <c r="G1134" s="33"/>
      <c r="J1134" s="46"/>
      <c r="K1134" s="159"/>
      <c r="L1134" s="46"/>
    </row>
    <row r="1135" spans="1:12">
      <c r="C1135" s="187"/>
      <c r="D1135" s="10">
        <f>H1135</f>
        <v>0.45</v>
      </c>
      <c r="F1135" s="33">
        <f>B84</f>
        <v>12</v>
      </c>
      <c r="G1135" t="s">
        <v>5</v>
      </c>
      <c r="H1135" s="2549">
        <f>S70</f>
        <v>0.45</v>
      </c>
      <c r="I1135" s="126" t="str">
        <f>IF(AND(I1163="ok",I1164="ok"),"ok","Not ok")</f>
        <v>ok</v>
      </c>
      <c r="J1135" s="46"/>
      <c r="K1135" s="159"/>
      <c r="L1135" s="46"/>
    </row>
    <row r="1136" spans="1:12">
      <c r="C1136" s="187"/>
      <c r="J1136" s="46"/>
      <c r="K1136" s="159"/>
      <c r="L1136" s="46"/>
    </row>
    <row r="1137" spans="1:12">
      <c r="C1137" s="187"/>
      <c r="F1137" s="33">
        <f>F1135+H1135+D1135</f>
        <v>12.899999999999999</v>
      </c>
      <c r="G1137" t="s">
        <v>5</v>
      </c>
      <c r="J1137" s="46"/>
      <c r="K1137" s="159"/>
      <c r="L1137" s="46"/>
    </row>
    <row r="1138" spans="1:12">
      <c r="A1138" s="187"/>
      <c r="J1138" s="46"/>
      <c r="K1138" s="159"/>
      <c r="L1138" s="109"/>
    </row>
    <row r="1139" spans="1:12">
      <c r="A1139" s="187"/>
      <c r="B1139" s="225" t="str">
        <f>"a) Design of Wall :  Sec  "&amp;C1108</f>
        <v>a) Design of Wall :  Sec  5-5</v>
      </c>
      <c r="C1139" s="174"/>
      <c r="D1139" s="174"/>
      <c r="J1139" s="46"/>
      <c r="K1139" s="159"/>
      <c r="L1139" s="46"/>
    </row>
    <row r="1140" spans="1:12">
      <c r="B1140" s="1" t="s">
        <v>612</v>
      </c>
      <c r="D1140" s="2"/>
      <c r="E1140" s="10"/>
      <c r="J1140" s="46"/>
      <c r="K1140" s="159"/>
      <c r="L1140" s="46"/>
    </row>
    <row r="1141" spans="1:12">
      <c r="A1141" s="187"/>
      <c r="B1141" s="187" t="s">
        <v>611</v>
      </c>
      <c r="D1141" s="2"/>
      <c r="E1141" s="10"/>
      <c r="J1141" s="46"/>
      <c r="K1141" s="159"/>
      <c r="L1141" s="46"/>
    </row>
    <row r="1142" spans="1:12">
      <c r="B1142" s="18" t="s">
        <v>131</v>
      </c>
      <c r="D1142" s="2" t="s">
        <v>35</v>
      </c>
      <c r="E1142" s="10">
        <f>D1117-G1131</f>
        <v>3.9000000000000004</v>
      </c>
      <c r="F1142" t="s">
        <v>5</v>
      </c>
      <c r="J1142" s="46"/>
      <c r="K1142" s="159"/>
      <c r="L1142" s="46"/>
    </row>
    <row r="1143" spans="1:12" ht="15.75">
      <c r="A1143" s="40"/>
      <c r="B1143" s="187" t="s">
        <v>593</v>
      </c>
      <c r="D1143" s="2" t="s">
        <v>35</v>
      </c>
      <c r="E1143" s="10">
        <f>0.5*$J$8*$D$6*E1142^2</f>
        <v>51.892967233869598</v>
      </c>
      <c r="F1143" t="s">
        <v>21</v>
      </c>
      <c r="J1143" s="46"/>
      <c r="K1143" s="159"/>
      <c r="L1143" s="46"/>
    </row>
    <row r="1144" spans="1:12" ht="20.25">
      <c r="A1144" s="40"/>
      <c r="B1144" s="38" t="s">
        <v>594</v>
      </c>
      <c r="D1144" s="2" t="s">
        <v>35</v>
      </c>
      <c r="E1144" s="10">
        <f>(1/6)*$J$8*$D$6*E1142^3</f>
        <v>67.460857404030477</v>
      </c>
      <c r="F1144" t="s">
        <v>107</v>
      </c>
      <c r="J1144" s="46"/>
      <c r="K1144" s="159"/>
      <c r="L1144" s="46"/>
    </row>
    <row r="1145" spans="1:12" ht="15.75">
      <c r="J1145" s="46"/>
      <c r="K1145" s="159"/>
      <c r="L1145" s="389"/>
    </row>
    <row r="1146" spans="1:12" ht="15.75">
      <c r="B1146" s="1" t="s">
        <v>649</v>
      </c>
      <c r="J1146" s="46"/>
      <c r="K1146" s="159"/>
      <c r="L1146" s="389"/>
    </row>
    <row r="1147" spans="1:12" ht="15.75">
      <c r="B1147" s="1" t="str">
        <f>B154</f>
        <v>Case 1 :  When Static  Water Head on C/S Monsoon</v>
      </c>
      <c r="E1147" s="86"/>
      <c r="J1147" s="46"/>
      <c r="K1147" s="159"/>
      <c r="L1147" s="389"/>
    </row>
    <row r="1148" spans="1:12" ht="15.75">
      <c r="B1148" s="1"/>
      <c r="C1148" s="187"/>
      <c r="E1148" s="86"/>
      <c r="J1148" s="46"/>
      <c r="K1148" s="159"/>
      <c r="L1148" s="389"/>
    </row>
    <row r="1149" spans="1:12" ht="15.75">
      <c r="B1149" s="2" t="s">
        <v>132</v>
      </c>
      <c r="C1149" s="2" t="s">
        <v>35</v>
      </c>
      <c r="D1149" s="10">
        <f>IF(C1123&gt;D1117,0,D1117-C1123)</f>
        <v>0</v>
      </c>
      <c r="E1149" t="s">
        <v>5</v>
      </c>
      <c r="F1149" s="126" t="str">
        <f>IF(F1128&gt;I1124,"Wing Wall totally submerged, take WL upto "&amp;FIXED(D1117,2),"")</f>
        <v/>
      </c>
      <c r="G1149" s="126"/>
      <c r="H1149" s="126"/>
      <c r="I1149" s="126"/>
      <c r="J1149" s="126"/>
      <c r="K1149" s="159"/>
      <c r="L1149" s="389"/>
    </row>
    <row r="1150" spans="1:12">
      <c r="B1150" s="2" t="s">
        <v>133</v>
      </c>
      <c r="C1150" s="2" t="s">
        <v>35</v>
      </c>
      <c r="D1150" s="10">
        <f>IF(C1127&gt;I1124,I1124,C1123-G1131)</f>
        <v>3.9000000000000004</v>
      </c>
      <c r="E1150" t="s">
        <v>5</v>
      </c>
      <c r="J1150" s="46"/>
      <c r="K1150" s="159"/>
      <c r="L1150" s="46"/>
    </row>
    <row r="1151" spans="1:12">
      <c r="B1151" s="2" t="s">
        <v>134</v>
      </c>
      <c r="C1151" s="2" t="s">
        <v>35</v>
      </c>
      <c r="D1151" s="10">
        <f>IF(F1128&gt;I1124,I1124,IF(F1125-G1131&lt;0,0,F1125-G1131))</f>
        <v>3.9000000000000004</v>
      </c>
      <c r="E1151" t="s">
        <v>5</v>
      </c>
      <c r="J1151" s="46"/>
      <c r="K1151" s="159"/>
      <c r="L1151" s="46"/>
    </row>
    <row r="1152" spans="1:12" ht="20.25">
      <c r="A1152" s="38" t="s">
        <v>624</v>
      </c>
      <c r="C1152" s="2"/>
      <c r="D1152" s="54">
        <f>0.5*$J$8*$D$5*D1149^2</f>
        <v>0</v>
      </c>
      <c r="E1152" s="187" t="s">
        <v>341</v>
      </c>
      <c r="F1152" s="38" t="s">
        <v>628</v>
      </c>
      <c r="I1152" s="33">
        <f>D1152*(D1150+D1149/3)</f>
        <v>0</v>
      </c>
      <c r="J1152" s="224"/>
      <c r="K1152" s="159"/>
      <c r="L1152" s="46"/>
    </row>
    <row r="1153" spans="1:16" ht="18.75">
      <c r="A1153" s="38" t="s">
        <v>625</v>
      </c>
      <c r="C1153" s="2"/>
      <c r="D1153" s="54">
        <f>$J$8*$D$5*D1149*D1150</f>
        <v>0</v>
      </c>
      <c r="E1153" s="187" t="s">
        <v>341</v>
      </c>
      <c r="F1153" s="38" t="s">
        <v>631</v>
      </c>
      <c r="I1153" s="33">
        <f>D1153*D1150/2</f>
        <v>0</v>
      </c>
      <c r="J1153" s="224"/>
      <c r="K1153" s="159"/>
      <c r="L1153" s="388"/>
    </row>
    <row r="1154" spans="1:16" ht="20.25">
      <c r="A1154" s="38" t="s">
        <v>626</v>
      </c>
      <c r="C1154" s="2"/>
      <c r="D1154" s="54">
        <f>0.5*($J$8*($D$6-$D$7)+$D$7)*D1150^2</f>
        <v>99.563096145813489</v>
      </c>
      <c r="E1154" s="187" t="s">
        <v>341</v>
      </c>
      <c r="F1154" s="38" t="s">
        <v>629</v>
      </c>
      <c r="I1154" s="33">
        <f>D1154*D1150/3</f>
        <v>129.43202498955756</v>
      </c>
      <c r="J1154" s="224"/>
      <c r="K1154" s="159"/>
      <c r="L1154" s="388"/>
    </row>
    <row r="1155" spans="1:16" ht="20.25">
      <c r="A1155" s="38" t="s">
        <v>627</v>
      </c>
      <c r="C1155" s="2"/>
      <c r="D1155" s="211">
        <f>0.5*$D$7*D1151^2</f>
        <v>74.60505000000002</v>
      </c>
      <c r="E1155" s="187" t="s">
        <v>341</v>
      </c>
      <c r="F1155" s="38" t="s">
        <v>630</v>
      </c>
      <c r="I1155" s="212">
        <f>D1155*D1151/3</f>
        <v>96.986565000000041</v>
      </c>
      <c r="J1155" s="785"/>
      <c r="K1155" s="159"/>
      <c r="L1155" s="388"/>
    </row>
    <row r="1156" spans="1:16" ht="15.75">
      <c r="C1156" s="38" t="s">
        <v>632</v>
      </c>
      <c r="D1156" s="54">
        <f>D1152+D1153+D1154-D1155</f>
        <v>24.958046145813469</v>
      </c>
      <c r="E1156" s="187" t="s">
        <v>341</v>
      </c>
      <c r="F1156" s="18"/>
      <c r="H1156" s="187" t="s">
        <v>633</v>
      </c>
      <c r="I1156" s="54">
        <f>D1152*(D1150+D1149/3)+D1153*0.5*D1150+D1154*D1150/3-D1155*D1151/3</f>
        <v>32.44545998955752</v>
      </c>
      <c r="J1156" s="162"/>
      <c r="K1156" s="159"/>
      <c r="L1156" s="388"/>
    </row>
    <row r="1157" spans="1:16">
      <c r="D1157" s="2"/>
      <c r="E1157" s="10"/>
      <c r="J1157" s="46"/>
      <c r="K1157" s="159"/>
      <c r="L1157" s="388"/>
    </row>
    <row r="1158" spans="1:16">
      <c r="B1158" t="s">
        <v>129</v>
      </c>
      <c r="C1158" s="17"/>
      <c r="D1158" s="2" t="s">
        <v>35</v>
      </c>
      <c r="E1158" s="87">
        <f>MAX(E1143,D1156)</f>
        <v>51.892967233869598</v>
      </c>
      <c r="F1158" s="10" t="s">
        <v>21</v>
      </c>
      <c r="J1158" s="46"/>
      <c r="K1158" s="159"/>
      <c r="L1158" s="46"/>
    </row>
    <row r="1159" spans="1:16">
      <c r="B1159" t="s">
        <v>130</v>
      </c>
      <c r="C1159" s="17"/>
      <c r="D1159" s="2" t="s">
        <v>35</v>
      </c>
      <c r="E1159" s="87">
        <f>MAX(E1144,I1156)</f>
        <v>67.460857404030477</v>
      </c>
      <c r="F1159" s="10" t="s">
        <v>107</v>
      </c>
      <c r="J1159" s="46"/>
      <c r="K1159" s="159"/>
      <c r="L1159" s="46"/>
    </row>
    <row r="1160" spans="1:16">
      <c r="B1160" s="187" t="s">
        <v>599</v>
      </c>
      <c r="E1160" s="129">
        <f>H1135*1000</f>
        <v>450</v>
      </c>
      <c r="F1160" s="187" t="s">
        <v>98</v>
      </c>
      <c r="J1160" s="46"/>
      <c r="K1160" s="159"/>
      <c r="L1160" s="46"/>
    </row>
    <row r="1161" spans="1:16">
      <c r="B1161" s="187" t="s">
        <v>571</v>
      </c>
      <c r="E1161" s="129">
        <f>E1160-$I$13-C1183/2</f>
        <v>382</v>
      </c>
      <c r="F1161" s="187" t="s">
        <v>98</v>
      </c>
      <c r="J1161" s="46"/>
      <c r="K1161" s="159"/>
      <c r="L1161" s="46"/>
    </row>
    <row r="1162" spans="1:16">
      <c r="J1162" s="46"/>
      <c r="K1162" s="159"/>
      <c r="L1162" s="388"/>
    </row>
    <row r="1163" spans="1:16">
      <c r="A1163" s="187" t="s">
        <v>578</v>
      </c>
      <c r="D1163" s="2"/>
      <c r="G1163" s="9">
        <f>(E1158*10^3)/($C$24*1000)</f>
        <v>121.57821745141999</v>
      </c>
      <c r="H1163" s="187" t="s">
        <v>98</v>
      </c>
      <c r="I1163" s="126" t="str">
        <f>IF(G1163&lt;=E1161,"ok","Not ok")</f>
        <v>ok</v>
      </c>
      <c r="J1163" s="46"/>
      <c r="K1163" s="159"/>
      <c r="L1163" s="289"/>
    </row>
    <row r="1164" spans="1:16">
      <c r="A1164" s="187" t="s">
        <v>577</v>
      </c>
      <c r="C1164" s="201"/>
      <c r="D1164" s="2"/>
      <c r="G1164" s="9">
        <f>((E1159*10^6)/($C$23*1000))^0.5</f>
        <v>217.18673814132541</v>
      </c>
      <c r="H1164" s="187" t="s">
        <v>98</v>
      </c>
      <c r="I1164" s="126" t="str">
        <f>IF(G1164&lt;=E1161,"ok","Not ok")</f>
        <v>ok</v>
      </c>
      <c r="J1164" s="46"/>
      <c r="K1164" s="159"/>
      <c r="L1164" s="388"/>
    </row>
    <row r="1165" spans="1:16">
      <c r="A1165" s="187" t="s">
        <v>634</v>
      </c>
      <c r="E1165" s="2"/>
      <c r="G1165" s="9">
        <f>(E1159*10^6)/($C$18*$C$22*E1161)</f>
        <v>1062.6565071860221</v>
      </c>
      <c r="H1165" s="187" t="s">
        <v>128</v>
      </c>
      <c r="J1165" s="46"/>
      <c r="K1165" s="159"/>
      <c r="L1165" s="289"/>
    </row>
    <row r="1166" spans="1:16">
      <c r="A1166" s="187"/>
      <c r="E1166" s="2"/>
      <c r="G1166" s="9"/>
      <c r="H1166" s="187"/>
      <c r="J1166" s="46"/>
      <c r="K1166" s="159"/>
      <c r="L1166" s="289"/>
    </row>
    <row r="1167" spans="1:16">
      <c r="A1167" s="187" t="s">
        <v>1828</v>
      </c>
      <c r="E1167" s="2"/>
      <c r="G1167" s="1980">
        <f>IF(I1156&lt;0,ABS(I1156),0)</f>
        <v>0</v>
      </c>
      <c r="H1167" s="36" t="s">
        <v>107</v>
      </c>
      <c r="J1167" s="46"/>
      <c r="K1167" s="159"/>
      <c r="L1167" s="289"/>
    </row>
    <row r="1168" spans="1:16">
      <c r="A1168" s="187" t="s">
        <v>1829</v>
      </c>
      <c r="E1168" s="2"/>
      <c r="G1168" s="9">
        <f>(G1167*10^6)/($C$18*$C$22*E1161)</f>
        <v>0</v>
      </c>
      <c r="H1168" s="187" t="s">
        <v>128</v>
      </c>
      <c r="J1168" s="46"/>
      <c r="K1168" s="159"/>
      <c r="L1168" s="3219" t="s">
        <v>1940</v>
      </c>
      <c r="M1168" s="3220"/>
      <c r="N1168" s="3220"/>
      <c r="O1168" s="3220"/>
      <c r="P1168" s="3221"/>
    </row>
    <row r="1169" spans="1:16">
      <c r="J1169" s="46"/>
      <c r="K1169" s="159"/>
      <c r="L1169" s="2291" t="s">
        <v>876</v>
      </c>
      <c r="M1169" s="3210" t="s">
        <v>492</v>
      </c>
      <c r="N1169" s="3212"/>
      <c r="O1169" s="3210" t="s">
        <v>493</v>
      </c>
      <c r="P1169" s="3212"/>
    </row>
    <row r="1170" spans="1:16">
      <c r="A1170" s="936" t="str">
        <f>"Reinforcement Distribution of C/S Wing Wall for Sec  "&amp;C1108</f>
        <v>Reinforcement Distribution of C/S Wing Wall for Sec  5-5</v>
      </c>
      <c r="G1170" s="107"/>
      <c r="H1170" s="107"/>
      <c r="J1170" s="46"/>
      <c r="K1170" s="159"/>
      <c r="L1170" s="2293"/>
      <c r="M1170" s="2284" t="s">
        <v>709</v>
      </c>
      <c r="N1170" s="1973" t="s">
        <v>710</v>
      </c>
      <c r="O1170" s="1973" t="s">
        <v>709</v>
      </c>
      <c r="P1170" s="2285" t="s">
        <v>710</v>
      </c>
    </row>
    <row r="1171" spans="1:16">
      <c r="J1171" s="46"/>
      <c r="K1171" s="159"/>
      <c r="L1171" s="896" t="str">
        <f t="shared" ref="L1171:P1175" si="36">L927</f>
        <v>1-1</v>
      </c>
      <c r="M1171" s="898">
        <f t="shared" si="36"/>
        <v>25</v>
      </c>
      <c r="N1171" s="907">
        <f t="shared" si="36"/>
        <v>100</v>
      </c>
      <c r="O1171" s="898">
        <f t="shared" si="36"/>
        <v>16</v>
      </c>
      <c r="P1171" s="908">
        <f t="shared" si="36"/>
        <v>200</v>
      </c>
    </row>
    <row r="1172" spans="1:16">
      <c r="A1172" s="3147" t="s">
        <v>486</v>
      </c>
      <c r="B1172" s="3148" t="s">
        <v>487</v>
      </c>
      <c r="C1172" s="3148" t="s">
        <v>488</v>
      </c>
      <c r="D1172" s="3148" t="s">
        <v>489</v>
      </c>
      <c r="E1172" s="3149" t="s">
        <v>490</v>
      </c>
      <c r="F1172" s="3150"/>
      <c r="G1172" s="3150"/>
      <c r="H1172" s="3150"/>
      <c r="I1172" s="3150"/>
      <c r="J1172" s="330"/>
      <c r="K1172" s="159"/>
      <c r="L1172" s="885" t="str">
        <f t="shared" si="36"/>
        <v>2-2</v>
      </c>
      <c r="M1172" s="899">
        <f t="shared" si="36"/>
        <v>25</v>
      </c>
      <c r="N1172" s="903">
        <f t="shared" si="36"/>
        <v>100</v>
      </c>
      <c r="O1172" s="899">
        <f t="shared" si="36"/>
        <v>16</v>
      </c>
      <c r="P1172" s="904">
        <f t="shared" si="36"/>
        <v>200</v>
      </c>
    </row>
    <row r="1173" spans="1:16">
      <c r="A1173" s="3147"/>
      <c r="B1173" s="3148"/>
      <c r="C1173" s="3148"/>
      <c r="D1173" s="3148"/>
      <c r="E1173" s="94">
        <v>12</v>
      </c>
      <c r="F1173" s="94">
        <v>16</v>
      </c>
      <c r="G1173" s="94">
        <v>20</v>
      </c>
      <c r="H1173" s="94">
        <v>22</v>
      </c>
      <c r="I1173" s="94">
        <v>25</v>
      </c>
      <c r="J1173" s="275"/>
      <c r="K1173" s="159"/>
      <c r="L1173" s="885" t="str">
        <f t="shared" si="36"/>
        <v>3-3</v>
      </c>
      <c r="M1173" s="899">
        <f t="shared" si="36"/>
        <v>20</v>
      </c>
      <c r="N1173" s="903">
        <f t="shared" si="36"/>
        <v>100</v>
      </c>
      <c r="O1173" s="899">
        <f t="shared" si="36"/>
        <v>16</v>
      </c>
      <c r="P1173" s="904">
        <f t="shared" si="36"/>
        <v>200</v>
      </c>
    </row>
    <row r="1174" spans="1:16" ht="14.25">
      <c r="A1174" s="172"/>
      <c r="B1174" s="256" t="s">
        <v>491</v>
      </c>
      <c r="C1174" s="256" t="s">
        <v>491</v>
      </c>
      <c r="D1174" s="256" t="s">
        <v>491</v>
      </c>
      <c r="E1174" s="596" t="s">
        <v>98</v>
      </c>
      <c r="F1174" s="596" t="s">
        <v>98</v>
      </c>
      <c r="G1174" s="596" t="s">
        <v>98</v>
      </c>
      <c r="H1174" s="596" t="s">
        <v>98</v>
      </c>
      <c r="I1174" s="596" t="s">
        <v>98</v>
      </c>
      <c r="J1174" s="759"/>
      <c r="K1174" s="159"/>
      <c r="L1174" s="885" t="str">
        <f t="shared" si="36"/>
        <v>4-4</v>
      </c>
      <c r="M1174" s="899">
        <f t="shared" si="36"/>
        <v>16</v>
      </c>
      <c r="N1174" s="903">
        <f t="shared" si="36"/>
        <v>150</v>
      </c>
      <c r="O1174" s="899">
        <f t="shared" si="36"/>
        <v>16</v>
      </c>
      <c r="P1174" s="904">
        <f t="shared" si="36"/>
        <v>200</v>
      </c>
    </row>
    <row r="1175" spans="1:16">
      <c r="A1175" s="258" t="s">
        <v>492</v>
      </c>
      <c r="B1175" s="55"/>
      <c r="C1175" s="55"/>
      <c r="D1175" s="55"/>
      <c r="E1175" s="55"/>
      <c r="F1175" s="55"/>
      <c r="G1175" s="55"/>
      <c r="H1175" s="55"/>
      <c r="I1175" s="56"/>
      <c r="J1175" s="386"/>
      <c r="K1175" s="159"/>
      <c r="L1175" s="2294" t="str">
        <f t="shared" si="36"/>
        <v>5-5</v>
      </c>
      <c r="M1175" s="2032">
        <f t="shared" si="36"/>
        <v>16</v>
      </c>
      <c r="N1175" s="2033">
        <f t="shared" si="36"/>
        <v>150</v>
      </c>
      <c r="O1175" s="2032">
        <f t="shared" si="36"/>
        <v>16</v>
      </c>
      <c r="P1175" s="2034">
        <f t="shared" si="36"/>
        <v>200</v>
      </c>
    </row>
    <row r="1176" spans="1:16">
      <c r="A1176" s="259" t="s">
        <v>111</v>
      </c>
      <c r="B1176" s="318">
        <f>G1165</f>
        <v>1062.6565071860221</v>
      </c>
      <c r="C1176" s="318">
        <f>IF(E1114&gt;380,C1112*1000*380,C1112*1000*E1114)</f>
        <v>375</v>
      </c>
      <c r="D1176" s="318">
        <f>MAX(B1176:C1176)</f>
        <v>1062.6565071860221</v>
      </c>
      <c r="E1176" s="261">
        <f>PI()*(E1173/2)^2*1000/$D1176</f>
        <v>106.42887401943368</v>
      </c>
      <c r="F1176" s="261">
        <f>PI()*(F1173/2)^2*1000/$D1176</f>
        <v>189.20688714565983</v>
      </c>
      <c r="G1176" s="261">
        <f>PI()*(G1173/2)^2*1000/$D1176</f>
        <v>295.63576116509358</v>
      </c>
      <c r="H1176" s="261">
        <f>PI()*(H1173/2)^2*1000/$D1176</f>
        <v>357.71927100976319</v>
      </c>
      <c r="I1176" s="283">
        <f>PI()*(I1173/2)^2*1000/$D1176</f>
        <v>461.93087682045865</v>
      </c>
      <c r="J1176" s="328"/>
      <c r="K1176" s="159"/>
    </row>
    <row r="1177" spans="1:16">
      <c r="A1177" s="262" t="s">
        <v>110</v>
      </c>
      <c r="B1177" s="319"/>
      <c r="C1177" s="318">
        <f>IF(E1114&gt;380,C1113*1000*380,C1113*1000*E1114)</f>
        <v>562.5</v>
      </c>
      <c r="D1177" s="319">
        <f>MAX(B1177:C1177)</f>
        <v>562.5</v>
      </c>
      <c r="E1177" s="261">
        <f>PI()*(E1173/2)^2*1000/$D1177</f>
        <v>201.06192982974676</v>
      </c>
      <c r="F1177" s="261">
        <f>PI()*(F1173/2)^2*1000/$D1177</f>
        <v>357.44343080843868</v>
      </c>
      <c r="G1177" s="261">
        <f>PI()*(G1173/2)^2*1000/$D1177</f>
        <v>558.50536063818549</v>
      </c>
      <c r="H1177" s="261">
        <f>PI()*(H1173/2)^2*1000/$D1177</f>
        <v>675.79148637220442</v>
      </c>
      <c r="I1177" s="283">
        <f>PI()*(I1173/2)^2*1000/$D1177</f>
        <v>872.66462599716476</v>
      </c>
      <c r="J1177" s="328"/>
      <c r="K1177" s="159"/>
    </row>
    <row r="1178" spans="1:16">
      <c r="A1178" s="264" t="s">
        <v>493</v>
      </c>
      <c r="B1178" s="265"/>
      <c r="C1178" s="322"/>
      <c r="D1178" s="322"/>
      <c r="E1178" s="266"/>
      <c r="F1178" s="266"/>
      <c r="G1178" s="266"/>
      <c r="H1178" s="266"/>
      <c r="I1178" s="267"/>
      <c r="J1178" s="330"/>
      <c r="K1178" s="159"/>
      <c r="L1178" s="3219" t="s">
        <v>1139</v>
      </c>
      <c r="M1178" s="3220"/>
      <c r="N1178" s="3220"/>
      <c r="O1178" s="3220"/>
      <c r="P1178" s="3221"/>
    </row>
    <row r="1179" spans="1:16">
      <c r="A1179" s="259" t="s">
        <v>111</v>
      </c>
      <c r="B1179" s="318">
        <f>G1168</f>
        <v>0</v>
      </c>
      <c r="C1179" s="318">
        <f>IF(E1114&gt;380,H1112*1000*380,H1112*1000*E1114)</f>
        <v>750</v>
      </c>
      <c r="D1179" s="318">
        <f>MAX(B1179:C1179)</f>
        <v>750</v>
      </c>
      <c r="E1179" s="261">
        <f>PI()*(E1173/2)^2*1000/$D1179</f>
        <v>150.79644737231007</v>
      </c>
      <c r="F1179" s="261">
        <f>PI()*(F1173/2)^2*1000/$D1179</f>
        <v>268.08257310632899</v>
      </c>
      <c r="G1179" s="261">
        <f>PI()*(G1173/2)^2*1000/$D1179</f>
        <v>418.87902047863912</v>
      </c>
      <c r="H1179" s="261">
        <f>PI()*(H1173/2)^2*1000/$D1179</f>
        <v>506.84361477915331</v>
      </c>
      <c r="I1179" s="283">
        <f>PI()*(I1173/2)^2*1000/$D1179</f>
        <v>654.49846949787366</v>
      </c>
      <c r="J1179" s="328"/>
      <c r="K1179" s="159"/>
      <c r="L1179" s="3208" t="s">
        <v>876</v>
      </c>
      <c r="M1179" s="3210" t="s">
        <v>110</v>
      </c>
      <c r="N1179" s="3211"/>
      <c r="O1179" s="3211"/>
      <c r="P1179" s="3212"/>
    </row>
    <row r="1180" spans="1:16">
      <c r="A1180" s="262" t="s">
        <v>110</v>
      </c>
      <c r="B1180" s="263"/>
      <c r="C1180" s="319">
        <f>IF(E1114&gt;380,H1113*1000*380,H1113*1000*E1114)</f>
        <v>937.5</v>
      </c>
      <c r="D1180" s="319">
        <f>MAX(B1180:C1180)</f>
        <v>937.5</v>
      </c>
      <c r="E1180" s="284">
        <f>PI()*(E1173/2)^2*1000/$D1180</f>
        <v>120.63715789784806</v>
      </c>
      <c r="F1180" s="284">
        <f>PI()*(F1173/2)^2*1000/$D1180</f>
        <v>214.4660584850632</v>
      </c>
      <c r="G1180" s="284">
        <f>PI()*(G1173/2)^2*1000/$D1180</f>
        <v>335.10321638291128</v>
      </c>
      <c r="H1180" s="284">
        <f>PI()*(H1173/2)^2*1000/$D1180</f>
        <v>405.47489182332265</v>
      </c>
      <c r="I1180" s="285">
        <f>PI()*(I1173/2)^2*1000/$D1180</f>
        <v>523.59877559829886</v>
      </c>
      <c r="J1180" s="328"/>
      <c r="K1180" s="159"/>
      <c r="L1180" s="3209"/>
      <c r="M1180" s="3210" t="s">
        <v>492</v>
      </c>
      <c r="N1180" s="3212"/>
      <c r="O1180" s="3210" t="s">
        <v>493</v>
      </c>
      <c r="P1180" s="3212"/>
    </row>
    <row r="1181" spans="1:16">
      <c r="J1181" s="46"/>
      <c r="K1181" s="159"/>
      <c r="L1181" s="3209"/>
      <c r="M1181" s="923" t="s">
        <v>709</v>
      </c>
      <c r="N1181" s="924" t="s">
        <v>710</v>
      </c>
      <c r="O1181" s="924" t="s">
        <v>709</v>
      </c>
      <c r="P1181" s="925" t="s">
        <v>710</v>
      </c>
    </row>
    <row r="1182" spans="1:16">
      <c r="A1182" s="258" t="s">
        <v>492</v>
      </c>
      <c r="B1182" s="55"/>
      <c r="C1182" s="252"/>
      <c r="D1182" s="55"/>
      <c r="E1182" s="55"/>
      <c r="F1182" s="56"/>
      <c r="G1182" s="495" t="s">
        <v>2095</v>
      </c>
      <c r="H1182" s="2641" t="s">
        <v>1358</v>
      </c>
      <c r="I1182" s="1178" t="s">
        <v>2094</v>
      </c>
      <c r="J1182" s="46"/>
      <c r="K1182" s="159"/>
      <c r="L1182" s="874" t="str">
        <f t="shared" ref="L1182:P1186" si="37">L190</f>
        <v>1-1</v>
      </c>
      <c r="M1182" s="875">
        <f t="shared" si="37"/>
        <v>16</v>
      </c>
      <c r="N1182" s="880">
        <f t="shared" si="37"/>
        <v>200</v>
      </c>
      <c r="O1182" s="875">
        <f t="shared" si="37"/>
        <v>16</v>
      </c>
      <c r="P1182" s="881">
        <f t="shared" si="37"/>
        <v>200</v>
      </c>
    </row>
    <row r="1183" spans="1:16" ht="15.75">
      <c r="A1183" s="259" t="s">
        <v>111</v>
      </c>
      <c r="B1183" s="268" t="s">
        <v>136</v>
      </c>
      <c r="C1183" s="269">
        <v>16</v>
      </c>
      <c r="D1183" s="604" t="s">
        <v>481</v>
      </c>
      <c r="E1183" s="271">
        <v>150</v>
      </c>
      <c r="F1183" s="272" t="s">
        <v>482</v>
      </c>
      <c r="G1183" s="2014" t="s">
        <v>2098</v>
      </c>
      <c r="H1183" s="316">
        <f>PI()*(C1183/2)^2*1000/E1183</f>
        <v>1340.4128655316449</v>
      </c>
      <c r="I1183" s="2643">
        <f>H1183*$C$18*$C$22*E1161/10^6</f>
        <v>85.093725557292302</v>
      </c>
      <c r="J1183" s="46"/>
      <c r="K1183" s="159"/>
      <c r="L1183" s="869" t="str">
        <f t="shared" si="37"/>
        <v>2-2</v>
      </c>
      <c r="M1183" s="870">
        <f t="shared" si="37"/>
        <v>16</v>
      </c>
      <c r="N1183" s="876">
        <f t="shared" si="37"/>
        <v>200</v>
      </c>
      <c r="O1183" s="870">
        <f t="shared" si="37"/>
        <v>16</v>
      </c>
      <c r="P1183" s="877">
        <f t="shared" si="37"/>
        <v>200</v>
      </c>
    </row>
    <row r="1184" spans="1:16" ht="15.75">
      <c r="A1184" s="262" t="s">
        <v>110</v>
      </c>
      <c r="B1184" s="278" t="s">
        <v>136</v>
      </c>
      <c r="C1184" s="279">
        <v>16</v>
      </c>
      <c r="D1184" s="280" t="s">
        <v>481</v>
      </c>
      <c r="E1184" s="281">
        <v>200</v>
      </c>
      <c r="F1184" s="282" t="s">
        <v>482</v>
      </c>
      <c r="I1184" s="465" t="str">
        <f>IF(I1183&gt;=Y26,"o.k","Not o.k")</f>
        <v>o.k</v>
      </c>
      <c r="J1184" s="46"/>
      <c r="K1184" s="159"/>
      <c r="L1184" s="869" t="str">
        <f t="shared" si="37"/>
        <v>3-3</v>
      </c>
      <c r="M1184" s="870">
        <f t="shared" si="37"/>
        <v>16</v>
      </c>
      <c r="N1184" s="876">
        <f t="shared" si="37"/>
        <v>200</v>
      </c>
      <c r="O1184" s="870">
        <f t="shared" si="37"/>
        <v>16</v>
      </c>
      <c r="P1184" s="877">
        <f t="shared" si="37"/>
        <v>200</v>
      </c>
    </row>
    <row r="1185" spans="1:16" ht="15">
      <c r="A1185" s="321" t="s">
        <v>493</v>
      </c>
      <c r="B1185" s="273"/>
      <c r="C1185" s="274"/>
      <c r="D1185" s="275"/>
      <c r="E1185" s="276"/>
      <c r="F1185" s="277"/>
      <c r="J1185" s="46"/>
      <c r="K1185" s="159"/>
      <c r="L1185" s="869" t="str">
        <f t="shared" si="37"/>
        <v>4-4</v>
      </c>
      <c r="M1185" s="870">
        <f t="shared" si="37"/>
        <v>16</v>
      </c>
      <c r="N1185" s="876">
        <f t="shared" si="37"/>
        <v>200</v>
      </c>
      <c r="O1185" s="870">
        <f t="shared" si="37"/>
        <v>16</v>
      </c>
      <c r="P1185" s="877">
        <f t="shared" si="37"/>
        <v>200</v>
      </c>
    </row>
    <row r="1186" spans="1:16" ht="15.75">
      <c r="A1186" s="259" t="s">
        <v>111</v>
      </c>
      <c r="B1186" s="268" t="s">
        <v>136</v>
      </c>
      <c r="C1186" s="269">
        <v>16</v>
      </c>
      <c r="D1186" s="604" t="s">
        <v>481</v>
      </c>
      <c r="E1186" s="271">
        <v>200</v>
      </c>
      <c r="F1186" s="272" t="s">
        <v>482</v>
      </c>
      <c r="J1186" s="46"/>
      <c r="K1186" s="159"/>
      <c r="L1186" s="2031" t="str">
        <f t="shared" si="37"/>
        <v>5-5</v>
      </c>
      <c r="M1186" s="2032">
        <f t="shared" si="37"/>
        <v>16</v>
      </c>
      <c r="N1186" s="2033">
        <f t="shared" si="37"/>
        <v>200</v>
      </c>
      <c r="O1186" s="2032">
        <f t="shared" si="37"/>
        <v>16</v>
      </c>
      <c r="P1186" s="2034">
        <f t="shared" si="37"/>
        <v>200</v>
      </c>
    </row>
    <row r="1187" spans="1:16" ht="15.75">
      <c r="A1187" s="262" t="s">
        <v>110</v>
      </c>
      <c r="B1187" s="278" t="s">
        <v>136</v>
      </c>
      <c r="C1187" s="279">
        <v>16</v>
      </c>
      <c r="D1187" s="280" t="s">
        <v>481</v>
      </c>
      <c r="E1187" s="281">
        <v>200</v>
      </c>
      <c r="F1187" s="282" t="s">
        <v>482</v>
      </c>
      <c r="J1187" s="46"/>
      <c r="K1187" s="159"/>
    </row>
    <row r="1188" spans="1:16">
      <c r="J1188" s="46"/>
      <c r="K1188" s="159"/>
    </row>
    <row r="1189" spans="1:16">
      <c r="A1189" s="41" t="s">
        <v>939</v>
      </c>
      <c r="J1189" s="46"/>
      <c r="K1189" s="159"/>
    </row>
    <row r="1190" spans="1:16">
      <c r="A1190" s="187" t="s">
        <v>651</v>
      </c>
      <c r="F1190" s="33">
        <f>(6*E1144/(2*$J$8*$D$6))^(1/3)</f>
        <v>3.0954320513379887</v>
      </c>
      <c r="G1190" s="2874" t="s">
        <v>1003</v>
      </c>
      <c r="H1190" s="2878"/>
      <c r="I1190" s="187" t="str">
        <f>"= "&amp;FIXED(F1190-H1190,2)&amp;" m from top"</f>
        <v>= 3.10 m from top</v>
      </c>
      <c r="K1190" s="159"/>
    </row>
    <row r="1191" spans="1:16">
      <c r="A1191" s="187" t="s">
        <v>652</v>
      </c>
      <c r="F1191" s="33">
        <f>(6*E1144/(4*$J$8*$D$6))^(1/3)</f>
        <v>2.4568460472950027</v>
      </c>
      <c r="G1191" s="2874" t="s">
        <v>1003</v>
      </c>
      <c r="H1191" s="2878"/>
      <c r="I1191" s="187" t="str">
        <f>"= "&amp;FIXED(F1191-H1191,2)&amp;" m from top"</f>
        <v>= 2.46 m from top</v>
      </c>
      <c r="J1191" s="187"/>
      <c r="K1191" s="159"/>
      <c r="L1191" s="46"/>
    </row>
    <row r="1192" spans="1:16">
      <c r="E1192" s="46"/>
      <c r="J1192" s="46"/>
      <c r="K1192" s="159"/>
      <c r="L1192" s="46"/>
    </row>
    <row r="1193" spans="1:16">
      <c r="A1193" s="248" t="s">
        <v>602</v>
      </c>
      <c r="B1193" s="3085" t="s">
        <v>621</v>
      </c>
      <c r="C1193" s="347" t="s">
        <v>614</v>
      </c>
      <c r="D1193" s="355" t="s">
        <v>615</v>
      </c>
      <c r="E1193" s="347" t="s">
        <v>619</v>
      </c>
      <c r="F1193" s="355" t="s">
        <v>616</v>
      </c>
      <c r="G1193" s="355" t="s">
        <v>676</v>
      </c>
      <c r="H1193" s="3224" t="s">
        <v>487</v>
      </c>
      <c r="I1193" s="3148" t="s">
        <v>488</v>
      </c>
      <c r="J1193" s="611"/>
      <c r="K1193" s="159"/>
      <c r="L1193" s="46"/>
    </row>
    <row r="1194" spans="1:16">
      <c r="A1194" s="156"/>
      <c r="B1194" s="3086"/>
      <c r="C1194" s="77"/>
      <c r="D1194" s="104"/>
      <c r="E1194" s="77"/>
      <c r="F1194" s="104"/>
      <c r="G1194" s="105"/>
      <c r="H1194" s="3227"/>
      <c r="I1194" s="3148"/>
      <c r="J1194" s="611"/>
      <c r="K1194" s="159"/>
      <c r="L1194" s="46"/>
    </row>
    <row r="1195" spans="1:16" ht="14.25">
      <c r="A1195" s="156"/>
      <c r="B1195" s="354" t="s">
        <v>5</v>
      </c>
      <c r="C1195" s="280" t="s">
        <v>620</v>
      </c>
      <c r="D1195" s="354" t="s">
        <v>98</v>
      </c>
      <c r="E1195" s="280" t="s">
        <v>98</v>
      </c>
      <c r="F1195" s="354" t="s">
        <v>98</v>
      </c>
      <c r="G1195" s="106"/>
      <c r="H1195" s="602" t="s">
        <v>491</v>
      </c>
      <c r="I1195" s="256" t="s">
        <v>491</v>
      </c>
      <c r="J1195" s="408"/>
      <c r="K1195" s="159"/>
      <c r="L1195" s="46"/>
    </row>
    <row r="1196" spans="1:16">
      <c r="A1196" s="348" t="s">
        <v>617</v>
      </c>
      <c r="B1196" s="2706">
        <f>F1190-H1190</f>
        <v>3.0954320513379887</v>
      </c>
      <c r="C1196" s="107">
        <f>$J$8*$D$6*B1196^3/6</f>
        <v>33.730428702015224</v>
      </c>
      <c r="D1196" s="356">
        <f>((C1196*10^6)/($C$23*1000))^0.5</f>
        <v>153.57421532351816</v>
      </c>
      <c r="E1196" s="349">
        <f>(H1117+B1196*(H1135-H1117)/I1124)*1000</f>
        <v>419.05507889761498</v>
      </c>
      <c r="F1196" s="356">
        <f>E1196-$I$13-C1183/2</f>
        <v>351.05507889761498</v>
      </c>
      <c r="G1196" s="123" t="str">
        <f>IF(F1196&gt;=D1196,"O.k","Not O.k")</f>
        <v>O.k</v>
      </c>
      <c r="H1196" s="349">
        <f>C1196*10^6/($C$18*$C$22*F1196)</f>
        <v>578.16395509755728</v>
      </c>
      <c r="I1196" s="123">
        <f>IF(E1196&gt;380,C1112*1000*380,C1112*1000*E1196)</f>
        <v>380</v>
      </c>
      <c r="J1196" s="275"/>
      <c r="K1196" s="159"/>
      <c r="L1196" s="46"/>
      <c r="M1196" s="16"/>
    </row>
    <row r="1197" spans="1:16">
      <c r="A1197" s="351" t="s">
        <v>618</v>
      </c>
      <c r="B1197" s="2708">
        <f>F1191-H1191</f>
        <v>2.4568460472950027</v>
      </c>
      <c r="C1197" s="121">
        <f>$J$8*$D$6*B1197^3/6</f>
        <v>16.865214351007619</v>
      </c>
      <c r="D1197" s="357">
        <f>((C1197*10^6)/($C$23*1000))^0.5</f>
        <v>108.5933690706627</v>
      </c>
      <c r="E1197" s="310">
        <f>(H1117+B1197*(H1135-H1117)/I1124)*1000</f>
        <v>394.49407874211551</v>
      </c>
      <c r="F1197" s="357">
        <f>E1197-$I$13-C1183/2</f>
        <v>326.49407874211551</v>
      </c>
      <c r="G1197" s="104" t="str">
        <f>IF(F1197&gt;=D1197,"O.k","Not O.k")</f>
        <v>O.k</v>
      </c>
      <c r="H1197" s="310">
        <f>C1197*10^6/($C$18*$C$22*F1197)</f>
        <v>310.82859703689445</v>
      </c>
      <c r="I1197" s="104">
        <f>IF(E1197&gt;380,C1112*1000*380,C1112*1000*E1197)</f>
        <v>380</v>
      </c>
      <c r="J1197" s="275"/>
      <c r="K1197" s="159"/>
      <c r="L1197" s="46"/>
      <c r="M1197" s="16"/>
    </row>
    <row r="1198" spans="1:16">
      <c r="J1198" s="46"/>
      <c r="K1198" s="159"/>
      <c r="L1198" s="46"/>
      <c r="M1198" s="16"/>
    </row>
    <row r="1199" spans="1:16" ht="12.75" customHeight="1">
      <c r="A1199" s="3085" t="s">
        <v>613</v>
      </c>
      <c r="B1199" s="3118" t="s">
        <v>937</v>
      </c>
      <c r="C1199" s="3118" t="s">
        <v>938</v>
      </c>
      <c r="D1199" s="3085" t="s">
        <v>623</v>
      </c>
      <c r="E1199" s="3118" t="s">
        <v>622</v>
      </c>
      <c r="G1199" s="3233" t="s">
        <v>2112</v>
      </c>
      <c r="H1199" s="3234"/>
      <c r="I1199" s="3235"/>
      <c r="J1199" s="46"/>
      <c r="K1199" s="159"/>
    </row>
    <row r="1200" spans="1:16">
      <c r="A1200" s="3200"/>
      <c r="B1200" s="3092"/>
      <c r="C1200" s="3092"/>
      <c r="D1200" s="3200"/>
      <c r="E1200" s="3092"/>
      <c r="G1200" s="3122" t="s">
        <v>2110</v>
      </c>
      <c r="H1200" s="3244" t="s">
        <v>2111</v>
      </c>
      <c r="I1200" s="1541" t="s">
        <v>676</v>
      </c>
      <c r="J1200" s="46"/>
      <c r="K1200" s="159"/>
    </row>
    <row r="1201" spans="1:13">
      <c r="A1201" s="3086"/>
      <c r="B1201" s="360"/>
      <c r="C1201" s="360"/>
      <c r="D1201" s="3086"/>
      <c r="E1201" s="359"/>
      <c r="G1201" s="3241"/>
      <c r="H1201" s="3204"/>
      <c r="I1201" s="1244"/>
      <c r="J1201" s="46"/>
      <c r="K1201" s="159"/>
    </row>
    <row r="1202" spans="1:13" ht="14.25">
      <c r="A1202" s="600" t="s">
        <v>5</v>
      </c>
      <c r="B1202" s="256" t="s">
        <v>491</v>
      </c>
      <c r="C1202" s="597" t="s">
        <v>98</v>
      </c>
      <c r="D1202" s="625" t="s">
        <v>5</v>
      </c>
      <c r="E1202" s="358" t="s">
        <v>98</v>
      </c>
      <c r="G1202" s="2668" t="s">
        <v>491</v>
      </c>
      <c r="H1202" s="94" t="s">
        <v>107</v>
      </c>
      <c r="I1202" s="1289"/>
      <c r="J1202" s="46"/>
      <c r="K1202" s="159"/>
    </row>
    <row r="1203" spans="1:13">
      <c r="A1203" s="352">
        <f>(I1124-B1196)+40*C1183/1000</f>
        <v>1.4445679486620118</v>
      </c>
      <c r="B1203" s="356">
        <f>MAX(H1196:I1196)</f>
        <v>578.16395509755728</v>
      </c>
      <c r="C1203" s="350">
        <f>PI()*(C1183/2)^2*1000/B1203</f>
        <v>347.75936489472139</v>
      </c>
      <c r="D1203" s="591">
        <v>2</v>
      </c>
      <c r="E1203" s="609">
        <f>IF(D1203="","",E1183*2)</f>
        <v>300</v>
      </c>
      <c r="G1203" s="2725">
        <f>IF(D1203="","",PI()*(C1183/2)^2*1000/E1203)</f>
        <v>670.20643276582246</v>
      </c>
      <c r="H1203" s="2676">
        <f>IF(D1203="","",G1203*$C$18*$C$22*F1196/10^6)</f>
        <v>39.100241543464982</v>
      </c>
      <c r="I1203" s="2726" t="str">
        <f>IF(D1203="","",IF(AND(H1203&gt;=C1196),"o.k","Not o.k"))</f>
        <v>o.k</v>
      </c>
      <c r="J1203" s="46"/>
      <c r="K1203" s="159"/>
    </row>
    <row r="1204" spans="1:13">
      <c r="A1204" s="353">
        <f>(I1124-B1197)+40*C1183/1000</f>
        <v>2.0831539527049978</v>
      </c>
      <c r="B1204" s="357">
        <f>MAX(H1197:I1197)</f>
        <v>380</v>
      </c>
      <c r="C1204" s="311">
        <f>PI()*(C1183/2)^2*1000/B1204</f>
        <v>529.11034165722833</v>
      </c>
      <c r="D1204" s="592"/>
      <c r="E1204" s="610" t="str">
        <f>IF(D1204="","",E1203*2)</f>
        <v/>
      </c>
      <c r="G1204" s="2727" t="str">
        <f>IF(D1204="","",PI()*(C1183/2)^2*1000/E1204)</f>
        <v/>
      </c>
      <c r="H1204" s="2673" t="str">
        <f>IF(D1204="","",G1204*$C$18*$C$22*F1197/10^6)</f>
        <v/>
      </c>
      <c r="I1204" s="2728" t="str">
        <f>IF(D1204="","",IF(AND(H1204&gt;=C1197),"o.k","Not o.k"))</f>
        <v/>
      </c>
      <c r="J1204" s="46"/>
      <c r="K1204" s="159"/>
    </row>
    <row r="1205" spans="1:13">
      <c r="J1205" s="46"/>
      <c r="K1205" s="159"/>
      <c r="L1205" s="46"/>
      <c r="M1205" s="16"/>
    </row>
    <row r="1206" spans="1:13">
      <c r="A1206" s="176" t="str">
        <f>"b) Design of Floor  :  Sec  "&amp;C1108</f>
        <v>b) Design of Floor  :  Sec  5-5</v>
      </c>
      <c r="B1206" s="392"/>
      <c r="C1206" s="174"/>
      <c r="J1206" s="46"/>
      <c r="K1206" s="159"/>
      <c r="L1206" s="46"/>
      <c r="M1206" s="16"/>
    </row>
    <row r="1207" spans="1:13">
      <c r="J1207" s="46"/>
      <c r="K1207" s="159"/>
      <c r="L1207" s="46"/>
      <c r="M1207" s="16"/>
    </row>
    <row r="1208" spans="1:13">
      <c r="A1208" s="187" t="s">
        <v>1105</v>
      </c>
      <c r="I1208" s="33">
        <f>Hydraulic!C1075</f>
        <v>0.66025149885915013</v>
      </c>
      <c r="J1208" t="s">
        <v>5</v>
      </c>
      <c r="K1208" s="159"/>
      <c r="L1208" s="46"/>
    </row>
    <row r="1209" spans="1:13">
      <c r="A1209" s="187" t="str">
        <f>"Considering Wt of wall,  Floor thickness can be reduced  =2*0.5*("&amp;H1117&amp;"+"&amp;H1135&amp;")*"&amp;I1124&amp;"/"&amp;FIXED(F1137,2)&amp;"="</f>
        <v>Considering Wt of wall,  Floor thickness can be reduced  =2*0.5*(0.3+0.45)*3.9/12.90=</v>
      </c>
      <c r="B1209" s="187"/>
      <c r="E1209" s="33"/>
      <c r="I1209" s="224">
        <f>2*0.5*(H1117+H1135)*I1124/F1137</f>
        <v>0.22674418604651167</v>
      </c>
      <c r="J1209" t="s">
        <v>5</v>
      </c>
      <c r="K1209" s="159"/>
      <c r="L1209" s="46"/>
    </row>
    <row r="1210" spans="1:13">
      <c r="A1210" s="187" t="s">
        <v>1821</v>
      </c>
      <c r="I1210" s="33">
        <f>I1208-I1209</f>
        <v>0.43350731281263843</v>
      </c>
      <c r="J1210" t="s">
        <v>5</v>
      </c>
      <c r="K1210" s="159"/>
      <c r="L1210" s="46"/>
    </row>
    <row r="1211" spans="1:13">
      <c r="A1211" t="s">
        <v>684</v>
      </c>
      <c r="I1211" s="914">
        <f>O70</f>
        <v>0.65</v>
      </c>
      <c r="J1211" t="s">
        <v>5</v>
      </c>
      <c r="K1211" s="159"/>
      <c r="L1211" s="46"/>
    </row>
    <row r="1212" spans="1:13">
      <c r="J1212" s="46"/>
      <c r="K1212" s="159"/>
      <c r="L1212" s="46"/>
    </row>
    <row r="1213" spans="1:13">
      <c r="F1213" s="187" t="s">
        <v>637</v>
      </c>
      <c r="H1213" s="187" t="s">
        <v>636</v>
      </c>
      <c r="J1213" s="46"/>
      <c r="K1213" s="159"/>
      <c r="L1213" s="46"/>
    </row>
    <row r="1214" spans="1:13">
      <c r="E1214" s="191" t="s">
        <v>607</v>
      </c>
      <c r="J1214" s="46"/>
      <c r="K1214" s="159"/>
      <c r="L1214" s="46"/>
    </row>
    <row r="1215" spans="1:13">
      <c r="F1215" s="17" t="s">
        <v>935</v>
      </c>
      <c r="G1215" s="36">
        <f>F1135/4</f>
        <v>3</v>
      </c>
      <c r="J1215" s="46"/>
      <c r="K1215" s="159"/>
      <c r="L1215" s="46"/>
    </row>
    <row r="1216" spans="1:13">
      <c r="C1216" s="1" t="s">
        <v>658</v>
      </c>
      <c r="D1216" s="36"/>
      <c r="F1216" s="36"/>
      <c r="H1216" s="191"/>
      <c r="I1216" s="187" t="s">
        <v>659</v>
      </c>
      <c r="J1216" s="109"/>
      <c r="K1216" s="159"/>
      <c r="L1216" s="46"/>
    </row>
    <row r="1217" spans="2:12">
      <c r="F1217" s="203" t="s">
        <v>644</v>
      </c>
      <c r="G1217" s="36">
        <f>(F1137-H1135)/2</f>
        <v>6.2249999999999996</v>
      </c>
      <c r="J1217" s="46"/>
      <c r="K1217" s="159"/>
      <c r="L1217" s="46"/>
    </row>
    <row r="1218" spans="2:12">
      <c r="J1218" s="46"/>
      <c r="K1218" s="159"/>
      <c r="L1218" s="46"/>
    </row>
    <row r="1219" spans="2:12">
      <c r="C1219" s="2008"/>
      <c r="D1219" s="2008"/>
      <c r="E1219" s="2008"/>
      <c r="F1219" s="2008"/>
      <c r="G1219" s="2008"/>
      <c r="H1219" s="3060">
        <f>I1211</f>
        <v>0.65</v>
      </c>
      <c r="J1219" s="46"/>
      <c r="K1219" s="159"/>
      <c r="L1219" s="46"/>
    </row>
    <row r="1220" spans="2:12">
      <c r="B1220" s="187" t="s">
        <v>642</v>
      </c>
      <c r="C1220" s="2008"/>
      <c r="D1220" s="2008"/>
      <c r="E1220" s="2008"/>
      <c r="F1220" s="2008"/>
      <c r="G1220" s="2008"/>
      <c r="H1220" s="3060"/>
      <c r="I1220" s="203" t="s">
        <v>646</v>
      </c>
      <c r="J1220" s="288"/>
      <c r="K1220" s="159"/>
      <c r="L1220" s="46"/>
    </row>
    <row r="1221" spans="2:12">
      <c r="J1221" s="46"/>
      <c r="K1221" s="159"/>
      <c r="L1221" s="46"/>
    </row>
    <row r="1222" spans="2:12">
      <c r="C1222" s="191" t="s">
        <v>537</v>
      </c>
      <c r="F1222" s="203" t="s">
        <v>643</v>
      </c>
      <c r="G1222" s="36">
        <f>F1137/4</f>
        <v>3.2249999999999996</v>
      </c>
      <c r="J1222" s="46"/>
      <c r="K1222" s="159"/>
      <c r="L1222" s="46"/>
    </row>
    <row r="1223" spans="2:12">
      <c r="E1223" s="603" t="s">
        <v>641</v>
      </c>
      <c r="F1223" s="603"/>
      <c r="J1223" s="46"/>
      <c r="K1223" s="159"/>
      <c r="L1223" s="46"/>
    </row>
    <row r="1224" spans="2:12">
      <c r="E1224" s="203" t="s">
        <v>645</v>
      </c>
      <c r="F1224" s="36">
        <f>F1137/2</f>
        <v>6.4499999999999993</v>
      </c>
      <c r="J1224" s="46"/>
      <c r="K1224" s="159"/>
      <c r="L1224" s="46"/>
    </row>
    <row r="1225" spans="2:12">
      <c r="J1225" s="46"/>
      <c r="K1225" s="159"/>
      <c r="L1225" s="46"/>
    </row>
    <row r="1226" spans="2:12">
      <c r="B1226" s="1" t="s">
        <v>654</v>
      </c>
      <c r="J1226" s="46"/>
      <c r="K1226" s="159"/>
      <c r="L1226" s="46"/>
    </row>
    <row r="1227" spans="2:12">
      <c r="B1227" s="187" t="s">
        <v>655</v>
      </c>
      <c r="J1227" s="46"/>
      <c r="K1227" s="159"/>
      <c r="L1227" s="46"/>
    </row>
    <row r="1228" spans="2:12">
      <c r="J1228" s="46"/>
      <c r="K1228" s="159"/>
      <c r="L1228" s="46"/>
    </row>
    <row r="1229" spans="2:12">
      <c r="B1229" s="187" t="s">
        <v>639</v>
      </c>
      <c r="D1229" s="33">
        <f>0.5*(H1135+H1117)*I1124*$D$3</f>
        <v>34.515000000000008</v>
      </c>
      <c r="E1229" s="187" t="s">
        <v>341</v>
      </c>
      <c r="J1229" s="46"/>
      <c r="K1229" s="159"/>
      <c r="L1229" s="46"/>
    </row>
    <row r="1230" spans="2:12">
      <c r="B1230" s="187" t="s">
        <v>656</v>
      </c>
      <c r="D1230" s="33">
        <v>0</v>
      </c>
      <c r="E1230" s="187" t="s">
        <v>341</v>
      </c>
      <c r="J1230" s="46"/>
      <c r="K1230" s="159"/>
      <c r="L1230" s="46"/>
    </row>
    <row r="1231" spans="2:12">
      <c r="B1231" s="187" t="s">
        <v>638</v>
      </c>
      <c r="D1231" s="33">
        <f>+D1229+D1230</f>
        <v>34.515000000000008</v>
      </c>
      <c r="E1231" s="187" t="s">
        <v>341</v>
      </c>
      <c r="J1231" s="46"/>
      <c r="K1231" s="159"/>
      <c r="L1231" s="46"/>
    </row>
    <row r="1232" spans="2:12" ht="15.75">
      <c r="B1232" s="187" t="s">
        <v>681</v>
      </c>
      <c r="D1232" s="33"/>
      <c r="F1232" s="33">
        <v>0</v>
      </c>
      <c r="J1232" s="46"/>
      <c r="K1232" s="159"/>
      <c r="L1232" s="46"/>
    </row>
    <row r="1233" spans="1:12">
      <c r="B1233" s="187" t="s">
        <v>678</v>
      </c>
      <c r="D1233" s="33"/>
      <c r="H1233" s="33">
        <f>F1232+D1231*G1222-(D1229+D1230)*G1217</f>
        <v>-103.54500000000002</v>
      </c>
      <c r="I1233" s="187" t="s">
        <v>620</v>
      </c>
      <c r="J1233" s="109"/>
      <c r="K1233" s="159"/>
      <c r="L1233" s="46"/>
    </row>
    <row r="1234" spans="1:12">
      <c r="B1234" s="187"/>
      <c r="D1234" s="33"/>
      <c r="H1234" s="215" t="str">
        <f>IF(H1233&gt;0,"(bottom tension)","(top tension)")</f>
        <v>(top tension)</v>
      </c>
      <c r="J1234" s="46"/>
      <c r="K1234" s="159"/>
      <c r="L1234" s="46"/>
    </row>
    <row r="1235" spans="1:12">
      <c r="B1235" s="187"/>
      <c r="D1235" s="33"/>
      <c r="H1235" s="215"/>
      <c r="J1235" s="46"/>
      <c r="K1235" s="159"/>
      <c r="L1235" s="46"/>
    </row>
    <row r="1236" spans="1:12">
      <c r="B1236" s="1" t="s">
        <v>657</v>
      </c>
      <c r="J1236" s="46"/>
      <c r="K1236" s="159"/>
      <c r="L1236" s="46"/>
    </row>
    <row r="1237" spans="1:12">
      <c r="B1237" s="187" t="s">
        <v>611</v>
      </c>
      <c r="J1237" s="46"/>
      <c r="K1237" s="159"/>
      <c r="L1237" s="46"/>
    </row>
    <row r="1238" spans="1:12">
      <c r="J1238" s="46"/>
      <c r="K1238" s="159"/>
    </row>
    <row r="1239" spans="1:12">
      <c r="B1239" s="187" t="s">
        <v>600</v>
      </c>
      <c r="D1239" s="33">
        <f>I1124</f>
        <v>3.9000000000000004</v>
      </c>
      <c r="E1239" s="187" t="s">
        <v>5</v>
      </c>
      <c r="J1239" s="46"/>
      <c r="K1239" s="159"/>
    </row>
    <row r="1240" spans="1:12">
      <c r="B1240" s="187" t="s">
        <v>639</v>
      </c>
      <c r="D1240" s="33">
        <f>D1229</f>
        <v>34.515000000000008</v>
      </c>
      <c r="E1240" s="187" t="s">
        <v>341</v>
      </c>
      <c r="J1240" s="46"/>
      <c r="K1240" s="159"/>
    </row>
    <row r="1241" spans="1:12">
      <c r="B1241" s="30" t="s">
        <v>640</v>
      </c>
      <c r="D1241" s="33">
        <f>0.5*(H1135-H1117)*I1124*$D$6</f>
        <v>5.5282500000000017</v>
      </c>
      <c r="E1241" s="187" t="s">
        <v>341</v>
      </c>
      <c r="J1241" s="46"/>
      <c r="K1241" s="159"/>
    </row>
    <row r="1242" spans="1:12">
      <c r="B1242" s="187" t="s">
        <v>638</v>
      </c>
      <c r="D1242" s="33">
        <f>D1240+D1241</f>
        <v>40.043250000000008</v>
      </c>
      <c r="E1242" s="187" t="s">
        <v>341</v>
      </c>
      <c r="J1242" s="46"/>
      <c r="K1242" s="159"/>
    </row>
    <row r="1243" spans="1:12" ht="15.75">
      <c r="A1243" s="187"/>
      <c r="B1243" s="187" t="s">
        <v>677</v>
      </c>
      <c r="F1243" s="33">
        <f>$J$8*$D$6*D1239^3/6</f>
        <v>67.460857404030492</v>
      </c>
      <c r="G1243" s="187" t="s">
        <v>620</v>
      </c>
      <c r="H1243" s="23" t="str">
        <f>IF(F1243&gt;0,"(bottom tension)","(top tension)")</f>
        <v>(bottom tension)</v>
      </c>
      <c r="J1243" s="46"/>
      <c r="K1243" s="159"/>
    </row>
    <row r="1244" spans="1:12">
      <c r="B1244" s="187" t="s">
        <v>678</v>
      </c>
      <c r="H1244" s="33">
        <f>F1243+D1242*G1222-(D1240+D1241)*G1217</f>
        <v>-52.668892595969538</v>
      </c>
      <c r="I1244" s="187" t="s">
        <v>620</v>
      </c>
      <c r="J1244" s="109"/>
      <c r="K1244" s="159"/>
    </row>
    <row r="1245" spans="1:12">
      <c r="B1245" s="187"/>
      <c r="H1245" s="215" t="str">
        <f>IF(H1244&gt;0,"(bottom tension)","(top tension)")</f>
        <v>(top tension)</v>
      </c>
      <c r="J1245" s="46"/>
      <c r="K1245" s="159"/>
    </row>
    <row r="1246" spans="1:12">
      <c r="B1246" s="1" t="s">
        <v>660</v>
      </c>
      <c r="H1246" s="33"/>
      <c r="J1246" s="46"/>
      <c r="K1246" s="159"/>
    </row>
    <row r="1247" spans="1:12">
      <c r="B1247" s="1" t="str">
        <f>B154</f>
        <v>Case 1 :  When Static  Water Head on C/S Monsoon</v>
      </c>
      <c r="H1247" s="33"/>
      <c r="J1247" s="46"/>
      <c r="K1247" s="159"/>
    </row>
    <row r="1248" spans="1:12">
      <c r="B1248" s="187"/>
      <c r="H1248" s="33"/>
      <c r="J1248" s="46"/>
      <c r="K1248" s="159"/>
    </row>
    <row r="1249" spans="1:12">
      <c r="B1249" s="187" t="s">
        <v>639</v>
      </c>
      <c r="D1249" s="33">
        <f>D1240</f>
        <v>34.515000000000008</v>
      </c>
      <c r="E1249" s="187" t="s">
        <v>341</v>
      </c>
      <c r="F1249" s="187"/>
      <c r="H1249" s="187"/>
      <c r="J1249" s="46"/>
      <c r="K1249" s="159"/>
    </row>
    <row r="1250" spans="1:12">
      <c r="B1250" s="30" t="s">
        <v>640</v>
      </c>
      <c r="D1250" s="33">
        <f>0.5*D1150*E1122*$D$6+0.5*(H1135-H1117+E1122)*D1149*$D$5</f>
        <v>5.5282500000000017</v>
      </c>
      <c r="E1250" s="187" t="s">
        <v>341</v>
      </c>
      <c r="H1250" s="33"/>
      <c r="J1250" s="46"/>
      <c r="K1250" s="159"/>
    </row>
    <row r="1251" spans="1:12">
      <c r="B1251" s="187" t="s">
        <v>647</v>
      </c>
      <c r="D1251" s="33">
        <f>D1151*$D$7*F1135/2</f>
        <v>229.55400000000003</v>
      </c>
      <c r="E1251" s="187" t="s">
        <v>341</v>
      </c>
      <c r="H1251" s="33"/>
      <c r="J1251" s="46"/>
      <c r="K1251" s="159"/>
      <c r="L1251" s="46"/>
    </row>
    <row r="1252" spans="1:12">
      <c r="B1252" s="187" t="s">
        <v>648</v>
      </c>
      <c r="D1252" s="33">
        <f>D1249+D1250+D1251</f>
        <v>269.59725000000003</v>
      </c>
      <c r="E1252" s="187" t="s">
        <v>341</v>
      </c>
      <c r="H1252" s="33"/>
      <c r="J1252" s="46"/>
      <c r="K1252" s="159"/>
    </row>
    <row r="1253" spans="1:12">
      <c r="A1253" s="187"/>
      <c r="B1253" s="187" t="s">
        <v>682</v>
      </c>
      <c r="F1253" s="33">
        <f>I1156</f>
        <v>32.44545998955752</v>
      </c>
      <c r="G1253" s="187" t="s">
        <v>107</v>
      </c>
      <c r="H1253" s="23" t="str">
        <f>IF(F1253&gt;0,"(bottom tension)","(top tension)")</f>
        <v>(bottom tension)</v>
      </c>
      <c r="I1253" s="33"/>
      <c r="J1253" s="224"/>
      <c r="K1253" s="159"/>
      <c r="L1253" s="46"/>
    </row>
    <row r="1254" spans="1:12">
      <c r="B1254" s="187" t="s">
        <v>936</v>
      </c>
      <c r="H1254" s="33">
        <f>F1253+D1252*G1222-(D1249+D1250)*G1217-D1251*G1215</f>
        <v>-36.034640010442558</v>
      </c>
      <c r="I1254" s="187" t="s">
        <v>620</v>
      </c>
      <c r="J1254" s="109"/>
      <c r="K1254" s="159"/>
      <c r="L1254" s="46"/>
    </row>
    <row r="1255" spans="1:12">
      <c r="B1255" s="187"/>
      <c r="H1255" s="215" t="str">
        <f>IF(H1254&gt;0,"(bottom tension)","(top tension)")</f>
        <v>(top tension)</v>
      </c>
      <c r="J1255" s="46"/>
      <c r="K1255" s="159"/>
      <c r="L1255" s="46"/>
    </row>
    <row r="1256" spans="1:12">
      <c r="B1256" s="1" t="s">
        <v>661</v>
      </c>
      <c r="H1256" s="33"/>
      <c r="J1256" s="46"/>
      <c r="K1256" s="159"/>
      <c r="L1256" s="46"/>
    </row>
    <row r="1257" spans="1:12">
      <c r="B1257" s="187" t="s">
        <v>662</v>
      </c>
      <c r="G1257" s="2203" t="s">
        <v>1878</v>
      </c>
      <c r="H1257" s="2204"/>
      <c r="I1257" s="2203"/>
      <c r="J1257" s="2203"/>
      <c r="K1257" s="159"/>
      <c r="L1257" s="46"/>
    </row>
    <row r="1258" spans="1:12">
      <c r="B1258" s="187"/>
      <c r="H1258" s="33"/>
      <c r="J1258" s="46"/>
      <c r="K1258" s="159"/>
    </row>
    <row r="1259" spans="1:12">
      <c r="B1259" s="187" t="s">
        <v>639</v>
      </c>
      <c r="D1259" s="33">
        <f>D1249</f>
        <v>34.515000000000008</v>
      </c>
      <c r="E1259" s="187" t="s">
        <v>341</v>
      </c>
      <c r="F1259" s="187"/>
      <c r="H1259" s="187"/>
      <c r="J1259" s="46"/>
      <c r="K1259" s="159"/>
    </row>
    <row r="1260" spans="1:12">
      <c r="B1260" s="30" t="s">
        <v>640</v>
      </c>
      <c r="D1260" s="33">
        <f>D1250</f>
        <v>5.5282500000000017</v>
      </c>
      <c r="E1260" s="187" t="s">
        <v>341</v>
      </c>
      <c r="H1260" s="33"/>
      <c r="J1260" s="46"/>
      <c r="K1260" s="159"/>
    </row>
    <row r="1261" spans="1:12">
      <c r="B1261" s="187" t="s">
        <v>647</v>
      </c>
      <c r="D1261" s="33">
        <f>IF($F$4=1,0,D1251)</f>
        <v>229.55400000000003</v>
      </c>
      <c r="E1261" s="187" t="s">
        <v>341</v>
      </c>
      <c r="H1261" s="187" t="s">
        <v>1879</v>
      </c>
      <c r="J1261" s="46"/>
      <c r="K1261" s="159"/>
    </row>
    <row r="1262" spans="1:12">
      <c r="B1262" s="187" t="s">
        <v>663</v>
      </c>
      <c r="D1262" s="33">
        <f>D1259+D1260</f>
        <v>40.043250000000008</v>
      </c>
      <c r="E1262" s="187" t="s">
        <v>341</v>
      </c>
      <c r="H1262" s="33"/>
      <c r="J1262" s="46"/>
      <c r="K1262" s="159"/>
    </row>
    <row r="1263" spans="1:12">
      <c r="B1263" s="187" t="s">
        <v>679</v>
      </c>
      <c r="F1263" s="33">
        <f>F1253</f>
        <v>32.44545998955752</v>
      </c>
      <c r="G1263" s="187" t="s">
        <v>107</v>
      </c>
      <c r="H1263" s="23" t="str">
        <f>IF(F1263&gt;0,"(bottom tension)","(top tension)")</f>
        <v>(bottom tension)</v>
      </c>
      <c r="I1263" s="33"/>
      <c r="J1263" s="224"/>
      <c r="K1263" s="159"/>
    </row>
    <row r="1264" spans="1:12">
      <c r="B1264" s="187" t="s">
        <v>680</v>
      </c>
      <c r="H1264" s="33">
        <f>F1263+D1262*G1222-(D1259+D1260)*G1217</f>
        <v>-87.68429001044251</v>
      </c>
      <c r="I1264" s="187" t="s">
        <v>341</v>
      </c>
      <c r="J1264" s="109"/>
      <c r="K1264" s="159"/>
    </row>
    <row r="1265" spans="1:12">
      <c r="A1265" s="187"/>
      <c r="B1265" s="187"/>
      <c r="H1265" s="215" t="str">
        <f>IF(H1264&gt;0,"(bottom tension)","(top tension)")</f>
        <v>(top tension)</v>
      </c>
      <c r="J1265" s="46"/>
      <c r="K1265" s="159"/>
      <c r="L1265" s="46"/>
    </row>
    <row r="1266" spans="1:12">
      <c r="B1266" s="41" t="s">
        <v>664</v>
      </c>
      <c r="H1266" s="215"/>
      <c r="J1266" s="46"/>
      <c r="K1266" s="159"/>
      <c r="L1266" s="46"/>
    </row>
    <row r="1267" spans="1:12">
      <c r="B1267" s="187"/>
      <c r="H1267" s="215"/>
      <c r="J1267" s="46"/>
      <c r="K1267" s="159"/>
      <c r="L1267" s="46"/>
    </row>
    <row r="1268" spans="1:12">
      <c r="B1268" s="374" t="s">
        <v>673</v>
      </c>
      <c r="C1268" s="3118" t="s">
        <v>675</v>
      </c>
      <c r="D1268" s="3070" t="s">
        <v>674</v>
      </c>
      <c r="E1268" s="3068"/>
      <c r="F1268" s="374" t="s">
        <v>615</v>
      </c>
      <c r="G1268" s="355" t="s">
        <v>619</v>
      </c>
      <c r="H1268" s="355" t="s">
        <v>616</v>
      </c>
      <c r="I1268" s="382" t="s">
        <v>676</v>
      </c>
      <c r="J1268" s="562"/>
      <c r="K1268" s="159"/>
      <c r="L1268" s="46"/>
    </row>
    <row r="1269" spans="1:12">
      <c r="B1269" s="348"/>
      <c r="C1269" s="3092"/>
      <c r="D1269" s="3121" t="s">
        <v>665</v>
      </c>
      <c r="E1269" s="3118" t="s">
        <v>672</v>
      </c>
      <c r="F1269" s="16"/>
      <c r="G1269" s="104"/>
      <c r="H1269" s="105"/>
      <c r="I1269" s="366"/>
      <c r="J1269" s="385"/>
      <c r="K1269" s="159"/>
      <c r="L1269" s="46"/>
    </row>
    <row r="1270" spans="1:12">
      <c r="B1270" s="367"/>
      <c r="C1270" s="365"/>
      <c r="D1270" s="3121"/>
      <c r="E1270" s="3092"/>
      <c r="F1270" s="16"/>
      <c r="G1270" s="105"/>
      <c r="H1270" s="365"/>
      <c r="I1270" s="380"/>
      <c r="J1270" s="408"/>
      <c r="K1270" s="159"/>
      <c r="L1270" s="46"/>
    </row>
    <row r="1271" spans="1:12">
      <c r="B1271" s="598"/>
      <c r="C1271" s="94" t="s">
        <v>107</v>
      </c>
      <c r="D1271" s="599" t="s">
        <v>107</v>
      </c>
      <c r="E1271" s="94" t="s">
        <v>107</v>
      </c>
      <c r="F1271" s="602" t="s">
        <v>98</v>
      </c>
      <c r="G1271" s="256" t="s">
        <v>98</v>
      </c>
      <c r="H1271" s="256" t="s">
        <v>98</v>
      </c>
      <c r="I1271" s="601"/>
      <c r="J1271" s="408"/>
      <c r="K1271" s="159"/>
      <c r="L1271" s="46"/>
    </row>
    <row r="1272" spans="1:12">
      <c r="B1272" s="374" t="s">
        <v>666</v>
      </c>
      <c r="C1272" s="376">
        <f>F1232</f>
        <v>0</v>
      </c>
      <c r="D1272" s="251">
        <f>IF(J9="y",0,IF(H1233&lt;0,ABS(H1233),0))</f>
        <v>0</v>
      </c>
      <c r="E1272" s="379">
        <f>IF(H1233&gt;0,H1233,0)</f>
        <v>0</v>
      </c>
      <c r="F1272" s="55"/>
      <c r="G1272" s="105"/>
      <c r="H1272" s="381"/>
      <c r="I1272" s="375"/>
      <c r="J1272" s="275"/>
      <c r="K1272" s="159"/>
      <c r="L1272" s="46"/>
    </row>
    <row r="1273" spans="1:12">
      <c r="B1273" s="348" t="s">
        <v>667</v>
      </c>
      <c r="C1273" s="377">
        <f>F1243</f>
        <v>67.460857404030492</v>
      </c>
      <c r="D1273" s="107">
        <f>IF(H1244&lt;0,ABS(H1244),0)</f>
        <v>52.668892595969538</v>
      </c>
      <c r="E1273" s="103">
        <f>IF(H1244&gt;0,H1244,0)</f>
        <v>0</v>
      </c>
      <c r="F1273" s="16"/>
      <c r="G1273" s="105"/>
      <c r="H1273" s="105"/>
      <c r="I1273" s="58"/>
      <c r="J1273" s="386"/>
      <c r="K1273" s="159"/>
      <c r="L1273" s="46"/>
    </row>
    <row r="1274" spans="1:12">
      <c r="B1274" s="348" t="s">
        <v>668</v>
      </c>
      <c r="C1274" s="377">
        <f>F1253</f>
        <v>32.44545998955752</v>
      </c>
      <c r="D1274" s="107">
        <f>IF(H1254&lt;0,ABS(H1254),0)</f>
        <v>36.034640010442558</v>
      </c>
      <c r="E1274" s="103">
        <f>IF(H1254&gt;0,H1254,0)</f>
        <v>0</v>
      </c>
      <c r="F1274" s="16"/>
      <c r="G1274" s="105"/>
      <c r="H1274" s="356"/>
      <c r="I1274" s="350"/>
      <c r="J1274" s="612"/>
      <c r="K1274" s="159"/>
      <c r="L1274" s="46"/>
    </row>
    <row r="1275" spans="1:12">
      <c r="B1275" s="348" t="s">
        <v>669</v>
      </c>
      <c r="C1275" s="377">
        <f>F1263</f>
        <v>32.44545998955752</v>
      </c>
      <c r="D1275" s="107">
        <f>IF(H1264&lt;0,ABS(H1264),0)</f>
        <v>87.68429001044251</v>
      </c>
      <c r="E1275" s="103">
        <f>IF(H1264&gt;0,H1264,0)</f>
        <v>0</v>
      </c>
      <c r="F1275" s="16"/>
      <c r="G1275" s="105"/>
      <c r="H1275" s="105"/>
      <c r="I1275" s="350"/>
      <c r="J1275" s="612"/>
      <c r="K1275" s="159"/>
      <c r="L1275" s="46"/>
    </row>
    <row r="1276" spans="1:12">
      <c r="B1276" s="600" t="s">
        <v>671</v>
      </c>
      <c r="C1276" s="393">
        <f>MAX(C1272:C1275)</f>
        <v>67.460857404030492</v>
      </c>
      <c r="D1276" s="394">
        <f>MAX(D1272:D1275)</f>
        <v>87.68429001044251</v>
      </c>
      <c r="E1276" s="393">
        <f>MAX(E1272:E1275)</f>
        <v>0</v>
      </c>
      <c r="F1276" s="395">
        <f>((MAX(C1276,D1276,E1276)*10^6)/($C$23*1000))^0.5</f>
        <v>247.61005089253348</v>
      </c>
      <c r="G1276" s="316">
        <f>I1211*1000</f>
        <v>650</v>
      </c>
      <c r="H1276" s="396">
        <f>G1276-$I$13-C1301/2</f>
        <v>582</v>
      </c>
      <c r="I1276" s="1976" t="str">
        <f>IF(H1276&gt;=F1276,"o.k","Not o.k")</f>
        <v>o.k</v>
      </c>
      <c r="J1276" s="386"/>
      <c r="K1276" s="159"/>
      <c r="L1276" s="46"/>
    </row>
    <row r="1277" spans="1:12">
      <c r="B1277" s="369"/>
      <c r="C1277" s="377"/>
      <c r="D1277" s="368"/>
      <c r="E1277" s="377"/>
      <c r="F1277" s="16"/>
      <c r="G1277" s="105"/>
      <c r="H1277" s="356">
        <f>H1276-$I$15</f>
        <v>582</v>
      </c>
      <c r="I1277" s="370" t="s">
        <v>2138</v>
      </c>
      <c r="J1277" s="786"/>
      <c r="K1277" s="159"/>
      <c r="L1277" s="46"/>
    </row>
    <row r="1278" spans="1:12">
      <c r="B1278" s="371" t="s">
        <v>670</v>
      </c>
      <c r="C1278" s="378">
        <f>(C1276*10^6)/($C$18*$C$22*H1276)</f>
        <v>697.48244973378087</v>
      </c>
      <c r="D1278" s="372">
        <f>(D1276*10^6)/($C$18*$C$22*H1276)</f>
        <v>906.57391194077525</v>
      </c>
      <c r="E1278" s="378">
        <f>(E1276*10^6)/($C$18*$C$22*H1277)</f>
        <v>0</v>
      </c>
      <c r="F1278" s="59"/>
      <c r="G1278" s="106"/>
      <c r="H1278" s="357"/>
      <c r="I1278" s="373"/>
      <c r="J1278" s="786"/>
      <c r="K1278" s="159"/>
      <c r="L1278" s="46"/>
    </row>
    <row r="1279" spans="1:12">
      <c r="A1279" s="187"/>
      <c r="B1279" s="223"/>
      <c r="C1279" s="223"/>
      <c r="D1279" s="2"/>
      <c r="E1279" s="223"/>
      <c r="G1279" s="349"/>
      <c r="H1279" s="294"/>
      <c r="I1279" s="16"/>
      <c r="J1279" s="386"/>
      <c r="K1279" s="159"/>
      <c r="L1279" s="46"/>
    </row>
    <row r="1280" spans="1:12">
      <c r="A1280" s="187"/>
      <c r="B1280" s="383" t="s">
        <v>635</v>
      </c>
      <c r="C1280" s="223"/>
      <c r="D1280" s="2"/>
      <c r="E1280" s="384" t="s">
        <v>545</v>
      </c>
      <c r="G1280" s="349"/>
      <c r="H1280" s="294"/>
      <c r="I1280" s="16"/>
      <c r="J1280" s="386"/>
      <c r="K1280" s="159"/>
      <c r="L1280" s="46"/>
    </row>
    <row r="1281" spans="1:19">
      <c r="A1281" s="187"/>
      <c r="B1281" s="385" t="s">
        <v>440</v>
      </c>
      <c r="D1281" s="386"/>
      <c r="G1281" s="385" t="s">
        <v>443</v>
      </c>
      <c r="H1281" s="294"/>
      <c r="I1281" s="16"/>
      <c r="J1281" s="386"/>
      <c r="K1281" s="159"/>
      <c r="L1281" s="46"/>
    </row>
    <row r="1282" spans="1:19" ht="14.25">
      <c r="A1282" s="187"/>
      <c r="B1282" s="385" t="s">
        <v>441</v>
      </c>
      <c r="C1282" s="386">
        <f>IF(F1137&lt;=9,$G$106,$G$111)</f>
        <v>2.5000000000000001E-3</v>
      </c>
      <c r="D1282" s="385" t="s">
        <v>438</v>
      </c>
      <c r="G1282" s="385" t="s">
        <v>441</v>
      </c>
      <c r="H1282" s="386">
        <f>IF(F1137&lt;=9,$G$105,$G$110)</f>
        <v>1.5E-3</v>
      </c>
      <c r="I1282" s="385" t="s">
        <v>438</v>
      </c>
      <c r="J1282" s="386"/>
      <c r="K1282" s="159"/>
      <c r="L1282" s="46"/>
    </row>
    <row r="1283" spans="1:19" ht="14.25">
      <c r="A1283" s="187"/>
      <c r="B1283" s="385" t="s">
        <v>442</v>
      </c>
      <c r="C1283" s="386">
        <f>IF(E59&lt;=9,$G$106,$G$111)</f>
        <v>2.5000000000000001E-3</v>
      </c>
      <c r="D1283" s="385" t="s">
        <v>438</v>
      </c>
      <c r="E1283" s="386"/>
      <c r="F1283" s="386"/>
      <c r="G1283" s="385" t="s">
        <v>442</v>
      </c>
      <c r="H1283" s="386">
        <f>IF(E59&lt;=9,$G$105,$G$110)</f>
        <v>1.5E-3</v>
      </c>
      <c r="I1283" s="385" t="s">
        <v>438</v>
      </c>
      <c r="J1283" s="386"/>
      <c r="K1283" s="159"/>
      <c r="L1283" s="46"/>
    </row>
    <row r="1284" spans="1:19">
      <c r="J1284" s="46"/>
      <c r="K1284" s="159"/>
      <c r="L1284" s="46"/>
    </row>
    <row r="1285" spans="1:19">
      <c r="A1285" s="936" t="str">
        <f>"Reinforcement Distribution of C/S Floor  for Sec  "&amp;C1108</f>
        <v>Reinforcement Distribution of C/S Floor  for Sec  5-5</v>
      </c>
      <c r="G1285" s="107"/>
      <c r="H1285" s="107"/>
      <c r="J1285" s="46"/>
      <c r="K1285" s="159"/>
      <c r="L1285" s="46"/>
    </row>
    <row r="1286" spans="1:19">
      <c r="J1286" s="46"/>
      <c r="K1286" s="159"/>
      <c r="L1286" s="46"/>
    </row>
    <row r="1287" spans="1:19">
      <c r="A1287" s="3147" t="s">
        <v>486</v>
      </c>
      <c r="B1287" s="3148" t="s">
        <v>487</v>
      </c>
      <c r="C1287" s="3148" t="s">
        <v>488</v>
      </c>
      <c r="D1287" s="3148" t="s">
        <v>489</v>
      </c>
      <c r="E1287" s="3149" t="s">
        <v>490</v>
      </c>
      <c r="F1287" s="3150"/>
      <c r="G1287" s="3150"/>
      <c r="H1287" s="3150"/>
      <c r="I1287" s="3150"/>
      <c r="J1287" s="330"/>
      <c r="K1287" s="159"/>
      <c r="L1287" s="329"/>
    </row>
    <row r="1288" spans="1:19">
      <c r="A1288" s="3147"/>
      <c r="B1288" s="3148"/>
      <c r="C1288" s="3148"/>
      <c r="D1288" s="3148"/>
      <c r="E1288" s="94">
        <v>12</v>
      </c>
      <c r="F1288" s="94">
        <v>16</v>
      </c>
      <c r="G1288" s="94">
        <v>20</v>
      </c>
      <c r="H1288" s="94">
        <v>22</v>
      </c>
      <c r="I1288" s="94">
        <v>25</v>
      </c>
      <c r="J1288" s="275"/>
      <c r="K1288" s="159"/>
    </row>
    <row r="1289" spans="1:19" ht="14.25">
      <c r="A1289" s="172"/>
      <c r="B1289" s="256" t="s">
        <v>491</v>
      </c>
      <c r="C1289" s="256" t="s">
        <v>491</v>
      </c>
      <c r="D1289" s="256" t="s">
        <v>491</v>
      </c>
      <c r="E1289" s="596" t="s">
        <v>98</v>
      </c>
      <c r="F1289" s="596" t="s">
        <v>98</v>
      </c>
      <c r="G1289" s="596" t="s">
        <v>98</v>
      </c>
      <c r="H1289" s="596" t="s">
        <v>98</v>
      </c>
      <c r="I1289" s="596" t="s">
        <v>98</v>
      </c>
      <c r="J1289" s="759"/>
      <c r="K1289" s="159"/>
      <c r="L1289" s="3173" t="s">
        <v>1140</v>
      </c>
      <c r="M1289" s="3174"/>
      <c r="N1289" s="3174"/>
      <c r="O1289" s="3174"/>
      <c r="P1289" s="3175"/>
    </row>
    <row r="1290" spans="1:19">
      <c r="A1290" s="264" t="s">
        <v>440</v>
      </c>
      <c r="B1290" s="55"/>
      <c r="C1290" s="55"/>
      <c r="D1290" s="55"/>
      <c r="E1290" s="55"/>
      <c r="F1290" s="55"/>
      <c r="G1290" s="55"/>
      <c r="H1290" s="55"/>
      <c r="I1290" s="56"/>
      <c r="J1290" s="386"/>
      <c r="K1290" s="159"/>
      <c r="L1290" s="3205" t="s">
        <v>876</v>
      </c>
      <c r="M1290" s="3171" t="s">
        <v>442</v>
      </c>
      <c r="N1290" s="3176"/>
      <c r="O1290" s="3176"/>
      <c r="P1290" s="3172"/>
      <c r="R1290" s="3127" t="s">
        <v>441</v>
      </c>
      <c r="S1290" s="3129"/>
    </row>
    <row r="1291" spans="1:19">
      <c r="A1291" s="363" t="s">
        <v>441</v>
      </c>
      <c r="B1291" s="318">
        <f>D1278</f>
        <v>906.57391194077525</v>
      </c>
      <c r="C1291" s="318">
        <f>IF(G1276&gt;380,C1282*1000*380,C1282*1000*G1276)</f>
        <v>950</v>
      </c>
      <c r="D1291" s="318">
        <f>MAX(B1291:C1291)</f>
        <v>950</v>
      </c>
      <c r="E1291" s="261">
        <f>PI()*(E1288/2)^2*1000/$D1291</f>
        <v>119.04982687287638</v>
      </c>
      <c r="F1291" s="261">
        <f>PI()*(F1288/2)^2*1000/$D1291</f>
        <v>211.6441366628913</v>
      </c>
      <c r="G1291" s="261">
        <f>PI()*(G1288/2)^2*1000/$D1291</f>
        <v>330.69396353576775</v>
      </c>
      <c r="H1291" s="261">
        <f>PI()*(H1288/2)^2*1000/$D1291</f>
        <v>400.13969587827893</v>
      </c>
      <c r="I1291" s="283">
        <f>PI()*(I1288/2)^2*1000/$D1291</f>
        <v>516.70931802463701</v>
      </c>
      <c r="J1291" s="328"/>
      <c r="K1291" s="159"/>
      <c r="L1291" s="3206"/>
      <c r="M1291" s="3171" t="s">
        <v>440</v>
      </c>
      <c r="N1291" s="3172"/>
      <c r="O1291" s="3171" t="s">
        <v>443</v>
      </c>
      <c r="P1291" s="3172"/>
      <c r="R1291" s="3171" t="s">
        <v>440</v>
      </c>
      <c r="S1291" s="3172"/>
    </row>
    <row r="1292" spans="1:19">
      <c r="A1292" s="364" t="s">
        <v>442</v>
      </c>
      <c r="B1292" s="319"/>
      <c r="C1292" s="318">
        <f>IF(G1276&gt;380,C1283*1000*380,C1283*1000*G1276)</f>
        <v>950</v>
      </c>
      <c r="D1292" s="319">
        <f>MAX(B1292:C1292)</f>
        <v>950</v>
      </c>
      <c r="E1292" s="261">
        <f>PI()*(E1288/2)^2*1000/$D1292</f>
        <v>119.04982687287638</v>
      </c>
      <c r="F1292" s="261">
        <f>PI()*(F1288/2)^2*1000/$D1292</f>
        <v>211.6441366628913</v>
      </c>
      <c r="G1292" s="261">
        <f>PI()*(G1288/2)^2*1000/$D1292</f>
        <v>330.69396353576775</v>
      </c>
      <c r="H1292" s="261">
        <f>PI()*(H1288/2)^2*1000/$D1292</f>
        <v>400.13969587827893</v>
      </c>
      <c r="I1292" s="283">
        <f>PI()*(I1288/2)^2*1000/$D1292</f>
        <v>516.70931802463701</v>
      </c>
      <c r="J1292" s="328"/>
      <c r="K1292" s="159"/>
      <c r="L1292" s="3206"/>
      <c r="M1292" s="926" t="s">
        <v>709</v>
      </c>
      <c r="N1292" s="927" t="s">
        <v>710</v>
      </c>
      <c r="O1292" s="927" t="s">
        <v>709</v>
      </c>
      <c r="P1292" s="928" t="s">
        <v>710</v>
      </c>
      <c r="R1292" s="926" t="s">
        <v>709</v>
      </c>
      <c r="S1292" s="894" t="s">
        <v>710</v>
      </c>
    </row>
    <row r="1293" spans="1:19">
      <c r="A1293" s="258" t="s">
        <v>443</v>
      </c>
      <c r="B1293" s="265"/>
      <c r="C1293" s="322"/>
      <c r="D1293" s="322"/>
      <c r="E1293" s="266"/>
      <c r="F1293" s="266"/>
      <c r="G1293" s="266"/>
      <c r="H1293" s="266"/>
      <c r="I1293" s="267"/>
      <c r="J1293" s="330"/>
      <c r="K1293" s="159"/>
      <c r="L1293" s="897" t="str">
        <f>L306</f>
        <v>1-1</v>
      </c>
      <c r="M1293" s="898">
        <f t="shared" ref="M1293:P1293" si="38">M306</f>
        <v>16</v>
      </c>
      <c r="N1293" s="907">
        <f t="shared" si="38"/>
        <v>200</v>
      </c>
      <c r="O1293" s="898">
        <f t="shared" si="38"/>
        <v>16</v>
      </c>
      <c r="P1293" s="908">
        <f t="shared" si="38"/>
        <v>250</v>
      </c>
      <c r="R1293" s="926">
        <f>R306</f>
        <v>16</v>
      </c>
      <c r="S1293" s="894">
        <f>S306</f>
        <v>200</v>
      </c>
    </row>
    <row r="1294" spans="1:19">
      <c r="A1294" s="363" t="s">
        <v>441</v>
      </c>
      <c r="B1294" s="318">
        <f>C1278</f>
        <v>697.48244973378087</v>
      </c>
      <c r="C1294" s="318">
        <f>IF(G1276&gt;380,H1282*1000*380,H1282*1000*G1276)</f>
        <v>570</v>
      </c>
      <c r="D1294" s="318">
        <f>MAX(B1294:C1294)</f>
        <v>697.48244973378087</v>
      </c>
      <c r="E1294" s="261">
        <f>PI()*(E1288/2)^2*1000/$D1294</f>
        <v>162.15079758981778</v>
      </c>
      <c r="F1294" s="261">
        <f>PI()*(F1288/2)^2*1000/$D1294</f>
        <v>288.26808460412047</v>
      </c>
      <c r="G1294" s="261">
        <f>PI()*(G1288/2)^2*1000/$D1294</f>
        <v>450.41888219393832</v>
      </c>
      <c r="H1294" s="261">
        <f>PI()*(H1288/2)^2*1000/$D1294</f>
        <v>545.00684745466526</v>
      </c>
      <c r="I1294" s="283">
        <f>PI()*(I1288/2)^2*1000/$D1294</f>
        <v>703.77950342802853</v>
      </c>
      <c r="J1294" s="328"/>
      <c r="K1294" s="159"/>
      <c r="L1294" s="895" t="str">
        <f t="shared" ref="L1294:P1297" si="39">L307</f>
        <v>2-2</v>
      </c>
      <c r="M1294" s="899">
        <f t="shared" si="39"/>
        <v>16</v>
      </c>
      <c r="N1294" s="903">
        <f t="shared" si="39"/>
        <v>200</v>
      </c>
      <c r="O1294" s="899">
        <f t="shared" si="39"/>
        <v>16</v>
      </c>
      <c r="P1294" s="904">
        <f t="shared" si="39"/>
        <v>250</v>
      </c>
      <c r="R1294" s="2334">
        <f t="shared" ref="R1294:S1294" si="40">R307</f>
        <v>16</v>
      </c>
      <c r="S1294" s="892">
        <f t="shared" si="40"/>
        <v>200</v>
      </c>
    </row>
    <row r="1295" spans="1:19">
      <c r="A1295" s="364" t="s">
        <v>442</v>
      </c>
      <c r="B1295" s="263"/>
      <c r="C1295" s="319">
        <f>IF(G1276&gt;380,H1283*1000*380,H1283*1000*G1276)</f>
        <v>570</v>
      </c>
      <c r="D1295" s="319">
        <f>MAX(B1295:C1295)</f>
        <v>570</v>
      </c>
      <c r="E1295" s="284">
        <f>PI()*(E1288/2)^2*1000/$D1295</f>
        <v>198.41637812146064</v>
      </c>
      <c r="F1295" s="284">
        <f>PI()*(F1288/2)^2*1000/$D1295</f>
        <v>352.74022777148554</v>
      </c>
      <c r="G1295" s="284">
        <f>PI()*(G1288/2)^2*1000/$D1295</f>
        <v>551.15660589294623</v>
      </c>
      <c r="H1295" s="284">
        <f>PI()*(H1288/2)^2*1000/$D1295</f>
        <v>666.89949313046486</v>
      </c>
      <c r="I1295" s="285">
        <f>PI()*(I1288/2)^2*1000/$D1295</f>
        <v>861.18219670772839</v>
      </c>
      <c r="J1295" s="328"/>
      <c r="K1295" s="159"/>
      <c r="L1295" s="895" t="str">
        <f t="shared" si="39"/>
        <v>3-3</v>
      </c>
      <c r="M1295" s="899">
        <f t="shared" si="39"/>
        <v>16</v>
      </c>
      <c r="N1295" s="903">
        <f t="shared" si="39"/>
        <v>200</v>
      </c>
      <c r="O1295" s="899">
        <f t="shared" si="39"/>
        <v>16</v>
      </c>
      <c r="P1295" s="904">
        <f t="shared" si="39"/>
        <v>250</v>
      </c>
      <c r="R1295" s="2334">
        <f t="shared" ref="R1295:S1295" si="41">R308</f>
        <v>16</v>
      </c>
      <c r="S1295" s="892">
        <f t="shared" si="41"/>
        <v>200</v>
      </c>
    </row>
    <row r="1296" spans="1:19" ht="15">
      <c r="A1296" s="29"/>
      <c r="J1296" s="46"/>
      <c r="K1296" s="159"/>
      <c r="L1296" s="895" t="str">
        <f t="shared" si="39"/>
        <v>4-4</v>
      </c>
      <c r="M1296" s="899">
        <f t="shared" si="39"/>
        <v>16</v>
      </c>
      <c r="N1296" s="903">
        <f t="shared" si="39"/>
        <v>200</v>
      </c>
      <c r="O1296" s="899">
        <f t="shared" si="39"/>
        <v>16</v>
      </c>
      <c r="P1296" s="904">
        <f t="shared" si="39"/>
        <v>250</v>
      </c>
      <c r="R1296" s="2334">
        <f t="shared" ref="R1296:S1296" si="42">R309</f>
        <v>16</v>
      </c>
      <c r="S1296" s="892">
        <f t="shared" si="42"/>
        <v>200</v>
      </c>
    </row>
    <row r="1297" spans="1:23">
      <c r="A1297" s="264" t="s">
        <v>440</v>
      </c>
      <c r="B1297" s="406"/>
      <c r="C1297" s="347"/>
      <c r="D1297" s="406"/>
      <c r="E1297" s="406"/>
      <c r="F1297" s="407"/>
      <c r="G1297" s="1551" t="s">
        <v>2095</v>
      </c>
      <c r="H1297" s="2641" t="s">
        <v>1358</v>
      </c>
      <c r="I1297" s="1178" t="s">
        <v>2094</v>
      </c>
      <c r="J1297" s="46"/>
      <c r="K1297" s="159"/>
      <c r="L1297" s="2031" t="str">
        <f t="shared" si="39"/>
        <v>5-5</v>
      </c>
      <c r="M1297" s="2032">
        <f t="shared" si="39"/>
        <v>16</v>
      </c>
      <c r="N1297" s="2033">
        <f t="shared" si="39"/>
        <v>200</v>
      </c>
      <c r="O1297" s="2032">
        <f t="shared" si="39"/>
        <v>16</v>
      </c>
      <c r="P1297" s="2034">
        <f t="shared" si="39"/>
        <v>250</v>
      </c>
      <c r="R1297" s="2338">
        <f t="shared" ref="R1297:S1297" si="43">R310</f>
        <v>16</v>
      </c>
      <c r="S1297" s="2339">
        <f t="shared" si="43"/>
        <v>150</v>
      </c>
    </row>
    <row r="1298" spans="1:23">
      <c r="A1298" s="363" t="s">
        <v>441</v>
      </c>
      <c r="B1298" s="268" t="s">
        <v>136</v>
      </c>
      <c r="C1298" s="409">
        <v>16</v>
      </c>
      <c r="D1298" s="604" t="s">
        <v>481</v>
      </c>
      <c r="E1298" s="271">
        <v>150</v>
      </c>
      <c r="F1298" s="272" t="s">
        <v>482</v>
      </c>
      <c r="G1298" s="2014" t="s">
        <v>2096</v>
      </c>
      <c r="H1298" s="316">
        <f>PI()*(C1298/2)^2*1000/E1298</f>
        <v>1340.4128655316449</v>
      </c>
      <c r="I1298" s="457">
        <f>H1298*$C$18*$C$22*H1276/10^6</f>
        <v>129.64541433074376</v>
      </c>
      <c r="J1298" s="46"/>
      <c r="K1298" s="159"/>
      <c r="L1298" s="46"/>
    </row>
    <row r="1299" spans="1:23">
      <c r="A1299" s="364" t="s">
        <v>442</v>
      </c>
      <c r="B1299" s="278" t="s">
        <v>136</v>
      </c>
      <c r="C1299" s="410">
        <v>16</v>
      </c>
      <c r="D1299" s="280" t="s">
        <v>481</v>
      </c>
      <c r="E1299" s="281">
        <v>200</v>
      </c>
      <c r="F1299" s="282" t="s">
        <v>482</v>
      </c>
      <c r="G1299" s="2639"/>
      <c r="H1299" s="16"/>
      <c r="I1299" s="2666" t="str">
        <f>IF(I1298&gt;=Z26,"o.k","Not o.k")</f>
        <v>o.k</v>
      </c>
      <c r="J1299" s="46"/>
      <c r="K1299" s="159"/>
      <c r="L1299" s="46"/>
    </row>
    <row r="1300" spans="1:23">
      <c r="A1300" s="258" t="s">
        <v>443</v>
      </c>
      <c r="B1300" s="385"/>
      <c r="C1300" s="274"/>
      <c r="D1300" s="408"/>
      <c r="E1300" s="276"/>
      <c r="F1300" s="277"/>
      <c r="G1300" s="2639"/>
      <c r="H1300" s="16"/>
      <c r="I1300" s="58"/>
      <c r="J1300" s="46"/>
      <c r="K1300" s="159"/>
      <c r="L1300" s="46"/>
    </row>
    <row r="1301" spans="1:23">
      <c r="A1301" s="363" t="s">
        <v>441</v>
      </c>
      <c r="B1301" s="268" t="s">
        <v>136</v>
      </c>
      <c r="C1301" s="411">
        <f>C1183</f>
        <v>16</v>
      </c>
      <c r="D1301" s="604" t="s">
        <v>481</v>
      </c>
      <c r="E1301" s="398">
        <f>E1183</f>
        <v>150</v>
      </c>
      <c r="F1301" s="272" t="s">
        <v>482</v>
      </c>
      <c r="G1301" s="2124" t="s">
        <v>2097</v>
      </c>
      <c r="H1301" s="316">
        <f>PI()*(C1301/2)^2*1000/$E1301</f>
        <v>1340.4128655316449</v>
      </c>
      <c r="I1301" s="457">
        <f>H1301*$C$18*$C$22*H1276/10^6</f>
        <v>129.64541433074376</v>
      </c>
      <c r="J1301" s="46"/>
      <c r="K1301" s="159"/>
      <c r="L1301" s="46"/>
    </row>
    <row r="1302" spans="1:23">
      <c r="A1302" s="364" t="s">
        <v>442</v>
      </c>
      <c r="B1302" s="278" t="s">
        <v>136</v>
      </c>
      <c r="C1302" s="410">
        <v>16</v>
      </c>
      <c r="D1302" s="280" t="s">
        <v>481</v>
      </c>
      <c r="E1302" s="281">
        <v>250</v>
      </c>
      <c r="F1302" s="282" t="s">
        <v>482</v>
      </c>
      <c r="G1302" s="2640"/>
      <c r="H1302" s="60"/>
      <c r="I1302" s="465" t="str">
        <f>IF(I1301&gt;=Y26,"o.k","Not o.k")</f>
        <v>o.k</v>
      </c>
      <c r="J1302" s="46"/>
      <c r="K1302" s="159"/>
      <c r="L1302" s="46"/>
    </row>
    <row r="1303" spans="1:23" ht="15">
      <c r="A1303" s="29"/>
      <c r="J1303" s="46"/>
      <c r="K1303" s="159"/>
      <c r="L1303" s="46"/>
    </row>
    <row r="1304" spans="1:23">
      <c r="J1304" s="46"/>
      <c r="K1304" s="159"/>
    </row>
    <row r="1305" spans="1:23">
      <c r="B1305" s="2183" t="s">
        <v>602</v>
      </c>
      <c r="C1305" s="2184"/>
      <c r="D1305" s="2185" t="s">
        <v>1868</v>
      </c>
      <c r="E1305" s="2184"/>
      <c r="F1305" s="2184"/>
      <c r="J1305" s="46"/>
      <c r="K1305" s="159"/>
    </row>
    <row r="1306" spans="1:23">
      <c r="B1306" s="2184" t="s">
        <v>940</v>
      </c>
      <c r="C1306" s="2184"/>
      <c r="D1306" s="2184"/>
      <c r="E1306" s="2184"/>
      <c r="F1306" s="2184"/>
      <c r="G1306" s="126" t="str">
        <f>IF(AND(H1244&lt;=F1243/2,H1254&lt;=F1253/2,H1264&lt;=F1263/2),"For Curtailment follow the Remark","Curtailment not possible")</f>
        <v>For Curtailment follow the Remark</v>
      </c>
      <c r="H1306" s="126"/>
      <c r="I1306" s="126"/>
      <c r="J1306" s="126"/>
      <c r="K1306" s="159"/>
    </row>
    <row r="1307" spans="1:23" ht="12.75" customHeight="1">
      <c r="J1307" s="46"/>
      <c r="K1307" s="159"/>
      <c r="P1307" s="495" t="s">
        <v>689</v>
      </c>
      <c r="Q1307" s="55"/>
      <c r="R1307" s="55"/>
      <c r="S1307" s="55"/>
      <c r="T1307" s="55"/>
      <c r="U1307" s="55"/>
      <c r="V1307" s="55"/>
      <c r="W1307" s="2736" t="s">
        <v>945</v>
      </c>
    </row>
    <row r="1308" spans="1:23" ht="14.25">
      <c r="B1308" s="187" t="s">
        <v>1822</v>
      </c>
      <c r="F1308" s="1995">
        <f>0.5*PI()*(C1301/2)^2*1000/E1301</f>
        <v>670.20643276582246</v>
      </c>
      <c r="G1308" s="187" t="s">
        <v>1348</v>
      </c>
      <c r="J1308" s="46"/>
      <c r="K1308" s="159"/>
      <c r="P1308" s="369" t="s">
        <v>941</v>
      </c>
      <c r="Q1308" s="16"/>
      <c r="R1308" s="16"/>
      <c r="S1308" s="16"/>
      <c r="T1308" s="16"/>
      <c r="U1308" s="16"/>
      <c r="V1308" s="16"/>
      <c r="W1308" s="2735"/>
    </row>
    <row r="1309" spans="1:23" ht="14.25">
      <c r="B1309" s="385" t="s">
        <v>1825</v>
      </c>
      <c r="F1309" s="33">
        <f>F1308*$C$18*$C$22*H1276/10^6</f>
        <v>64.822707165371881</v>
      </c>
      <c r="G1309" s="187" t="s">
        <v>107</v>
      </c>
      <c r="H1309" s="2751" t="str">
        <f>IF(F1309&gt;Y$26,"&gt; Max End Me="&amp;FIXED(Y$26,2)&amp;" kn-m","&lt; Max End Me="&amp;FIXED(Y$26,2)&amp;" kn-m")</f>
        <v>&lt; Max End Me=67.46 kn-m</v>
      </c>
      <c r="I1309" s="2751"/>
      <c r="J1309" s="2751"/>
      <c r="K1309" s="159"/>
      <c r="L1309" s="2742" t="s">
        <v>2116</v>
      </c>
      <c r="M1309" s="2743"/>
      <c r="N1309" s="2744"/>
      <c r="O1309" s="259" t="s">
        <v>707</v>
      </c>
      <c r="P1309" s="369" t="s">
        <v>942</v>
      </c>
      <c r="Q1309" s="16"/>
      <c r="R1309" s="16"/>
      <c r="S1309" s="16"/>
      <c r="T1309" s="16"/>
      <c r="U1309" s="16"/>
      <c r="V1309" s="16"/>
      <c r="W1309" s="2739"/>
    </row>
    <row r="1310" spans="1:23" ht="14.25">
      <c r="B1310" s="187" t="s">
        <v>1823</v>
      </c>
      <c r="J1310" s="46"/>
      <c r="K1310" s="159"/>
      <c r="L1310" s="2745" t="s">
        <v>2117</v>
      </c>
      <c r="M1310" s="2746"/>
      <c r="N1310" s="2747"/>
      <c r="O1310" s="2084"/>
      <c r="P1310" s="424">
        <f>D1242/F1224</f>
        <v>6.2082558139534898</v>
      </c>
      <c r="Q1310" s="434" t="s">
        <v>685</v>
      </c>
      <c r="R1310" s="242">
        <f>D1242*2</f>
        <v>80.086500000000015</v>
      </c>
      <c r="S1310" s="434" t="s">
        <v>686</v>
      </c>
      <c r="T1310" s="242">
        <f>D1242*H1135+F1243</f>
        <v>85.480319904030495</v>
      </c>
      <c r="U1310" s="2737" t="s">
        <v>35</v>
      </c>
      <c r="V1310" s="1048">
        <v>0</v>
      </c>
      <c r="W1310" s="256" t="s">
        <v>491</v>
      </c>
    </row>
    <row r="1311" spans="1:23" ht="14.25">
      <c r="A1311" s="203" t="s">
        <v>707</v>
      </c>
      <c r="B1311" s="187" t="s">
        <v>1826</v>
      </c>
      <c r="J1311" s="46"/>
      <c r="K1311" s="159"/>
      <c r="L1311" s="2748" t="s">
        <v>2118</v>
      </c>
      <c r="M1311" s="2749"/>
      <c r="N1311" s="2750"/>
      <c r="O1311" s="2084"/>
      <c r="P1311" s="424"/>
      <c r="Q1311" s="434"/>
      <c r="R1311" s="242"/>
      <c r="S1311" s="434"/>
      <c r="T1311" s="242"/>
      <c r="U1311" s="2737"/>
      <c r="V1311" s="1048"/>
      <c r="W1311" s="316">
        <f>T1315*10^6/($C$18*$C$22*H1276)</f>
        <v>348.74122486689021</v>
      </c>
    </row>
    <row r="1312" spans="1:23" ht="14.25">
      <c r="B1312" s="33">
        <f>D1242/F1224</f>
        <v>6.2082558139534898</v>
      </c>
      <c r="C1312" s="206" t="s">
        <v>685</v>
      </c>
      <c r="D1312" s="33">
        <f>D1242*2</f>
        <v>80.086500000000015</v>
      </c>
      <c r="E1312" s="206" t="s">
        <v>686</v>
      </c>
      <c r="F1312" s="33">
        <f>D1242*H1135+F1243*2-F1309*2</f>
        <v>23.295762977317224</v>
      </c>
      <c r="G1312" s="2011" t="s">
        <v>35</v>
      </c>
      <c r="H1312" s="18">
        <v>0</v>
      </c>
      <c r="J1312" s="46"/>
      <c r="K1312" s="159"/>
      <c r="P1312" s="424"/>
      <c r="Q1312" s="434"/>
      <c r="R1312" s="242"/>
      <c r="S1312" s="434"/>
      <c r="T1312" s="242"/>
      <c r="U1312" s="2737"/>
      <c r="V1312" s="1048"/>
      <c r="W1312" s="58"/>
    </row>
    <row r="1313" spans="1:23">
      <c r="B1313" s="33"/>
      <c r="C1313" s="206"/>
      <c r="D1313" s="33"/>
      <c r="E1313" s="206"/>
      <c r="F1313" s="33"/>
      <c r="G1313" s="2011"/>
      <c r="H1313" s="18"/>
      <c r="J1313" s="46"/>
      <c r="K1313" s="159"/>
      <c r="P1313" s="2738"/>
      <c r="Q1313" s="16"/>
      <c r="R1313" s="16"/>
      <c r="S1313" s="16"/>
      <c r="T1313" s="16"/>
      <c r="U1313" s="16"/>
      <c r="V1313" s="16"/>
      <c r="W1313" s="58"/>
    </row>
    <row r="1314" spans="1:23">
      <c r="B1314" s="187" t="s">
        <v>691</v>
      </c>
      <c r="C1314" s="1996">
        <f>(-(-D1312)-SQRT(D1312^2-4*B1312*F1312))/(2*B1312)</f>
        <v>0.29775524823144522</v>
      </c>
      <c r="D1314" s="187" t="s">
        <v>688</v>
      </c>
      <c r="G1314" s="187" t="s">
        <v>1827</v>
      </c>
      <c r="J1314" s="46"/>
      <c r="K1314" s="159"/>
      <c r="P1314" s="369" t="s">
        <v>691</v>
      </c>
      <c r="Q1314" s="242">
        <f>(-(-R1310)-SQRT(R1310^2-4*P1310*T1310))/(2*P1310)</f>
        <v>1.1742359846491122</v>
      </c>
      <c r="R1314" s="241" t="s">
        <v>688</v>
      </c>
      <c r="S1314" s="16"/>
      <c r="T1314" s="16"/>
      <c r="U1314" s="241" t="s">
        <v>690</v>
      </c>
      <c r="V1314" s="16"/>
      <c r="W1314" s="58"/>
    </row>
    <row r="1315" spans="1:23" ht="14.25">
      <c r="B1315" s="187" t="s">
        <v>687</v>
      </c>
      <c r="F1315" s="33">
        <f>F1243+C1314^2*D1242/(2*F1224)-D1242*(C1314-H1135/2)</f>
        <v>64.822707165371895</v>
      </c>
      <c r="G1315" s="187" t="s">
        <v>620</v>
      </c>
      <c r="J1315" s="46"/>
      <c r="K1315" s="159"/>
      <c r="P1315" s="369" t="s">
        <v>687</v>
      </c>
      <c r="Q1315" s="16"/>
      <c r="R1315" s="16"/>
      <c r="S1315" s="16"/>
      <c r="T1315" s="242">
        <f>F1243+Q1314^2*D1242/(2*F1224)-D1242*(Q1314-H1135/2)</f>
        <v>33.730428702015224</v>
      </c>
      <c r="U1315" s="241" t="s">
        <v>620</v>
      </c>
      <c r="V1315" s="16"/>
      <c r="W1315" s="58"/>
    </row>
    <row r="1316" spans="1:23">
      <c r="B1316" s="207" t="s">
        <v>2113</v>
      </c>
      <c r="C1316" s="126"/>
      <c r="D1316" s="126"/>
      <c r="E1316" s="126"/>
      <c r="F1316" s="246">
        <f>AA$26</f>
        <v>0</v>
      </c>
      <c r="G1316" s="207" t="s">
        <v>620</v>
      </c>
      <c r="J1316" s="46"/>
      <c r="K1316" s="159"/>
      <c r="P1316" s="371"/>
      <c r="Q1316" s="59"/>
      <c r="R1316" s="59"/>
      <c r="S1316" s="1497" t="s">
        <v>943</v>
      </c>
      <c r="T1316" s="212">
        <f>+F1243/2</f>
        <v>33.730428702015246</v>
      </c>
      <c r="U1316" s="204" t="s">
        <v>620</v>
      </c>
      <c r="V1316" s="1504" t="str">
        <f>IF(T1315=T1316,"O.k","Not O.k")</f>
        <v>O.k</v>
      </c>
      <c r="W1316" s="60"/>
    </row>
    <row r="1317" spans="1:23">
      <c r="B1317" s="187" t="s">
        <v>692</v>
      </c>
      <c r="H1317" s="33">
        <f>MAX(C1314,D1135)+40*C1301/1000</f>
        <v>1.0900000000000001</v>
      </c>
      <c r="I1317" s="187" t="s">
        <v>5</v>
      </c>
      <c r="J1317" s="109"/>
      <c r="K1317" s="159"/>
    </row>
    <row r="1318" spans="1:23">
      <c r="G1318" s="46"/>
      <c r="H1318" s="624"/>
      <c r="I1318" s="46"/>
      <c r="J1318" s="46"/>
      <c r="K1318" s="159"/>
    </row>
    <row r="1319" spans="1:23" ht="12.75" customHeight="1">
      <c r="A1319" s="3085" t="s">
        <v>944</v>
      </c>
      <c r="B1319" s="355" t="s">
        <v>1147</v>
      </c>
      <c r="C1319" s="3138" t="s">
        <v>2115</v>
      </c>
      <c r="D1319" s="3118" t="s">
        <v>946</v>
      </c>
      <c r="E1319" s="3122" t="s">
        <v>937</v>
      </c>
      <c r="F1319" s="3122" t="s">
        <v>938</v>
      </c>
      <c r="G1319" s="3228" t="s">
        <v>947</v>
      </c>
      <c r="H1319" s="3118" t="s">
        <v>2120</v>
      </c>
      <c r="I1319" s="3213" t="s">
        <v>676</v>
      </c>
      <c r="J1319" s="3214"/>
      <c r="K1319" s="159"/>
      <c r="L1319" s="187"/>
      <c r="N1319" s="129"/>
      <c r="O1319" s="385"/>
    </row>
    <row r="1320" spans="1:23">
      <c r="A1320" s="3200"/>
      <c r="B1320" s="365" t="s">
        <v>1149</v>
      </c>
      <c r="C1320" s="3144"/>
      <c r="D1320" s="3092"/>
      <c r="E1320" s="3123"/>
      <c r="F1320" s="3123"/>
      <c r="G1320" s="3231"/>
      <c r="H1320" s="3092"/>
      <c r="I1320" s="960"/>
      <c r="J1320" s="961"/>
      <c r="K1320" s="159"/>
      <c r="L1320" s="187"/>
      <c r="N1320" s="129"/>
      <c r="O1320" s="385"/>
    </row>
    <row r="1321" spans="1:23">
      <c r="A1321" s="3086"/>
      <c r="B1321" s="354" t="s">
        <v>1148</v>
      </c>
      <c r="C1321" s="3144"/>
      <c r="D1321" s="626"/>
      <c r="E1321" s="360"/>
      <c r="F1321" s="360"/>
      <c r="G1321" s="3232"/>
      <c r="H1321" s="3239"/>
      <c r="I1321" s="959"/>
      <c r="J1321" s="961"/>
      <c r="K1321" s="159"/>
      <c r="L1321" s="187"/>
      <c r="N1321" s="129"/>
      <c r="O1321" s="385"/>
    </row>
    <row r="1322" spans="1:23" ht="14.25">
      <c r="A1322" s="2734" t="s">
        <v>5</v>
      </c>
      <c r="B1322" s="256" t="s">
        <v>491</v>
      </c>
      <c r="C1322" s="256" t="s">
        <v>491</v>
      </c>
      <c r="D1322" s="256" t="s">
        <v>491</v>
      </c>
      <c r="E1322" s="256" t="s">
        <v>491</v>
      </c>
      <c r="F1322" s="625" t="s">
        <v>98</v>
      </c>
      <c r="G1322" s="618" t="s">
        <v>5</v>
      </c>
      <c r="H1322" s="625" t="s">
        <v>98</v>
      </c>
      <c r="I1322" s="962"/>
      <c r="J1322" s="963"/>
      <c r="K1322" s="159"/>
      <c r="L1322" s="187"/>
      <c r="N1322" s="129"/>
      <c r="O1322" s="385"/>
    </row>
    <row r="1323" spans="1:23">
      <c r="A1323" s="2740">
        <f>H1317</f>
        <v>1.0900000000000001</v>
      </c>
      <c r="B1323" s="316">
        <f>0.5*PI()*(C1301/2)^2*1000/E1301</f>
        <v>670.20643276582246</v>
      </c>
      <c r="C1323" s="357">
        <f>F1316*10^6/(fs*j*H1276)</f>
        <v>0</v>
      </c>
      <c r="D1323" s="316">
        <f>C1294</f>
        <v>570</v>
      </c>
      <c r="E1323" s="316">
        <f>MAX(B1323:D1323)</f>
        <v>670.20643276582246</v>
      </c>
      <c r="F1323" s="619">
        <f>PI()*(C1301/2)^2*1000/E1323</f>
        <v>300</v>
      </c>
      <c r="G1323" s="620">
        <v>1.25</v>
      </c>
      <c r="H1323" s="621">
        <f>E1301*2</f>
        <v>300</v>
      </c>
      <c r="I1323" s="3215" t="str">
        <f>IF(OR(A1323&gt;F1224-0.5,H1323&gt;F1323),"No curtailment ","Do curtailment")</f>
        <v>Do curtailment</v>
      </c>
      <c r="J1323" s="3216"/>
      <c r="K1323" s="159"/>
      <c r="L1323" s="1997" t="s">
        <v>645</v>
      </c>
      <c r="M1323" s="1998">
        <f>F1224</f>
        <v>6.4499999999999993</v>
      </c>
      <c r="N1323" s="187" t="s">
        <v>5</v>
      </c>
    </row>
    <row r="1324" spans="1:23">
      <c r="J1324" s="46"/>
      <c r="K1324" s="159"/>
    </row>
    <row r="1325" spans="1:23">
      <c r="B1325" s="2183" t="s">
        <v>602</v>
      </c>
      <c r="C1325" s="2184"/>
      <c r="D1325" s="2185" t="s">
        <v>1869</v>
      </c>
      <c r="E1325" s="2184"/>
      <c r="F1325" s="2184"/>
      <c r="J1325" s="46"/>
      <c r="K1325" s="159"/>
    </row>
    <row r="1326" spans="1:23">
      <c r="B1326" s="187"/>
      <c r="G1326" s="126" t="str">
        <f>IF(F1337=0,"No curtailment needed ","For Curtailment follow the Remark")</f>
        <v>For Curtailment follow the Remark</v>
      </c>
      <c r="H1326" s="126"/>
      <c r="I1326" s="126"/>
      <c r="J1326" s="126"/>
      <c r="K1326" s="159"/>
    </row>
    <row r="1327" spans="1:23">
      <c r="K1327" s="159"/>
    </row>
    <row r="1328" spans="1:23">
      <c r="B1328" s="1" t="s">
        <v>657</v>
      </c>
      <c r="K1328" s="159"/>
    </row>
    <row r="1329" spans="1:11">
      <c r="B1329" s="187" t="s">
        <v>1872</v>
      </c>
      <c r="F1329" s="158">
        <f>IF(H1244&lt;0,H1244,0)</f>
        <v>-52.668892595969538</v>
      </c>
      <c r="G1329" s="187" t="s">
        <v>107</v>
      </c>
      <c r="K1329" s="159"/>
    </row>
    <row r="1330" spans="1:11">
      <c r="B1330" s="187" t="s">
        <v>1873</v>
      </c>
      <c r="C1330" s="46"/>
      <c r="D1330" s="46"/>
      <c r="F1330" s="33">
        <f>F1329/2</f>
        <v>-26.334446297984769</v>
      </c>
      <c r="K1330" s="159"/>
    </row>
    <row r="1331" spans="1:11" ht="14.25">
      <c r="B1331" s="187" t="s">
        <v>1826</v>
      </c>
      <c r="K1331" s="159"/>
    </row>
    <row r="1332" spans="1:11" ht="14.25">
      <c r="B1332" s="33">
        <f>D1242/F1224</f>
        <v>6.2082558139534898</v>
      </c>
      <c r="C1332" s="206" t="s">
        <v>685</v>
      </c>
      <c r="D1332" s="33">
        <f>D1242*2</f>
        <v>80.086500000000015</v>
      </c>
      <c r="E1332" s="206" t="s">
        <v>686</v>
      </c>
      <c r="F1332" s="33">
        <f>D1242*D1135+F1243*2-F1330*2</f>
        <v>205.61006990403052</v>
      </c>
      <c r="G1332" s="2754" t="s">
        <v>35</v>
      </c>
      <c r="H1332" s="18">
        <v>0</v>
      </c>
      <c r="K1332" s="159"/>
    </row>
    <row r="1333" spans="1:11">
      <c r="B1333" s="187" t="s">
        <v>691</v>
      </c>
      <c r="C1333" s="1996">
        <f>(-(-D1332)-SQRT(D1332^2-4*B1332*F1332))/(2*B1332)</f>
        <v>3.537323233575115</v>
      </c>
      <c r="D1333" s="187" t="s">
        <v>688</v>
      </c>
      <c r="F1333" s="187" t="s">
        <v>1827</v>
      </c>
      <c r="K1333" s="159"/>
    </row>
    <row r="1334" spans="1:11" ht="14.25">
      <c r="B1334" s="187" t="s">
        <v>687</v>
      </c>
      <c r="F1334" s="33">
        <f>F1243+C1333^2*D1242/(2*F1224)-D1242*(C1333-D1135/2)</f>
        <v>-26.334446297984783</v>
      </c>
      <c r="G1334" s="187" t="s">
        <v>620</v>
      </c>
      <c r="K1334" s="159"/>
    </row>
    <row r="1335" spans="1:11">
      <c r="K1335" s="159"/>
    </row>
    <row r="1336" spans="1:11">
      <c r="B1336" s="1" t="s">
        <v>661</v>
      </c>
      <c r="K1336" s="159"/>
    </row>
    <row r="1337" spans="1:11">
      <c r="B1337" s="187" t="s">
        <v>1872</v>
      </c>
      <c r="F1337" s="158">
        <f>IF(H1264&lt;0,H1264,0)</f>
        <v>-87.68429001044251</v>
      </c>
      <c r="G1337" s="187" t="s">
        <v>107</v>
      </c>
      <c r="J1337" s="46"/>
      <c r="K1337" s="159"/>
    </row>
    <row r="1338" spans="1:11">
      <c r="B1338" s="187" t="s">
        <v>1873</v>
      </c>
      <c r="F1338" s="33">
        <f>F1337/2</f>
        <v>-43.842145005221255</v>
      </c>
      <c r="G1338" s="187" t="s">
        <v>107</v>
      </c>
      <c r="J1338" s="46"/>
      <c r="K1338" s="159"/>
    </row>
    <row r="1339" spans="1:11" ht="14.25">
      <c r="B1339" s="187" t="s">
        <v>1823</v>
      </c>
      <c r="J1339" s="46"/>
      <c r="K1339" s="159"/>
    </row>
    <row r="1340" spans="1:11" ht="14.25">
      <c r="A1340" s="203" t="s">
        <v>707</v>
      </c>
      <c r="B1340" s="187" t="s">
        <v>1826</v>
      </c>
      <c r="J1340" s="46"/>
      <c r="K1340" s="159"/>
    </row>
    <row r="1341" spans="1:11" ht="14.25">
      <c r="B1341" s="33">
        <f>D1262/F1224</f>
        <v>6.2082558139534898</v>
      </c>
      <c r="C1341" s="206" t="s">
        <v>685</v>
      </c>
      <c r="D1341" s="33">
        <f>D1262*2</f>
        <v>80.086500000000015</v>
      </c>
      <c r="E1341" s="206" t="s">
        <v>686</v>
      </c>
      <c r="F1341" s="33">
        <f>D1262*H1135+F1263*2-F1338*2</f>
        <v>170.59467248955755</v>
      </c>
      <c r="G1341" s="2175" t="s">
        <v>35</v>
      </c>
      <c r="H1341" s="18">
        <v>0</v>
      </c>
      <c r="J1341" s="46"/>
      <c r="K1341" s="159"/>
    </row>
    <row r="1342" spans="1:11">
      <c r="B1342" s="33"/>
      <c r="C1342" s="206"/>
      <c r="D1342" s="33"/>
      <c r="E1342" s="206"/>
      <c r="F1342" s="33"/>
      <c r="G1342" s="2175"/>
      <c r="H1342" s="18"/>
      <c r="J1342" s="46"/>
      <c r="K1342" s="159"/>
    </row>
    <row r="1343" spans="1:11">
      <c r="B1343" s="187" t="s">
        <v>691</v>
      </c>
      <c r="C1343" s="1996">
        <f>(-(-D1341)-SQRT(D1341^2-4*B1341*F1341))/(2*B1341)</f>
        <v>2.6918328425422189</v>
      </c>
      <c r="D1343" s="187" t="s">
        <v>688</v>
      </c>
      <c r="G1343" s="187" t="s">
        <v>1827</v>
      </c>
      <c r="J1343" s="46"/>
      <c r="K1343" s="159"/>
    </row>
    <row r="1344" spans="1:11" ht="14.25">
      <c r="B1344" s="187" t="s">
        <v>687</v>
      </c>
      <c r="F1344" s="33">
        <f>F1263+C1343^2*D1262/(2*F1224)-D1262*(C1343-H1135/2)</f>
        <v>-43.842145005221269</v>
      </c>
      <c r="G1344" s="187" t="s">
        <v>620</v>
      </c>
      <c r="J1344" s="46"/>
      <c r="K1344" s="159"/>
    </row>
    <row r="1345" spans="1:12">
      <c r="B1345" s="187"/>
      <c r="F1345" s="33"/>
      <c r="G1345" s="187"/>
      <c r="J1345" s="46"/>
      <c r="K1345" s="159"/>
    </row>
    <row r="1346" spans="1:12">
      <c r="B1346" s="207" t="s">
        <v>2119</v>
      </c>
      <c r="C1346" s="126"/>
      <c r="D1346" s="126"/>
      <c r="E1346" s="126"/>
      <c r="F1346" s="126"/>
      <c r="H1346" s="246">
        <f>Z$26</f>
        <v>87.68429001044251</v>
      </c>
      <c r="I1346" s="207" t="s">
        <v>620</v>
      </c>
      <c r="K1346" s="159"/>
    </row>
    <row r="1347" spans="1:12">
      <c r="B1347" t="s">
        <v>2127</v>
      </c>
      <c r="H1347" s="33">
        <f>AF26</f>
        <v>2.6918328425422189</v>
      </c>
      <c r="K1347" s="159"/>
    </row>
    <row r="1348" spans="1:12">
      <c r="B1348" s="187" t="s">
        <v>692</v>
      </c>
      <c r="H1348" s="33">
        <f>H1347-40*C1298/1000</f>
        <v>2.0518328425422188</v>
      </c>
      <c r="I1348" s="187" t="s">
        <v>5</v>
      </c>
      <c r="J1348" s="109"/>
      <c r="K1348" s="159"/>
    </row>
    <row r="1349" spans="1:12">
      <c r="B1349" s="187" t="s">
        <v>1876</v>
      </c>
      <c r="H1349" s="33">
        <f>IF(H1348&lt;D1135,0,H1348-D1135)</f>
        <v>1.6018328425422188</v>
      </c>
      <c r="I1349" s="187" t="s">
        <v>5</v>
      </c>
      <c r="J1349" s="109"/>
      <c r="K1349" s="159"/>
    </row>
    <row r="1350" spans="1:12">
      <c r="B1350" s="187" t="s">
        <v>2122</v>
      </c>
      <c r="H1350" s="33">
        <f>F1135</f>
        <v>12</v>
      </c>
      <c r="I1350" s="187" t="s">
        <v>5</v>
      </c>
      <c r="J1350" s="109"/>
      <c r="K1350" s="159"/>
    </row>
    <row r="1351" spans="1:12">
      <c r="B1351" s="187" t="s">
        <v>2121</v>
      </c>
      <c r="H1351" s="33">
        <f>F1135-G1357*2</f>
        <v>10</v>
      </c>
      <c r="I1351" s="187" t="s">
        <v>5</v>
      </c>
      <c r="J1351" s="109"/>
      <c r="K1351" s="159"/>
    </row>
    <row r="1352" spans="1:12">
      <c r="J1352" s="46"/>
      <c r="K1352" s="159"/>
    </row>
    <row r="1353" spans="1:12" ht="12.75" customHeight="1">
      <c r="A1353" s="3085" t="s">
        <v>1875</v>
      </c>
      <c r="B1353" s="3118" t="s">
        <v>945</v>
      </c>
      <c r="C1353" s="355" t="s">
        <v>1147</v>
      </c>
      <c r="D1353" s="3118" t="s">
        <v>946</v>
      </c>
      <c r="E1353" s="3122" t="s">
        <v>937</v>
      </c>
      <c r="F1353" s="3122" t="s">
        <v>938</v>
      </c>
      <c r="G1353" s="3228" t="s">
        <v>1877</v>
      </c>
      <c r="H1353" s="3118" t="s">
        <v>2120</v>
      </c>
      <c r="I1353" s="3213" t="s">
        <v>676</v>
      </c>
      <c r="J1353" s="3214"/>
      <c r="K1353" s="159"/>
      <c r="L1353" s="46"/>
    </row>
    <row r="1354" spans="1:12">
      <c r="A1354" s="3202"/>
      <c r="B1354" s="3092"/>
      <c r="C1354" s="365" t="s">
        <v>1149</v>
      </c>
      <c r="D1354" s="3092"/>
      <c r="E1354" s="3123"/>
      <c r="F1354" s="3123"/>
      <c r="G1354" s="3231"/>
      <c r="H1354" s="3092"/>
      <c r="I1354" s="960"/>
      <c r="J1354" s="961"/>
      <c r="K1354" s="159"/>
    </row>
    <row r="1355" spans="1:12">
      <c r="A1355" s="3203"/>
      <c r="B1355" s="2177"/>
      <c r="C1355" s="354" t="s">
        <v>1148</v>
      </c>
      <c r="D1355" s="2178"/>
      <c r="E1355" s="360"/>
      <c r="F1355" s="360"/>
      <c r="G1355" s="3232"/>
      <c r="H1355" s="3239"/>
      <c r="I1355" s="959"/>
      <c r="J1355" s="961"/>
      <c r="K1355" s="159"/>
    </row>
    <row r="1356" spans="1:12" ht="14.25">
      <c r="A1356" s="2173" t="s">
        <v>5</v>
      </c>
      <c r="B1356" s="256" t="s">
        <v>491</v>
      </c>
      <c r="C1356" s="256" t="s">
        <v>491</v>
      </c>
      <c r="D1356" s="256" t="s">
        <v>491</v>
      </c>
      <c r="E1356" s="256" t="s">
        <v>491</v>
      </c>
      <c r="F1356" s="2174" t="s">
        <v>98</v>
      </c>
      <c r="G1356" s="618" t="s">
        <v>5</v>
      </c>
      <c r="H1356" s="2174" t="s">
        <v>98</v>
      </c>
      <c r="I1356" s="962"/>
      <c r="J1356" s="963"/>
      <c r="K1356" s="159"/>
    </row>
    <row r="1357" spans="1:12">
      <c r="A1357" s="455">
        <f>H1349</f>
        <v>1.6018328425422188</v>
      </c>
      <c r="B1357" s="316">
        <f>0.5*ABS(H1346)*10^6/C18/C22/H1276</f>
        <v>453.28695597038768</v>
      </c>
      <c r="C1357" s="316">
        <f>0.5*PI()*(C1298/2)^2*1000/E1298</f>
        <v>670.20643276582246</v>
      </c>
      <c r="D1357" s="316">
        <f>C1291</f>
        <v>950</v>
      </c>
      <c r="E1357" s="316">
        <f>MAX(B1357:D1357)</f>
        <v>950</v>
      </c>
      <c r="F1357" s="619">
        <f>PI()*(C1298/2)^2*1000/E1357</f>
        <v>211.6441366628913</v>
      </c>
      <c r="G1357" s="620">
        <v>1</v>
      </c>
      <c r="H1357" s="621">
        <f>IF(G1357="","",E1298*2)</f>
        <v>300</v>
      </c>
      <c r="I1357" s="3215" t="str">
        <f>IF(OR(H1357&gt;F1357,H1346=0),"No curtailment ","Do curtailment")</f>
        <v xml:space="preserve">No curtailment </v>
      </c>
      <c r="J1357" s="3216"/>
      <c r="K1357" s="159"/>
    </row>
    <row r="1358" spans="1:12">
      <c r="J1358" s="46"/>
      <c r="K1358" s="159"/>
    </row>
    <row r="1359" spans="1:12">
      <c r="B1359" s="187"/>
      <c r="J1359" s="46"/>
      <c r="K1359" s="159"/>
    </row>
    <row r="1360" spans="1:12">
      <c r="B1360" s="187"/>
      <c r="J1360" s="46"/>
      <c r="K1360" s="159"/>
    </row>
    <row r="1361" spans="1:13">
      <c r="A1361" s="159"/>
      <c r="B1361" s="159"/>
      <c r="C1361" s="159"/>
      <c r="D1361" s="159"/>
      <c r="E1361" s="159"/>
      <c r="F1361" s="159"/>
      <c r="G1361" s="159"/>
      <c r="H1361" s="159"/>
      <c r="I1361" s="159"/>
      <c r="J1361" s="159"/>
      <c r="K1361" s="159"/>
    </row>
    <row r="1362" spans="1:13">
      <c r="A1362" s="392" t="s">
        <v>1831</v>
      </c>
      <c r="B1362" s="174"/>
      <c r="C1362" s="174"/>
      <c r="D1362" s="174"/>
      <c r="E1362" s="174"/>
      <c r="J1362" s="46"/>
      <c r="K1362" s="159"/>
    </row>
    <row r="1363" spans="1:13">
      <c r="J1363" s="46"/>
      <c r="K1363" s="159"/>
    </row>
    <row r="1364" spans="1:13">
      <c r="A1364" s="413"/>
      <c r="B1364" s="643" t="s">
        <v>876</v>
      </c>
      <c r="C1364" s="644" t="str">
        <f>C115</f>
        <v>1-1</v>
      </c>
      <c r="D1364" s="643" t="s">
        <v>876</v>
      </c>
      <c r="E1364" s="650" t="str">
        <f>C364</f>
        <v>2-2</v>
      </c>
      <c r="F1364" s="643" t="s">
        <v>876</v>
      </c>
      <c r="G1364" s="645" t="str">
        <f>C613</f>
        <v>3-3</v>
      </c>
      <c r="H1364" s="643" t="s">
        <v>876</v>
      </c>
      <c r="I1364" s="645" t="str">
        <f>C860</f>
        <v>4-4</v>
      </c>
      <c r="J1364" s="815"/>
      <c r="K1364" s="159"/>
      <c r="L1364" s="643" t="s">
        <v>950</v>
      </c>
      <c r="M1364" s="641" t="str">
        <f>C1108</f>
        <v>5-5</v>
      </c>
    </row>
    <row r="1365" spans="1:13">
      <c r="A1365" s="1292" t="s">
        <v>1884</v>
      </c>
      <c r="B1365" s="2224">
        <f>H27</f>
        <v>2.7</v>
      </c>
      <c r="C1365" s="644" t="s">
        <v>5</v>
      </c>
      <c r="D1365" s="2224">
        <f>G34</f>
        <v>5.8500000000000005</v>
      </c>
      <c r="E1365" s="650" t="s">
        <v>5</v>
      </c>
      <c r="F1365" s="2224">
        <f>E62</f>
        <v>5.8500000000000005</v>
      </c>
      <c r="G1365" s="2225" t="s">
        <v>5</v>
      </c>
      <c r="H1365" s="2224">
        <f>C62</f>
        <v>3.2999999999999972</v>
      </c>
      <c r="I1365" s="645" t="s">
        <v>5</v>
      </c>
      <c r="J1365" s="815"/>
      <c r="K1365" s="159"/>
      <c r="L1365" s="643"/>
      <c r="M1365" s="641"/>
    </row>
    <row r="1366" spans="1:13">
      <c r="A1366" s="93"/>
      <c r="B1366" s="256" t="s">
        <v>709</v>
      </c>
      <c r="C1366" s="256" t="s">
        <v>710</v>
      </c>
      <c r="D1366" s="256" t="s">
        <v>709</v>
      </c>
      <c r="E1366" s="256" t="s">
        <v>710</v>
      </c>
      <c r="F1366" s="256" t="s">
        <v>709</v>
      </c>
      <c r="G1366" s="256" t="s">
        <v>710</v>
      </c>
      <c r="H1366" s="256" t="s">
        <v>709</v>
      </c>
      <c r="I1366" s="256" t="s">
        <v>710</v>
      </c>
      <c r="J1366" s="408"/>
      <c r="K1366" s="159"/>
      <c r="L1366" s="820" t="s">
        <v>709</v>
      </c>
      <c r="M1366" s="821" t="s">
        <v>710</v>
      </c>
    </row>
    <row r="1367" spans="1:13">
      <c r="A1367" s="258" t="s">
        <v>492</v>
      </c>
      <c r="B1367" s="2012"/>
      <c r="C1367" s="516"/>
      <c r="D1367" s="347"/>
      <c r="E1367" s="347"/>
      <c r="F1367" s="2012"/>
      <c r="G1367" s="516"/>
      <c r="H1367" s="2012"/>
      <c r="I1367" s="516"/>
      <c r="J1367" s="408"/>
      <c r="K1367" s="159"/>
      <c r="L1367" s="2012"/>
      <c r="M1367" s="516"/>
    </row>
    <row r="1368" spans="1:13">
      <c r="A1368" s="259" t="s">
        <v>111</v>
      </c>
      <c r="B1368" s="564">
        <f>C190</f>
        <v>25</v>
      </c>
      <c r="C1368" s="593">
        <f>E190</f>
        <v>100</v>
      </c>
      <c r="D1368" s="2010">
        <f>C439</f>
        <v>25</v>
      </c>
      <c r="E1368" s="2010">
        <f>E439</f>
        <v>100</v>
      </c>
      <c r="F1368" s="348">
        <f>C688</f>
        <v>20</v>
      </c>
      <c r="G1368" s="370">
        <f>E688</f>
        <v>100</v>
      </c>
      <c r="H1368" s="1725">
        <f>C935</f>
        <v>16</v>
      </c>
      <c r="I1368" s="147">
        <f>E935</f>
        <v>150</v>
      </c>
      <c r="J1368" s="612"/>
      <c r="K1368" s="159"/>
      <c r="L1368" s="1725">
        <f>C1183</f>
        <v>16</v>
      </c>
      <c r="M1368" s="350">
        <f>E1183</f>
        <v>150</v>
      </c>
    </row>
    <row r="1369" spans="1:13">
      <c r="A1369" s="262" t="s">
        <v>110</v>
      </c>
      <c r="B1369" s="569">
        <f>C191</f>
        <v>16</v>
      </c>
      <c r="C1369" s="2036">
        <f>E191</f>
        <v>200</v>
      </c>
      <c r="D1369" s="2009">
        <f>C440</f>
        <v>16</v>
      </c>
      <c r="E1369" s="2009">
        <f>E440</f>
        <v>200</v>
      </c>
      <c r="F1369" s="351">
        <f>C689</f>
        <v>16</v>
      </c>
      <c r="G1369" s="373">
        <f>E689</f>
        <v>200</v>
      </c>
      <c r="H1369" s="156">
        <f>C936</f>
        <v>16</v>
      </c>
      <c r="I1369" s="95">
        <f>E936</f>
        <v>200</v>
      </c>
      <c r="J1369" s="612"/>
      <c r="K1369" s="159"/>
      <c r="L1369" s="156">
        <f>C1184</f>
        <v>16</v>
      </c>
      <c r="M1369" s="311">
        <f>E1184</f>
        <v>200</v>
      </c>
    </row>
    <row r="1370" spans="1:13" ht="15">
      <c r="A1370" s="321" t="s">
        <v>493</v>
      </c>
      <c r="B1370" s="415"/>
      <c r="C1370" s="416"/>
      <c r="D1370" s="604"/>
      <c r="E1370" s="604"/>
      <c r="F1370" s="348"/>
      <c r="G1370" s="380"/>
      <c r="H1370" s="367"/>
      <c r="I1370" s="147"/>
      <c r="J1370" s="612"/>
      <c r="K1370" s="159"/>
      <c r="L1370" s="367"/>
      <c r="M1370" s="350"/>
    </row>
    <row r="1371" spans="1:13">
      <c r="A1371" s="259" t="s">
        <v>111</v>
      </c>
      <c r="B1371" s="564">
        <f>C193</f>
        <v>16</v>
      </c>
      <c r="C1371" s="593">
        <f>E193</f>
        <v>200</v>
      </c>
      <c r="D1371" s="604">
        <f>C442</f>
        <v>16</v>
      </c>
      <c r="E1371" s="604">
        <f>E442</f>
        <v>200</v>
      </c>
      <c r="F1371" s="348">
        <f>C691</f>
        <v>16</v>
      </c>
      <c r="G1371" s="370">
        <f>E691</f>
        <v>200</v>
      </c>
      <c r="H1371" s="367">
        <f>C938</f>
        <v>16</v>
      </c>
      <c r="I1371" s="147">
        <f>E938</f>
        <v>200</v>
      </c>
      <c r="J1371" s="612"/>
      <c r="K1371" s="159"/>
      <c r="L1371" s="367">
        <f>C1186</f>
        <v>16</v>
      </c>
      <c r="M1371" s="350">
        <f>E1186</f>
        <v>200</v>
      </c>
    </row>
    <row r="1372" spans="1:13">
      <c r="A1372" s="262" t="s">
        <v>110</v>
      </c>
      <c r="B1372" s="569">
        <f>C194</f>
        <v>16</v>
      </c>
      <c r="C1372" s="2036">
        <f>E194</f>
        <v>200</v>
      </c>
      <c r="D1372" s="280">
        <f>C443</f>
        <v>16</v>
      </c>
      <c r="E1372" s="280">
        <f>E443</f>
        <v>200</v>
      </c>
      <c r="F1372" s="348">
        <f>C692</f>
        <v>16</v>
      </c>
      <c r="G1372" s="370">
        <f>E692</f>
        <v>200</v>
      </c>
      <c r="H1372" s="156">
        <f>C939</f>
        <v>16</v>
      </c>
      <c r="I1372" s="95">
        <f>E939</f>
        <v>200</v>
      </c>
      <c r="J1372" s="612"/>
      <c r="K1372" s="159"/>
      <c r="L1372" s="156">
        <f>C1187</f>
        <v>16</v>
      </c>
      <c r="M1372" s="311">
        <f>E1187</f>
        <v>200</v>
      </c>
    </row>
    <row r="1373" spans="1:13">
      <c r="A1373" s="419"/>
      <c r="B1373" s="426"/>
      <c r="C1373" s="427"/>
      <c r="D1373" s="347"/>
      <c r="E1373" s="347"/>
      <c r="F1373" s="374"/>
      <c r="G1373" s="516"/>
      <c r="H1373" s="248"/>
      <c r="I1373" s="375"/>
      <c r="J1373" s="612"/>
      <c r="K1373" s="159"/>
      <c r="L1373" s="248"/>
      <c r="M1373" s="420"/>
    </row>
    <row r="1374" spans="1:13">
      <c r="A1374" s="421" t="s">
        <v>715</v>
      </c>
      <c r="B1374" s="823"/>
      <c r="C1374" s="58"/>
      <c r="D1374" s="16"/>
      <c r="E1374" s="16"/>
      <c r="F1374" s="823"/>
      <c r="G1374" s="58"/>
      <c r="H1374" s="367"/>
      <c r="I1374" s="147"/>
      <c r="J1374" s="275"/>
      <c r="K1374" s="159"/>
      <c r="L1374" s="367"/>
      <c r="M1374" s="147"/>
    </row>
    <row r="1375" spans="1:13">
      <c r="A1375" s="421" t="s">
        <v>713</v>
      </c>
      <c r="B1375" s="424">
        <f>D210</f>
        <v>2.8</v>
      </c>
      <c r="C1375" s="58" t="s">
        <v>5</v>
      </c>
      <c r="D1375" s="242">
        <f>D459</f>
        <v>2.8</v>
      </c>
      <c r="E1375" s="16" t="s">
        <v>5</v>
      </c>
      <c r="F1375" s="424">
        <f>D708</f>
        <v>2</v>
      </c>
      <c r="G1375" s="58" t="s">
        <v>5</v>
      </c>
      <c r="H1375" s="653">
        <f>D955</f>
        <v>2</v>
      </c>
      <c r="I1375" s="428" t="s">
        <v>5</v>
      </c>
      <c r="J1375" s="788"/>
      <c r="K1375" s="159"/>
      <c r="L1375" s="653">
        <f>D1203</f>
        <v>2</v>
      </c>
      <c r="M1375" s="428" t="s">
        <v>5</v>
      </c>
    </row>
    <row r="1376" spans="1:13">
      <c r="A1376" s="422" t="s">
        <v>714</v>
      </c>
      <c r="B1376" s="425">
        <f>D211</f>
        <v>4.5</v>
      </c>
      <c r="C1376" s="60" t="s">
        <v>5</v>
      </c>
      <c r="D1376" s="212">
        <f>D460</f>
        <v>4.5</v>
      </c>
      <c r="E1376" s="59" t="s">
        <v>5</v>
      </c>
      <c r="F1376" s="425">
        <f>D709</f>
        <v>3</v>
      </c>
      <c r="G1376" s="60" t="s">
        <v>5</v>
      </c>
      <c r="H1376" s="654">
        <f>D956</f>
        <v>0</v>
      </c>
      <c r="I1376" s="655" t="s">
        <v>5</v>
      </c>
      <c r="J1376" s="275"/>
      <c r="K1376" s="159"/>
      <c r="L1376" s="654">
        <f>D1204</f>
        <v>0</v>
      </c>
      <c r="M1376" s="655" t="s">
        <v>5</v>
      </c>
    </row>
    <row r="1377" spans="1:13">
      <c r="A1377" s="418"/>
      <c r="B1377" s="33"/>
      <c r="D1377" s="33"/>
      <c r="F1377" s="33"/>
      <c r="H1377" s="10"/>
      <c r="I1377" s="2"/>
      <c r="J1377" s="90"/>
      <c r="K1377" s="159"/>
      <c r="L1377" s="10"/>
      <c r="M1377" s="2"/>
    </row>
    <row r="1378" spans="1:13">
      <c r="A1378" s="392" t="s">
        <v>1832</v>
      </c>
      <c r="B1378" s="174"/>
      <c r="C1378" s="174"/>
      <c r="D1378" s="174"/>
      <c r="H1378" s="2"/>
      <c r="I1378" s="2"/>
      <c r="J1378" s="90"/>
      <c r="K1378" s="159"/>
      <c r="L1378" s="2"/>
      <c r="M1378" s="2"/>
    </row>
    <row r="1379" spans="1:13">
      <c r="J1379" s="46"/>
      <c r="K1379" s="159"/>
    </row>
    <row r="1380" spans="1:13">
      <c r="A1380" s="413"/>
      <c r="B1380" s="643" t="s">
        <v>876</v>
      </c>
      <c r="C1380" s="644" t="str">
        <f>C115</f>
        <v>1-1</v>
      </c>
      <c r="D1380" s="643" t="s">
        <v>876</v>
      </c>
      <c r="E1380" s="650" t="str">
        <f>C364</f>
        <v>2-2</v>
      </c>
      <c r="F1380" s="643" t="s">
        <v>876</v>
      </c>
      <c r="G1380" s="645" t="str">
        <f>+G1364</f>
        <v>3-3</v>
      </c>
      <c r="H1380" s="643" t="s">
        <v>876</v>
      </c>
      <c r="I1380" s="642" t="str">
        <f>C860</f>
        <v>4-4</v>
      </c>
      <c r="J1380" s="815"/>
      <c r="K1380" s="159"/>
      <c r="L1380" s="643" t="s">
        <v>950</v>
      </c>
      <c r="M1380" s="641" t="str">
        <f>C1108</f>
        <v>5-5</v>
      </c>
    </row>
    <row r="1381" spans="1:13">
      <c r="B1381" s="600" t="s">
        <v>709</v>
      </c>
      <c r="C1381" s="601" t="s">
        <v>710</v>
      </c>
      <c r="D1381" s="602" t="s">
        <v>709</v>
      </c>
      <c r="E1381" s="602" t="s">
        <v>710</v>
      </c>
      <c r="F1381" s="820" t="s">
        <v>709</v>
      </c>
      <c r="G1381" s="821" t="s">
        <v>710</v>
      </c>
      <c r="H1381" s="600" t="s">
        <v>709</v>
      </c>
      <c r="I1381" s="601" t="s">
        <v>710</v>
      </c>
      <c r="J1381" s="408"/>
      <c r="K1381" s="159"/>
      <c r="L1381" s="820" t="s">
        <v>709</v>
      </c>
      <c r="M1381" s="821" t="s">
        <v>710</v>
      </c>
    </row>
    <row r="1382" spans="1:13">
      <c r="A1382" s="264" t="s">
        <v>440</v>
      </c>
      <c r="B1382" s="2012"/>
      <c r="C1382" s="516"/>
      <c r="D1382" s="347"/>
      <c r="E1382" s="347"/>
      <c r="F1382" s="2012"/>
      <c r="G1382" s="516"/>
      <c r="H1382" s="2012"/>
      <c r="I1382" s="516"/>
      <c r="J1382" s="408"/>
      <c r="K1382" s="159"/>
      <c r="L1382" s="2012"/>
      <c r="M1382" s="516"/>
    </row>
    <row r="1383" spans="1:13">
      <c r="A1383" s="363" t="s">
        <v>441</v>
      </c>
      <c r="B1383" s="1725">
        <f>C305</f>
        <v>16</v>
      </c>
      <c r="C1383" s="147">
        <f>E305</f>
        <v>200</v>
      </c>
      <c r="D1383" s="1726">
        <f>C553</f>
        <v>16</v>
      </c>
      <c r="E1383" s="1726">
        <f>E553</f>
        <v>200</v>
      </c>
      <c r="F1383" s="1725">
        <f>C802</f>
        <v>16</v>
      </c>
      <c r="G1383" s="350">
        <f>+E802</f>
        <v>200</v>
      </c>
      <c r="H1383" s="1725">
        <f>C1049</f>
        <v>16</v>
      </c>
      <c r="I1383" s="147">
        <f>E1049</f>
        <v>200</v>
      </c>
      <c r="J1383" s="612"/>
      <c r="K1383" s="159"/>
      <c r="L1383" s="1725">
        <f>C1298</f>
        <v>16</v>
      </c>
      <c r="M1383" s="350">
        <f>E1298</f>
        <v>150</v>
      </c>
    </row>
    <row r="1384" spans="1:13">
      <c r="A1384" s="364" t="s">
        <v>442</v>
      </c>
      <c r="B1384" s="156">
        <f>C306</f>
        <v>16</v>
      </c>
      <c r="C1384" s="95">
        <f>E306</f>
        <v>200</v>
      </c>
      <c r="D1384" s="77">
        <f>C554</f>
        <v>16</v>
      </c>
      <c r="E1384" s="77">
        <f>E554</f>
        <v>200</v>
      </c>
      <c r="F1384" s="156">
        <f>C803</f>
        <v>16</v>
      </c>
      <c r="G1384" s="311">
        <f>+E803</f>
        <v>200</v>
      </c>
      <c r="H1384" s="156">
        <f>C1050</f>
        <v>16</v>
      </c>
      <c r="I1384" s="95">
        <f>E1050</f>
        <v>200</v>
      </c>
      <c r="J1384" s="612"/>
      <c r="K1384" s="159"/>
      <c r="L1384" s="156">
        <f>C1299</f>
        <v>16</v>
      </c>
      <c r="M1384" s="311">
        <f>E1299</f>
        <v>200</v>
      </c>
    </row>
    <row r="1385" spans="1:13">
      <c r="A1385" s="412" t="s">
        <v>443</v>
      </c>
      <c r="B1385" s="367"/>
      <c r="C1385" s="147"/>
      <c r="D1385" s="75"/>
      <c r="E1385" s="75"/>
      <c r="F1385" s="367"/>
      <c r="G1385" s="147"/>
      <c r="H1385" s="367"/>
      <c r="I1385" s="147"/>
      <c r="J1385" s="612"/>
      <c r="K1385" s="159"/>
      <c r="L1385" s="367"/>
      <c r="M1385" s="350"/>
    </row>
    <row r="1386" spans="1:13">
      <c r="A1386" s="363" t="s">
        <v>441</v>
      </c>
      <c r="B1386" s="367">
        <f>C308</f>
        <v>25</v>
      </c>
      <c r="C1386" s="147">
        <f>E308</f>
        <v>100</v>
      </c>
      <c r="D1386" s="75">
        <f>C556</f>
        <v>25</v>
      </c>
      <c r="E1386" s="75">
        <f>E556</f>
        <v>100</v>
      </c>
      <c r="F1386" s="367">
        <f>+C805</f>
        <v>20</v>
      </c>
      <c r="G1386" s="350">
        <f>+E805</f>
        <v>100</v>
      </c>
      <c r="H1386" s="367">
        <f>C1052</f>
        <v>16</v>
      </c>
      <c r="I1386" s="147">
        <f>E1052</f>
        <v>150</v>
      </c>
      <c r="J1386" s="612"/>
      <c r="K1386" s="159"/>
      <c r="L1386" s="367">
        <f>C1301</f>
        <v>16</v>
      </c>
      <c r="M1386" s="350">
        <f>E1301</f>
        <v>150</v>
      </c>
    </row>
    <row r="1387" spans="1:13">
      <c r="A1387" s="364" t="s">
        <v>442</v>
      </c>
      <c r="B1387" s="156">
        <f>C309</f>
        <v>16</v>
      </c>
      <c r="C1387" s="95">
        <f>E309</f>
        <v>250</v>
      </c>
      <c r="D1387" s="77">
        <f>C557</f>
        <v>16</v>
      </c>
      <c r="E1387" s="77">
        <f>E557</f>
        <v>250</v>
      </c>
      <c r="F1387" s="367">
        <f>+C806</f>
        <v>16</v>
      </c>
      <c r="G1387" s="350">
        <f>+E806</f>
        <v>250</v>
      </c>
      <c r="H1387" s="156">
        <f>C1053</f>
        <v>16</v>
      </c>
      <c r="I1387" s="95">
        <f>E1053</f>
        <v>250</v>
      </c>
      <c r="J1387" s="612"/>
      <c r="K1387" s="159"/>
      <c r="L1387" s="156">
        <f>C1302</f>
        <v>16</v>
      </c>
      <c r="M1387" s="311">
        <f>E1302</f>
        <v>250</v>
      </c>
    </row>
    <row r="1388" spans="1:13">
      <c r="A1388" s="423"/>
      <c r="B1388" s="423"/>
      <c r="C1388" s="56"/>
      <c r="D1388" s="55"/>
      <c r="E1388" s="55"/>
      <c r="F1388" s="423"/>
      <c r="G1388" s="56"/>
      <c r="H1388" s="423"/>
      <c r="I1388" s="56"/>
      <c r="J1388" s="386"/>
      <c r="K1388" s="159"/>
      <c r="L1388" s="423"/>
      <c r="M1388" s="56"/>
    </row>
    <row r="1389" spans="1:13">
      <c r="A1389" s="421" t="s">
        <v>716</v>
      </c>
      <c r="B1389" s="57"/>
      <c r="C1389" s="58"/>
      <c r="D1389" s="16"/>
      <c r="E1389" s="16"/>
      <c r="F1389" s="823"/>
      <c r="G1389" s="58"/>
      <c r="H1389" s="57"/>
      <c r="I1389" s="58"/>
      <c r="J1389" s="386"/>
      <c r="K1389" s="159"/>
      <c r="L1389" s="823"/>
      <c r="M1389" s="58"/>
    </row>
    <row r="1390" spans="1:13">
      <c r="A1390" s="2222" t="s">
        <v>1885</v>
      </c>
      <c r="B1390" s="424">
        <f>G329</f>
        <v>0</v>
      </c>
      <c r="C1390" s="58" t="s">
        <v>5</v>
      </c>
      <c r="D1390" s="242">
        <f>G577</f>
        <v>1.45</v>
      </c>
      <c r="E1390" s="16" t="s">
        <v>5</v>
      </c>
      <c r="F1390" s="424">
        <f>G825</f>
        <v>1.5</v>
      </c>
      <c r="G1390" s="58" t="s">
        <v>5</v>
      </c>
      <c r="H1390" s="424">
        <f>G1073</f>
        <v>1.25</v>
      </c>
      <c r="I1390" s="58" t="s">
        <v>5</v>
      </c>
      <c r="J1390" s="386"/>
      <c r="K1390" s="159"/>
      <c r="L1390" s="424">
        <f>G1323</f>
        <v>1.25</v>
      </c>
      <c r="M1390" s="58" t="s">
        <v>5</v>
      </c>
    </row>
    <row r="1391" spans="1:13">
      <c r="A1391" s="2223" t="s">
        <v>1886</v>
      </c>
      <c r="B1391" s="425">
        <f>G362</f>
        <v>0</v>
      </c>
      <c r="C1391" s="518" t="s">
        <v>5</v>
      </c>
      <c r="D1391" s="212">
        <f>G611</f>
        <v>0</v>
      </c>
      <c r="E1391" s="204" t="s">
        <v>5</v>
      </c>
      <c r="F1391" s="425">
        <f>G858</f>
        <v>0</v>
      </c>
      <c r="G1391" s="518" t="s">
        <v>5</v>
      </c>
      <c r="H1391" s="425">
        <f>G1106</f>
        <v>0</v>
      </c>
      <c r="I1391" s="518" t="s">
        <v>5</v>
      </c>
      <c r="J1391" s="386"/>
      <c r="K1391" s="159"/>
      <c r="L1391" s="425">
        <f>G1357</f>
        <v>1</v>
      </c>
      <c r="M1391" s="518" t="s">
        <v>5</v>
      </c>
    </row>
    <row r="1392" spans="1:13">
      <c r="J1392" s="46"/>
      <c r="K1392" s="159"/>
    </row>
    <row r="1393" spans="1:11">
      <c r="A1393" s="159"/>
      <c r="B1393" s="159"/>
      <c r="C1393" s="159"/>
      <c r="D1393" s="159"/>
      <c r="E1393" s="159"/>
      <c r="F1393" s="159"/>
      <c r="G1393" s="159"/>
      <c r="H1393" s="159"/>
      <c r="I1393" s="159"/>
      <c r="J1393" s="159"/>
      <c r="K1393" s="159"/>
    </row>
    <row r="1394" spans="1:11">
      <c r="J1394" s="46"/>
    </row>
    <row r="1395" spans="1:11">
      <c r="J1395" s="46"/>
    </row>
    <row r="1396" spans="1:11">
      <c r="J1396" s="46"/>
    </row>
    <row r="1397" spans="1:11">
      <c r="J1397" s="46"/>
    </row>
    <row r="1398" spans="1:11">
      <c r="J1398" s="46"/>
    </row>
    <row r="1399" spans="1:11">
      <c r="J1399" s="46"/>
    </row>
    <row r="1400" spans="1:11">
      <c r="J1400" s="46"/>
    </row>
    <row r="1401" spans="1:11">
      <c r="J1401" s="46"/>
    </row>
    <row r="1402" spans="1:11">
      <c r="J1402" s="46"/>
    </row>
    <row r="1403" spans="1:11">
      <c r="J1403" s="46"/>
    </row>
    <row r="1404" spans="1:11">
      <c r="J1404" s="46"/>
    </row>
    <row r="1405" spans="1:11">
      <c r="J1405" s="46"/>
    </row>
    <row r="1406" spans="1:11">
      <c r="J1406" s="46"/>
    </row>
    <row r="1407" spans="1:11">
      <c r="J1407" s="46"/>
    </row>
    <row r="1408" spans="1:11">
      <c r="J1408" s="46"/>
    </row>
    <row r="1409" spans="10:10">
      <c r="J1409" s="46"/>
    </row>
    <row r="1410" spans="10:10">
      <c r="J1410" s="46"/>
    </row>
    <row r="1411" spans="10:10">
      <c r="J1411" s="46"/>
    </row>
    <row r="1412" spans="10:10">
      <c r="J1412" s="46"/>
    </row>
    <row r="1413" spans="10:10">
      <c r="J1413" s="46"/>
    </row>
    <row r="1414" spans="10:10">
      <c r="J1414" s="46"/>
    </row>
    <row r="1415" spans="10:10">
      <c r="J1415" s="46"/>
    </row>
    <row r="1416" spans="10:10">
      <c r="J1416" s="46"/>
    </row>
    <row r="1417" spans="10:10">
      <c r="J1417" s="46"/>
    </row>
    <row r="1418" spans="10:10">
      <c r="J1418" s="46"/>
    </row>
    <row r="1419" spans="10:10">
      <c r="J1419" s="46"/>
    </row>
    <row r="1420" spans="10:10">
      <c r="J1420" s="46"/>
    </row>
    <row r="1421" spans="10:10">
      <c r="J1421" s="46"/>
    </row>
    <row r="1422" spans="10:10">
      <c r="J1422" s="46"/>
    </row>
    <row r="1423" spans="10:10">
      <c r="J1423" s="46"/>
    </row>
    <row r="1424" spans="10:10">
      <c r="J1424" s="46"/>
    </row>
    <row r="1425" spans="10:10">
      <c r="J1425" s="46"/>
    </row>
    <row r="1426" spans="10:10">
      <c r="J1426" s="46"/>
    </row>
    <row r="1427" spans="10:10">
      <c r="J1427" s="46"/>
    </row>
    <row r="1428" spans="10:10">
      <c r="J1428" s="46"/>
    </row>
    <row r="1429" spans="10:10">
      <c r="J1429" s="46"/>
    </row>
    <row r="1430" spans="10:10">
      <c r="J1430" s="46"/>
    </row>
    <row r="1431" spans="10:10">
      <c r="J1431" s="46"/>
    </row>
    <row r="1432" spans="10:10">
      <c r="J1432" s="46"/>
    </row>
    <row r="1433" spans="10:10">
      <c r="J1433" s="46"/>
    </row>
    <row r="1434" spans="10:10">
      <c r="J1434" s="46"/>
    </row>
    <row r="1435" spans="10:10">
      <c r="J1435" s="46"/>
    </row>
    <row r="1436" spans="10:10">
      <c r="J1436" s="46"/>
    </row>
    <row r="1437" spans="10:10">
      <c r="J1437" s="46"/>
    </row>
    <row r="1438" spans="10:10">
      <c r="J1438" s="46"/>
    </row>
    <row r="1439" spans="10:10">
      <c r="J1439" s="46"/>
    </row>
    <row r="1440" spans="10:10">
      <c r="J1440" s="46"/>
    </row>
    <row r="1441" spans="10:10">
      <c r="J1441" s="46"/>
    </row>
    <row r="1442" spans="10:10">
      <c r="J1442" s="46"/>
    </row>
    <row r="1443" spans="10:10">
      <c r="J1443" s="46"/>
    </row>
    <row r="1444" spans="10:10">
      <c r="J1444" s="46"/>
    </row>
    <row r="1445" spans="10:10">
      <c r="J1445" s="46"/>
    </row>
    <row r="1446" spans="10:10">
      <c r="J1446" s="46"/>
    </row>
    <row r="1447" spans="10:10">
      <c r="J1447" s="46"/>
    </row>
    <row r="1448" spans="10:10">
      <c r="J1448" s="46"/>
    </row>
    <row r="1449" spans="10:10">
      <c r="J1449" s="46"/>
    </row>
    <row r="1450" spans="10:10">
      <c r="J1450" s="46"/>
    </row>
    <row r="1451" spans="10:10">
      <c r="J1451" s="46"/>
    </row>
    <row r="1452" spans="10:10">
      <c r="J1452" s="46"/>
    </row>
    <row r="1453" spans="10:10">
      <c r="J1453" s="46"/>
    </row>
    <row r="1454" spans="10:10">
      <c r="J1454" s="46"/>
    </row>
    <row r="1455" spans="10:10">
      <c r="J1455" s="46"/>
    </row>
    <row r="1456" spans="10:10">
      <c r="J1456" s="46"/>
    </row>
    <row r="1457" spans="10:10">
      <c r="J1457" s="46"/>
    </row>
    <row r="1458" spans="10:10">
      <c r="J1458" s="46"/>
    </row>
  </sheetData>
  <sheetProtection selectLockedCells="1"/>
  <sortState ref="R313:R317">
    <sortCondition descending="1" ref="R312"/>
  </sortState>
  <mergeCells count="358">
    <mergeCell ref="O1291:P1291"/>
    <mergeCell ref="G705:G706"/>
    <mergeCell ref="H705:H706"/>
    <mergeCell ref="G951:I951"/>
    <mergeCell ref="G952:G953"/>
    <mergeCell ref="H952:H953"/>
    <mergeCell ref="G1199:I1199"/>
    <mergeCell ref="G1200:G1201"/>
    <mergeCell ref="H1200:H1201"/>
    <mergeCell ref="H724:H725"/>
    <mergeCell ref="M1290:P1290"/>
    <mergeCell ref="H821:H823"/>
    <mergeCell ref="H1069:H1071"/>
    <mergeCell ref="H854:H856"/>
    <mergeCell ref="M1291:N1291"/>
    <mergeCell ref="L1178:P1178"/>
    <mergeCell ref="L1039:P1039"/>
    <mergeCell ref="L1040:L1042"/>
    <mergeCell ref="M1040:P1040"/>
    <mergeCell ref="H1219:H1220"/>
    <mergeCell ref="L1290:L1292"/>
    <mergeCell ref="I821:J821"/>
    <mergeCell ref="L924:P924"/>
    <mergeCell ref="M925:N925"/>
    <mergeCell ref="R1291:S1291"/>
    <mergeCell ref="R303:S303"/>
    <mergeCell ref="R304:S304"/>
    <mergeCell ref="R550:S550"/>
    <mergeCell ref="R551:S551"/>
    <mergeCell ref="R794:S794"/>
    <mergeCell ref="R795:S795"/>
    <mergeCell ref="R1040:S1040"/>
    <mergeCell ref="R1041:S1041"/>
    <mergeCell ref="R1290:S1290"/>
    <mergeCell ref="L1289:P1289"/>
    <mergeCell ref="E791:I791"/>
    <mergeCell ref="E607:E608"/>
    <mergeCell ref="G607:G609"/>
    <mergeCell ref="I611:J611"/>
    <mergeCell ref="H698:H699"/>
    <mergeCell ref="I698:I699"/>
    <mergeCell ref="L1179:L1181"/>
    <mergeCell ref="M1179:P1179"/>
    <mergeCell ref="M1180:N1180"/>
    <mergeCell ref="O1180:P1180"/>
    <mergeCell ref="I1073:J1073"/>
    <mergeCell ref="M1041:N1041"/>
    <mergeCell ref="I854:J854"/>
    <mergeCell ref="I858:J858"/>
    <mergeCell ref="I1106:J1106"/>
    <mergeCell ref="O795:P795"/>
    <mergeCell ref="O1041:P1041"/>
    <mergeCell ref="L935:P935"/>
    <mergeCell ref="I1069:J1069"/>
    <mergeCell ref="G1069:G1071"/>
    <mergeCell ref="E1102:E1103"/>
    <mergeCell ref="F1102:F1103"/>
    <mergeCell ref="G1102:G1104"/>
    <mergeCell ref="A1287:A1288"/>
    <mergeCell ref="A1172:A1173"/>
    <mergeCell ref="B1193:B1194"/>
    <mergeCell ref="B854:B856"/>
    <mergeCell ref="B607:B609"/>
    <mergeCell ref="D573:D574"/>
    <mergeCell ref="B1199:B1200"/>
    <mergeCell ref="E573:E574"/>
    <mergeCell ref="E1269:E1270"/>
    <mergeCell ref="D1102:D1103"/>
    <mergeCell ref="B1287:B1288"/>
    <mergeCell ref="C1199:C1200"/>
    <mergeCell ref="D821:D822"/>
    <mergeCell ref="E821:E822"/>
    <mergeCell ref="B945:B946"/>
    <mergeCell ref="A951:A953"/>
    <mergeCell ref="B951:B952"/>
    <mergeCell ref="A677:A678"/>
    <mergeCell ref="B677:B678"/>
    <mergeCell ref="B698:B699"/>
    <mergeCell ref="A704:A706"/>
    <mergeCell ref="B704:B705"/>
    <mergeCell ref="E704:E705"/>
    <mergeCell ref="E677:I677"/>
    <mergeCell ref="I1353:J1353"/>
    <mergeCell ref="D773:D774"/>
    <mergeCell ref="E773:E774"/>
    <mergeCell ref="I825:J825"/>
    <mergeCell ref="A1353:A1355"/>
    <mergeCell ref="D1353:D1354"/>
    <mergeCell ref="E1353:E1354"/>
    <mergeCell ref="F1353:F1354"/>
    <mergeCell ref="G1353:G1355"/>
    <mergeCell ref="A854:A856"/>
    <mergeCell ref="A1102:A1104"/>
    <mergeCell ref="H1319:H1321"/>
    <mergeCell ref="H1353:H1355"/>
    <mergeCell ref="F854:F856"/>
    <mergeCell ref="I1193:I1194"/>
    <mergeCell ref="B1038:B1039"/>
    <mergeCell ref="D854:D855"/>
    <mergeCell ref="D1319:D1320"/>
    <mergeCell ref="E1319:E1320"/>
    <mergeCell ref="F1319:F1320"/>
    <mergeCell ref="G1319:G1321"/>
    <mergeCell ref="D1069:D1070"/>
    <mergeCell ref="D1268:E1268"/>
    <mergeCell ref="D1269:D1270"/>
    <mergeCell ref="I1357:J1357"/>
    <mergeCell ref="B1353:B1354"/>
    <mergeCell ref="I884:I885"/>
    <mergeCell ref="H971:H972"/>
    <mergeCell ref="C1019:C1020"/>
    <mergeCell ref="D1019:E1019"/>
    <mergeCell ref="C1038:C1039"/>
    <mergeCell ref="D1038:D1039"/>
    <mergeCell ref="E1038:I1038"/>
    <mergeCell ref="E951:E952"/>
    <mergeCell ref="D1020:D1021"/>
    <mergeCell ref="I1319:J1319"/>
    <mergeCell ref="I1323:J1323"/>
    <mergeCell ref="C1287:C1288"/>
    <mergeCell ref="D1287:D1288"/>
    <mergeCell ref="E1287:I1287"/>
    <mergeCell ref="E1199:E1200"/>
    <mergeCell ref="B1172:B1173"/>
    <mergeCell ref="C1172:C1173"/>
    <mergeCell ref="D1172:D1173"/>
    <mergeCell ref="E1172:I1172"/>
    <mergeCell ref="E1020:E1021"/>
    <mergeCell ref="D1199:D1201"/>
    <mergeCell ref="H1193:H1194"/>
    <mergeCell ref="M3:O3"/>
    <mergeCell ref="P3:R3"/>
    <mergeCell ref="S3:U3"/>
    <mergeCell ref="V4:V5"/>
    <mergeCell ref="W4:X4"/>
    <mergeCell ref="W5:W6"/>
    <mergeCell ref="X5:X6"/>
    <mergeCell ref="V3:X3"/>
    <mergeCell ref="Y4:Y5"/>
    <mergeCell ref="Q5:Q6"/>
    <mergeCell ref="R5:R6"/>
    <mergeCell ref="O5:O6"/>
    <mergeCell ref="S4:S5"/>
    <mergeCell ref="P4:P5"/>
    <mergeCell ref="Q4:R4"/>
    <mergeCell ref="M4:M5"/>
    <mergeCell ref="N4:O4"/>
    <mergeCell ref="N5:N6"/>
    <mergeCell ref="S15:U15"/>
    <mergeCell ref="V15:X15"/>
    <mergeCell ref="Y15:AA15"/>
    <mergeCell ref="S16:S17"/>
    <mergeCell ref="Y3:AA3"/>
    <mergeCell ref="T4:U4"/>
    <mergeCell ref="T5:T6"/>
    <mergeCell ref="U5:U6"/>
    <mergeCell ref="Z4:AA4"/>
    <mergeCell ref="Z5:Z6"/>
    <mergeCell ref="AA5:AA6"/>
    <mergeCell ref="V16:V17"/>
    <mergeCell ref="Y16:Y17"/>
    <mergeCell ref="T17:T18"/>
    <mergeCell ref="U17:U18"/>
    <mergeCell ref="AA17:AA18"/>
    <mergeCell ref="Q17:Q18"/>
    <mergeCell ref="Q62:T62"/>
    <mergeCell ref="W17:W18"/>
    <mergeCell ref="X17:X18"/>
    <mergeCell ref="Z17:Z18"/>
    <mergeCell ref="L424:P424"/>
    <mergeCell ref="M425:N425"/>
    <mergeCell ref="O425:P425"/>
    <mergeCell ref="L436:L438"/>
    <mergeCell ref="M550:P550"/>
    <mergeCell ref="M551:N551"/>
    <mergeCell ref="O551:P551"/>
    <mergeCell ref="L549:P549"/>
    <mergeCell ref="M436:P436"/>
    <mergeCell ref="M437:N437"/>
    <mergeCell ref="M51:M52"/>
    <mergeCell ref="M53:M54"/>
    <mergeCell ref="J190:J191"/>
    <mergeCell ref="L176:P176"/>
    <mergeCell ref="O177:P177"/>
    <mergeCell ref="H1102:H1103"/>
    <mergeCell ref="F821:F822"/>
    <mergeCell ref="G821:G823"/>
    <mergeCell ref="G854:G856"/>
    <mergeCell ref="I1132:I1133"/>
    <mergeCell ref="I1102:J1102"/>
    <mergeCell ref="M1169:N1169"/>
    <mergeCell ref="O1169:P1169"/>
    <mergeCell ref="O925:P925"/>
    <mergeCell ref="O937:P937"/>
    <mergeCell ref="L1168:P1168"/>
    <mergeCell ref="D791:D792"/>
    <mergeCell ref="C677:C678"/>
    <mergeCell ref="D677:D678"/>
    <mergeCell ref="C704:C705"/>
    <mergeCell ref="C573:C575"/>
    <mergeCell ref="C821:C823"/>
    <mergeCell ref="D704:D706"/>
    <mergeCell ref="D772:E772"/>
    <mergeCell ref="M937:N937"/>
    <mergeCell ref="L793:P793"/>
    <mergeCell ref="L794:L796"/>
    <mergeCell ref="M794:P794"/>
    <mergeCell ref="M795:N795"/>
    <mergeCell ref="L936:L938"/>
    <mergeCell ref="M936:P936"/>
    <mergeCell ref="E854:E855"/>
    <mergeCell ref="D607:D608"/>
    <mergeCell ref="E1069:E1070"/>
    <mergeCell ref="F1069:F1070"/>
    <mergeCell ref="F573:F574"/>
    <mergeCell ref="H3:I3"/>
    <mergeCell ref="F358:F360"/>
    <mergeCell ref="F607:F609"/>
    <mergeCell ref="I329:J329"/>
    <mergeCell ref="G455:I455"/>
    <mergeCell ref="G456:G457"/>
    <mergeCell ref="H456:H457"/>
    <mergeCell ref="G704:I704"/>
    <mergeCell ref="H207:H208"/>
    <mergeCell ref="H607:H609"/>
    <mergeCell ref="I607:J607"/>
    <mergeCell ref="H573:H575"/>
    <mergeCell ref="D206:D208"/>
    <mergeCell ref="E206:E207"/>
    <mergeCell ref="H226:H227"/>
    <mergeCell ref="E542:I542"/>
    <mergeCell ref="H325:H327"/>
    <mergeCell ref="I325:J325"/>
    <mergeCell ref="D542:D543"/>
    <mergeCell ref="F325:F327"/>
    <mergeCell ref="G207:G208"/>
    <mergeCell ref="H475:H476"/>
    <mergeCell ref="H358:H360"/>
    <mergeCell ref="A428:A429"/>
    <mergeCell ref="B428:B429"/>
    <mergeCell ref="C428:C429"/>
    <mergeCell ref="A358:A360"/>
    <mergeCell ref="B449:B450"/>
    <mergeCell ref="H449:H450"/>
    <mergeCell ref="I449:I450"/>
    <mergeCell ref="C1268:C1269"/>
    <mergeCell ref="D524:D525"/>
    <mergeCell ref="E524:E525"/>
    <mergeCell ref="G358:G360"/>
    <mergeCell ref="I358:J358"/>
    <mergeCell ref="C523:C524"/>
    <mergeCell ref="D523:E523"/>
    <mergeCell ref="I388:I389"/>
    <mergeCell ref="E358:E359"/>
    <mergeCell ref="D924:D925"/>
    <mergeCell ref="E924:I924"/>
    <mergeCell ref="H945:H946"/>
    <mergeCell ref="I945:I946"/>
    <mergeCell ref="C951:C952"/>
    <mergeCell ref="D951:D953"/>
    <mergeCell ref="G573:G575"/>
    <mergeCell ref="A455:A457"/>
    <mergeCell ref="A325:A327"/>
    <mergeCell ref="C325:C327"/>
    <mergeCell ref="N17:N18"/>
    <mergeCell ref="O17:O18"/>
    <mergeCell ref="A52:A53"/>
    <mergeCell ref="A200:A201"/>
    <mergeCell ref="A294:A295"/>
    <mergeCell ref="D179:D180"/>
    <mergeCell ref="E179:I179"/>
    <mergeCell ref="B200:B201"/>
    <mergeCell ref="H200:H201"/>
    <mergeCell ref="I200:I201"/>
    <mergeCell ref="A206:A208"/>
    <mergeCell ref="B206:B207"/>
    <mergeCell ref="A179:A180"/>
    <mergeCell ref="I139:I140"/>
    <mergeCell ref="E294:I294"/>
    <mergeCell ref="G325:G327"/>
    <mergeCell ref="G206:I206"/>
    <mergeCell ref="C206:C207"/>
    <mergeCell ref="B179:B180"/>
    <mergeCell ref="C179:C180"/>
    <mergeCell ref="L62:P62"/>
    <mergeCell ref="M177:N177"/>
    <mergeCell ref="B455:B456"/>
    <mergeCell ref="C455:C456"/>
    <mergeCell ref="D455:D457"/>
    <mergeCell ref="E455:E456"/>
    <mergeCell ref="C275:C276"/>
    <mergeCell ref="O437:P437"/>
    <mergeCell ref="D275:E275"/>
    <mergeCell ref="D276:D277"/>
    <mergeCell ref="E276:E277"/>
    <mergeCell ref="D325:D326"/>
    <mergeCell ref="E325:E326"/>
    <mergeCell ref="D358:D359"/>
    <mergeCell ref="B325:B327"/>
    <mergeCell ref="B294:B295"/>
    <mergeCell ref="C294:C295"/>
    <mergeCell ref="D294:D295"/>
    <mergeCell ref="L435:P435"/>
    <mergeCell ref="B358:B360"/>
    <mergeCell ref="D428:D429"/>
    <mergeCell ref="E428:I428"/>
    <mergeCell ref="I362:J362"/>
    <mergeCell ref="M303:P303"/>
    <mergeCell ref="L302:P302"/>
    <mergeCell ref="L303:L305"/>
    <mergeCell ref="P15:R15"/>
    <mergeCell ref="L550:L552"/>
    <mergeCell ref="L684:L686"/>
    <mergeCell ref="M684:P684"/>
    <mergeCell ref="M685:N685"/>
    <mergeCell ref="O685:P685"/>
    <mergeCell ref="M304:N304"/>
    <mergeCell ref="I573:J573"/>
    <mergeCell ref="I577:J577"/>
    <mergeCell ref="O304:P304"/>
    <mergeCell ref="R17:R18"/>
    <mergeCell ref="M64:M65"/>
    <mergeCell ref="L186:P186"/>
    <mergeCell ref="L187:L189"/>
    <mergeCell ref="M187:P187"/>
    <mergeCell ref="M188:N188"/>
    <mergeCell ref="O188:P188"/>
    <mergeCell ref="M16:M17"/>
    <mergeCell ref="I637:I638"/>
    <mergeCell ref="P16:P17"/>
    <mergeCell ref="L673:P673"/>
    <mergeCell ref="L683:P683"/>
    <mergeCell ref="M674:N674"/>
    <mergeCell ref="O674:P674"/>
    <mergeCell ref="AB6:AF6"/>
    <mergeCell ref="AB18:AF18"/>
    <mergeCell ref="A542:A543"/>
    <mergeCell ref="C542:C543"/>
    <mergeCell ref="C1069:C1071"/>
    <mergeCell ref="C1319:C1321"/>
    <mergeCell ref="A1319:A1321"/>
    <mergeCell ref="A1069:A1071"/>
    <mergeCell ref="A821:A823"/>
    <mergeCell ref="A573:A575"/>
    <mergeCell ref="A449:A450"/>
    <mergeCell ref="A791:A792"/>
    <mergeCell ref="B791:B792"/>
    <mergeCell ref="C791:C792"/>
    <mergeCell ref="B542:B543"/>
    <mergeCell ref="A1038:A1039"/>
    <mergeCell ref="B1102:B1103"/>
    <mergeCell ref="A924:A925"/>
    <mergeCell ref="B924:B925"/>
    <mergeCell ref="C924:C925"/>
    <mergeCell ref="A1199:A1201"/>
    <mergeCell ref="A607:A609"/>
    <mergeCell ref="A698:A699"/>
    <mergeCell ref="C772:C773"/>
  </mergeCells>
  <pageMargins left="0.7" right="0.7" top="0.75" bottom="0.75" header="0.3" footer="0.3"/>
  <pageSetup paperSize="9" orientation="portrait" horizontalDpi="300" verticalDpi="300" r:id="rId1"/>
  <rowBreaks count="4" manualBreakCount="4">
    <brk id="286" max="9" man="1"/>
    <brk id="534" max="9" man="1"/>
    <brk id="1030" max="9" man="1"/>
    <brk id="1279" max="9" man="1"/>
  </rowBreaks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AH1383"/>
  <sheetViews>
    <sheetView zoomScaleSheetLayoutView="100" workbookViewId="0">
      <selection activeCell="G1316" sqref="G1316"/>
    </sheetView>
  </sheetViews>
  <sheetFormatPr defaultRowHeight="12.75"/>
  <cols>
    <col min="2" max="2" width="9.28515625" bestFit="1" customWidth="1"/>
    <col min="4" max="4" width="9.28515625" bestFit="1" customWidth="1"/>
    <col min="6" max="6" width="9.5703125" bestFit="1" customWidth="1"/>
    <col min="9" max="9" width="9.140625" customWidth="1"/>
    <col min="10" max="10" width="6.28515625" customWidth="1"/>
    <col min="11" max="11" width="2.85546875" customWidth="1"/>
    <col min="12" max="12" width="9.42578125" customWidth="1"/>
  </cols>
  <sheetData>
    <row r="1" spans="1:32" ht="15.75">
      <c r="A1" s="31" t="s">
        <v>1129</v>
      </c>
      <c r="K1" s="159"/>
      <c r="L1" s="429" t="s">
        <v>363</v>
      </c>
      <c r="M1" s="227"/>
      <c r="N1" s="227"/>
      <c r="O1" s="430">
        <f>DATA!D13</f>
        <v>28</v>
      </c>
      <c r="P1" s="431" t="s">
        <v>321</v>
      </c>
      <c r="Q1" s="432">
        <f>RADIANS(O1)</f>
        <v>0.48869219055841229</v>
      </c>
      <c r="R1" s="227" t="s">
        <v>322</v>
      </c>
      <c r="S1" s="46"/>
      <c r="T1" s="2683" t="s">
        <v>2220</v>
      </c>
    </row>
    <row r="2" spans="1:32" ht="13.5" thickBot="1">
      <c r="K2" s="159"/>
      <c r="L2" s="46"/>
      <c r="M2" s="46"/>
      <c r="N2" s="46"/>
      <c r="O2" s="46"/>
      <c r="P2" s="46"/>
      <c r="Q2" s="46"/>
      <c r="R2" s="46"/>
      <c r="S2" s="46"/>
      <c r="T2" s="46"/>
      <c r="U2" s="46"/>
    </row>
    <row r="3" spans="1:32" ht="12.75" customHeight="1" thickBot="1">
      <c r="A3" s="187" t="s">
        <v>448</v>
      </c>
      <c r="D3" s="35">
        <f>DATA!D3</f>
        <v>23.6</v>
      </c>
      <c r="E3" t="s">
        <v>1</v>
      </c>
      <c r="F3" s="2409" t="s">
        <v>2123</v>
      </c>
      <c r="G3" s="400"/>
      <c r="H3" s="3242" t="s">
        <v>320</v>
      </c>
      <c r="I3" s="3243"/>
      <c r="K3" s="159"/>
      <c r="L3" s="2733" t="str">
        <f>IF(F4=1,"Pre","Post")</f>
        <v>Post</v>
      </c>
      <c r="M3" s="3128">
        <v>1</v>
      </c>
      <c r="N3" s="3128"/>
      <c r="O3" s="3129"/>
      <c r="P3" s="3128">
        <v>2</v>
      </c>
      <c r="Q3" s="3128"/>
      <c r="R3" s="3129"/>
      <c r="S3" s="3066">
        <v>3</v>
      </c>
      <c r="T3" s="3067"/>
      <c r="U3" s="3068"/>
      <c r="V3" s="3066">
        <v>4</v>
      </c>
      <c r="W3" s="3067"/>
      <c r="X3" s="3067"/>
      <c r="Y3" s="3066">
        <v>5</v>
      </c>
      <c r="Z3" s="3067"/>
      <c r="AA3" s="3068"/>
      <c r="AB3" s="256">
        <v>1</v>
      </c>
      <c r="AC3" s="94">
        <v>2</v>
      </c>
      <c r="AD3" s="94">
        <v>3</v>
      </c>
      <c r="AE3" s="94">
        <v>4</v>
      </c>
      <c r="AF3" s="1548">
        <v>5</v>
      </c>
    </row>
    <row r="4" spans="1:32" ht="12.75" customHeight="1" thickBot="1">
      <c r="A4" t="s">
        <v>415</v>
      </c>
      <c r="D4" s="587">
        <f>DATA!D4</f>
        <v>15.7</v>
      </c>
      <c r="E4" t="s">
        <v>1</v>
      </c>
      <c r="F4" s="2719">
        <f>IF(G4="y",Table!C262,1)</f>
        <v>2</v>
      </c>
      <c r="G4" s="2753" t="s">
        <v>1361</v>
      </c>
      <c r="H4" s="248" t="str">
        <f>"Sec "&amp;B32&amp;"-"&amp;B32</f>
        <v>Sec 1-1</v>
      </c>
      <c r="I4" s="381" t="str">
        <f>"Sec "&amp;I38&amp;"-"&amp;I38</f>
        <v>Sec 5-5</v>
      </c>
      <c r="J4" s="2041" t="s">
        <v>650</v>
      </c>
      <c r="K4" s="159"/>
      <c r="L4" s="2718" t="s">
        <v>2103</v>
      </c>
      <c r="M4" s="3118" t="s">
        <v>675</v>
      </c>
      <c r="N4" s="3070" t="s">
        <v>674</v>
      </c>
      <c r="O4" s="3068"/>
      <c r="P4" s="3119" t="s">
        <v>675</v>
      </c>
      <c r="Q4" s="3070" t="s">
        <v>674</v>
      </c>
      <c r="R4" s="3067"/>
      <c r="S4" s="3118" t="s">
        <v>675</v>
      </c>
      <c r="T4" s="3070" t="s">
        <v>674</v>
      </c>
      <c r="U4" s="3068"/>
      <c r="V4" s="3118" t="s">
        <v>675</v>
      </c>
      <c r="W4" s="3070" t="s">
        <v>674</v>
      </c>
      <c r="X4" s="3067"/>
      <c r="Y4" s="3118" t="s">
        <v>675</v>
      </c>
      <c r="Z4" s="3070" t="s">
        <v>674</v>
      </c>
      <c r="AA4" s="3068"/>
      <c r="AB4" s="1094" t="s">
        <v>2125</v>
      </c>
      <c r="AC4" s="123"/>
      <c r="AD4" s="123"/>
      <c r="AE4" s="123"/>
      <c r="AF4" s="2764"/>
    </row>
    <row r="5" spans="1:32" ht="12.75" customHeight="1">
      <c r="A5" t="s">
        <v>416</v>
      </c>
      <c r="D5" s="35">
        <f>DATA!D5</f>
        <v>17.3</v>
      </c>
      <c r="E5" t="s">
        <v>1</v>
      </c>
      <c r="F5" s="423" t="str">
        <f>DATA!H88&amp;"    1"</f>
        <v>(Pre-Monsoon)    1</v>
      </c>
      <c r="G5" s="2037"/>
      <c r="H5" s="2038">
        <f>DATA!F103</f>
        <v>7.894731829264229</v>
      </c>
      <c r="I5" s="379">
        <f>DATA!F96</f>
        <v>7.1001367377902378</v>
      </c>
      <c r="J5" s="2039">
        <f>DATA!I105</f>
        <v>6.1</v>
      </c>
      <c r="K5" s="159"/>
      <c r="L5" s="348"/>
      <c r="M5" s="3092"/>
      <c r="N5" s="3121" t="s">
        <v>665</v>
      </c>
      <c r="O5" s="3118" t="s">
        <v>672</v>
      </c>
      <c r="P5" s="3120"/>
      <c r="Q5" s="3121" t="s">
        <v>665</v>
      </c>
      <c r="R5" s="3122" t="s">
        <v>672</v>
      </c>
      <c r="S5" s="3092"/>
      <c r="T5" s="3121" t="s">
        <v>665</v>
      </c>
      <c r="U5" s="3118" t="s">
        <v>672</v>
      </c>
      <c r="V5" s="3092"/>
      <c r="W5" s="3121" t="s">
        <v>665</v>
      </c>
      <c r="X5" s="3122" t="s">
        <v>672</v>
      </c>
      <c r="Y5" s="3092"/>
      <c r="Z5" s="3121" t="s">
        <v>665</v>
      </c>
      <c r="AA5" s="3118" t="s">
        <v>672</v>
      </c>
      <c r="AB5" s="1094"/>
      <c r="AC5" s="123"/>
      <c r="AD5" s="123"/>
      <c r="AE5" s="123"/>
      <c r="AF5" s="2764"/>
    </row>
    <row r="6" spans="1:32" ht="12.75" customHeight="1">
      <c r="A6" t="s">
        <v>417</v>
      </c>
      <c r="D6" s="35">
        <f>DATA!D6</f>
        <v>18.899999999999999</v>
      </c>
      <c r="E6" t="s">
        <v>1</v>
      </c>
      <c r="F6" s="2040" t="s">
        <v>285</v>
      </c>
      <c r="G6" s="77">
        <v>2</v>
      </c>
      <c r="H6" s="353">
        <f>DATA!F134</f>
        <v>12.233463301397501</v>
      </c>
      <c r="I6" s="138">
        <f>DATA!F126</f>
        <v>12.971301600623351</v>
      </c>
      <c r="J6" s="170">
        <f>DATA!I130</f>
        <v>13.9</v>
      </c>
      <c r="K6" s="159"/>
      <c r="L6" s="1725" t="s">
        <v>673</v>
      </c>
      <c r="M6" s="365"/>
      <c r="N6" s="3121"/>
      <c r="O6" s="3092"/>
      <c r="P6" s="380"/>
      <c r="Q6" s="3121"/>
      <c r="R6" s="3123"/>
      <c r="S6" s="365"/>
      <c r="T6" s="3121"/>
      <c r="U6" s="3092"/>
      <c r="V6" s="365"/>
      <c r="W6" s="3121"/>
      <c r="X6" s="3123"/>
      <c r="Y6" s="365"/>
      <c r="Z6" s="3121"/>
      <c r="AA6" s="3092"/>
      <c r="AB6" s="3198" t="s">
        <v>2124</v>
      </c>
      <c r="AC6" s="3198"/>
      <c r="AD6" s="3198"/>
      <c r="AE6" s="3198"/>
      <c r="AF6" s="3198"/>
    </row>
    <row r="7" spans="1:32" ht="12.75" customHeight="1">
      <c r="A7" t="s">
        <v>418</v>
      </c>
      <c r="D7" s="35">
        <f>DATA!D7</f>
        <v>9.81</v>
      </c>
      <c r="E7" t="s">
        <v>1</v>
      </c>
      <c r="K7" s="159"/>
      <c r="L7" s="2196"/>
      <c r="M7" s="94" t="s">
        <v>107</v>
      </c>
      <c r="N7" s="2197" t="s">
        <v>107</v>
      </c>
      <c r="O7" s="94" t="s">
        <v>107</v>
      </c>
      <c r="P7" s="2198" t="s">
        <v>107</v>
      </c>
      <c r="Q7" s="2197" t="s">
        <v>107</v>
      </c>
      <c r="R7" s="2196" t="s">
        <v>107</v>
      </c>
      <c r="S7" s="94" t="s">
        <v>107</v>
      </c>
      <c r="T7" s="2197" t="s">
        <v>107</v>
      </c>
      <c r="U7" s="94" t="s">
        <v>107</v>
      </c>
      <c r="V7" s="94" t="s">
        <v>107</v>
      </c>
      <c r="W7" s="94" t="s">
        <v>107</v>
      </c>
      <c r="X7" s="2196" t="s">
        <v>107</v>
      </c>
      <c r="Y7" s="94" t="s">
        <v>107</v>
      </c>
      <c r="Z7" s="2197" t="s">
        <v>107</v>
      </c>
      <c r="AA7" s="94" t="s">
        <v>107</v>
      </c>
      <c r="AB7" s="1548" t="s">
        <v>5</v>
      </c>
      <c r="AC7" s="1548" t="s">
        <v>5</v>
      </c>
      <c r="AD7" s="1548" t="s">
        <v>5</v>
      </c>
      <c r="AE7" s="1548" t="s">
        <v>5</v>
      </c>
      <c r="AF7" s="1548" t="s">
        <v>5</v>
      </c>
    </row>
    <row r="8" spans="1:32" ht="12.75" customHeight="1">
      <c r="A8" s="187" t="s">
        <v>508</v>
      </c>
      <c r="D8" s="287">
        <f>DATA!I17</f>
        <v>28</v>
      </c>
      <c r="E8" s="12" t="s">
        <v>321</v>
      </c>
      <c r="F8" s="115">
        <f>RADIANS(D8)</f>
        <v>0.48869219055841229</v>
      </c>
      <c r="G8" t="s">
        <v>322</v>
      </c>
      <c r="H8" s="17" t="s">
        <v>43</v>
      </c>
      <c r="I8" s="85">
        <f>(1-SIN(F8))/(1+SIN(F8))</f>
        <v>0.36103348349818309</v>
      </c>
      <c r="K8" s="159"/>
      <c r="L8" s="2660" t="s">
        <v>666</v>
      </c>
      <c r="M8" s="2702">
        <f t="shared" ref="M8:O11" si="0">C272</f>
        <v>0</v>
      </c>
      <c r="N8" s="2702">
        <f t="shared" si="0"/>
        <v>0</v>
      </c>
      <c r="O8" s="2702">
        <f t="shared" si="0"/>
        <v>0</v>
      </c>
      <c r="P8" s="2704">
        <f t="shared" ref="P8:R11" si="1">C520</f>
        <v>0</v>
      </c>
      <c r="Q8" s="2704">
        <f t="shared" si="1"/>
        <v>0</v>
      </c>
      <c r="R8" s="2704">
        <f t="shared" si="1"/>
        <v>0</v>
      </c>
      <c r="S8" s="2705">
        <f t="shared" ref="S8:U11" si="2">C768</f>
        <v>0</v>
      </c>
      <c r="T8" s="2705">
        <f t="shared" si="2"/>
        <v>0</v>
      </c>
      <c r="U8" s="2705">
        <f t="shared" si="2"/>
        <v>0</v>
      </c>
      <c r="V8" s="2705">
        <f t="shared" ref="V8:X11" si="3">C1017</f>
        <v>0</v>
      </c>
      <c r="W8" s="2705">
        <f t="shared" si="3"/>
        <v>0</v>
      </c>
      <c r="X8" s="2705">
        <f t="shared" si="3"/>
        <v>0</v>
      </c>
      <c r="Y8" s="2705">
        <f t="shared" ref="Y8:AA11" si="4">C1266</f>
        <v>0</v>
      </c>
      <c r="Z8" s="2705">
        <f t="shared" si="4"/>
        <v>0</v>
      </c>
      <c r="AA8" s="2705">
        <f t="shared" si="4"/>
        <v>0</v>
      </c>
      <c r="AB8" s="2764"/>
      <c r="AC8" s="2764"/>
      <c r="AD8" s="2764"/>
      <c r="AE8" s="2764"/>
      <c r="AF8" s="2764"/>
    </row>
    <row r="9" spans="1:32" ht="12.75" customHeight="1">
      <c r="A9" s="2207" t="s">
        <v>1882</v>
      </c>
      <c r="B9" s="2207"/>
      <c r="C9" s="2207"/>
      <c r="D9" s="2207"/>
      <c r="E9" s="2208"/>
      <c r="F9" s="2209"/>
      <c r="G9" s="2207"/>
      <c r="H9" s="2207"/>
      <c r="I9" s="2207"/>
      <c r="J9" s="2516" t="s">
        <v>1361</v>
      </c>
      <c r="K9" s="159"/>
      <c r="L9" s="348" t="s">
        <v>667</v>
      </c>
      <c r="M9" s="2709">
        <f t="shared" si="0"/>
        <v>539.68685923224393</v>
      </c>
      <c r="N9" s="2709">
        <f t="shared" si="0"/>
        <v>0</v>
      </c>
      <c r="O9" s="2709">
        <f t="shared" si="0"/>
        <v>410.2190467322439</v>
      </c>
      <c r="P9" s="2706">
        <f t="shared" si="1"/>
        <v>539.68685923224393</v>
      </c>
      <c r="Q9" s="2706">
        <f t="shared" si="1"/>
        <v>0</v>
      </c>
      <c r="R9" s="2706">
        <f t="shared" si="1"/>
        <v>366.77052660512527</v>
      </c>
      <c r="S9" s="2706">
        <f t="shared" si="2"/>
        <v>227.68039373860282</v>
      </c>
      <c r="T9" s="2706">
        <f t="shared" si="2"/>
        <v>0</v>
      </c>
      <c r="U9" s="2706">
        <f t="shared" si="2"/>
        <v>75.468211932458757</v>
      </c>
      <c r="V9" s="2706">
        <f t="shared" si="3"/>
        <v>67.460857404030492</v>
      </c>
      <c r="W9" s="2706">
        <f t="shared" si="3"/>
        <v>37.270905572664446</v>
      </c>
      <c r="X9" s="2706">
        <f t="shared" si="3"/>
        <v>0</v>
      </c>
      <c r="Y9" s="2706">
        <f t="shared" si="4"/>
        <v>67.460857404030492</v>
      </c>
      <c r="Z9" s="2706">
        <f t="shared" si="4"/>
        <v>52.668892595969538</v>
      </c>
      <c r="AA9" s="2706">
        <f t="shared" si="4"/>
        <v>0</v>
      </c>
      <c r="AB9" s="2768" t="e">
        <f>C331</f>
        <v>#NUM!</v>
      </c>
      <c r="AC9" s="2768" t="e">
        <f>C579</f>
        <v>#NUM!</v>
      </c>
      <c r="AD9" s="2768" t="e">
        <f>C827</f>
        <v>#NUM!</v>
      </c>
      <c r="AE9" s="2768">
        <f>C1078</f>
        <v>3.3814496629350961</v>
      </c>
      <c r="AF9" s="2768">
        <f>C1325</f>
        <v>3.537323233575115</v>
      </c>
    </row>
    <row r="10" spans="1:32" ht="12.75" customHeight="1">
      <c r="A10" s="187"/>
      <c r="D10" s="46"/>
      <c r="E10" s="508"/>
      <c r="F10" s="334"/>
      <c r="G10" s="46"/>
      <c r="K10" s="159"/>
      <c r="L10" s="348" t="s">
        <v>668</v>
      </c>
      <c r="M10" s="2709">
        <f t="shared" si="0"/>
        <v>120.43583572756029</v>
      </c>
      <c r="N10" s="2709">
        <f t="shared" si="0"/>
        <v>0</v>
      </c>
      <c r="O10" s="2709">
        <f t="shared" si="0"/>
        <v>43.342987740681679</v>
      </c>
      <c r="P10" s="2706">
        <f t="shared" si="1"/>
        <v>-3.8649429769237713</v>
      </c>
      <c r="Q10" s="2706">
        <f t="shared" si="1"/>
        <v>98.732026821602119</v>
      </c>
      <c r="R10" s="2706">
        <f t="shared" si="1"/>
        <v>0</v>
      </c>
      <c r="S10" s="2706">
        <f t="shared" si="2"/>
        <v>109.50342746475667</v>
      </c>
      <c r="T10" s="2706">
        <f t="shared" si="2"/>
        <v>0</v>
      </c>
      <c r="U10" s="2706">
        <f t="shared" si="2"/>
        <v>23.877711813273606</v>
      </c>
      <c r="V10" s="2706">
        <f t="shared" si="3"/>
        <v>32.44545998955752</v>
      </c>
      <c r="W10" s="2706">
        <f t="shared" si="3"/>
        <v>27.257000074001894</v>
      </c>
      <c r="X10" s="2706">
        <f t="shared" si="3"/>
        <v>0</v>
      </c>
      <c r="Y10" s="2706">
        <f t="shared" si="4"/>
        <v>32.44545998955752</v>
      </c>
      <c r="Z10" s="2706">
        <f t="shared" si="4"/>
        <v>36.034640010442558</v>
      </c>
      <c r="AA10" s="2706">
        <f t="shared" si="4"/>
        <v>0</v>
      </c>
      <c r="AB10" s="123"/>
      <c r="AC10" s="123"/>
      <c r="AD10" s="123"/>
      <c r="AE10" s="123"/>
      <c r="AF10" s="123"/>
    </row>
    <row r="11" spans="1:32" ht="12.75" customHeight="1">
      <c r="A11" s="29" t="s">
        <v>6</v>
      </c>
      <c r="D11" s="287"/>
      <c r="E11" s="12"/>
      <c r="F11" s="115"/>
      <c r="K11" s="159"/>
      <c r="L11" s="348" t="s">
        <v>669</v>
      </c>
      <c r="M11" s="2710">
        <f t="shared" si="0"/>
        <v>120.43583572756029</v>
      </c>
      <c r="N11" s="2710">
        <f t="shared" si="0"/>
        <v>7.4237622593183232</v>
      </c>
      <c r="O11" s="2710">
        <f t="shared" si="0"/>
        <v>0</v>
      </c>
      <c r="P11" s="2708">
        <f t="shared" si="1"/>
        <v>-3.8649429769237713</v>
      </c>
      <c r="Q11" s="2708">
        <f t="shared" si="1"/>
        <v>175.37971834702589</v>
      </c>
      <c r="R11" s="2708">
        <f t="shared" si="1"/>
        <v>0</v>
      </c>
      <c r="S11" s="2708">
        <f t="shared" si="2"/>
        <v>109.50342746475667</v>
      </c>
      <c r="T11" s="2708">
        <f t="shared" si="2"/>
        <v>42.708754341387362</v>
      </c>
      <c r="U11" s="2708">
        <f t="shared" si="2"/>
        <v>0</v>
      </c>
      <c r="V11" s="2708">
        <f t="shared" si="3"/>
        <v>32.44545998955752</v>
      </c>
      <c r="W11" s="2708">
        <f t="shared" si="3"/>
        <v>72.286302987137418</v>
      </c>
      <c r="X11" s="2708">
        <f t="shared" si="3"/>
        <v>0</v>
      </c>
      <c r="Y11" s="2708">
        <f t="shared" si="4"/>
        <v>32.44545998955752</v>
      </c>
      <c r="Z11" s="2708">
        <f t="shared" si="4"/>
        <v>87.68429001044251</v>
      </c>
      <c r="AA11" s="2708">
        <f t="shared" si="4"/>
        <v>0</v>
      </c>
      <c r="AB11" s="2768">
        <f>C341</f>
        <v>2.2934135964385352</v>
      </c>
      <c r="AC11" s="2768">
        <f>C589</f>
        <v>1.2474126319544294</v>
      </c>
      <c r="AD11" s="2768">
        <f>C837</f>
        <v>2.9106333038934995</v>
      </c>
      <c r="AE11" s="2768">
        <f>C1088</f>
        <v>2.4785500943559051</v>
      </c>
      <c r="AF11" s="2768">
        <f>C1335</f>
        <v>2.6918328425422189</v>
      </c>
    </row>
    <row r="12" spans="1:32" ht="12.75" customHeight="1">
      <c r="A12" s="187" t="s">
        <v>420</v>
      </c>
      <c r="C12" s="574">
        <f>HeadWall!C13</f>
        <v>22</v>
      </c>
      <c r="D12" s="187" t="s">
        <v>421</v>
      </c>
      <c r="E12" s="144" t="s">
        <v>422</v>
      </c>
      <c r="K12" s="159"/>
      <c r="L12" s="1852" t="s">
        <v>671</v>
      </c>
      <c r="M12" s="2711">
        <f>MAX(M8:M11)</f>
        <v>539.68685923224393</v>
      </c>
      <c r="N12" s="2712">
        <f>MAX(N8:N11)</f>
        <v>7.4237622593183232</v>
      </c>
      <c r="O12" s="2711">
        <f>MAX(O8:O11)</f>
        <v>410.2190467322439</v>
      </c>
      <c r="P12" s="2712">
        <f t="shared" ref="P12:AA12" si="5">MAX(P8:P11)</f>
        <v>539.68685923224393</v>
      </c>
      <c r="Q12" s="2712">
        <f t="shared" si="5"/>
        <v>175.37971834702589</v>
      </c>
      <c r="R12" s="2712">
        <f t="shared" si="5"/>
        <v>366.77052660512527</v>
      </c>
      <c r="S12" s="2713">
        <f t="shared" si="5"/>
        <v>227.68039373860282</v>
      </c>
      <c r="T12" s="2712">
        <f t="shared" si="5"/>
        <v>42.708754341387362</v>
      </c>
      <c r="U12" s="2714">
        <f t="shared" si="5"/>
        <v>75.468211932458757</v>
      </c>
      <c r="V12" s="2713">
        <f t="shared" si="5"/>
        <v>67.460857404030492</v>
      </c>
      <c r="W12" s="2712">
        <f t="shared" si="5"/>
        <v>72.286302987137418</v>
      </c>
      <c r="X12" s="2714">
        <f t="shared" si="5"/>
        <v>0</v>
      </c>
      <c r="Y12" s="2713">
        <f t="shared" si="5"/>
        <v>67.460857404030492</v>
      </c>
      <c r="Z12" s="2712">
        <f t="shared" si="5"/>
        <v>87.68429001044251</v>
      </c>
      <c r="AA12" s="2714">
        <f t="shared" si="5"/>
        <v>0</v>
      </c>
      <c r="AB12" s="2775" t="e">
        <f>MIN(AB9,AB11)</f>
        <v>#NUM!</v>
      </c>
      <c r="AC12" s="2775" t="e">
        <f t="shared" ref="AC12:AF12" si="6">MIN(AC9,AC11)</f>
        <v>#NUM!</v>
      </c>
      <c r="AD12" s="2775" t="e">
        <f t="shared" si="6"/>
        <v>#NUM!</v>
      </c>
      <c r="AE12" s="2775">
        <f t="shared" si="6"/>
        <v>2.4785500943559051</v>
      </c>
      <c r="AF12" s="2775">
        <f t="shared" si="6"/>
        <v>2.6918328425422189</v>
      </c>
    </row>
    <row r="13" spans="1:32" ht="12.75" customHeight="1">
      <c r="A13" t="s">
        <v>8</v>
      </c>
      <c r="C13" s="574">
        <f>HeadWall!C14</f>
        <v>414</v>
      </c>
      <c r="D13" s="187" t="s">
        <v>421</v>
      </c>
      <c r="E13" t="s">
        <v>423</v>
      </c>
      <c r="I13" s="509">
        <f>HeadWall!H14</f>
        <v>60</v>
      </c>
      <c r="J13" t="s">
        <v>98</v>
      </c>
      <c r="K13" s="159"/>
      <c r="L13" s="46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  <c r="AA13" s="224"/>
      <c r="AB13" s="2"/>
      <c r="AC13" s="2"/>
      <c r="AD13" s="2"/>
      <c r="AE13" s="2"/>
    </row>
    <row r="14" spans="1:32" ht="12.75" customHeight="1">
      <c r="A14" t="s">
        <v>11</v>
      </c>
      <c r="C14" s="588">
        <f>HeadWall!C15</f>
        <v>200000</v>
      </c>
      <c r="D14" s="187" t="s">
        <v>421</v>
      </c>
      <c r="E14" t="s">
        <v>424</v>
      </c>
      <c r="I14" s="509">
        <f>HeadWall!H15</f>
        <v>50</v>
      </c>
      <c r="J14" t="s">
        <v>98</v>
      </c>
      <c r="K14" s="159"/>
      <c r="L14" s="46"/>
      <c r="M14" s="46"/>
      <c r="N14" s="46"/>
      <c r="O14" s="46"/>
      <c r="P14" s="46"/>
      <c r="Q14" s="46"/>
      <c r="R14" s="46"/>
      <c r="S14" s="46"/>
      <c r="T14" s="46"/>
      <c r="AB14" s="2"/>
      <c r="AC14" s="2"/>
      <c r="AD14" s="2"/>
      <c r="AE14" s="2"/>
    </row>
    <row r="15" spans="1:32" ht="12.75" customHeight="1" thickBot="1">
      <c r="A15" s="187" t="s">
        <v>446</v>
      </c>
      <c r="C15" s="589">
        <f>4.73*10^3*(C12)^0.5</f>
        <v>22185.666543964824</v>
      </c>
      <c r="D15" s="187" t="s">
        <v>421</v>
      </c>
      <c r="E15" s="241" t="s">
        <v>2134</v>
      </c>
      <c r="F15" s="16"/>
      <c r="G15" s="16"/>
      <c r="I15" s="16">
        <f>IF(Hydraulic!O2="y",Hydraulic!O3,0)</f>
        <v>0</v>
      </c>
      <c r="J15" t="s">
        <v>98</v>
      </c>
      <c r="K15" s="159"/>
      <c r="L15" s="2664" t="s">
        <v>974</v>
      </c>
      <c r="M15" s="3127">
        <v>1</v>
      </c>
      <c r="N15" s="3128"/>
      <c r="O15" s="3129"/>
      <c r="P15" s="3128">
        <v>2</v>
      </c>
      <c r="Q15" s="3128"/>
      <c r="R15" s="3129"/>
      <c r="S15" s="3066">
        <v>3</v>
      </c>
      <c r="T15" s="3067"/>
      <c r="U15" s="3068"/>
      <c r="V15" s="3066">
        <v>4</v>
      </c>
      <c r="W15" s="3067"/>
      <c r="X15" s="3067"/>
      <c r="Y15" s="3066">
        <v>5</v>
      </c>
      <c r="Z15" s="3067"/>
      <c r="AA15" s="3068"/>
      <c r="AB15" s="256">
        <v>1</v>
      </c>
      <c r="AC15" s="94">
        <v>2</v>
      </c>
      <c r="AD15" s="94">
        <v>3</v>
      </c>
      <c r="AE15" s="94">
        <v>4</v>
      </c>
      <c r="AF15" s="1548">
        <v>5</v>
      </c>
    </row>
    <row r="16" spans="1:32" ht="12.75" customHeight="1" thickBot="1">
      <c r="C16" s="17"/>
      <c r="J16" s="508"/>
      <c r="K16" s="159"/>
      <c r="L16" s="2718" t="s">
        <v>2103</v>
      </c>
      <c r="M16" s="3118" t="s">
        <v>675</v>
      </c>
      <c r="N16" s="3070" t="s">
        <v>674</v>
      </c>
      <c r="O16" s="3068"/>
      <c r="P16" s="3119" t="s">
        <v>675</v>
      </c>
      <c r="Q16" s="3070" t="s">
        <v>674</v>
      </c>
      <c r="R16" s="3067"/>
      <c r="S16" s="3118" t="s">
        <v>675</v>
      </c>
      <c r="T16" s="3070" t="s">
        <v>674</v>
      </c>
      <c r="U16" s="3068"/>
      <c r="V16" s="3118" t="s">
        <v>675</v>
      </c>
      <c r="W16" s="3070" t="s">
        <v>674</v>
      </c>
      <c r="X16" s="3067"/>
      <c r="Y16" s="3118" t="s">
        <v>675</v>
      </c>
      <c r="Z16" s="3070" t="s">
        <v>674</v>
      </c>
      <c r="AA16" s="3068"/>
      <c r="AB16" s="1094" t="s">
        <v>2125</v>
      </c>
      <c r="AC16" s="123"/>
      <c r="AD16" s="123"/>
      <c r="AE16" s="123"/>
      <c r="AF16" s="2764"/>
    </row>
    <row r="17" spans="1:32" ht="12.75" customHeight="1">
      <c r="A17" s="187" t="s">
        <v>425</v>
      </c>
      <c r="C17" s="133">
        <f>0.45*C12</f>
        <v>9.9</v>
      </c>
      <c r="D17" s="187" t="s">
        <v>421</v>
      </c>
      <c r="E17" s="46"/>
      <c r="F17" s="46"/>
      <c r="G17" s="46"/>
      <c r="H17" s="46"/>
      <c r="I17" s="46"/>
      <c r="J17" s="46"/>
      <c r="K17" s="159"/>
      <c r="L17" s="348"/>
      <c r="M17" s="3092"/>
      <c r="N17" s="3121" t="s">
        <v>665</v>
      </c>
      <c r="O17" s="3118" t="s">
        <v>672</v>
      </c>
      <c r="P17" s="3120"/>
      <c r="Q17" s="3121" t="s">
        <v>665</v>
      </c>
      <c r="R17" s="3122" t="s">
        <v>672</v>
      </c>
      <c r="S17" s="3092"/>
      <c r="T17" s="3121" t="s">
        <v>665</v>
      </c>
      <c r="U17" s="3118" t="s">
        <v>672</v>
      </c>
      <c r="V17" s="3092"/>
      <c r="W17" s="3121" t="s">
        <v>665</v>
      </c>
      <c r="X17" s="3122" t="s">
        <v>672</v>
      </c>
      <c r="Y17" s="3092"/>
      <c r="Z17" s="3121" t="s">
        <v>665</v>
      </c>
      <c r="AA17" s="3118" t="s">
        <v>672</v>
      </c>
      <c r="AB17" s="1094"/>
      <c r="AC17" s="123"/>
      <c r="AD17" s="123"/>
      <c r="AE17" s="123"/>
      <c r="AF17" s="2764"/>
    </row>
    <row r="18" spans="1:32" ht="12.75" customHeight="1">
      <c r="A18" s="187" t="s">
        <v>426</v>
      </c>
      <c r="C18" s="133">
        <f>0.45*C13</f>
        <v>186.3</v>
      </c>
      <c r="D18" s="187" t="s">
        <v>421</v>
      </c>
      <c r="E18" s="46"/>
      <c r="F18" s="30" t="s">
        <v>1858</v>
      </c>
      <c r="H18" s="203"/>
      <c r="I18" s="2157">
        <f>Hydraulic!I47</f>
        <v>3</v>
      </c>
      <c r="J18" s="46"/>
      <c r="K18" s="159"/>
      <c r="L18" s="1725" t="s">
        <v>673</v>
      </c>
      <c r="M18" s="365"/>
      <c r="N18" s="3121"/>
      <c r="O18" s="3092"/>
      <c r="P18" s="380"/>
      <c r="Q18" s="3121"/>
      <c r="R18" s="3123"/>
      <c r="S18" s="365"/>
      <c r="T18" s="3121"/>
      <c r="U18" s="3092"/>
      <c r="V18" s="365"/>
      <c r="W18" s="3121"/>
      <c r="X18" s="3123"/>
      <c r="Y18" s="365"/>
      <c r="Z18" s="3121"/>
      <c r="AA18" s="3092"/>
      <c r="AB18" s="3198" t="s">
        <v>2124</v>
      </c>
      <c r="AC18" s="3198"/>
      <c r="AD18" s="3198"/>
      <c r="AE18" s="3198"/>
      <c r="AF18" s="3198"/>
    </row>
    <row r="19" spans="1:32" ht="12.75" customHeight="1">
      <c r="A19" t="s">
        <v>10</v>
      </c>
      <c r="C19" s="205">
        <f>+C14/C15</f>
        <v>9.0148294442118573</v>
      </c>
      <c r="E19" s="46"/>
      <c r="F19" s="46"/>
      <c r="G19" s="46"/>
      <c r="H19" s="46"/>
      <c r="I19" s="46"/>
      <c r="J19" s="46"/>
      <c r="K19" s="159"/>
      <c r="L19" s="2196"/>
      <c r="M19" s="381" t="s">
        <v>107</v>
      </c>
      <c r="N19" s="2655" t="s">
        <v>107</v>
      </c>
      <c r="O19" s="381" t="s">
        <v>107</v>
      </c>
      <c r="P19" s="2659" t="s">
        <v>107</v>
      </c>
      <c r="Q19" s="2655" t="s">
        <v>107</v>
      </c>
      <c r="R19" s="2658" t="s">
        <v>107</v>
      </c>
      <c r="S19" s="381" t="s">
        <v>107</v>
      </c>
      <c r="T19" s="2655" t="s">
        <v>107</v>
      </c>
      <c r="U19" s="381" t="s">
        <v>107</v>
      </c>
      <c r="V19" s="381" t="s">
        <v>107</v>
      </c>
      <c r="W19" s="381" t="s">
        <v>107</v>
      </c>
      <c r="X19" s="2658" t="s">
        <v>107</v>
      </c>
      <c r="Y19" s="381" t="s">
        <v>107</v>
      </c>
      <c r="Z19" s="2655" t="s">
        <v>107</v>
      </c>
      <c r="AA19" s="381" t="s">
        <v>107</v>
      </c>
      <c r="AB19" s="1548" t="s">
        <v>5</v>
      </c>
      <c r="AC19" s="1548" t="s">
        <v>5</v>
      </c>
      <c r="AD19" s="1548" t="s">
        <v>5</v>
      </c>
      <c r="AE19" s="1548" t="s">
        <v>5</v>
      </c>
      <c r="AF19" s="1548" t="s">
        <v>5</v>
      </c>
    </row>
    <row r="20" spans="1:32" ht="12.75" customHeight="1">
      <c r="A20" t="s">
        <v>427</v>
      </c>
      <c r="C20" s="54">
        <f>C18/C17</f>
        <v>18.81818181818182</v>
      </c>
      <c r="E20" s="109"/>
      <c r="F20" s="46"/>
      <c r="G20" s="46"/>
      <c r="H20" s="236"/>
      <c r="I20" s="46"/>
      <c r="J20" s="46"/>
      <c r="K20" s="159"/>
      <c r="L20" s="2200" t="s">
        <v>666</v>
      </c>
      <c r="M20" s="2702">
        <f>Table!B286</f>
        <v>0</v>
      </c>
      <c r="N20" s="2702">
        <f>Table!C286</f>
        <v>0</v>
      </c>
      <c r="O20" s="2702">
        <f>Table!D286</f>
        <v>0</v>
      </c>
      <c r="P20" s="2702">
        <f>Table!E286</f>
        <v>0</v>
      </c>
      <c r="Q20" s="2702">
        <f>Table!F286</f>
        <v>0</v>
      </c>
      <c r="R20" s="2702">
        <f>Table!G286</f>
        <v>0</v>
      </c>
      <c r="S20" s="2702">
        <f>Table!H286</f>
        <v>0</v>
      </c>
      <c r="T20" s="2702">
        <f>Table!I286</f>
        <v>0</v>
      </c>
      <c r="U20" s="2702">
        <f>Table!J286</f>
        <v>0</v>
      </c>
      <c r="V20" s="2702">
        <f>Table!K286</f>
        <v>0</v>
      </c>
      <c r="W20" s="2702">
        <f>Table!L286</f>
        <v>0</v>
      </c>
      <c r="X20" s="2702">
        <f>Table!M286</f>
        <v>0</v>
      </c>
      <c r="Y20" s="2702">
        <f>Table!N286</f>
        <v>0</v>
      </c>
      <c r="Z20" s="2702">
        <f>Table!O286</f>
        <v>0</v>
      </c>
      <c r="AA20" s="2702">
        <f>Table!P286</f>
        <v>0</v>
      </c>
      <c r="AB20" s="381"/>
      <c r="AC20" s="381"/>
      <c r="AD20" s="381"/>
      <c r="AE20" s="381"/>
      <c r="AF20" s="1034"/>
    </row>
    <row r="21" spans="1:32" ht="12.75" customHeight="1">
      <c r="A21" t="s">
        <v>428</v>
      </c>
      <c r="C21" s="84">
        <f>C19/(C19+C20)</f>
        <v>0.32388983567840407</v>
      </c>
      <c r="E21" s="46"/>
      <c r="F21" s="46"/>
      <c r="G21" s="46"/>
      <c r="H21" s="46"/>
      <c r="I21" s="46"/>
      <c r="J21" s="46"/>
      <c r="K21" s="159"/>
      <c r="L21" s="348" t="s">
        <v>667</v>
      </c>
      <c r="M21" s="2703">
        <f>Table!B287</f>
        <v>539.68685923224393</v>
      </c>
      <c r="N21" s="2703">
        <f>Table!C287</f>
        <v>0</v>
      </c>
      <c r="O21" s="2703">
        <f>Table!D287</f>
        <v>394.67998423224384</v>
      </c>
      <c r="P21" s="2703">
        <f>Table!E287</f>
        <v>539.68685923224393</v>
      </c>
      <c r="Q21" s="2703">
        <f>Table!F287</f>
        <v>0</v>
      </c>
      <c r="R21" s="2703">
        <f>Table!G287</f>
        <v>346.01666007970141</v>
      </c>
      <c r="S21" s="2703">
        <f>Table!H287</f>
        <v>227.68039373860282</v>
      </c>
      <c r="T21" s="2703">
        <f>Table!I287</f>
        <v>0</v>
      </c>
      <c r="U21" s="2703">
        <f>Table!J287</f>
        <v>51.428755497077418</v>
      </c>
      <c r="V21" s="2703">
        <f>Table!K287</f>
        <v>67.460857404030492</v>
      </c>
      <c r="W21" s="2703">
        <f>Table!L287</f>
        <v>37.270905572664446</v>
      </c>
      <c r="X21" s="2703">
        <f>Table!M287</f>
        <v>0</v>
      </c>
      <c r="Y21" s="2703">
        <f>Table!N287</f>
        <v>67.460857404030492</v>
      </c>
      <c r="Z21" s="2703">
        <f>Table!O287</f>
        <v>52.668892595969538</v>
      </c>
      <c r="AA21" s="2703">
        <f>Table!P287</f>
        <v>0</v>
      </c>
      <c r="AB21" s="2703" t="e">
        <f>Table!Q287</f>
        <v>#NUM!</v>
      </c>
      <c r="AC21" s="2703" t="e">
        <f>Table!R287</f>
        <v>#NUM!</v>
      </c>
      <c r="AD21" s="2703" t="e">
        <f>Table!S287</f>
        <v>#NUM!</v>
      </c>
      <c r="AE21" s="2703">
        <f>Table!T287</f>
        <v>3.3814496629350961</v>
      </c>
      <c r="AF21" s="2703">
        <f>Table!U287</f>
        <v>3.537323233575115</v>
      </c>
    </row>
    <row r="22" spans="1:32" ht="12.75" customHeight="1">
      <c r="A22" t="s">
        <v>12</v>
      </c>
      <c r="C22" s="84">
        <f>1-C21/3</f>
        <v>0.89203672144053203</v>
      </c>
      <c r="J22" s="46"/>
      <c r="K22" s="159"/>
      <c r="L22" s="348" t="s">
        <v>668</v>
      </c>
      <c r="M22" s="2703">
        <f>Table!B288</f>
        <v>120.43583572756029</v>
      </c>
      <c r="N22" s="2703">
        <f>Table!C288</f>
        <v>0</v>
      </c>
      <c r="O22" s="2703">
        <f>Table!D288</f>
        <v>34.471411893306026</v>
      </c>
      <c r="P22" s="2703">
        <f>Table!E288</f>
        <v>-3.8649429769237713</v>
      </c>
      <c r="Q22" s="2703">
        <f>Table!F288</f>
        <v>109.62462045494453</v>
      </c>
      <c r="R22" s="2703">
        <f>Table!G288</f>
        <v>0</v>
      </c>
      <c r="S22" s="2703">
        <f>Table!H288</f>
        <v>109.50342746475667</v>
      </c>
      <c r="T22" s="2703">
        <f>Table!I288</f>
        <v>0</v>
      </c>
      <c r="U22" s="2703">
        <f>Table!J288</f>
        <v>10.935999737002305</v>
      </c>
      <c r="V22" s="2703">
        <f>Table!K288</f>
        <v>32.44545998955752</v>
      </c>
      <c r="W22" s="2703">
        <f>Table!L288</f>
        <v>27.257000074001894</v>
      </c>
      <c r="X22" s="2703">
        <f>Table!M288</f>
        <v>0</v>
      </c>
      <c r="Y22" s="2703">
        <f>Table!N288</f>
        <v>32.44545998955752</v>
      </c>
      <c r="Z22" s="2703">
        <f>Table!O288</f>
        <v>36.034640010442558</v>
      </c>
      <c r="AA22" s="2703">
        <f>Table!P288</f>
        <v>0</v>
      </c>
      <c r="AB22" s="123"/>
      <c r="AC22" s="123"/>
      <c r="AD22" s="123"/>
      <c r="AE22" s="123"/>
      <c r="AF22" s="2764"/>
    </row>
    <row r="23" spans="1:32" ht="12.75" customHeight="1">
      <c r="A23" t="s">
        <v>429</v>
      </c>
      <c r="C23" s="54">
        <f>0.5*C17*C21*C22</f>
        <v>1.4301620542760574</v>
      </c>
      <c r="D23" s="187" t="s">
        <v>421</v>
      </c>
      <c r="E23" s="18"/>
      <c r="J23" s="46"/>
      <c r="K23" s="159"/>
      <c r="L23" s="348" t="s">
        <v>669</v>
      </c>
      <c r="M23" s="2707">
        <f>Table!B289</f>
        <v>120.43583572756029</v>
      </c>
      <c r="N23" s="2707">
        <f>Table!C289</f>
        <v>22.641181856694004</v>
      </c>
      <c r="O23" s="2707">
        <f>Table!D289</f>
        <v>0</v>
      </c>
      <c r="P23" s="2707">
        <f>Table!E289</f>
        <v>-3.8649429769237713</v>
      </c>
      <c r="Q23" s="2707">
        <f>Table!F289</f>
        <v>195.85327342104631</v>
      </c>
      <c r="R23" s="2707">
        <f>Table!G289</f>
        <v>0</v>
      </c>
      <c r="S23" s="2707">
        <f>Table!H289</f>
        <v>109.50342746475667</v>
      </c>
      <c r="T23" s="2707">
        <f>Table!I289</f>
        <v>66.748210776768758</v>
      </c>
      <c r="U23" s="2707">
        <f>Table!J289</f>
        <v>0</v>
      </c>
      <c r="V23" s="2707">
        <f>Table!K289</f>
        <v>32.44545998955752</v>
      </c>
      <c r="W23" s="2707">
        <f>Table!L289</f>
        <v>72.286302987137418</v>
      </c>
      <c r="X23" s="2707">
        <f>Table!M289</f>
        <v>0</v>
      </c>
      <c r="Y23" s="2707">
        <f>Table!N289</f>
        <v>32.44545998955752</v>
      </c>
      <c r="Z23" s="2707">
        <f>Table!O289</f>
        <v>87.68429001044251</v>
      </c>
      <c r="AA23" s="2707">
        <f>Table!P289</f>
        <v>0</v>
      </c>
      <c r="AB23" s="2707">
        <f>Table!Q289</f>
        <v>2.1333743177575744</v>
      </c>
      <c r="AC23" s="2707">
        <f>Table!R289</f>
        <v>1.3189751654073572</v>
      </c>
      <c r="AD23" s="2707">
        <f>Table!S289</f>
        <v>2.7386363093439887</v>
      </c>
      <c r="AE23" s="2707">
        <f>Table!T289</f>
        <v>2.4785500943559051</v>
      </c>
      <c r="AF23" s="2707">
        <f>Table!U289</f>
        <v>2.6918328425422189</v>
      </c>
    </row>
    <row r="24" spans="1:32" ht="12.75" customHeight="1">
      <c r="A24" s="187" t="s">
        <v>452</v>
      </c>
      <c r="C24" s="84">
        <f>0.091*C12^0.5</f>
        <v>0.42682783414393211</v>
      </c>
      <c r="D24" s="187" t="s">
        <v>421</v>
      </c>
      <c r="E24" s="30" t="s">
        <v>430</v>
      </c>
      <c r="H24" s="115">
        <f>0.17*C12^0.5</f>
        <v>0.79737067916998317</v>
      </c>
      <c r="I24" s="187" t="s">
        <v>421</v>
      </c>
      <c r="J24" s="109"/>
      <c r="K24" s="159"/>
      <c r="L24" s="1852" t="s">
        <v>671</v>
      </c>
      <c r="M24" s="2715">
        <f>MAX(M20:M23)</f>
        <v>539.68685923224393</v>
      </c>
      <c r="N24" s="2715">
        <f t="shared" ref="N24:AA24" si="7">MAX(N20:N23)</f>
        <v>22.641181856694004</v>
      </c>
      <c r="O24" s="2715">
        <f t="shared" si="7"/>
        <v>394.67998423224384</v>
      </c>
      <c r="P24" s="2715">
        <f t="shared" si="7"/>
        <v>539.68685923224393</v>
      </c>
      <c r="Q24" s="2715">
        <f t="shared" si="7"/>
        <v>195.85327342104631</v>
      </c>
      <c r="R24" s="2715">
        <f t="shared" si="7"/>
        <v>346.01666007970141</v>
      </c>
      <c r="S24" s="2715">
        <f t="shared" si="7"/>
        <v>227.68039373860282</v>
      </c>
      <c r="T24" s="2715">
        <f t="shared" si="7"/>
        <v>66.748210776768758</v>
      </c>
      <c r="U24" s="2715">
        <f t="shared" si="7"/>
        <v>51.428755497077418</v>
      </c>
      <c r="V24" s="2715">
        <f t="shared" si="7"/>
        <v>67.460857404030492</v>
      </c>
      <c r="W24" s="2715">
        <f t="shared" si="7"/>
        <v>72.286302987137418</v>
      </c>
      <c r="X24" s="2715">
        <f t="shared" si="7"/>
        <v>0</v>
      </c>
      <c r="Y24" s="2715">
        <f t="shared" si="7"/>
        <v>67.460857404030492</v>
      </c>
      <c r="Z24" s="2715">
        <f t="shared" si="7"/>
        <v>87.68429001044251</v>
      </c>
      <c r="AA24" s="2715">
        <f t="shared" si="7"/>
        <v>0</v>
      </c>
      <c r="AB24" s="2776" t="e">
        <f>MIN(AB21,AB23)</f>
        <v>#NUM!</v>
      </c>
      <c r="AC24" s="2776" t="e">
        <f t="shared" ref="AC24:AF24" si="8">MIN(AC21,AC23)</f>
        <v>#NUM!</v>
      </c>
      <c r="AD24" s="2776" t="e">
        <f t="shared" si="8"/>
        <v>#NUM!</v>
      </c>
      <c r="AE24" s="2776">
        <f t="shared" si="8"/>
        <v>2.4785500943559051</v>
      </c>
      <c r="AF24" s="2776">
        <f t="shared" si="8"/>
        <v>2.6918328425422189</v>
      </c>
    </row>
    <row r="25" spans="1:32" ht="15" customHeight="1">
      <c r="K25" s="159"/>
      <c r="L25" s="337"/>
      <c r="AB25" s="104"/>
      <c r="AC25" s="104"/>
      <c r="AD25" s="104"/>
      <c r="AE25" s="104"/>
      <c r="AF25" s="2765"/>
    </row>
    <row r="26" spans="1:32">
      <c r="E26" s="54">
        <f>E60-I58</f>
        <v>17.7</v>
      </c>
      <c r="K26" s="159"/>
      <c r="L26" s="2716" t="s">
        <v>671</v>
      </c>
      <c r="M26" s="2661">
        <f>MAX(M12,M24)</f>
        <v>539.68685923224393</v>
      </c>
      <c r="N26" s="456">
        <f t="shared" ref="N26:AA26" si="9">MAX(N12,N24)</f>
        <v>22.641181856694004</v>
      </c>
      <c r="O26" s="2662">
        <f t="shared" si="9"/>
        <v>410.2190467322439</v>
      </c>
      <c r="P26" s="456">
        <f t="shared" si="9"/>
        <v>539.68685923224393</v>
      </c>
      <c r="Q26" s="456">
        <f t="shared" si="9"/>
        <v>195.85327342104631</v>
      </c>
      <c r="R26" s="456">
        <f t="shared" si="9"/>
        <v>366.77052660512527</v>
      </c>
      <c r="S26" s="2661">
        <f t="shared" si="9"/>
        <v>227.68039373860282</v>
      </c>
      <c r="T26" s="456">
        <f t="shared" si="9"/>
        <v>66.748210776768758</v>
      </c>
      <c r="U26" s="2662">
        <f t="shared" si="9"/>
        <v>75.468211932458757</v>
      </c>
      <c r="V26" s="456">
        <f t="shared" si="9"/>
        <v>67.460857404030492</v>
      </c>
      <c r="W26" s="456">
        <f t="shared" si="9"/>
        <v>72.286302987137418</v>
      </c>
      <c r="X26" s="456">
        <f t="shared" si="9"/>
        <v>0</v>
      </c>
      <c r="Y26" s="2661">
        <f t="shared" si="9"/>
        <v>67.460857404030492</v>
      </c>
      <c r="Z26" s="456">
        <f t="shared" si="9"/>
        <v>87.68429001044251</v>
      </c>
      <c r="AA26" s="2662">
        <f t="shared" si="9"/>
        <v>0</v>
      </c>
      <c r="AB26" s="2777" t="e">
        <f>MIN(AB12,AB24)</f>
        <v>#NUM!</v>
      </c>
      <c r="AC26" s="2777" t="e">
        <f>MIN(AC12,AC24)</f>
        <v>#NUM!</v>
      </c>
      <c r="AD26" s="2777" t="e">
        <f>MIN(AD12,AD24)</f>
        <v>#NUM!</v>
      </c>
      <c r="AE26" s="2777">
        <f>MIN(AE12,AE24)</f>
        <v>2.4785500943559051</v>
      </c>
      <c r="AF26" s="2777">
        <f>MIN(AF12,AF24)</f>
        <v>2.6918328425422189</v>
      </c>
    </row>
    <row r="27" spans="1:32" ht="15">
      <c r="E27" s="33">
        <f>B28+D28</f>
        <v>14.400000000000002</v>
      </c>
      <c r="H27" s="33">
        <f>E26-E27</f>
        <v>3.2999999999999972</v>
      </c>
      <c r="K27" s="159"/>
      <c r="L27" s="337"/>
    </row>
    <row r="28" spans="1:32">
      <c r="B28" s="188">
        <f>B58</f>
        <v>2.7</v>
      </c>
      <c r="C28" s="109"/>
      <c r="D28" s="189">
        <f>(C35-H40)*I18</f>
        <v>11.700000000000001</v>
      </c>
      <c r="K28" s="159"/>
    </row>
    <row r="29" spans="1:32">
      <c r="C29" s="10">
        <f>B28+D31</f>
        <v>8.5500000000000007</v>
      </c>
      <c r="K29" s="159"/>
    </row>
    <row r="30" spans="1:32">
      <c r="K30" s="159"/>
    </row>
    <row r="31" spans="1:32" ht="15">
      <c r="D31" s="853">
        <f>D28/2</f>
        <v>5.8500000000000005</v>
      </c>
      <c r="E31" t="s">
        <v>5</v>
      </c>
      <c r="K31" s="159"/>
    </row>
    <row r="32" spans="1:32" ht="15">
      <c r="B32" s="856">
        <v>1</v>
      </c>
      <c r="K32" s="159"/>
      <c r="L32" s="337"/>
    </row>
    <row r="33" spans="1:17" ht="15">
      <c r="C33" s="1364">
        <f>IF(Hydraulic!I44=0,"",2)</f>
        <v>2</v>
      </c>
      <c r="K33" s="159"/>
      <c r="L33" s="61"/>
    </row>
    <row r="34" spans="1:17" ht="15">
      <c r="A34" s="205">
        <f>DATA!C48-(DATA!G45+DATA!F44)/(I18*1000)</f>
        <v>14.8</v>
      </c>
      <c r="B34" t="s">
        <v>5</v>
      </c>
      <c r="E34" s="1365">
        <f>IF(C35=E37,"",IF(Hydraulic!I44=0,2,3))</f>
        <v>3</v>
      </c>
      <c r="K34" s="159"/>
      <c r="L34" s="203"/>
    </row>
    <row r="35" spans="1:17" ht="15">
      <c r="C35" s="223">
        <f>IF(A34-B58/I18&lt;=H40,H40,A34-B58/I18)</f>
        <v>13.9</v>
      </c>
      <c r="G35" s="1368">
        <f>IF(H40=E37,"",IF(E34="",IF(C33="",B32+1,N(C33)+1),N(E34)+1))</f>
        <v>4</v>
      </c>
      <c r="K35" s="159"/>
      <c r="L35" s="337"/>
    </row>
    <row r="36" spans="1:17">
      <c r="K36" s="159"/>
      <c r="M36" s="495" t="s">
        <v>1806</v>
      </c>
      <c r="N36" s="55"/>
      <c r="O36" s="55"/>
      <c r="P36" s="2081"/>
    </row>
    <row r="37" spans="1:17" ht="15">
      <c r="E37" s="1937">
        <f>IF(C35-D31/I18&lt;=H40,H40,C35-D31/I18)</f>
        <v>11.95</v>
      </c>
      <c r="F37" t="s">
        <v>5</v>
      </c>
      <c r="K37" s="159"/>
      <c r="M37" s="369" t="s">
        <v>1807</v>
      </c>
      <c r="N37" s="16"/>
      <c r="O37" s="16"/>
      <c r="P37" s="58"/>
    </row>
    <row r="38" spans="1:17" ht="15">
      <c r="I38" s="2055">
        <f>IF(G35="",IF(E34="",IF(C33="",B32+1,C33+1),E34+1),G35+1)</f>
        <v>5</v>
      </c>
      <c r="K38" s="159"/>
      <c r="L38" s="337"/>
      <c r="M38" s="371" t="s">
        <v>1808</v>
      </c>
      <c r="N38" s="59"/>
      <c r="O38" s="59"/>
      <c r="P38" s="60"/>
    </row>
    <row r="39" spans="1:17">
      <c r="K39" s="159"/>
    </row>
    <row r="40" spans="1:17" ht="15">
      <c r="B40" s="854">
        <f>IF(F4=1,H5,H6)</f>
        <v>12.233463301397501</v>
      </c>
      <c r="C40" t="s">
        <v>5</v>
      </c>
      <c r="G40" s="17" t="s">
        <v>149</v>
      </c>
      <c r="H40" s="141">
        <f>Hydraulic!I54</f>
        <v>10</v>
      </c>
      <c r="K40" s="159"/>
      <c r="L40" s="337"/>
    </row>
    <row r="41" spans="1:17">
      <c r="C41" s="2056">
        <f>B40-((B40-I46)/E26)*B28</f>
        <v>12.346014906364156</v>
      </c>
      <c r="K41" s="159"/>
      <c r="L41" s="61"/>
    </row>
    <row r="42" spans="1:17" ht="15">
      <c r="E42" s="2057">
        <f>B40-((B40-I46)/E26)*(B28+D31)</f>
        <v>12.589876717125241</v>
      </c>
      <c r="K42" s="159"/>
      <c r="L42" s="337"/>
    </row>
    <row r="43" spans="1:17" ht="15">
      <c r="K43" s="159"/>
      <c r="L43" s="337"/>
      <c r="P43" s="2" t="s">
        <v>1835</v>
      </c>
    </row>
    <row r="44" spans="1:17" ht="15">
      <c r="A44" s="33">
        <f>A34-A49</f>
        <v>7.8000000000000007</v>
      </c>
      <c r="D44" s="340"/>
      <c r="E44" s="337"/>
      <c r="G44" s="790">
        <f>B40-((B40-I46)/E26)*E27</f>
        <v>12.833738527886329</v>
      </c>
      <c r="J44" s="36">
        <f>H40-F51</f>
        <v>3.9000000000000004</v>
      </c>
      <c r="K44" s="159"/>
      <c r="L44" s="344"/>
      <c r="P44" s="2" t="s">
        <v>1836</v>
      </c>
    </row>
    <row r="45" spans="1:17" ht="15">
      <c r="D45" s="338" t="s">
        <v>650</v>
      </c>
      <c r="E45" s="362">
        <f>IF(F4=1,J5,J6)</f>
        <v>13.9</v>
      </c>
      <c r="K45" s="159"/>
      <c r="L45" s="337"/>
      <c r="P45" s="2048">
        <f>I58</f>
        <v>1.2</v>
      </c>
    </row>
    <row r="46" spans="1:17" ht="15">
      <c r="D46" s="338"/>
      <c r="E46" s="110"/>
      <c r="I46" s="854">
        <f>IF(F4=1,I5,I6)</f>
        <v>12.971301600623351</v>
      </c>
      <c r="K46" s="159"/>
      <c r="L46" s="337"/>
      <c r="Q46" s="3223">
        <f>J52</f>
        <v>0.65</v>
      </c>
    </row>
    <row r="47" spans="1:17" ht="15">
      <c r="G47" s="17" t="s">
        <v>320</v>
      </c>
      <c r="K47" s="159"/>
      <c r="L47" s="337"/>
      <c r="Q47" s="3223"/>
    </row>
    <row r="48" spans="1:17" ht="15">
      <c r="K48" s="159"/>
      <c r="L48" s="337"/>
      <c r="Q48" s="3223">
        <f>J53</f>
        <v>0.3</v>
      </c>
    </row>
    <row r="49" spans="1:21" ht="15">
      <c r="A49" s="133">
        <f>Hydraulic!D26-Hydraulic!D27</f>
        <v>7</v>
      </c>
      <c r="K49" s="159"/>
      <c r="L49" s="337"/>
      <c r="Q49" s="3223"/>
    </row>
    <row r="50" spans="1:21" ht="15">
      <c r="A50" s="33">
        <f>A65</f>
        <v>1.2</v>
      </c>
      <c r="C50" s="162">
        <f>A49-F51</f>
        <v>0.90000000000000036</v>
      </c>
      <c r="D50" t="s">
        <v>5</v>
      </c>
      <c r="K50" s="159"/>
      <c r="L50" s="337"/>
    </row>
    <row r="51" spans="1:21" ht="15">
      <c r="F51" s="141">
        <f>Hydraulic!I43</f>
        <v>6.1</v>
      </c>
      <c r="K51" s="159"/>
      <c r="L51" s="337"/>
    </row>
    <row r="52" spans="1:21" ht="15">
      <c r="J52" s="190">
        <f>J66</f>
        <v>0.65</v>
      </c>
      <c r="K52" s="159"/>
      <c r="L52" s="337"/>
      <c r="O52" s="36">
        <f>Hydraulic!G33</f>
        <v>0.3</v>
      </c>
      <c r="P52" s="340">
        <f>I55</f>
        <v>0.9</v>
      </c>
    </row>
    <row r="53" spans="1:21" ht="15">
      <c r="J53" s="2141">
        <f>Hydraulic!J28</f>
        <v>0.3</v>
      </c>
      <c r="K53" s="159"/>
      <c r="L53" s="337"/>
      <c r="M53" s="337"/>
      <c r="N53" s="337"/>
      <c r="O53" s="337"/>
      <c r="Q53" s="337"/>
      <c r="R53" s="337"/>
      <c r="S53" s="337"/>
      <c r="T53" s="337"/>
      <c r="U53" s="337"/>
    </row>
    <row r="54" spans="1:21" ht="15">
      <c r="D54" s="33">
        <f>C69</f>
        <v>1.2</v>
      </c>
      <c r="I54" s="849">
        <f>I38</f>
        <v>5</v>
      </c>
      <c r="K54" s="159"/>
      <c r="L54" s="337"/>
      <c r="M54" s="337"/>
      <c r="N54" s="337"/>
      <c r="O54" s="793">
        <f>O52+P52</f>
        <v>1.2</v>
      </c>
      <c r="P54" s="338"/>
      <c r="R54" s="337"/>
      <c r="S54" s="337"/>
      <c r="T54" s="337"/>
      <c r="U54" s="337"/>
    </row>
    <row r="55" spans="1:21" ht="15">
      <c r="B55" s="849">
        <f>B32</f>
        <v>1</v>
      </c>
      <c r="C55" s="18">
        <f>C33</f>
        <v>2</v>
      </c>
      <c r="I55" s="205">
        <f>Hydraulic!I33</f>
        <v>0.9</v>
      </c>
      <c r="K55" s="159"/>
      <c r="L55" s="337"/>
      <c r="M55" s="337"/>
      <c r="N55" s="337"/>
      <c r="O55" s="337"/>
      <c r="P55" s="338"/>
      <c r="Q55" s="84"/>
      <c r="R55" s="337"/>
      <c r="S55" s="337"/>
      <c r="T55" s="337"/>
      <c r="U55" s="337"/>
    </row>
    <row r="56" spans="1:21" ht="15">
      <c r="E56" s="850">
        <f>E34</f>
        <v>3</v>
      </c>
      <c r="G56" s="849">
        <f>G35</f>
        <v>4</v>
      </c>
      <c r="K56" s="159"/>
      <c r="L56" s="337"/>
      <c r="M56" s="337"/>
      <c r="N56" s="337"/>
      <c r="O56" s="337"/>
      <c r="P56" s="338"/>
      <c r="Q56" s="84"/>
      <c r="R56" s="337"/>
      <c r="S56" s="337"/>
      <c r="T56" s="337"/>
      <c r="U56" s="337"/>
    </row>
    <row r="57" spans="1:21" ht="15">
      <c r="A57" s="337"/>
      <c r="B57" s="337"/>
      <c r="C57" s="337"/>
      <c r="D57" s="337"/>
      <c r="E57" s="338"/>
      <c r="F57" s="84"/>
      <c r="G57" s="337"/>
      <c r="H57" s="337"/>
      <c r="I57" s="337"/>
      <c r="J57" s="337"/>
      <c r="K57" s="159"/>
      <c r="Q57" s="46"/>
      <c r="R57" s="46"/>
      <c r="S57" s="46"/>
      <c r="T57" s="46"/>
      <c r="U57" s="46"/>
    </row>
    <row r="58" spans="1:21" ht="15">
      <c r="A58" s="337"/>
      <c r="B58" s="188">
        <f>Hydraulic!I46</f>
        <v>2.7</v>
      </c>
      <c r="C58" s="337"/>
      <c r="D58" s="337"/>
      <c r="E58" s="338"/>
      <c r="F58" s="220">
        <f>E60-B58-I58</f>
        <v>15</v>
      </c>
      <c r="G58" s="337"/>
      <c r="H58" s="337"/>
      <c r="I58" s="205">
        <f>Hydraulic!I56</f>
        <v>1.2</v>
      </c>
      <c r="J58" s="337"/>
      <c r="K58" s="159"/>
      <c r="Q58" s="46"/>
      <c r="R58" s="46"/>
      <c r="S58" s="46"/>
      <c r="T58" s="46"/>
      <c r="U58" s="46"/>
    </row>
    <row r="59" spans="1:21" ht="15">
      <c r="A59" s="337"/>
      <c r="B59" s="337"/>
      <c r="C59" s="337"/>
      <c r="D59" s="337"/>
      <c r="E59" s="338"/>
      <c r="F59" s="84"/>
      <c r="G59" s="337"/>
      <c r="H59" s="337"/>
      <c r="I59" s="337"/>
      <c r="J59" s="337"/>
      <c r="K59" s="159"/>
      <c r="L59" s="3236" t="s">
        <v>1120</v>
      </c>
      <c r="M59" s="3237"/>
      <c r="N59" s="3237"/>
      <c r="O59" s="3237"/>
      <c r="P59" s="3238"/>
      <c r="Q59" s="3247" t="s">
        <v>2033</v>
      </c>
      <c r="R59" s="3248"/>
      <c r="S59" s="3248"/>
      <c r="T59" s="3249"/>
      <c r="U59" s="46"/>
    </row>
    <row r="60" spans="1:21" ht="15">
      <c r="A60" s="337"/>
      <c r="B60" s="337"/>
      <c r="C60" s="337"/>
      <c r="D60" s="337"/>
      <c r="E60" s="84">
        <f>Hydraulic!I49</f>
        <v>18.899999999999999</v>
      </c>
      <c r="F60" s="85" t="s">
        <v>5</v>
      </c>
      <c r="G60" s="337"/>
      <c r="H60" s="337"/>
      <c r="I60" s="337"/>
      <c r="J60" s="337"/>
      <c r="K60" s="159"/>
      <c r="L60" s="2049" t="s">
        <v>876</v>
      </c>
      <c r="M60" s="798" t="s">
        <v>1117</v>
      </c>
      <c r="N60" s="799"/>
      <c r="O60" s="812" t="s">
        <v>619</v>
      </c>
      <c r="P60" s="1990" t="s">
        <v>676</v>
      </c>
      <c r="Q60" s="2539" t="s">
        <v>1695</v>
      </c>
      <c r="R60" s="355" t="s">
        <v>1329</v>
      </c>
      <c r="S60" s="355" t="s">
        <v>1330</v>
      </c>
      <c r="T60" s="2548" t="s">
        <v>676</v>
      </c>
      <c r="U60" s="46"/>
    </row>
    <row r="61" spans="1:21" ht="15">
      <c r="A61" s="337"/>
      <c r="B61" s="337"/>
      <c r="C61" s="337"/>
      <c r="D61" s="337"/>
      <c r="E61" s="337"/>
      <c r="F61" s="337"/>
      <c r="G61" s="337"/>
      <c r="H61" s="337"/>
      <c r="I61" s="337"/>
      <c r="J61" s="337"/>
      <c r="K61" s="159"/>
      <c r="L61" s="800"/>
      <c r="M61" s="3217" t="s">
        <v>1119</v>
      </c>
      <c r="N61" s="801" t="s">
        <v>1118</v>
      </c>
      <c r="O61" s="813" t="s">
        <v>99</v>
      </c>
      <c r="P61" s="1991"/>
      <c r="Q61" s="960"/>
      <c r="R61" s="354" t="s">
        <v>619</v>
      </c>
      <c r="S61" s="354" t="s">
        <v>619</v>
      </c>
      <c r="T61" s="58"/>
      <c r="U61" s="46"/>
    </row>
    <row r="62" spans="1:21" ht="15">
      <c r="A62" s="337"/>
      <c r="B62" s="337"/>
      <c r="C62" s="337"/>
      <c r="D62" s="337"/>
      <c r="E62" s="337"/>
      <c r="F62" s="337"/>
      <c r="G62" s="337"/>
      <c r="H62" s="337"/>
      <c r="I62" s="337"/>
      <c r="J62" s="337"/>
      <c r="K62" s="159"/>
      <c r="L62" s="2553"/>
      <c r="M62" s="3218"/>
      <c r="N62" s="2553"/>
      <c r="O62" s="2552" t="s">
        <v>5</v>
      </c>
      <c r="P62" s="1992"/>
      <c r="Q62" s="1861" t="s">
        <v>5</v>
      </c>
      <c r="R62" s="256" t="s">
        <v>5</v>
      </c>
      <c r="S62" s="256" t="s">
        <v>5</v>
      </c>
      <c r="T62" s="93"/>
      <c r="U62" s="46"/>
    </row>
    <row r="63" spans="1:21">
      <c r="A63" s="46"/>
      <c r="B63" s="46" t="str">
        <f>"Sec "&amp;B32&amp;"-"&amp;B32</f>
        <v>Sec 1-1</v>
      </c>
      <c r="C63" s="46"/>
      <c r="D63" s="489">
        <f>D31</f>
        <v>5.8500000000000005</v>
      </c>
      <c r="E63" s="46"/>
      <c r="F63" s="489">
        <f>D28-D31</f>
        <v>5.8500000000000005</v>
      </c>
      <c r="G63" s="46"/>
      <c r="H63" s="44">
        <f>H27</f>
        <v>3.2999999999999972</v>
      </c>
      <c r="I63" s="224">
        <f>I58</f>
        <v>1.2</v>
      </c>
      <c r="J63" s="46"/>
      <c r="K63" s="159"/>
      <c r="L63" s="804" t="str">
        <f>B32&amp;"-"&amp;B32</f>
        <v>1-1</v>
      </c>
      <c r="M63" s="1880">
        <f>Hydraulic!A955</f>
        <v>1.270097559421417</v>
      </c>
      <c r="N63" s="2556">
        <f>I211</f>
        <v>-0.3336407583355927</v>
      </c>
      <c r="O63" s="810">
        <v>1.2</v>
      </c>
      <c r="P63" s="2555" t="str">
        <f>I276</f>
        <v>o.k</v>
      </c>
      <c r="Q63" s="2536">
        <f>I124</f>
        <v>7.8000000000000007</v>
      </c>
      <c r="R63" s="810">
        <v>0.3</v>
      </c>
      <c r="S63" s="810">
        <v>0.8</v>
      </c>
      <c r="T63" s="2538" t="str">
        <f>I135</f>
        <v>ok</v>
      </c>
      <c r="U63" s="46"/>
    </row>
    <row r="64" spans="1:21" ht="15">
      <c r="C64" s="18" t="str">
        <f>"Sec "&amp;C33&amp;"-"&amp;C33</f>
        <v>Sec 2-2</v>
      </c>
      <c r="E64" s="18" t="str">
        <f>"Sec "&amp;E34&amp;"-"&amp;E34</f>
        <v>Sec 3-3</v>
      </c>
      <c r="G64" s="18" t="str">
        <f>"Sec "&amp;G35&amp;"-"&amp;G35</f>
        <v>Sec 4-4</v>
      </c>
      <c r="I64" s="220" t="str">
        <f>"Sec "&amp;I38&amp;"-"&amp;I38</f>
        <v>Sec 5-5</v>
      </c>
      <c r="K64" s="159"/>
      <c r="L64" s="806" t="str">
        <f>C33&amp;"-"&amp;C33</f>
        <v>2-2</v>
      </c>
      <c r="M64" s="917">
        <f>Hydraulic!C959</f>
        <v>1.1812313992663344</v>
      </c>
      <c r="N64" s="2554">
        <f>I459</f>
        <v>-0.11710150660696672</v>
      </c>
      <c r="O64" s="591">
        <v>1.2</v>
      </c>
      <c r="P64" s="2555" t="str">
        <f>I524</f>
        <v>o.k</v>
      </c>
      <c r="Q64" s="446">
        <f>I373</f>
        <v>7.8000000000000007</v>
      </c>
      <c r="R64" s="591">
        <v>0.3</v>
      </c>
      <c r="S64" s="591">
        <v>0.8</v>
      </c>
      <c r="T64" s="2537" t="str">
        <f>I384</f>
        <v>ok</v>
      </c>
      <c r="U64" s="46"/>
    </row>
    <row r="65" spans="1:21">
      <c r="A65" s="2042">
        <f>I212</f>
        <v>1.2</v>
      </c>
      <c r="B65" s="520" t="s">
        <v>895</v>
      </c>
      <c r="C65" s="46"/>
      <c r="D65" s="36"/>
      <c r="E65" s="36"/>
      <c r="F65" s="36"/>
      <c r="G65" s="84"/>
      <c r="H65" s="189"/>
      <c r="K65" s="159"/>
      <c r="L65" s="2551" t="str">
        <f>E34&amp;"-"&amp;E34</f>
        <v>3-3</v>
      </c>
      <c r="M65" s="1367">
        <f>Hydraulic!E959</f>
        <v>0.99785678307330694</v>
      </c>
      <c r="N65" s="2557">
        <f>I707</f>
        <v>0.4086122248146643</v>
      </c>
      <c r="O65" s="1367">
        <f>I708</f>
        <v>1.0013888888888889</v>
      </c>
      <c r="P65" s="2555" t="str">
        <f>I772</f>
        <v>o.k</v>
      </c>
      <c r="Q65" s="446">
        <f>I620</f>
        <v>5.85</v>
      </c>
      <c r="R65" s="591">
        <v>0.3</v>
      </c>
      <c r="S65" s="591">
        <v>0.6</v>
      </c>
      <c r="T65" s="2537" t="str">
        <f>I631</f>
        <v>ok</v>
      </c>
      <c r="U65" s="46"/>
    </row>
    <row r="66" spans="1:21" ht="15">
      <c r="B66" s="46"/>
      <c r="C66" s="46"/>
      <c r="D66" s="14"/>
      <c r="E66" s="14"/>
      <c r="F66" s="14"/>
      <c r="J66" s="3252">
        <f>I1206</f>
        <v>0.65</v>
      </c>
      <c r="K66" s="159"/>
      <c r="L66" s="919" t="str">
        <f>G35&amp;"-"&amp;G35</f>
        <v>4-4</v>
      </c>
      <c r="M66" s="1367">
        <f>Hydraulic!F959</f>
        <v>0.81448216688027963</v>
      </c>
      <c r="N66" s="2557">
        <f>I956</f>
        <v>0.55704202367150801</v>
      </c>
      <c r="O66" s="1367">
        <f>I957</f>
        <v>0.8027777777777777</v>
      </c>
      <c r="P66" s="2555" t="str">
        <f>I1021</f>
        <v>o.k</v>
      </c>
      <c r="Q66" s="446">
        <f>I869</f>
        <v>3.9000000000000004</v>
      </c>
      <c r="R66" s="591">
        <v>0.3</v>
      </c>
      <c r="S66" s="591">
        <v>0.45</v>
      </c>
      <c r="T66" s="2537" t="str">
        <f>I880</f>
        <v>ok</v>
      </c>
      <c r="U66" s="46"/>
    </row>
    <row r="67" spans="1:21" ht="15">
      <c r="B67" s="46"/>
      <c r="C67" s="46" t="s">
        <v>894</v>
      </c>
      <c r="D67" s="34"/>
      <c r="E67" s="34"/>
      <c r="F67" s="34"/>
      <c r="H67" s="11"/>
      <c r="I67" s="519" t="s">
        <v>304</v>
      </c>
      <c r="J67" s="3252"/>
      <c r="K67" s="159"/>
      <c r="L67" s="808" t="str">
        <f>I38&amp;"-"&amp;I38</f>
        <v>5-5</v>
      </c>
      <c r="M67" s="1363">
        <f>Hydraulic!G960</f>
        <v>0.71104007569446948</v>
      </c>
      <c r="N67" s="2558">
        <f>+I1205</f>
        <v>0.48429588964795778</v>
      </c>
      <c r="O67" s="592">
        <v>0.65</v>
      </c>
      <c r="P67" s="2559" t="str">
        <f>I1270</f>
        <v>o.k</v>
      </c>
      <c r="Q67" s="1729">
        <f>I1118</f>
        <v>3.9000000000000004</v>
      </c>
      <c r="R67" s="592">
        <v>0.3</v>
      </c>
      <c r="S67" s="592">
        <v>0.45</v>
      </c>
      <c r="T67" s="170" t="str">
        <f>I1129</f>
        <v>ok</v>
      </c>
      <c r="U67" s="46"/>
    </row>
    <row r="68" spans="1:21" ht="15">
      <c r="A68" s="2" t="s">
        <v>708</v>
      </c>
      <c r="B68" s="46"/>
      <c r="C68" s="46"/>
      <c r="D68" s="14"/>
      <c r="E68" s="14"/>
      <c r="F68" s="14"/>
      <c r="K68" s="159"/>
      <c r="Q68" s="54"/>
      <c r="R68" s="337"/>
      <c r="S68" s="46"/>
      <c r="T68" s="337"/>
      <c r="U68" s="46"/>
    </row>
    <row r="69" spans="1:21" ht="15">
      <c r="C69" s="2043">
        <f>I460</f>
        <v>1.2</v>
      </c>
      <c r="D69" t="s">
        <v>5</v>
      </c>
      <c r="E69" s="2044">
        <f>J66+(C69-J66)*(I63+H63+F63)/(F71+I71)</f>
        <v>1.0013888888888889</v>
      </c>
      <c r="G69" s="2044">
        <f>J66+(C69-J66)*(I63+H63)/(F71+I71)</f>
        <v>0.8027777777777777</v>
      </c>
      <c r="H69" t="s">
        <v>5</v>
      </c>
      <c r="I69" s="343">
        <f>J66+I71*(C69-J66)/(F71+I71)</f>
        <v>0.69074074074074077</v>
      </c>
      <c r="K69" s="159"/>
      <c r="L69" s="187" t="s">
        <v>1865</v>
      </c>
      <c r="Q69" s="46"/>
      <c r="R69" s="46"/>
      <c r="S69" s="46"/>
      <c r="T69" s="337"/>
      <c r="U69" s="46"/>
    </row>
    <row r="70" spans="1:21" ht="15">
      <c r="A70" s="337"/>
      <c r="B70" s="337"/>
      <c r="C70" s="337"/>
      <c r="D70" s="337"/>
      <c r="E70" s="337"/>
      <c r="F70" s="337"/>
      <c r="G70" s="337"/>
      <c r="H70" s="337"/>
      <c r="J70" s="337"/>
      <c r="K70" s="159"/>
      <c r="Q70" s="46"/>
      <c r="R70" s="46"/>
      <c r="S70" s="46"/>
      <c r="T70" s="337"/>
      <c r="U70" s="46"/>
    </row>
    <row r="71" spans="1:21" ht="15">
      <c r="F71" s="33">
        <f>Hydraulic!I48-I71</f>
        <v>15</v>
      </c>
      <c r="G71" t="s">
        <v>5</v>
      </c>
      <c r="I71" s="33">
        <f>Hydraulic!I33+Hydraulic!G33</f>
        <v>1.2</v>
      </c>
      <c r="J71" s="46"/>
      <c r="K71" s="159"/>
      <c r="M71" s="33"/>
      <c r="Q71" s="46"/>
      <c r="R71" s="46"/>
      <c r="S71" s="46"/>
      <c r="T71" s="337"/>
      <c r="U71" s="46"/>
    </row>
    <row r="72" spans="1:21">
      <c r="C72" s="33"/>
      <c r="E72" s="115"/>
      <c r="I72" s="33"/>
      <c r="J72" s="46"/>
      <c r="K72" s="159"/>
    </row>
    <row r="73" spans="1:21" ht="15">
      <c r="B73" s="337"/>
      <c r="C73" s="337"/>
      <c r="D73" s="337"/>
      <c r="E73" s="337"/>
      <c r="F73" s="337"/>
      <c r="H73" s="337">
        <f>I38</f>
        <v>5</v>
      </c>
      <c r="J73" s="46"/>
      <c r="K73" s="159"/>
    </row>
    <row r="74" spans="1:21" ht="15">
      <c r="B74" s="849">
        <f>B32</f>
        <v>1</v>
      </c>
      <c r="D74" s="337"/>
      <c r="E74" s="850">
        <f>E34</f>
        <v>3</v>
      </c>
      <c r="F74" s="339">
        <f>G35</f>
        <v>4</v>
      </c>
      <c r="G74" s="337"/>
      <c r="H74" s="337"/>
      <c r="J74" s="46"/>
      <c r="K74" s="159"/>
    </row>
    <row r="75" spans="1:21" ht="15">
      <c r="B75" s="337"/>
      <c r="C75" s="849">
        <f>C33</f>
        <v>2</v>
      </c>
      <c r="E75" s="340"/>
      <c r="F75" s="337"/>
      <c r="G75" s="337"/>
      <c r="H75" s="337"/>
      <c r="J75" s="46"/>
      <c r="K75" s="159"/>
      <c r="M75" s="793"/>
    </row>
    <row r="76" spans="1:21" ht="15">
      <c r="B76" s="337"/>
      <c r="C76" s="337"/>
      <c r="D76" s="337"/>
      <c r="E76" s="340"/>
      <c r="F76" s="337"/>
      <c r="G76" s="337"/>
      <c r="H76" s="337"/>
      <c r="J76" s="46"/>
      <c r="K76" s="159"/>
      <c r="M76" s="337"/>
      <c r="N76" s="115"/>
      <c r="O76" s="115"/>
      <c r="P76" s="115"/>
    </row>
    <row r="77" spans="1:21" ht="15">
      <c r="A77" s="337"/>
      <c r="C77" s="337"/>
      <c r="D77" s="337"/>
      <c r="E77" s="340"/>
      <c r="F77" s="337"/>
      <c r="G77" s="337"/>
      <c r="H77" s="337"/>
      <c r="J77" s="46"/>
      <c r="K77" s="159"/>
    </row>
    <row r="78" spans="1:21" ht="15">
      <c r="A78" s="190">
        <f>H135</f>
        <v>0.8</v>
      </c>
      <c r="C78" s="337"/>
      <c r="D78" s="337"/>
      <c r="E78" s="340"/>
      <c r="F78" s="337"/>
      <c r="G78" s="291"/>
      <c r="H78" s="337"/>
      <c r="J78" s="46"/>
      <c r="K78" s="159"/>
    </row>
    <row r="79" spans="1:21" ht="15">
      <c r="A79" s="337"/>
      <c r="C79" s="337"/>
      <c r="D79" s="337"/>
      <c r="E79" s="340"/>
      <c r="F79" s="337"/>
      <c r="G79" s="337"/>
      <c r="H79" s="337"/>
      <c r="J79" s="46"/>
      <c r="K79" s="159"/>
    </row>
    <row r="80" spans="1:21" ht="15">
      <c r="A80" s="337"/>
      <c r="C80" s="337"/>
      <c r="D80" s="337"/>
      <c r="E80" s="340"/>
      <c r="F80" s="337"/>
      <c r="G80" s="337"/>
      <c r="H80" s="337"/>
      <c r="J80" s="46"/>
      <c r="K80" s="159"/>
    </row>
    <row r="81" spans="1:21" ht="15">
      <c r="A81" s="337"/>
      <c r="C81" s="337"/>
      <c r="D81" s="337"/>
      <c r="F81" s="337"/>
      <c r="G81" s="337"/>
      <c r="H81" s="337"/>
      <c r="J81" s="46"/>
      <c r="K81" s="159"/>
    </row>
    <row r="82" spans="1:21" ht="15">
      <c r="A82" s="223">
        <f>DATA!H32</f>
        <v>3.75</v>
      </c>
      <c r="C82" s="85">
        <f>B91*(I82-A82)/E94+A82</f>
        <v>5.0084745762711869</v>
      </c>
      <c r="E82" s="342">
        <f>(B28+D31)*(I82-A82)/E94+A82</f>
        <v>7.7351694915254239</v>
      </c>
      <c r="F82" s="84">
        <f>D92*(I82-A82)/E94+A82</f>
        <v>10.461864406779661</v>
      </c>
      <c r="G82" t="s">
        <v>5</v>
      </c>
      <c r="H82" s="341"/>
      <c r="I82" s="54">
        <f>Hydraulic!I375</f>
        <v>12</v>
      </c>
      <c r="J82" s="109" t="s">
        <v>5</v>
      </c>
      <c r="K82" s="159"/>
      <c r="L82" s="33">
        <f>Hydraulic!I375</f>
        <v>12</v>
      </c>
    </row>
    <row r="83" spans="1:21" ht="15">
      <c r="A83" s="337"/>
      <c r="C83" s="337"/>
      <c r="D83" s="337"/>
      <c r="E83" s="340"/>
      <c r="F83" s="337"/>
      <c r="G83" s="337"/>
      <c r="H83" s="337"/>
      <c r="J83" s="46"/>
      <c r="K83" s="159"/>
    </row>
    <row r="84" spans="1:21" ht="15">
      <c r="A84" s="337"/>
      <c r="C84" s="337"/>
      <c r="D84" s="337"/>
      <c r="E84" s="340"/>
      <c r="F84" s="337"/>
      <c r="G84" s="337"/>
      <c r="H84" s="337"/>
      <c r="J84" s="46"/>
      <c r="K84" s="159"/>
    </row>
    <row r="85" spans="1:21" ht="15">
      <c r="A85" s="337"/>
      <c r="C85" s="337"/>
      <c r="D85" s="337"/>
      <c r="E85" s="340"/>
      <c r="F85" s="337"/>
      <c r="G85" s="337"/>
      <c r="H85" s="337"/>
      <c r="J85" s="46"/>
      <c r="K85" s="159"/>
    </row>
    <row r="86" spans="1:21" ht="15">
      <c r="A86" s="190">
        <f>H135</f>
        <v>0.8</v>
      </c>
      <c r="C86" s="337"/>
      <c r="D86" s="337"/>
      <c r="E86" s="340"/>
      <c r="F86" s="337"/>
      <c r="G86" s="337"/>
      <c r="H86" s="337"/>
      <c r="J86" s="46"/>
      <c r="K86" s="159"/>
    </row>
    <row r="87" spans="1:21" ht="15">
      <c r="A87" s="337"/>
      <c r="C87" s="337"/>
      <c r="D87" s="337"/>
      <c r="E87" s="340"/>
      <c r="F87" s="337"/>
      <c r="G87" s="337"/>
      <c r="H87" s="337"/>
      <c r="J87" s="46"/>
      <c r="K87" s="159"/>
    </row>
    <row r="88" spans="1:21" ht="15">
      <c r="B88" s="337"/>
      <c r="C88" s="337"/>
      <c r="D88" s="337"/>
      <c r="E88" s="340"/>
      <c r="F88" s="337"/>
      <c r="G88" s="337"/>
      <c r="H88" s="337"/>
      <c r="J88" s="46"/>
      <c r="K88" s="159"/>
    </row>
    <row r="89" spans="1:21" ht="15">
      <c r="B89" s="849">
        <f>B74</f>
        <v>1</v>
      </c>
      <c r="C89" s="849">
        <f>C75</f>
        <v>2</v>
      </c>
      <c r="E89" s="850">
        <f>E74</f>
        <v>3</v>
      </c>
      <c r="F89" s="339">
        <f>F74</f>
        <v>4</v>
      </c>
      <c r="G89" s="337"/>
      <c r="H89" s="337"/>
      <c r="J89" s="46"/>
      <c r="K89" s="159"/>
    </row>
    <row r="90" spans="1:21" ht="15">
      <c r="B90" s="337"/>
      <c r="C90" s="337"/>
      <c r="D90" s="337"/>
      <c r="E90" s="337"/>
      <c r="F90" s="337"/>
      <c r="G90" s="337"/>
      <c r="H90" s="337"/>
      <c r="J90" s="46"/>
      <c r="K90" s="159"/>
    </row>
    <row r="91" spans="1:21" ht="15">
      <c r="B91" s="54">
        <f>B58</f>
        <v>2.7</v>
      </c>
      <c r="D91" s="337"/>
      <c r="E91" s="337"/>
      <c r="F91" s="337"/>
      <c r="H91" s="337">
        <f>H73</f>
        <v>5</v>
      </c>
      <c r="J91" s="46"/>
      <c r="K91" s="159"/>
    </row>
    <row r="92" spans="1:21" ht="15">
      <c r="B92" s="337"/>
      <c r="C92" s="337"/>
      <c r="D92" s="54">
        <f>B28+D28</f>
        <v>14.400000000000002</v>
      </c>
      <c r="E92" t="s">
        <v>5</v>
      </c>
      <c r="F92" s="337"/>
      <c r="G92" s="205">
        <f>E94-D92</f>
        <v>3.2999999999999972</v>
      </c>
      <c r="H92" s="337" t="s">
        <v>5</v>
      </c>
      <c r="J92" s="46"/>
      <c r="K92" s="159"/>
    </row>
    <row r="93" spans="1:21" ht="15">
      <c r="B93" s="337"/>
      <c r="C93" s="337"/>
      <c r="D93" s="337"/>
      <c r="E93" s="337"/>
      <c r="F93" s="337"/>
      <c r="G93" s="337"/>
      <c r="H93" s="337"/>
      <c r="I93" s="33">
        <f>I58</f>
        <v>1.2</v>
      </c>
      <c r="J93" s="46" t="s">
        <v>5</v>
      </c>
      <c r="K93" s="159"/>
    </row>
    <row r="94" spans="1:21" ht="15">
      <c r="B94" s="337"/>
      <c r="C94" s="337"/>
      <c r="D94" s="337"/>
      <c r="E94" s="33">
        <f>B58+F58</f>
        <v>17.7</v>
      </c>
      <c r="F94" s="337" t="s">
        <v>5</v>
      </c>
      <c r="G94" s="337"/>
      <c r="H94" s="337"/>
      <c r="J94" s="46"/>
      <c r="K94" s="159"/>
    </row>
    <row r="95" spans="1:21">
      <c r="J95" s="46"/>
      <c r="K95" s="159"/>
    </row>
    <row r="96" spans="1:21">
      <c r="J96" s="46"/>
      <c r="K96" s="159"/>
      <c r="L96" s="46"/>
      <c r="M96" s="46"/>
      <c r="N96" s="46"/>
      <c r="O96" s="46"/>
      <c r="P96" s="46"/>
      <c r="Q96" s="46"/>
      <c r="R96" s="46"/>
      <c r="S96" s="46"/>
      <c r="T96" s="46"/>
      <c r="U96" s="46"/>
    </row>
    <row r="97" spans="1:21" ht="15.75">
      <c r="B97" s="238" t="s">
        <v>431</v>
      </c>
      <c r="C97" s="239"/>
      <c r="D97" s="240"/>
      <c r="J97" s="46"/>
      <c r="K97" s="159"/>
      <c r="L97" s="46"/>
      <c r="M97" s="46"/>
      <c r="N97" s="46"/>
      <c r="O97" s="46"/>
      <c r="P97" s="46"/>
      <c r="Q97" s="46"/>
      <c r="R97" s="46"/>
      <c r="S97" s="46"/>
      <c r="T97" s="46"/>
      <c r="U97" s="46"/>
    </row>
    <row r="98" spans="1:21">
      <c r="J98" s="46"/>
      <c r="K98" s="159"/>
      <c r="L98" s="46"/>
      <c r="M98" s="46"/>
      <c r="N98" s="46"/>
      <c r="O98" s="46"/>
      <c r="P98" s="46"/>
      <c r="Q98" s="46"/>
      <c r="R98" s="46"/>
      <c r="S98" s="46"/>
      <c r="T98" s="46"/>
      <c r="U98" s="46"/>
    </row>
    <row r="99" spans="1:21" ht="14.25">
      <c r="B99" s="241" t="s">
        <v>432</v>
      </c>
      <c r="C99" s="16"/>
      <c r="D99" s="241" t="s">
        <v>433</v>
      </c>
      <c r="E99" s="16"/>
      <c r="F99" s="16"/>
      <c r="G99" s="16">
        <f>0.1/100</f>
        <v>1E-3</v>
      </c>
      <c r="H99" s="241" t="s">
        <v>434</v>
      </c>
      <c r="J99" s="46"/>
      <c r="K99" s="159"/>
      <c r="L99" s="46"/>
      <c r="M99" s="46"/>
      <c r="N99" s="46"/>
      <c r="O99" s="46"/>
      <c r="P99" s="46"/>
      <c r="Q99" s="46"/>
      <c r="R99" s="46"/>
      <c r="S99" s="46"/>
      <c r="T99" s="46"/>
      <c r="U99" s="46"/>
    </row>
    <row r="100" spans="1:21" ht="14.25">
      <c r="B100" s="16"/>
      <c r="C100" s="16"/>
      <c r="D100" s="241" t="s">
        <v>435</v>
      </c>
      <c r="E100" s="16"/>
      <c r="F100" s="16"/>
      <c r="G100" s="16">
        <f>0.2/100</f>
        <v>2E-3</v>
      </c>
      <c r="H100" s="241" t="s">
        <v>434</v>
      </c>
      <c r="J100" s="46"/>
      <c r="K100" s="159"/>
      <c r="L100" s="46"/>
      <c r="M100" s="46"/>
      <c r="N100" s="46"/>
      <c r="O100" s="46"/>
      <c r="P100" s="46"/>
      <c r="Q100" s="46"/>
      <c r="R100" s="46"/>
      <c r="S100" s="46"/>
      <c r="T100" s="46"/>
      <c r="U100" s="46"/>
    </row>
    <row r="101" spans="1:21" ht="14.25">
      <c r="B101" s="16"/>
      <c r="C101" s="16"/>
      <c r="D101" s="241" t="s">
        <v>436</v>
      </c>
      <c r="E101" s="16"/>
      <c r="F101" s="16"/>
      <c r="G101" s="16">
        <f>0.15/100</f>
        <v>1.5E-3</v>
      </c>
      <c r="H101" s="241" t="s">
        <v>434</v>
      </c>
      <c r="J101" s="46"/>
      <c r="K101" s="159"/>
      <c r="L101" s="46"/>
      <c r="M101" s="46"/>
      <c r="N101" s="46"/>
      <c r="O101" s="46"/>
      <c r="P101" s="46"/>
      <c r="Q101" s="46"/>
      <c r="R101" s="46"/>
      <c r="S101" s="46"/>
      <c r="T101" s="46"/>
      <c r="U101" s="46"/>
    </row>
    <row r="102" spans="1:21">
      <c r="B102" s="241"/>
      <c r="C102" s="242"/>
      <c r="D102" s="16"/>
      <c r="E102" s="16"/>
      <c r="F102" s="16"/>
      <c r="G102" s="16"/>
      <c r="H102" s="16"/>
      <c r="J102" s="46"/>
      <c r="K102" s="159"/>
      <c r="L102" s="46"/>
      <c r="M102" s="46"/>
      <c r="N102" s="46"/>
      <c r="O102" s="46"/>
      <c r="P102" s="46"/>
      <c r="Q102" s="46"/>
      <c r="R102" s="46"/>
      <c r="S102" s="46"/>
      <c r="T102" s="46"/>
      <c r="U102" s="46"/>
    </row>
    <row r="103" spans="1:21">
      <c r="B103" s="241" t="s">
        <v>437</v>
      </c>
      <c r="C103" s="242"/>
      <c r="D103" s="16"/>
      <c r="E103" s="16"/>
      <c r="F103" s="16"/>
      <c r="G103" s="16"/>
      <c r="H103" s="16"/>
      <c r="J103" s="46"/>
      <c r="K103" s="159"/>
      <c r="L103" s="46"/>
      <c r="M103" s="46"/>
      <c r="N103" s="46"/>
      <c r="O103" s="46"/>
      <c r="P103" s="46"/>
      <c r="Q103" s="46"/>
      <c r="R103" s="46"/>
      <c r="S103" s="46"/>
      <c r="T103" s="46"/>
      <c r="U103" s="46"/>
    </row>
    <row r="104" spans="1:21" ht="14.25">
      <c r="B104" s="241"/>
      <c r="C104" s="242"/>
      <c r="D104" s="241" t="s">
        <v>433</v>
      </c>
      <c r="E104" s="16"/>
      <c r="F104" s="16"/>
      <c r="G104" s="16">
        <f>0.15/100</f>
        <v>1.5E-3</v>
      </c>
      <c r="H104" s="241" t="s">
        <v>434</v>
      </c>
      <c r="J104" s="46"/>
      <c r="K104" s="159"/>
      <c r="L104" s="46"/>
      <c r="M104" s="46"/>
      <c r="N104" s="46"/>
      <c r="O104" s="46"/>
      <c r="P104" s="46"/>
      <c r="Q104" s="46"/>
      <c r="R104" s="46"/>
      <c r="S104" s="46"/>
      <c r="T104" s="46"/>
      <c r="U104" s="46"/>
    </row>
    <row r="105" spans="1:21" ht="14.25">
      <c r="B105" s="16"/>
      <c r="C105" s="16"/>
      <c r="D105" s="241" t="s">
        <v>435</v>
      </c>
      <c r="E105" s="16"/>
      <c r="F105" s="16"/>
      <c r="G105" s="16">
        <f>0.25/100</f>
        <v>2.5000000000000001E-3</v>
      </c>
      <c r="H105" s="241" t="s">
        <v>434</v>
      </c>
      <c r="J105" s="46"/>
      <c r="K105" s="159"/>
      <c r="L105" s="46"/>
      <c r="M105" s="46"/>
      <c r="N105" s="46"/>
      <c r="O105" s="46"/>
      <c r="P105" s="46"/>
      <c r="Q105" s="46"/>
      <c r="R105" s="46"/>
      <c r="S105" s="46"/>
      <c r="T105" s="46"/>
      <c r="U105" s="46"/>
    </row>
    <row r="106" spans="1:21" ht="14.25">
      <c r="B106" s="16"/>
      <c r="C106" s="16"/>
      <c r="D106" s="241" t="s">
        <v>436</v>
      </c>
      <c r="E106" s="16"/>
      <c r="F106" s="16"/>
      <c r="G106" s="16">
        <f>0.2/100</f>
        <v>2E-3</v>
      </c>
      <c r="H106" s="241" t="s">
        <v>434</v>
      </c>
      <c r="J106" s="46"/>
      <c r="K106" s="159"/>
      <c r="L106" s="46"/>
      <c r="M106" s="46"/>
      <c r="N106" s="46"/>
      <c r="O106" s="46"/>
      <c r="P106" s="46"/>
      <c r="Q106" s="46"/>
      <c r="R106" s="46"/>
      <c r="S106" s="46"/>
      <c r="T106" s="46"/>
      <c r="U106" s="46"/>
    </row>
    <row r="107" spans="1:21">
      <c r="B107" s="241" t="s">
        <v>444</v>
      </c>
      <c r="H107" s="16">
        <v>380</v>
      </c>
      <c r="I107" s="241" t="s">
        <v>98</v>
      </c>
      <c r="J107" s="385"/>
      <c r="K107" s="159"/>
      <c r="L107" s="46"/>
      <c r="M107" s="46"/>
      <c r="N107" s="46"/>
      <c r="O107" s="46"/>
      <c r="P107" s="46"/>
      <c r="Q107" s="46"/>
      <c r="R107" s="46"/>
      <c r="S107" s="46"/>
      <c r="T107" s="46"/>
      <c r="U107" s="46"/>
    </row>
    <row r="108" spans="1:21">
      <c r="J108" s="46"/>
      <c r="K108" s="159"/>
      <c r="L108" s="46"/>
      <c r="M108" s="46"/>
      <c r="N108" s="46"/>
      <c r="O108" s="46"/>
      <c r="P108" s="46"/>
      <c r="Q108" s="46"/>
      <c r="R108" s="46"/>
      <c r="S108" s="46"/>
      <c r="T108" s="46"/>
      <c r="U108" s="46"/>
    </row>
    <row r="109" spans="1:21" ht="14.25">
      <c r="A109" s="399" t="s">
        <v>1130</v>
      </c>
      <c r="B109" s="126"/>
      <c r="C109" s="2013" t="str">
        <f>B32&amp;"-"&amp;B32</f>
        <v>1-1</v>
      </c>
      <c r="D109" s="692" t="s">
        <v>949</v>
      </c>
      <c r="J109" s="46"/>
      <c r="K109" s="159"/>
      <c r="L109" s="46"/>
      <c r="M109" s="46"/>
      <c r="N109" s="46"/>
      <c r="O109" s="46"/>
      <c r="P109" s="46"/>
      <c r="Q109" s="46"/>
      <c r="R109" s="46"/>
      <c r="S109" s="46"/>
      <c r="T109" s="46"/>
      <c r="U109" s="46"/>
    </row>
    <row r="110" spans="1:21">
      <c r="J110" s="46"/>
      <c r="K110" s="159"/>
      <c r="L110" s="46"/>
      <c r="M110" s="46"/>
      <c r="N110" s="46"/>
      <c r="O110" s="46"/>
      <c r="P110" s="46"/>
      <c r="Q110" s="46"/>
      <c r="R110" s="46"/>
      <c r="S110" s="46"/>
      <c r="T110" s="46"/>
      <c r="U110" s="46"/>
    </row>
    <row r="111" spans="1:21">
      <c r="B111" s="1" t="s">
        <v>1110</v>
      </c>
      <c r="J111" s="46"/>
      <c r="K111" s="159"/>
      <c r="L111" s="46"/>
      <c r="M111" s="46"/>
      <c r="N111" s="46"/>
      <c r="O111" s="46"/>
      <c r="P111" s="46"/>
      <c r="Q111" s="46"/>
      <c r="R111" s="46"/>
      <c r="S111" s="46"/>
      <c r="T111" s="46"/>
      <c r="U111" s="46"/>
    </row>
    <row r="112" spans="1:21">
      <c r="B112" s="241" t="s">
        <v>1114</v>
      </c>
      <c r="D112" s="16"/>
      <c r="G112" s="385" t="s">
        <v>1113</v>
      </c>
      <c r="J112" s="46"/>
      <c r="K112" s="159"/>
      <c r="L112" s="46"/>
      <c r="M112" s="46"/>
      <c r="N112" s="46"/>
      <c r="O112" s="46"/>
      <c r="P112" s="46"/>
      <c r="Q112" s="46"/>
      <c r="R112" s="46"/>
      <c r="S112" s="46"/>
      <c r="T112" s="46"/>
      <c r="U112" s="46"/>
    </row>
    <row r="113" spans="1:34" ht="14.25">
      <c r="A113" s="46"/>
      <c r="B113" s="241" t="s">
        <v>111</v>
      </c>
      <c r="C113" s="16">
        <f>IF(I124&lt;=9,G99,G104)</f>
        <v>1E-3</v>
      </c>
      <c r="D113" s="241" t="s">
        <v>438</v>
      </c>
      <c r="G113" s="241" t="s">
        <v>111</v>
      </c>
      <c r="H113" s="16">
        <f>IF(I124&lt;=9,G100,G105)</f>
        <v>2E-3</v>
      </c>
      <c r="I113" s="241" t="s">
        <v>438</v>
      </c>
      <c r="J113" s="46"/>
      <c r="K113" s="159"/>
      <c r="L113" s="46"/>
      <c r="M113" s="46"/>
      <c r="N113" s="46"/>
      <c r="O113" s="46"/>
      <c r="P113" s="46"/>
      <c r="Q113" s="46"/>
      <c r="R113" s="46"/>
      <c r="S113" s="46"/>
      <c r="T113" s="46"/>
      <c r="U113" s="46"/>
    </row>
    <row r="114" spans="1:34" ht="14.25">
      <c r="A114" s="510"/>
      <c r="B114" s="241" t="s">
        <v>110</v>
      </c>
      <c r="C114" s="16">
        <f>IF(E26&lt;=9,G99,G104)</f>
        <v>1.5E-3</v>
      </c>
      <c r="D114" s="241" t="s">
        <v>438</v>
      </c>
      <c r="E114" s="16"/>
      <c r="F114" s="16"/>
      <c r="G114" s="241" t="s">
        <v>110</v>
      </c>
      <c r="H114" s="16">
        <f>IF(E26&lt;=9,G100,G105)</f>
        <v>2.5000000000000001E-3</v>
      </c>
      <c r="I114" s="241" t="s">
        <v>438</v>
      </c>
      <c r="J114" s="46"/>
      <c r="K114" s="159"/>
      <c r="L114" s="46"/>
      <c r="M114" s="46"/>
      <c r="N114" s="46"/>
      <c r="O114" s="46"/>
      <c r="P114" s="46"/>
      <c r="Q114" s="46"/>
      <c r="R114" s="46"/>
      <c r="S114" s="46"/>
      <c r="T114" s="46"/>
      <c r="U114" s="46"/>
    </row>
    <row r="115" spans="1:34" ht="14.25">
      <c r="A115" s="510"/>
      <c r="B115" s="109" t="s">
        <v>601</v>
      </c>
      <c r="C115" s="46"/>
      <c r="E115" s="129">
        <f>1000*(H135+H117)/2</f>
        <v>550</v>
      </c>
      <c r="F115" s="187" t="s">
        <v>98</v>
      </c>
      <c r="J115" s="46"/>
      <c r="K115" s="159"/>
      <c r="L115" s="46"/>
      <c r="M115" s="46"/>
      <c r="N115" s="46"/>
      <c r="O115" s="46"/>
      <c r="P115" s="46"/>
      <c r="Q115" s="46"/>
      <c r="R115" s="46"/>
      <c r="S115" s="46"/>
      <c r="T115" s="46"/>
      <c r="U115" s="46"/>
    </row>
    <row r="116" spans="1:34" ht="14.25">
      <c r="A116" s="510"/>
      <c r="B116" s="46"/>
      <c r="C116" s="46"/>
      <c r="D116" s="2"/>
      <c r="E116" s="10"/>
      <c r="J116" s="46"/>
      <c r="K116" s="159"/>
      <c r="L116" s="46"/>
      <c r="M116" s="46"/>
      <c r="N116" s="46"/>
      <c r="O116" s="46"/>
      <c r="P116" s="46"/>
      <c r="Q116" s="46"/>
      <c r="R116" s="46"/>
      <c r="S116" s="46"/>
      <c r="T116" s="46"/>
      <c r="U116" s="46"/>
    </row>
    <row r="117" spans="1:34">
      <c r="C117" s="203" t="s">
        <v>149</v>
      </c>
      <c r="D117" s="36">
        <f>A34</f>
        <v>14.8</v>
      </c>
      <c r="H117" s="2550">
        <f>R63</f>
        <v>0.3</v>
      </c>
      <c r="I117" s="36"/>
      <c r="J117" s="489"/>
      <c r="K117" s="159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AG117" s="2"/>
      <c r="AH117" s="10"/>
    </row>
    <row r="118" spans="1:34">
      <c r="C118" s="187"/>
      <c r="D118" s="2"/>
      <c r="G118" s="79"/>
      <c r="J118" s="46"/>
      <c r="K118" s="159"/>
      <c r="L118" s="46"/>
      <c r="M118" s="46"/>
      <c r="N118" s="46"/>
      <c r="O118" s="46"/>
      <c r="P118" s="46"/>
      <c r="Q118" s="46"/>
      <c r="R118" s="46"/>
      <c r="S118" s="46"/>
      <c r="T118" s="46"/>
      <c r="U118" s="46"/>
    </row>
    <row r="119" spans="1:34">
      <c r="C119" s="187"/>
      <c r="D119" s="782" t="s">
        <v>604</v>
      </c>
      <c r="E119" s="17"/>
      <c r="F119" s="36"/>
      <c r="J119" s="46"/>
      <c r="K119" s="159"/>
      <c r="L119" s="46"/>
      <c r="M119" s="46"/>
      <c r="N119" s="46"/>
      <c r="O119" s="46"/>
      <c r="P119" s="46"/>
      <c r="Q119" s="46"/>
      <c r="R119" s="46"/>
      <c r="S119" s="46"/>
      <c r="T119" s="46"/>
      <c r="U119" s="46"/>
    </row>
    <row r="120" spans="1:34">
      <c r="C120" s="206">
        <f>IF(D117-C123&lt;0,0,D117-C123)</f>
        <v>2.5665366986024996</v>
      </c>
      <c r="E120" s="40"/>
      <c r="G120" s="7"/>
      <c r="J120" s="46"/>
      <c r="K120" s="159"/>
      <c r="L120" s="46"/>
      <c r="M120" s="46"/>
      <c r="N120" s="46"/>
      <c r="O120" s="46"/>
      <c r="P120" s="46"/>
      <c r="Q120" s="46"/>
      <c r="R120" s="46"/>
      <c r="S120" s="46"/>
      <c r="T120" s="46"/>
      <c r="U120" s="46"/>
    </row>
    <row r="121" spans="1:34">
      <c r="A121" s="17" t="s">
        <v>45</v>
      </c>
      <c r="C121" s="187"/>
      <c r="D121" s="2202" t="s">
        <v>135</v>
      </c>
      <c r="E121" s="17"/>
      <c r="F121" s="36"/>
      <c r="G121" s="7"/>
      <c r="J121" s="46"/>
      <c r="K121" s="159"/>
      <c r="L121" s="46"/>
      <c r="M121" s="46"/>
      <c r="N121" s="46"/>
      <c r="O121" s="46"/>
      <c r="P121" s="46"/>
      <c r="Q121" s="46"/>
      <c r="R121" s="46"/>
      <c r="S121" s="46"/>
      <c r="T121" s="46"/>
      <c r="U121" s="46"/>
    </row>
    <row r="122" spans="1:34">
      <c r="C122" s="187"/>
      <c r="D122" s="33"/>
      <c r="E122" s="84">
        <f>C127*(H135-H117)/I124</f>
        <v>0.33547841675625006</v>
      </c>
      <c r="G122" s="7"/>
      <c r="J122" s="46"/>
      <c r="K122" s="159"/>
      <c r="L122" s="46"/>
      <c r="M122" s="46"/>
      <c r="N122" s="46"/>
      <c r="O122" s="46"/>
      <c r="P122" s="46"/>
      <c r="Q122" s="46"/>
      <c r="R122" s="46"/>
      <c r="S122" s="46"/>
      <c r="T122" s="46"/>
      <c r="U122" s="46"/>
    </row>
    <row r="123" spans="1:34">
      <c r="C123" s="54">
        <f>B40</f>
        <v>12.233463301397501</v>
      </c>
      <c r="D123" s="33"/>
      <c r="E123" s="17"/>
      <c r="F123" s="36"/>
      <c r="G123" s="7"/>
      <c r="J123" s="46"/>
      <c r="K123" s="159"/>
      <c r="L123" s="46"/>
      <c r="M123" s="46"/>
      <c r="N123" s="46"/>
      <c r="O123" s="46"/>
      <c r="P123" s="46"/>
      <c r="Q123" s="46"/>
      <c r="R123" s="46"/>
      <c r="S123" s="46"/>
      <c r="T123" s="46"/>
      <c r="U123" s="46"/>
    </row>
    <row r="124" spans="1:34">
      <c r="C124" s="187"/>
      <c r="E124" s="40"/>
      <c r="H124" s="17" t="s">
        <v>600</v>
      </c>
      <c r="I124" s="10">
        <f>D117-G131</f>
        <v>7.8000000000000007</v>
      </c>
      <c r="J124" s="44"/>
      <c r="K124" s="159"/>
      <c r="L124" s="46"/>
      <c r="M124" s="46"/>
      <c r="N124" s="46"/>
      <c r="O124" s="46"/>
      <c r="P124" s="46"/>
      <c r="Q124" s="46"/>
      <c r="R124" s="46"/>
      <c r="S124" s="46"/>
      <c r="T124" s="46"/>
      <c r="U124" s="46"/>
    </row>
    <row r="125" spans="1:34">
      <c r="A125" s="17" t="s">
        <v>44</v>
      </c>
      <c r="C125" s="187"/>
      <c r="E125" s="40"/>
      <c r="F125" s="33">
        <f>E45</f>
        <v>13.9</v>
      </c>
      <c r="G125" s="18" t="s">
        <v>5</v>
      </c>
      <c r="J125" s="46"/>
      <c r="K125" s="159"/>
      <c r="L125" s="46"/>
      <c r="M125" s="46"/>
      <c r="N125" s="46"/>
      <c r="O125" s="46"/>
      <c r="P125" s="46"/>
      <c r="Q125" s="46"/>
      <c r="R125" s="46"/>
      <c r="S125" s="46"/>
      <c r="T125" s="46"/>
      <c r="U125" s="46"/>
    </row>
    <row r="126" spans="1:34">
      <c r="C126" s="187"/>
      <c r="E126" s="88"/>
      <c r="G126" s="33"/>
      <c r="I126" s="10"/>
      <c r="J126" s="44"/>
      <c r="K126" s="159"/>
      <c r="L126" s="46"/>
      <c r="M126" s="46"/>
      <c r="N126" s="46"/>
      <c r="O126" s="46"/>
      <c r="P126" s="46"/>
      <c r="Q126" s="46"/>
      <c r="R126" s="46"/>
      <c r="S126" s="46"/>
      <c r="T126" s="46"/>
      <c r="U126" s="46"/>
    </row>
    <row r="127" spans="1:34">
      <c r="C127" s="206">
        <f>IF(C123-G131&gt;I124,I124,C123-G131)</f>
        <v>5.2334633013975012</v>
      </c>
      <c r="E127" s="53"/>
      <c r="G127" s="1015" t="s">
        <v>607</v>
      </c>
      <c r="J127" s="46"/>
      <c r="K127" s="159"/>
      <c r="L127" s="46"/>
      <c r="M127" s="46"/>
      <c r="N127" s="46"/>
      <c r="O127" s="46"/>
      <c r="P127" s="46"/>
      <c r="Q127" s="46"/>
      <c r="R127" s="46"/>
      <c r="S127" s="46"/>
      <c r="T127" s="46"/>
      <c r="U127" s="46"/>
    </row>
    <row r="128" spans="1:34">
      <c r="C128" s="187"/>
      <c r="E128" s="346"/>
      <c r="F128" s="54">
        <f>IF(F125&gt;D117,I124,IF(F125&lt;G131,0,F125-G131))</f>
        <v>6.9</v>
      </c>
      <c r="G128" t="s">
        <v>5</v>
      </c>
      <c r="J128" s="46"/>
      <c r="K128" s="159"/>
      <c r="L128" s="46"/>
      <c r="M128" s="46"/>
      <c r="O128" s="46"/>
      <c r="P128" s="46"/>
      <c r="Q128" s="46"/>
      <c r="R128" s="46"/>
      <c r="S128" s="46"/>
      <c r="T128" s="46"/>
      <c r="U128" s="46"/>
    </row>
    <row r="129" spans="1:21">
      <c r="A129" s="2" t="s">
        <v>605</v>
      </c>
      <c r="C129" s="187"/>
      <c r="E129" s="17" t="s">
        <v>606</v>
      </c>
      <c r="F129" s="36"/>
      <c r="J129" s="46"/>
      <c r="K129" s="159"/>
      <c r="L129" s="46"/>
      <c r="M129" s="46"/>
      <c r="N129" s="46"/>
      <c r="O129" s="46"/>
      <c r="P129" s="46"/>
      <c r="Q129" s="46"/>
      <c r="R129" s="46"/>
      <c r="S129" s="46"/>
      <c r="T129" s="46"/>
      <c r="U129" s="46"/>
    </row>
    <row r="130" spans="1:21">
      <c r="C130" s="187"/>
      <c r="E130" s="40"/>
      <c r="J130" s="46"/>
      <c r="K130" s="159"/>
      <c r="L130" s="46"/>
      <c r="M130" s="46"/>
      <c r="N130" s="46"/>
      <c r="O130" s="46"/>
      <c r="P130" s="46"/>
      <c r="Q130" s="46"/>
      <c r="R130" s="46"/>
      <c r="S130" s="46"/>
      <c r="T130" s="46"/>
      <c r="U130" s="46"/>
    </row>
    <row r="131" spans="1:21">
      <c r="C131" s="187"/>
      <c r="E131" s="40"/>
      <c r="F131" s="17" t="s">
        <v>603</v>
      </c>
      <c r="G131" s="36">
        <f>A49</f>
        <v>7</v>
      </c>
      <c r="I131" s="10"/>
      <c r="J131" s="44"/>
      <c r="K131" s="159"/>
      <c r="L131" s="46"/>
      <c r="M131" s="46"/>
      <c r="N131" s="46"/>
      <c r="O131" s="46"/>
      <c r="P131" s="46"/>
      <c r="Q131" s="46"/>
      <c r="R131" s="46"/>
      <c r="S131" s="46"/>
      <c r="T131" s="46"/>
      <c r="U131" s="46"/>
    </row>
    <row r="132" spans="1:21">
      <c r="C132" s="187"/>
      <c r="F132" s="53"/>
      <c r="H132" s="33"/>
      <c r="I132" s="3223">
        <f>I212</f>
        <v>1.2</v>
      </c>
      <c r="J132" s="46"/>
      <c r="K132" s="159"/>
      <c r="L132" s="46"/>
      <c r="M132" s="46"/>
      <c r="N132" s="46"/>
      <c r="O132" s="46"/>
      <c r="P132" s="46"/>
      <c r="Q132" s="46"/>
      <c r="R132" s="46"/>
      <c r="S132" s="46"/>
      <c r="T132" s="46"/>
      <c r="U132" s="46"/>
    </row>
    <row r="133" spans="1:21">
      <c r="C133" s="187"/>
      <c r="I133" s="3223"/>
      <c r="J133" s="44"/>
      <c r="K133" s="159"/>
      <c r="L133" s="46"/>
      <c r="M133" s="46"/>
      <c r="N133" s="46"/>
      <c r="O133" s="46"/>
      <c r="P133" s="46"/>
      <c r="Q133" s="46"/>
      <c r="R133" s="46"/>
      <c r="S133" s="46"/>
      <c r="T133" s="46"/>
      <c r="U133" s="46"/>
    </row>
    <row r="134" spans="1:21">
      <c r="C134" s="187"/>
      <c r="G134" s="33"/>
      <c r="J134" s="46"/>
      <c r="K134" s="159"/>
      <c r="L134" s="46"/>
      <c r="M134" s="46"/>
      <c r="N134" s="46"/>
      <c r="O134" s="46"/>
      <c r="P134" s="46"/>
      <c r="Q134" s="46"/>
      <c r="R134" s="46"/>
      <c r="S134" s="46"/>
      <c r="T134" s="46"/>
      <c r="U134" s="46"/>
    </row>
    <row r="135" spans="1:21">
      <c r="C135" s="187"/>
      <c r="D135" s="10">
        <f>H135</f>
        <v>0.8</v>
      </c>
      <c r="F135" s="33">
        <f>A82</f>
        <v>3.75</v>
      </c>
      <c r="G135" t="s">
        <v>5</v>
      </c>
      <c r="H135" s="2549">
        <f>S63</f>
        <v>0.8</v>
      </c>
      <c r="I135" s="126" t="str">
        <f>IF(AND(I164="ok",I165="ok"),"ok","Not ok")</f>
        <v>ok</v>
      </c>
      <c r="J135" s="46"/>
      <c r="K135" s="159"/>
      <c r="L135" s="46"/>
      <c r="M135" s="46"/>
      <c r="N135" s="46"/>
      <c r="O135" s="46"/>
      <c r="P135" s="46"/>
      <c r="Q135" s="46"/>
      <c r="R135" s="46"/>
      <c r="S135" s="46"/>
      <c r="T135" s="46"/>
      <c r="U135" s="46"/>
    </row>
    <row r="136" spans="1:21">
      <c r="C136" s="187"/>
      <c r="J136" s="46"/>
      <c r="K136" s="159"/>
      <c r="L136" s="46"/>
      <c r="M136" s="46"/>
      <c r="N136" s="46"/>
      <c r="O136" s="46"/>
      <c r="P136" s="46"/>
      <c r="Q136" s="46"/>
      <c r="R136" s="46"/>
      <c r="S136" s="46"/>
      <c r="T136" s="46"/>
      <c r="U136" s="46"/>
    </row>
    <row r="137" spans="1:21">
      <c r="C137" s="187"/>
      <c r="F137" s="33">
        <f>F135+H135+D135</f>
        <v>5.35</v>
      </c>
      <c r="G137" t="s">
        <v>5</v>
      </c>
      <c r="J137" s="46"/>
      <c r="K137" s="159"/>
      <c r="L137" s="46"/>
      <c r="M137" s="61"/>
      <c r="N137" s="46"/>
      <c r="O137" s="46"/>
      <c r="P137" s="46"/>
      <c r="Q137" s="46"/>
      <c r="R137" s="46"/>
      <c r="S137" s="46"/>
      <c r="T137" s="46"/>
      <c r="U137" s="46"/>
    </row>
    <row r="138" spans="1:21">
      <c r="A138" s="187"/>
      <c r="B138" s="753" t="s">
        <v>1880</v>
      </c>
      <c r="C138" s="753"/>
      <c r="D138" s="753"/>
      <c r="E138" s="753"/>
      <c r="F138" s="753"/>
      <c r="G138" s="753"/>
      <c r="H138" s="753"/>
      <c r="I138" s="753"/>
      <c r="J138" s="46"/>
      <c r="K138" s="159"/>
      <c r="L138" s="109"/>
      <c r="M138" s="61"/>
      <c r="N138" s="46"/>
      <c r="O138" s="46"/>
      <c r="P138" s="46"/>
      <c r="Q138" s="46"/>
      <c r="R138" s="46"/>
      <c r="S138" s="46"/>
      <c r="T138" s="46"/>
      <c r="U138" s="46"/>
    </row>
    <row r="139" spans="1:21">
      <c r="A139" s="187"/>
      <c r="J139" s="46"/>
      <c r="K139" s="159"/>
      <c r="L139" s="109"/>
      <c r="M139" s="61"/>
      <c r="N139" s="46"/>
      <c r="O139" s="46"/>
      <c r="P139" s="46"/>
      <c r="Q139" s="46"/>
      <c r="R139" s="46"/>
      <c r="S139" s="46"/>
      <c r="T139" s="46"/>
      <c r="U139" s="46"/>
    </row>
    <row r="140" spans="1:21">
      <c r="A140" s="225" t="str">
        <f>"a) Design of Wall : Sec "&amp;C109&amp;"    (R/S)"</f>
        <v>a) Design of Wall : Sec 1-1    (R/S)</v>
      </c>
      <c r="B140" s="174"/>
      <c r="C140" s="174"/>
      <c r="D140" s="174"/>
      <c r="J140" s="46"/>
      <c r="K140" s="159"/>
      <c r="L140" s="46"/>
      <c r="M140" s="46"/>
      <c r="N140" s="46"/>
      <c r="O140" s="46"/>
      <c r="P140" s="46"/>
      <c r="Q140" s="46"/>
      <c r="R140" s="46"/>
      <c r="S140" s="46"/>
      <c r="T140" s="46"/>
      <c r="U140" s="46"/>
    </row>
    <row r="141" spans="1:21">
      <c r="B141" s="1" t="s">
        <v>612</v>
      </c>
      <c r="D141" s="2"/>
      <c r="E141" s="10"/>
      <c r="J141" s="46"/>
      <c r="K141" s="159"/>
      <c r="L141" s="46"/>
      <c r="M141" s="46"/>
      <c r="N141" s="46"/>
      <c r="O141" s="162"/>
      <c r="P141" s="46"/>
      <c r="Q141" s="90"/>
      <c r="R141" s="90"/>
      <c r="S141" s="44"/>
      <c r="T141" s="46"/>
      <c r="U141" s="46"/>
    </row>
    <row r="142" spans="1:21">
      <c r="A142" s="187"/>
      <c r="B142" s="187" t="s">
        <v>611</v>
      </c>
      <c r="D142" s="2"/>
      <c r="E142" s="10"/>
      <c r="J142" s="46"/>
      <c r="K142" s="159"/>
      <c r="L142" s="46"/>
      <c r="M142" s="46"/>
      <c r="N142" s="46"/>
      <c r="O142" s="162"/>
      <c r="P142" s="46"/>
      <c r="Q142" s="90"/>
      <c r="R142" s="90"/>
      <c r="S142" s="44"/>
      <c r="T142" s="46"/>
      <c r="U142" s="46"/>
    </row>
    <row r="143" spans="1:21">
      <c r="B143" s="18" t="s">
        <v>131</v>
      </c>
      <c r="D143" s="2" t="s">
        <v>35</v>
      </c>
      <c r="E143" s="10">
        <f>D117-G131</f>
        <v>7.8000000000000007</v>
      </c>
      <c r="F143" t="s">
        <v>5</v>
      </c>
      <c r="J143" s="46"/>
      <c r="K143" s="159"/>
      <c r="L143" s="46"/>
      <c r="M143" s="109"/>
      <c r="N143" s="46"/>
      <c r="O143" s="162"/>
      <c r="P143" s="46"/>
      <c r="Q143" s="90"/>
      <c r="R143" s="90"/>
      <c r="S143" s="44"/>
      <c r="T143" s="46"/>
      <c r="U143" s="46"/>
    </row>
    <row r="144" spans="1:21" ht="15.75">
      <c r="A144" s="40"/>
      <c r="B144" s="187" t="s">
        <v>593</v>
      </c>
      <c r="D144" s="2" t="s">
        <v>35</v>
      </c>
      <c r="E144" s="10">
        <f>0.5*I8*D6*E143^2</f>
        <v>207.57186893547839</v>
      </c>
      <c r="F144" t="s">
        <v>21</v>
      </c>
      <c r="J144" s="46"/>
      <c r="K144" s="159"/>
      <c r="L144" s="46"/>
      <c r="M144" s="109"/>
      <c r="N144" s="388"/>
      <c r="O144" s="162"/>
      <c r="P144" s="46"/>
      <c r="Q144" s="90"/>
      <c r="R144" s="90"/>
      <c r="S144" s="44"/>
      <c r="T144" s="46"/>
      <c r="U144" s="46"/>
    </row>
    <row r="145" spans="1:21" ht="20.25">
      <c r="A145" s="40"/>
      <c r="B145" s="38" t="s">
        <v>594</v>
      </c>
      <c r="D145" s="2" t="s">
        <v>35</v>
      </c>
      <c r="E145" s="10">
        <f>(1/6)*I8*D6*E143^3</f>
        <v>539.68685923224382</v>
      </c>
      <c r="F145" t="s">
        <v>107</v>
      </c>
      <c r="J145" s="46"/>
      <c r="K145" s="159"/>
      <c r="L145" s="46"/>
      <c r="M145" s="46"/>
      <c r="N145" s="46"/>
      <c r="O145" s="46"/>
      <c r="P145" s="44"/>
      <c r="Q145" s="46"/>
      <c r="R145" s="46"/>
      <c r="S145" s="46"/>
      <c r="T145" s="46"/>
      <c r="U145" s="46"/>
    </row>
    <row r="146" spans="1:21" ht="15.75">
      <c r="J146" s="46"/>
      <c r="K146" s="159"/>
      <c r="L146" s="389"/>
      <c r="M146" s="388"/>
      <c r="N146" s="389"/>
      <c r="O146" s="162"/>
      <c r="P146" s="109"/>
      <c r="Q146" s="389"/>
      <c r="R146" s="46"/>
      <c r="S146" s="46"/>
      <c r="T146" s="224"/>
      <c r="U146" s="46"/>
    </row>
    <row r="147" spans="1:21" ht="15.75">
      <c r="B147" s="1" t="s">
        <v>649</v>
      </c>
      <c r="J147" s="46"/>
      <c r="K147" s="159"/>
      <c r="L147" s="389"/>
      <c r="M147" s="388"/>
      <c r="N147" s="389"/>
      <c r="O147" s="162"/>
      <c r="P147" s="109"/>
      <c r="Q147" s="389"/>
      <c r="R147" s="46"/>
      <c r="S147" s="46"/>
      <c r="T147" s="224"/>
      <c r="U147" s="46"/>
    </row>
    <row r="148" spans="1:21" ht="15.75">
      <c r="B148" s="1" t="s">
        <v>653</v>
      </c>
      <c r="E148" s="86"/>
      <c r="J148" s="46"/>
      <c r="K148" s="159"/>
      <c r="L148" s="389"/>
      <c r="M148" s="388"/>
      <c r="N148" s="389"/>
      <c r="O148" s="162"/>
      <c r="P148" s="109"/>
      <c r="Q148" s="389"/>
      <c r="R148" s="46"/>
      <c r="S148" s="46"/>
      <c r="T148" s="224"/>
      <c r="U148" s="46"/>
    </row>
    <row r="149" spans="1:21" ht="12.75" customHeight="1">
      <c r="B149" s="1"/>
      <c r="C149" s="187"/>
      <c r="E149" s="86"/>
      <c r="J149" s="46"/>
      <c r="K149" s="159"/>
      <c r="L149" s="389"/>
      <c r="M149" s="388"/>
      <c r="N149" s="389"/>
      <c r="O149" s="162"/>
      <c r="P149" s="109"/>
      <c r="Q149" s="389"/>
      <c r="R149" s="46"/>
      <c r="S149" s="46"/>
      <c r="T149" s="224"/>
      <c r="U149" s="46"/>
    </row>
    <row r="150" spans="1:21" ht="15.75">
      <c r="B150" s="18" t="s">
        <v>132</v>
      </c>
      <c r="C150" s="2" t="s">
        <v>35</v>
      </c>
      <c r="D150" s="10">
        <f>IF(C120&lt;0,0,D117-C123)</f>
        <v>2.5665366986024996</v>
      </c>
      <c r="E150" t="s">
        <v>5</v>
      </c>
      <c r="J150" s="46"/>
      <c r="K150" s="159"/>
      <c r="L150" s="389"/>
      <c r="M150" s="388"/>
      <c r="N150" s="389"/>
      <c r="O150" s="162"/>
      <c r="P150" s="109"/>
      <c r="Q150" s="390"/>
      <c r="R150" s="46"/>
      <c r="S150" s="109"/>
      <c r="T150" s="162"/>
      <c r="U150" s="46"/>
    </row>
    <row r="151" spans="1:21">
      <c r="B151" s="18" t="s">
        <v>133</v>
      </c>
      <c r="C151" s="2" t="s">
        <v>35</v>
      </c>
      <c r="D151" s="10">
        <f>IF(C127&gt;I124,I124,C123-G131)</f>
        <v>5.2334633013975012</v>
      </c>
      <c r="E151" t="s">
        <v>5</v>
      </c>
      <c r="J151" s="46"/>
      <c r="K151" s="159"/>
      <c r="L151" s="46"/>
      <c r="M151" s="46"/>
      <c r="N151" s="46"/>
      <c r="O151" s="46"/>
      <c r="P151" s="46"/>
      <c r="Q151" s="46"/>
      <c r="R151" s="46"/>
      <c r="S151" s="46"/>
      <c r="T151" s="46"/>
      <c r="U151" s="46"/>
    </row>
    <row r="152" spans="1:21">
      <c r="B152" s="18" t="s">
        <v>134</v>
      </c>
      <c r="C152" s="2" t="s">
        <v>35</v>
      </c>
      <c r="D152" s="10">
        <f>F128</f>
        <v>6.9</v>
      </c>
      <c r="E152" t="s">
        <v>5</v>
      </c>
      <c r="J152" s="46"/>
      <c r="K152" s="159"/>
      <c r="L152" s="46"/>
      <c r="M152" s="46"/>
      <c r="N152" s="46"/>
      <c r="O152" s="46"/>
      <c r="P152" s="46"/>
      <c r="Q152" s="46"/>
      <c r="R152" s="46"/>
      <c r="S152" s="46"/>
      <c r="T152" s="46"/>
      <c r="U152" s="46"/>
    </row>
    <row r="153" spans="1:21" ht="20.25">
      <c r="A153" s="38" t="s">
        <v>624</v>
      </c>
      <c r="C153" s="2"/>
      <c r="D153" s="54">
        <f>0.5*$I$8*$D$5*D150^2</f>
        <v>20.571148833742587</v>
      </c>
      <c r="E153" s="187" t="s">
        <v>341</v>
      </c>
      <c r="F153" s="38" t="s">
        <v>628</v>
      </c>
      <c r="I153" s="33">
        <f>D153*(D151+D150/3)</f>
        <v>125.25722196038261</v>
      </c>
      <c r="J153" s="224"/>
      <c r="K153" s="159"/>
      <c r="L153" s="46"/>
      <c r="M153" s="46"/>
      <c r="N153" s="90"/>
      <c r="O153" s="44"/>
      <c r="P153" s="46"/>
      <c r="Q153" s="46"/>
      <c r="R153" s="46"/>
      <c r="S153" s="46"/>
      <c r="T153" s="46"/>
      <c r="U153" s="46"/>
    </row>
    <row r="154" spans="1:21" ht="18.75">
      <c r="A154" s="38" t="s">
        <v>625</v>
      </c>
      <c r="C154" s="2"/>
      <c r="D154" s="54">
        <f>$I$8*$D$5*D150*D151</f>
        <v>83.893873442447713</v>
      </c>
      <c r="E154" s="187" t="s">
        <v>341</v>
      </c>
      <c r="F154" s="38" t="s">
        <v>631</v>
      </c>
      <c r="I154" s="33">
        <f>D154*D151/2</f>
        <v>219.52775393656827</v>
      </c>
      <c r="J154" s="224"/>
      <c r="K154" s="159"/>
      <c r="L154" s="388"/>
      <c r="M154" s="389"/>
      <c r="N154" s="90"/>
      <c r="O154" s="44"/>
      <c r="P154" s="46"/>
      <c r="Q154" s="46"/>
      <c r="R154" s="46"/>
      <c r="S154" s="46"/>
      <c r="T154" s="46"/>
      <c r="U154" s="46"/>
    </row>
    <row r="155" spans="1:21" ht="20.25">
      <c r="A155" s="38" t="s">
        <v>626</v>
      </c>
      <c r="C155" s="2"/>
      <c r="D155" s="54">
        <f>0.5*($I$8*($D$6-$D$7)+$D$7)*D151^2</f>
        <v>179.28648209709911</v>
      </c>
      <c r="E155" s="187" t="s">
        <v>341</v>
      </c>
      <c r="F155" s="38" t="s">
        <v>629</v>
      </c>
      <c r="I155" s="33">
        <f>D155*D151/3</f>
        <v>312.76307483060947</v>
      </c>
      <c r="J155" s="224"/>
      <c r="K155" s="159"/>
      <c r="L155" s="388"/>
      <c r="M155" s="224"/>
      <c r="N155" s="109"/>
      <c r="O155" s="44"/>
      <c r="P155" s="46"/>
      <c r="Q155" s="46"/>
      <c r="R155" s="46"/>
      <c r="S155" s="46"/>
      <c r="T155" s="46"/>
      <c r="U155" s="46"/>
    </row>
    <row r="156" spans="1:21" ht="20.25">
      <c r="A156" s="38" t="s">
        <v>627</v>
      </c>
      <c r="C156" s="2"/>
      <c r="D156" s="211">
        <f>0.5*$D$7*D152^2</f>
        <v>233.52705000000003</v>
      </c>
      <c r="E156" s="187" t="s">
        <v>341</v>
      </c>
      <c r="F156" s="38" t="s">
        <v>630</v>
      </c>
      <c r="I156" s="212">
        <f>D156*D152/3</f>
        <v>537.11221500000011</v>
      </c>
      <c r="J156" s="785"/>
      <c r="K156" s="159"/>
      <c r="L156" s="388"/>
      <c r="M156" s="46"/>
      <c r="N156" s="90"/>
      <c r="O156" s="44"/>
      <c r="P156" s="46"/>
      <c r="Q156" s="46"/>
      <c r="R156" s="46"/>
      <c r="S156" s="46"/>
      <c r="T156" s="46"/>
      <c r="U156" s="46"/>
    </row>
    <row r="157" spans="1:21" ht="15.75">
      <c r="C157" s="38" t="s">
        <v>632</v>
      </c>
      <c r="D157" s="54">
        <f>D153+D154+D155-D156</f>
        <v>50.224454373289404</v>
      </c>
      <c r="E157" s="187" t="s">
        <v>341</v>
      </c>
      <c r="F157" s="18"/>
      <c r="H157" s="187" t="s">
        <v>633</v>
      </c>
      <c r="I157" s="54">
        <f>D153*(D151+D150/3)+D154*0.5*D151+D155*D151/3-D156*D152/3</f>
        <v>120.43583572756029</v>
      </c>
      <c r="J157" s="162"/>
      <c r="K157" s="159"/>
      <c r="L157" s="388"/>
      <c r="M157" s="389"/>
      <c r="N157" s="90"/>
      <c r="O157" s="44"/>
      <c r="P157" s="46"/>
      <c r="Q157" s="46"/>
      <c r="R157" s="46"/>
      <c r="S157" s="46"/>
      <c r="T157" s="46"/>
      <c r="U157" s="46"/>
    </row>
    <row r="158" spans="1:21">
      <c r="D158" s="2"/>
      <c r="E158" s="10"/>
      <c r="J158" s="46"/>
      <c r="K158" s="159"/>
      <c r="L158" s="388"/>
      <c r="M158" s="46"/>
      <c r="N158" s="90"/>
      <c r="O158" s="44"/>
      <c r="P158" s="46"/>
      <c r="Q158" s="46"/>
      <c r="R158" s="46"/>
      <c r="S158" s="46"/>
      <c r="T158" s="46"/>
      <c r="U158" s="46"/>
    </row>
    <row r="159" spans="1:21">
      <c r="B159" t="s">
        <v>129</v>
      </c>
      <c r="C159" s="17"/>
      <c r="D159" s="2" t="s">
        <v>35</v>
      </c>
      <c r="E159" s="210">
        <f>MAX(E144,D157)</f>
        <v>207.57186893547839</v>
      </c>
      <c r="F159" s="36" t="s">
        <v>21</v>
      </c>
      <c r="J159" s="46"/>
      <c r="K159" s="159"/>
      <c r="L159" s="46"/>
      <c r="M159" s="46"/>
      <c r="N159" s="46"/>
      <c r="O159" s="46"/>
      <c r="P159" s="46"/>
      <c r="Q159" s="46"/>
      <c r="R159" s="46"/>
      <c r="S159" s="46"/>
      <c r="T159" s="46"/>
      <c r="U159" s="46"/>
    </row>
    <row r="160" spans="1:21">
      <c r="B160" t="s">
        <v>130</v>
      </c>
      <c r="C160" s="17"/>
      <c r="D160" s="2" t="s">
        <v>35</v>
      </c>
      <c r="E160" s="210">
        <f>MAX(E145,I157)</f>
        <v>539.68685923224382</v>
      </c>
      <c r="F160" s="36" t="s">
        <v>107</v>
      </c>
      <c r="J160" s="46"/>
      <c r="K160" s="159"/>
      <c r="L160" s="46"/>
      <c r="M160" s="46"/>
      <c r="N160" s="46"/>
      <c r="O160" s="46"/>
      <c r="P160" s="46"/>
      <c r="Q160" s="46"/>
      <c r="R160" s="46"/>
      <c r="S160" s="46"/>
      <c r="T160" s="46"/>
      <c r="U160" s="46"/>
    </row>
    <row r="161" spans="1:21">
      <c r="B161" s="187" t="s">
        <v>599</v>
      </c>
      <c r="E161" s="129">
        <f>H135*1000</f>
        <v>800</v>
      </c>
      <c r="F161" s="187" t="s">
        <v>98</v>
      </c>
      <c r="J161" s="46"/>
      <c r="K161" s="159"/>
      <c r="L161" s="46"/>
      <c r="M161" s="46"/>
      <c r="N161" s="46"/>
      <c r="O161" s="46"/>
      <c r="P161" s="46"/>
      <c r="Q161" s="46"/>
      <c r="R161" s="46"/>
      <c r="S161" s="46"/>
      <c r="T161" s="46"/>
      <c r="U161" s="46"/>
    </row>
    <row r="162" spans="1:21">
      <c r="B162" s="187" t="str">
        <f>"Depth provide,  d  = "&amp;E161&amp;" - "&amp;I13&amp;" - "&amp;C184&amp;" / 2  ="</f>
        <v>Depth provide,  d  = 800 - 60 - 25 / 2  =</v>
      </c>
      <c r="F162" s="129">
        <f>E161-I13-C184/2</f>
        <v>727.5</v>
      </c>
      <c r="G162" s="187" t="s">
        <v>98</v>
      </c>
      <c r="J162" s="46"/>
      <c r="K162" s="159"/>
      <c r="L162" s="46"/>
      <c r="M162" s="46"/>
      <c r="N162" s="189"/>
      <c r="O162" s="46"/>
      <c r="P162" s="46"/>
      <c r="Q162" s="46"/>
      <c r="R162" s="46"/>
      <c r="S162" s="46"/>
      <c r="T162" s="46"/>
      <c r="U162" s="46"/>
    </row>
    <row r="163" spans="1:21">
      <c r="J163" s="46"/>
      <c r="K163" s="159"/>
      <c r="L163" s="388"/>
      <c r="M163" s="46"/>
      <c r="N163" s="46"/>
      <c r="O163" s="90"/>
      <c r="P163" s="46"/>
      <c r="Q163" s="46"/>
      <c r="R163" s="46"/>
      <c r="S163" s="46"/>
      <c r="T163" s="46"/>
      <c r="U163" s="46"/>
    </row>
    <row r="164" spans="1:21">
      <c r="A164" s="187" t="s">
        <v>578</v>
      </c>
      <c r="D164" s="2"/>
      <c r="G164" s="9">
        <f>(E159*10^3)/(C24*1000)</f>
        <v>486.31286980567995</v>
      </c>
      <c r="H164" s="187" t="s">
        <v>98</v>
      </c>
      <c r="I164" s="126" t="str">
        <f>IF(G164&lt;=F162,"ok","Not ok")</f>
        <v>ok</v>
      </c>
      <c r="J164" s="46"/>
      <c r="K164" s="159"/>
      <c r="L164" s="289"/>
      <c r="M164" s="46"/>
      <c r="N164" s="46"/>
      <c r="O164" s="90"/>
      <c r="P164" s="46"/>
      <c r="Q164" s="46"/>
      <c r="R164" s="46"/>
      <c r="S164" s="46"/>
      <c r="T164" s="46"/>
      <c r="U164" s="46"/>
    </row>
    <row r="165" spans="1:21">
      <c r="A165" s="187" t="s">
        <v>577</v>
      </c>
      <c r="C165" s="201"/>
      <c r="D165" s="2"/>
      <c r="G165" s="9">
        <f>((E160*10^6)/(C23*1000))^0.5</f>
        <v>614.29686129407276</v>
      </c>
      <c r="H165" s="187" t="s">
        <v>98</v>
      </c>
      <c r="I165" s="126" t="str">
        <f>IF(G165&lt;=F162,"ok","Not ok")</f>
        <v>ok</v>
      </c>
      <c r="J165" s="46"/>
      <c r="K165" s="159"/>
      <c r="L165" s="388"/>
      <c r="M165" s="46"/>
      <c r="N165" s="46"/>
      <c r="O165" s="90"/>
      <c r="P165" s="46"/>
      <c r="Q165" s="46"/>
      <c r="R165" s="46"/>
      <c r="S165" s="46"/>
      <c r="T165" s="46"/>
      <c r="U165" s="46"/>
    </row>
    <row r="166" spans="1:21">
      <c r="A166" s="187" t="s">
        <v>634</v>
      </c>
      <c r="E166" s="2"/>
      <c r="G166" s="9">
        <f>(E160*10^6)/(C18*C22*F162)</f>
        <v>4463.887678296197</v>
      </c>
      <c r="H166" s="187" t="s">
        <v>128</v>
      </c>
      <c r="J166" s="46"/>
      <c r="K166" s="159"/>
      <c r="L166" s="289"/>
      <c r="M166" s="46"/>
      <c r="N166" s="46"/>
      <c r="O166" s="90"/>
      <c r="P166" s="46"/>
      <c r="Q166" s="46"/>
      <c r="R166" s="46"/>
      <c r="S166" s="46"/>
      <c r="T166" s="46"/>
      <c r="U166" s="46"/>
    </row>
    <row r="167" spans="1:21">
      <c r="J167" s="46"/>
      <c r="K167" s="159"/>
      <c r="L167" s="289"/>
      <c r="M167" s="46"/>
      <c r="N167" s="46"/>
      <c r="O167" s="390"/>
      <c r="P167" s="46"/>
      <c r="Q167" s="46"/>
      <c r="R167" s="46"/>
      <c r="S167" s="46"/>
      <c r="T167" s="46"/>
      <c r="U167" s="46"/>
    </row>
    <row r="168" spans="1:21">
      <c r="A168" s="187" t="s">
        <v>1828</v>
      </c>
      <c r="E168" s="2"/>
      <c r="G168" s="2048">
        <f>IF(I157&lt;0,ABS(I157),0)</f>
        <v>0</v>
      </c>
      <c r="H168" s="36" t="s">
        <v>107</v>
      </c>
      <c r="J168" s="46"/>
      <c r="K168" s="159"/>
      <c r="L168" s="289"/>
      <c r="M168" s="46"/>
      <c r="N168" s="46"/>
      <c r="O168" s="390"/>
      <c r="P168" s="46"/>
      <c r="Q168" s="46"/>
      <c r="R168" s="46"/>
      <c r="S168" s="46"/>
      <c r="T168" s="46"/>
      <c r="U168" s="46"/>
    </row>
    <row r="169" spans="1:21">
      <c r="A169" s="187" t="s">
        <v>1829</v>
      </c>
      <c r="E169" s="2"/>
      <c r="G169" s="9">
        <f>(G168*10^6)/(C18*C22*F162)</f>
        <v>0</v>
      </c>
      <c r="H169" s="187" t="s">
        <v>128</v>
      </c>
      <c r="J169" s="46"/>
      <c r="K169" s="159"/>
      <c r="L169" s="289"/>
      <c r="M169" s="46"/>
      <c r="N169" s="46"/>
      <c r="O169" s="390"/>
      <c r="P169" s="46"/>
      <c r="Q169" s="46"/>
      <c r="R169" s="46"/>
      <c r="S169" s="46"/>
      <c r="T169" s="46"/>
      <c r="U169" s="46"/>
    </row>
    <row r="170" spans="1:21">
      <c r="J170" s="46"/>
      <c r="K170" s="159"/>
      <c r="L170" s="3219" t="s">
        <v>1940</v>
      </c>
      <c r="M170" s="3220"/>
      <c r="N170" s="3220"/>
      <c r="O170" s="3220"/>
      <c r="P170" s="3221"/>
      <c r="Q170" s="46"/>
      <c r="R170" s="46"/>
      <c r="S170" s="46"/>
      <c r="T170" s="46"/>
      <c r="U170" s="46"/>
    </row>
    <row r="171" spans="1:21">
      <c r="A171" s="936" t="str">
        <f>"Reinforcement Distribution of R/S Wing Wall for Sec "&amp;C109&amp;" :"</f>
        <v>Reinforcement Distribution of R/S Wing Wall for Sec 1-1 :</v>
      </c>
      <c r="G171" s="107"/>
      <c r="H171" s="107"/>
      <c r="J171" s="46"/>
      <c r="K171" s="159"/>
      <c r="L171" s="2286" t="s">
        <v>876</v>
      </c>
      <c r="M171" s="3210" t="s">
        <v>492</v>
      </c>
      <c r="N171" s="3212"/>
      <c r="O171" s="3210" t="s">
        <v>493</v>
      </c>
      <c r="P171" s="3212"/>
      <c r="Q171" s="46"/>
      <c r="R171" s="46"/>
      <c r="S171" s="46"/>
      <c r="T171" s="46"/>
      <c r="U171" s="46"/>
    </row>
    <row r="172" spans="1:21">
      <c r="J172" s="46"/>
      <c r="K172" s="159"/>
      <c r="L172" s="2293"/>
      <c r="M172" s="2287" t="s">
        <v>709</v>
      </c>
      <c r="N172" s="1973" t="s">
        <v>710</v>
      </c>
      <c r="O172" s="1973" t="s">
        <v>709</v>
      </c>
      <c r="P172" s="2288" t="s">
        <v>710</v>
      </c>
      <c r="Q172" s="46"/>
      <c r="R172" s="46"/>
      <c r="S172" s="46"/>
      <c r="T172" s="46"/>
      <c r="U172" s="46"/>
    </row>
    <row r="173" spans="1:21">
      <c r="A173" s="3147" t="s">
        <v>486</v>
      </c>
      <c r="B173" s="3148" t="s">
        <v>487</v>
      </c>
      <c r="C173" s="3148" t="s">
        <v>488</v>
      </c>
      <c r="D173" s="3148" t="s">
        <v>489</v>
      </c>
      <c r="E173" s="3149" t="s">
        <v>490</v>
      </c>
      <c r="F173" s="3150"/>
      <c r="G173" s="3150"/>
      <c r="H173" s="3150"/>
      <c r="I173" s="3150"/>
      <c r="J173" s="330"/>
      <c r="K173" s="159"/>
      <c r="L173" s="2026" t="str">
        <f>L185</f>
        <v>1-1</v>
      </c>
      <c r="M173" s="2027">
        <f>C184</f>
        <v>25</v>
      </c>
      <c r="N173" s="2028">
        <f>E184</f>
        <v>100</v>
      </c>
      <c r="O173" s="2029">
        <f>C187</f>
        <v>16</v>
      </c>
      <c r="P173" s="2030">
        <f>E187</f>
        <v>200</v>
      </c>
      <c r="Q173" s="46"/>
      <c r="R173" s="46"/>
      <c r="S173" s="46"/>
      <c r="T173" s="46"/>
      <c r="U173" s="46"/>
    </row>
    <row r="174" spans="1:21">
      <c r="A174" s="3147"/>
      <c r="B174" s="3148"/>
      <c r="C174" s="3148"/>
      <c r="D174" s="3148"/>
      <c r="E174" s="94">
        <v>12</v>
      </c>
      <c r="F174" s="94">
        <v>16</v>
      </c>
      <c r="G174" s="94">
        <v>20</v>
      </c>
      <c r="H174" s="94">
        <v>22</v>
      </c>
      <c r="I174" s="94">
        <v>25</v>
      </c>
      <c r="J174" s="275"/>
      <c r="K174" s="159"/>
      <c r="L174" s="860" t="str">
        <f>L186</f>
        <v>2-2</v>
      </c>
      <c r="M174" s="869">
        <f>C432</f>
        <v>25</v>
      </c>
      <c r="N174" s="1974">
        <f>E432</f>
        <v>100</v>
      </c>
      <c r="O174" s="877">
        <f>C435</f>
        <v>16</v>
      </c>
      <c r="P174" s="863">
        <f>E435</f>
        <v>200</v>
      </c>
      <c r="Q174" s="46"/>
      <c r="R174" s="46"/>
      <c r="S174" s="46"/>
      <c r="T174" s="46"/>
      <c r="U174" s="46"/>
    </row>
    <row r="175" spans="1:21" ht="14.25">
      <c r="A175" s="172"/>
      <c r="B175" s="256" t="s">
        <v>491</v>
      </c>
      <c r="C175" s="256" t="s">
        <v>491</v>
      </c>
      <c r="D175" s="256" t="s">
        <v>491</v>
      </c>
      <c r="E175" s="336" t="s">
        <v>98</v>
      </c>
      <c r="F175" s="336" t="s">
        <v>98</v>
      </c>
      <c r="G175" s="336" t="s">
        <v>98</v>
      </c>
      <c r="H175" s="336" t="s">
        <v>98</v>
      </c>
      <c r="I175" s="336" t="s">
        <v>98</v>
      </c>
      <c r="J175" s="759"/>
      <c r="K175" s="159"/>
      <c r="L175" s="860" t="str">
        <f>L187</f>
        <v>3-3</v>
      </c>
      <c r="M175" s="869">
        <f>C680</f>
        <v>20</v>
      </c>
      <c r="N175" s="1974">
        <f>E680</f>
        <v>100</v>
      </c>
      <c r="O175" s="877">
        <f>C683</f>
        <v>16</v>
      </c>
      <c r="P175" s="863">
        <f>E683</f>
        <v>200</v>
      </c>
      <c r="Q175" s="46"/>
      <c r="R175" s="46"/>
      <c r="S175" s="46"/>
      <c r="T175" s="46"/>
      <c r="U175" s="46"/>
    </row>
    <row r="176" spans="1:21">
      <c r="A176" s="258" t="s">
        <v>492</v>
      </c>
      <c r="B176" s="55"/>
      <c r="C176" s="55"/>
      <c r="D176" s="55"/>
      <c r="E176" s="55"/>
      <c r="F176" s="55"/>
      <c r="G176" s="55"/>
      <c r="H176" s="55"/>
      <c r="I176" s="56"/>
      <c r="J176" s="386"/>
      <c r="K176" s="159"/>
      <c r="L176" s="860" t="str">
        <f>L188</f>
        <v>4-4</v>
      </c>
      <c r="M176" s="869">
        <f>C929</f>
        <v>16</v>
      </c>
      <c r="N176" s="1974">
        <f>E929</f>
        <v>100</v>
      </c>
      <c r="O176" s="877">
        <f>C932</f>
        <v>16</v>
      </c>
      <c r="P176" s="863">
        <f>E932</f>
        <v>200</v>
      </c>
      <c r="Q176" s="46"/>
      <c r="R176" s="46"/>
      <c r="S176" s="46"/>
      <c r="T176" s="46"/>
      <c r="U176" s="46"/>
    </row>
    <row r="177" spans="1:21">
      <c r="A177" s="259" t="s">
        <v>111</v>
      </c>
      <c r="B177" s="318">
        <f>G166</f>
        <v>4463.887678296197</v>
      </c>
      <c r="C177" s="318">
        <f>IF(E115&gt;380,C113*1000*380,C113*1000*E115)</f>
        <v>380</v>
      </c>
      <c r="D177" s="318">
        <f>MAX(B177:C177)</f>
        <v>4463.887678296197</v>
      </c>
      <c r="E177" s="261">
        <f>PI()*(E174/2)^2*1000/$D177</f>
        <v>25.336062123409032</v>
      </c>
      <c r="F177" s="261">
        <f>PI()*(F174/2)^2*1000/$D177</f>
        <v>45.041888219393826</v>
      </c>
      <c r="G177" s="261">
        <f>PI()*(G174/2)^2*1000/$D177</f>
        <v>70.377950342802876</v>
      </c>
      <c r="H177" s="261">
        <f>PI()*(H174/2)^2*1000/$D177</f>
        <v>85.157319914791458</v>
      </c>
      <c r="I177" s="283">
        <f>PI()*(I174/2)^2*1000/$D177</f>
        <v>109.96554741062948</v>
      </c>
      <c r="J177" s="328"/>
      <c r="K177" s="159"/>
      <c r="L177" s="865" t="str">
        <f>L189</f>
        <v>5-5</v>
      </c>
      <c r="M177" s="871">
        <f>C1178</f>
        <v>16</v>
      </c>
      <c r="N177" s="1975">
        <f>E1178</f>
        <v>100</v>
      </c>
      <c r="O177" s="879">
        <f>C1181</f>
        <v>16</v>
      </c>
      <c r="P177" s="868">
        <f>E1181</f>
        <v>200</v>
      </c>
      <c r="Q177" s="46"/>
      <c r="R177" s="46"/>
      <c r="S177" s="46"/>
      <c r="T177" s="46"/>
      <c r="U177" s="46"/>
    </row>
    <row r="178" spans="1:21">
      <c r="A178" s="262" t="s">
        <v>110</v>
      </c>
      <c r="B178" s="319"/>
      <c r="C178" s="318">
        <f>IF(E115&gt;380,C114*1000*380,C114*1000*E115)</f>
        <v>570</v>
      </c>
      <c r="D178" s="319">
        <f>MAX(B178:C178)</f>
        <v>570</v>
      </c>
      <c r="E178" s="261">
        <f>PI()*(E174/2)^2*1000/$D178</f>
        <v>198.41637812146064</v>
      </c>
      <c r="F178" s="261">
        <f>PI()*(F174/2)^2*1000/$D178</f>
        <v>352.74022777148554</v>
      </c>
      <c r="G178" s="261">
        <f>PI()*(G174/2)^2*1000/$D178</f>
        <v>551.15660589294623</v>
      </c>
      <c r="H178" s="261">
        <f>PI()*(H174/2)^2*1000/$D178</f>
        <v>666.89949313046486</v>
      </c>
      <c r="I178" s="283">
        <f>PI()*(I174/2)^2*1000/$D178</f>
        <v>861.18219670772839</v>
      </c>
      <c r="J178" s="328"/>
      <c r="K178" s="159"/>
      <c r="L178" s="46"/>
      <c r="M178" s="46"/>
      <c r="N178" s="46"/>
      <c r="O178" s="46"/>
      <c r="P178" s="46"/>
      <c r="Q178" s="46"/>
      <c r="R178" s="46"/>
      <c r="S178" s="46"/>
      <c r="T178" s="46"/>
      <c r="U178" s="46"/>
    </row>
    <row r="179" spans="1:21">
      <c r="A179" s="264" t="s">
        <v>493</v>
      </c>
      <c r="B179" s="265"/>
      <c r="C179" s="322"/>
      <c r="D179" s="322"/>
      <c r="E179" s="266"/>
      <c r="F179" s="266"/>
      <c r="G179" s="266"/>
      <c r="H179" s="266"/>
      <c r="I179" s="267"/>
      <c r="J179" s="330"/>
      <c r="K179" s="159"/>
      <c r="R179" s="46"/>
      <c r="S179" s="46"/>
      <c r="T179" s="46"/>
      <c r="U179" s="46"/>
    </row>
    <row r="180" spans="1:21">
      <c r="A180" s="259" t="s">
        <v>111</v>
      </c>
      <c r="B180" s="318">
        <f>G169</f>
        <v>0</v>
      </c>
      <c r="C180" s="318">
        <f>IF(E115&gt;380,H113*1000*380,H113*1000*E115)</f>
        <v>760</v>
      </c>
      <c r="D180" s="318">
        <f>MAX(B180:C180)</f>
        <v>760</v>
      </c>
      <c r="E180" s="261">
        <f>PI()*(E174/2)^2*1000/$D180</f>
        <v>148.81228359109548</v>
      </c>
      <c r="F180" s="261">
        <f>PI()*(F174/2)^2*1000/$D180</f>
        <v>264.55517082861417</v>
      </c>
      <c r="G180" s="261">
        <f>PI()*(G174/2)^2*1000/$D180</f>
        <v>413.36745441970965</v>
      </c>
      <c r="H180" s="261">
        <f>PI()*(H174/2)^2*1000/$D180</f>
        <v>500.17461984784865</v>
      </c>
      <c r="I180" s="283">
        <f>PI()*(I174/2)^2*1000/$D180</f>
        <v>645.88664753079627</v>
      </c>
      <c r="J180" s="328"/>
      <c r="K180" s="159"/>
      <c r="O180" s="90"/>
      <c r="P180" s="90"/>
      <c r="Q180" s="46"/>
      <c r="R180" s="46"/>
      <c r="S180" s="46"/>
      <c r="T180" s="46"/>
      <c r="U180" s="46"/>
    </row>
    <row r="181" spans="1:21">
      <c r="A181" s="262" t="s">
        <v>110</v>
      </c>
      <c r="B181" s="263"/>
      <c r="C181" s="319">
        <f>IF(E115&gt;380,H114*1000*380,H114*1000*E115)</f>
        <v>950</v>
      </c>
      <c r="D181" s="319">
        <f>MAX(B181:C181)</f>
        <v>950</v>
      </c>
      <c r="E181" s="284">
        <f>PI()*(E174/2)^2*1000/$D181</f>
        <v>119.04982687287638</v>
      </c>
      <c r="F181" s="284">
        <f>PI()*(F174/2)^2*1000/$D181</f>
        <v>211.6441366628913</v>
      </c>
      <c r="G181" s="284">
        <f>PI()*(G174/2)^2*1000/$D181</f>
        <v>330.69396353576775</v>
      </c>
      <c r="H181" s="284">
        <f>PI()*(H174/2)^2*1000/$D181</f>
        <v>400.13969587827893</v>
      </c>
      <c r="I181" s="285">
        <f>PI()*(I174/2)^2*1000/$D181</f>
        <v>516.70931802463701</v>
      </c>
      <c r="J181" s="328"/>
      <c r="K181" s="159"/>
      <c r="L181" s="3219" t="s">
        <v>1139</v>
      </c>
      <c r="M181" s="3220"/>
      <c r="N181" s="3220"/>
      <c r="O181" s="3220"/>
      <c r="P181" s="3221"/>
      <c r="Q181" s="44"/>
      <c r="R181" s="46"/>
      <c r="S181" s="46"/>
      <c r="T181" s="46"/>
      <c r="U181" s="46"/>
    </row>
    <row r="182" spans="1:21">
      <c r="J182" s="46"/>
      <c r="K182" s="159"/>
      <c r="L182" s="3208" t="s">
        <v>876</v>
      </c>
      <c r="M182" s="3210" t="s">
        <v>110</v>
      </c>
      <c r="N182" s="3211"/>
      <c r="O182" s="3211"/>
      <c r="P182" s="3212"/>
      <c r="Q182" s="90"/>
      <c r="R182" s="46"/>
      <c r="S182" s="134"/>
      <c r="T182" s="46"/>
      <c r="U182" s="46"/>
    </row>
    <row r="183" spans="1:21">
      <c r="A183" s="258" t="s">
        <v>492</v>
      </c>
      <c r="B183" s="55"/>
      <c r="C183" s="252"/>
      <c r="D183" s="55"/>
      <c r="E183" s="55"/>
      <c r="F183" s="56"/>
      <c r="G183" s="2723" t="s">
        <v>2095</v>
      </c>
      <c r="H183" s="2672" t="s">
        <v>1358</v>
      </c>
      <c r="I183" s="1178" t="s">
        <v>2094</v>
      </c>
      <c r="J183" s="46"/>
      <c r="K183" s="159"/>
      <c r="L183" s="3209"/>
      <c r="M183" s="3210" t="s">
        <v>492</v>
      </c>
      <c r="N183" s="3212"/>
      <c r="O183" s="3210" t="s">
        <v>493</v>
      </c>
      <c r="P183" s="3212"/>
      <c r="Q183" s="90"/>
      <c r="R183" s="46"/>
      <c r="S183" s="134"/>
      <c r="T183" s="46"/>
      <c r="U183" s="46"/>
    </row>
    <row r="184" spans="1:21" ht="15.75">
      <c r="A184" s="259" t="s">
        <v>111</v>
      </c>
      <c r="B184" s="268" t="s">
        <v>136</v>
      </c>
      <c r="C184" s="614">
        <v>25</v>
      </c>
      <c r="D184" s="270" t="s">
        <v>481</v>
      </c>
      <c r="E184" s="616">
        <v>100</v>
      </c>
      <c r="F184" s="272" t="s">
        <v>482</v>
      </c>
      <c r="G184" s="3118" t="s">
        <v>2108</v>
      </c>
      <c r="H184" s="94" t="s">
        <v>1348</v>
      </c>
      <c r="I184" s="94" t="s">
        <v>107</v>
      </c>
      <c r="J184" s="3253" t="str">
        <f>IF(I185&gt;=M26,"o.k","Not o.k")</f>
        <v>o.k</v>
      </c>
      <c r="K184" s="159"/>
      <c r="L184" s="3222"/>
      <c r="M184" s="857" t="s">
        <v>709</v>
      </c>
      <c r="N184" s="858" t="s">
        <v>710</v>
      </c>
      <c r="O184" s="858" t="s">
        <v>709</v>
      </c>
      <c r="P184" s="859" t="s">
        <v>710</v>
      </c>
      <c r="Q184" s="46"/>
      <c r="R184" s="46"/>
      <c r="S184" s="46"/>
      <c r="T184" s="46"/>
      <c r="U184" s="46"/>
    </row>
    <row r="185" spans="1:21" ht="15.75">
      <c r="A185" s="262" t="s">
        <v>110</v>
      </c>
      <c r="B185" s="278" t="s">
        <v>136</v>
      </c>
      <c r="C185" s="615">
        <v>16</v>
      </c>
      <c r="D185" s="280" t="s">
        <v>481</v>
      </c>
      <c r="E185" s="617">
        <v>200</v>
      </c>
      <c r="F185" s="282" t="s">
        <v>482</v>
      </c>
      <c r="G185" s="3239"/>
      <c r="H185" s="316">
        <f>PI()*(C184/2)^2*1000/E184</f>
        <v>4908.7385212340523</v>
      </c>
      <c r="I185" s="2675">
        <f>H185*$C$18*$C$22*F162/10^6</f>
        <v>593.46960905797027</v>
      </c>
      <c r="J185" s="3253"/>
      <c r="K185" s="159"/>
      <c r="L185" s="2021" t="str">
        <f>L63</f>
        <v>1-1</v>
      </c>
      <c r="M185" s="2023">
        <f>C185</f>
        <v>16</v>
      </c>
      <c r="N185" s="2023">
        <f>E185</f>
        <v>200</v>
      </c>
      <c r="O185" s="2322">
        <f>C188</f>
        <v>16</v>
      </c>
      <c r="P185" s="2025">
        <f>E188</f>
        <v>200</v>
      </c>
      <c r="Q185" s="46"/>
      <c r="R185" s="46"/>
      <c r="S185" s="46"/>
      <c r="T185" s="46"/>
      <c r="U185" s="46"/>
    </row>
    <row r="186" spans="1:21" ht="15">
      <c r="A186" s="321" t="s">
        <v>493</v>
      </c>
      <c r="B186" s="273"/>
      <c r="C186" s="274"/>
      <c r="D186" s="275"/>
      <c r="E186" s="276"/>
      <c r="F186" s="277"/>
      <c r="J186" s="46"/>
      <c r="K186" s="159"/>
      <c r="L186" s="860" t="str">
        <f>L64</f>
        <v>2-2</v>
      </c>
      <c r="M186" s="861">
        <f>C433</f>
        <v>16</v>
      </c>
      <c r="N186" s="861">
        <f>E433</f>
        <v>200</v>
      </c>
      <c r="O186" s="862">
        <f>C436</f>
        <v>16</v>
      </c>
      <c r="P186" s="863">
        <f>E436</f>
        <v>200</v>
      </c>
      <c r="Q186" s="46"/>
      <c r="R186" s="46"/>
      <c r="S186" s="46"/>
      <c r="T186" s="46"/>
      <c r="U186" s="46"/>
    </row>
    <row r="187" spans="1:21" ht="15.75">
      <c r="A187" s="259" t="s">
        <v>111</v>
      </c>
      <c r="B187" s="268" t="s">
        <v>136</v>
      </c>
      <c r="C187" s="614">
        <v>16</v>
      </c>
      <c r="D187" s="270" t="s">
        <v>481</v>
      </c>
      <c r="E187" s="616">
        <v>200</v>
      </c>
      <c r="F187" s="272" t="s">
        <v>482</v>
      </c>
      <c r="J187" s="46"/>
      <c r="K187" s="159"/>
      <c r="L187" s="860" t="str">
        <f>L65</f>
        <v>3-3</v>
      </c>
      <c r="M187" s="862">
        <f>C681</f>
        <v>16</v>
      </c>
      <c r="N187" s="864">
        <f>E681</f>
        <v>200</v>
      </c>
      <c r="O187" s="862">
        <f>C684</f>
        <v>16</v>
      </c>
      <c r="P187" s="863">
        <f>E684</f>
        <v>200</v>
      </c>
      <c r="Q187" s="46"/>
      <c r="R187" s="46"/>
      <c r="S187" s="46"/>
      <c r="T187" s="46"/>
      <c r="U187" s="46"/>
    </row>
    <row r="188" spans="1:21" ht="15.75">
      <c r="A188" s="262" t="s">
        <v>110</v>
      </c>
      <c r="B188" s="278" t="s">
        <v>136</v>
      </c>
      <c r="C188" s="615">
        <v>16</v>
      </c>
      <c r="D188" s="280" t="s">
        <v>481</v>
      </c>
      <c r="E188" s="617">
        <v>200</v>
      </c>
      <c r="F188" s="282" t="s">
        <v>482</v>
      </c>
      <c r="J188" s="46"/>
      <c r="K188" s="159"/>
      <c r="L188" s="860" t="str">
        <f>L66</f>
        <v>4-4</v>
      </c>
      <c r="M188" s="862">
        <f>C930</f>
        <v>16</v>
      </c>
      <c r="N188" s="864">
        <f>E930</f>
        <v>200</v>
      </c>
      <c r="O188" s="862">
        <f>C933</f>
        <v>16</v>
      </c>
      <c r="P188" s="863">
        <f>E933</f>
        <v>200</v>
      </c>
      <c r="Q188" s="46"/>
      <c r="R188" s="46"/>
      <c r="S188" s="46"/>
      <c r="T188" s="46"/>
      <c r="U188" s="46"/>
    </row>
    <row r="189" spans="1:21">
      <c r="J189" s="46"/>
      <c r="K189" s="159"/>
      <c r="L189" s="865" t="str">
        <f>L67</f>
        <v>5-5</v>
      </c>
      <c r="M189" s="866">
        <f>C1179</f>
        <v>16</v>
      </c>
      <c r="N189" s="867">
        <f>E1179</f>
        <v>200</v>
      </c>
      <c r="O189" s="866">
        <f>C1182</f>
        <v>16</v>
      </c>
      <c r="P189" s="868">
        <f>E1182</f>
        <v>200</v>
      </c>
      <c r="Q189" s="46"/>
      <c r="R189" s="46"/>
      <c r="S189" s="46"/>
      <c r="T189" s="46"/>
      <c r="U189" s="46"/>
    </row>
    <row r="190" spans="1:21">
      <c r="A190" s="41" t="s">
        <v>939</v>
      </c>
      <c r="J190" s="46"/>
      <c r="K190" s="159"/>
      <c r="L190" s="90"/>
      <c r="M190" s="46"/>
      <c r="N190" s="46"/>
      <c r="O190" s="46"/>
      <c r="P190" s="46"/>
      <c r="Q190" s="46"/>
      <c r="R190" s="46"/>
      <c r="S190" s="46"/>
      <c r="T190" s="46"/>
      <c r="U190" s="46"/>
    </row>
    <row r="191" spans="1:21">
      <c r="A191" s="187" t="s">
        <v>651</v>
      </c>
      <c r="F191" s="54">
        <f>(6*E145/(2*I8*D6))^(1/3)</f>
        <v>6.1908641026759783</v>
      </c>
      <c r="G191" s="2871" t="s">
        <v>1003</v>
      </c>
      <c r="H191" s="2878">
        <v>0.3</v>
      </c>
      <c r="I191" s="187" t="str">
        <f>"= "&amp;FIXED(F191-H191,2)&amp;" m from top"</f>
        <v>= 5.89 m from top</v>
      </c>
      <c r="K191" s="159"/>
      <c r="M191" s="46"/>
      <c r="N191" s="46"/>
      <c r="O191" s="46"/>
      <c r="P191" s="46"/>
      <c r="Q191" s="46"/>
      <c r="R191" s="46"/>
      <c r="S191" s="46"/>
      <c r="T191" s="46"/>
      <c r="U191" s="46"/>
    </row>
    <row r="192" spans="1:21">
      <c r="A192" s="187" t="s">
        <v>652</v>
      </c>
      <c r="F192" s="54">
        <f>(6*E145/(4*I8*D6))^(1/3)</f>
        <v>4.9136920945900044</v>
      </c>
      <c r="G192" s="2871" t="s">
        <v>1003</v>
      </c>
      <c r="H192" s="2878">
        <v>0.4</v>
      </c>
      <c r="I192" s="187" t="str">
        <f>"= "&amp;FIXED(F192-H192,2)&amp;" m from top"</f>
        <v>= 4.51 m from top</v>
      </c>
      <c r="J192" s="187"/>
      <c r="K192" s="159"/>
      <c r="Q192" s="46"/>
      <c r="R192" s="46"/>
      <c r="S192" s="46"/>
      <c r="T192" s="46"/>
      <c r="U192" s="46"/>
    </row>
    <row r="193" spans="1:21">
      <c r="E193" s="46"/>
      <c r="G193" s="187"/>
      <c r="J193" s="46"/>
      <c r="K193" s="159"/>
      <c r="Q193" s="46"/>
      <c r="R193" s="46"/>
      <c r="S193" s="46"/>
      <c r="T193" s="46"/>
      <c r="U193" s="46"/>
    </row>
    <row r="194" spans="1:21">
      <c r="A194" s="2876" t="s">
        <v>1148</v>
      </c>
      <c r="B194" s="3085" t="s">
        <v>621</v>
      </c>
      <c r="C194" s="347" t="s">
        <v>614</v>
      </c>
      <c r="D194" s="355" t="s">
        <v>615</v>
      </c>
      <c r="E194" s="347" t="s">
        <v>619</v>
      </c>
      <c r="F194" s="355" t="s">
        <v>616</v>
      </c>
      <c r="G194" s="355" t="s">
        <v>676</v>
      </c>
      <c r="H194" s="3224" t="s">
        <v>487</v>
      </c>
      <c r="I194" s="3148" t="s">
        <v>488</v>
      </c>
      <c r="J194" s="611"/>
      <c r="K194" s="159"/>
      <c r="Q194" s="46"/>
      <c r="R194" s="46"/>
      <c r="S194" s="46"/>
      <c r="T194" s="46"/>
      <c r="U194" s="46"/>
    </row>
    <row r="195" spans="1:21">
      <c r="A195" s="2877"/>
      <c r="B195" s="3086"/>
      <c r="C195" s="77"/>
      <c r="D195" s="104"/>
      <c r="E195" s="77"/>
      <c r="F195" s="104"/>
      <c r="G195" s="105"/>
      <c r="H195" s="3227"/>
      <c r="I195" s="3148"/>
      <c r="J195" s="611"/>
      <c r="K195" s="159"/>
      <c r="Q195" s="46"/>
      <c r="R195" s="46"/>
      <c r="S195" s="46"/>
      <c r="T195" s="46"/>
      <c r="U195" s="46"/>
    </row>
    <row r="196" spans="1:21" ht="14.25">
      <c r="A196" s="156"/>
      <c r="B196" s="354" t="s">
        <v>5</v>
      </c>
      <c r="C196" s="280" t="s">
        <v>620</v>
      </c>
      <c r="D196" s="354" t="s">
        <v>98</v>
      </c>
      <c r="E196" s="280" t="s">
        <v>98</v>
      </c>
      <c r="F196" s="354" t="s">
        <v>98</v>
      </c>
      <c r="G196" s="106"/>
      <c r="H196" s="249" t="s">
        <v>491</v>
      </c>
      <c r="I196" s="256" t="s">
        <v>491</v>
      </c>
      <c r="J196" s="408"/>
      <c r="K196" s="159"/>
      <c r="Q196" s="46"/>
      <c r="R196" s="46"/>
      <c r="S196" s="46"/>
      <c r="T196" s="46"/>
      <c r="U196" s="46"/>
    </row>
    <row r="197" spans="1:21">
      <c r="A197" s="348" t="s">
        <v>617</v>
      </c>
      <c r="B197" s="2706">
        <f>F191-H191</f>
        <v>5.8908641026759785</v>
      </c>
      <c r="C197" s="107">
        <f>I8*D6*B197^3/6</f>
        <v>232.48505906521754</v>
      </c>
      <c r="D197" s="356">
        <f>((C197*10^6)/(C23*1000))^0.5</f>
        <v>403.18549389619665</v>
      </c>
      <c r="E197" s="349">
        <f>(H117+B197*(H135-H117)/I124)*1000</f>
        <v>677.61949376128064</v>
      </c>
      <c r="F197" s="356">
        <f>E197-I13-C184/2</f>
        <v>605.11949376128064</v>
      </c>
      <c r="G197" s="123" t="str">
        <f>IF(F197&gt;=D197,"O.k","Not O.k")</f>
        <v>O.k</v>
      </c>
      <c r="H197" s="349">
        <f>C197*10^6/(C18*C22*F197)</f>
        <v>2311.8428870892126</v>
      </c>
      <c r="I197" s="123">
        <f>IF(E197&gt;380,C113*1000*380,C113*1000*E197)</f>
        <v>380</v>
      </c>
      <c r="J197" s="275"/>
      <c r="K197" s="159"/>
      <c r="Q197" s="46"/>
      <c r="R197" s="46"/>
      <c r="S197" s="46"/>
      <c r="T197" s="46"/>
      <c r="U197" s="46"/>
    </row>
    <row r="198" spans="1:21">
      <c r="A198" s="351" t="s">
        <v>618</v>
      </c>
      <c r="B198" s="2708">
        <f>F192-H192</f>
        <v>4.5136920945900041</v>
      </c>
      <c r="C198" s="121">
        <f>I8*D6*B198^3/6</f>
        <v>104.5812492961752</v>
      </c>
      <c r="D198" s="357">
        <f>((C198*10^6)/(C23*1000))^0.5</f>
        <v>270.41718482510413</v>
      </c>
      <c r="E198" s="310">
        <f>(H117+B198*(H135-H117)/I124)*1000</f>
        <v>589.33923683269256</v>
      </c>
      <c r="F198" s="357">
        <f>E198-I13-C184/2</f>
        <v>516.83923683269256</v>
      </c>
      <c r="G198" s="104" t="str">
        <f>IF(F198&gt;=D198,"O.k","Not O.k")</f>
        <v>O.k</v>
      </c>
      <c r="H198" s="310">
        <f>C198*10^6/(C18*C22*F198)</f>
        <v>1217.5947341898093</v>
      </c>
      <c r="I198" s="104">
        <f>IF(E198&gt;380,C113*1000*380,C113*1000*E198)</f>
        <v>380</v>
      </c>
      <c r="J198" s="275"/>
      <c r="K198" s="159"/>
      <c r="Q198" s="46"/>
      <c r="R198" s="46"/>
      <c r="S198" s="46"/>
      <c r="T198" s="46"/>
      <c r="U198" s="46"/>
    </row>
    <row r="199" spans="1:21">
      <c r="J199" s="46"/>
      <c r="K199" s="159"/>
      <c r="Q199" s="46"/>
      <c r="R199" s="46"/>
      <c r="S199" s="46"/>
      <c r="T199" s="46"/>
      <c r="U199" s="46"/>
    </row>
    <row r="200" spans="1:21" ht="12.75" customHeight="1">
      <c r="A200" s="3228" t="s">
        <v>613</v>
      </c>
      <c r="B200" s="3122" t="s">
        <v>937</v>
      </c>
      <c r="C200" s="3122" t="s">
        <v>938</v>
      </c>
      <c r="D200" s="3085" t="s">
        <v>623</v>
      </c>
      <c r="E200" s="3119" t="s">
        <v>622</v>
      </c>
      <c r="G200" s="3233" t="s">
        <v>2112</v>
      </c>
      <c r="H200" s="3234"/>
      <c r="I200" s="3235"/>
      <c r="J200" s="46"/>
      <c r="K200" s="159"/>
      <c r="Q200" s="46"/>
      <c r="R200" s="46"/>
      <c r="S200" s="46"/>
      <c r="T200" s="46"/>
      <c r="U200" s="46"/>
    </row>
    <row r="201" spans="1:21">
      <c r="A201" s="3229"/>
      <c r="B201" s="3123"/>
      <c r="C201" s="3123"/>
      <c r="D201" s="3200"/>
      <c r="E201" s="3120"/>
      <c r="G201" s="3122" t="s">
        <v>2110</v>
      </c>
      <c r="H201" s="3244" t="s">
        <v>2111</v>
      </c>
      <c r="I201" s="1541" t="s">
        <v>676</v>
      </c>
      <c r="J201" s="46"/>
      <c r="K201" s="159"/>
      <c r="Q201" s="46"/>
      <c r="R201" s="46"/>
      <c r="S201" s="46"/>
      <c r="T201" s="46"/>
      <c r="U201" s="46"/>
    </row>
    <row r="202" spans="1:21">
      <c r="A202" s="3230"/>
      <c r="B202" s="360"/>
      <c r="C202" s="360"/>
      <c r="D202" s="3086"/>
      <c r="E202" s="359"/>
      <c r="G202" s="3241"/>
      <c r="H202" s="3204"/>
      <c r="I202" s="1244"/>
      <c r="J202" s="46"/>
      <c r="K202" s="159"/>
      <c r="Q202" s="46"/>
      <c r="R202" s="46"/>
      <c r="S202" s="46"/>
      <c r="T202" s="46"/>
      <c r="U202" s="46"/>
    </row>
    <row r="203" spans="1:21" ht="14.25">
      <c r="A203" s="606" t="s">
        <v>5</v>
      </c>
      <c r="B203" s="256" t="s">
        <v>491</v>
      </c>
      <c r="C203" s="605" t="s">
        <v>98</v>
      </c>
      <c r="D203" s="605" t="s">
        <v>5</v>
      </c>
      <c r="E203" s="358" t="s">
        <v>98</v>
      </c>
      <c r="G203" s="2668" t="s">
        <v>491</v>
      </c>
      <c r="H203" s="94" t="s">
        <v>107</v>
      </c>
      <c r="I203" s="1289"/>
      <c r="J203" s="46"/>
      <c r="K203" s="159"/>
      <c r="Q203" s="46"/>
      <c r="R203" s="46"/>
      <c r="S203" s="46"/>
      <c r="T203" s="46"/>
      <c r="U203" s="46"/>
    </row>
    <row r="204" spans="1:21">
      <c r="A204" s="352">
        <f>(I124-B197)+40*C184/1000</f>
        <v>2.9091358973240222</v>
      </c>
      <c r="B204" s="356">
        <f>MAX(H197:I197)</f>
        <v>2311.8428870892126</v>
      </c>
      <c r="C204" s="350">
        <f>PI()*(C184/2)^2*1000/B204</f>
        <v>212.33010896404514</v>
      </c>
      <c r="D204" s="591">
        <v>3</v>
      </c>
      <c r="E204" s="609">
        <f>IF(D204="","",E184*2)</f>
        <v>200</v>
      </c>
      <c r="G204" s="2725">
        <f>IF(D204="","",PI()*(C184/2)^2*1000/E204)</f>
        <v>2454.3692606170262</v>
      </c>
      <c r="H204" s="2676">
        <f>IF(D204="","",G204*$C$18*$C$22*F197/10^6)</f>
        <v>246.81788961915058</v>
      </c>
      <c r="I204" s="2729" t="str">
        <f>IF(D204="","",IF(AND(H204&gt;=C197),"o.k","Not o.k"))</f>
        <v>o.k</v>
      </c>
      <c r="J204" s="46"/>
      <c r="K204" s="159"/>
      <c r="M204" s="2669"/>
      <c r="N204" s="2669"/>
      <c r="O204" s="2669"/>
      <c r="P204" s="2"/>
      <c r="Q204" s="46"/>
      <c r="R204" s="46"/>
      <c r="S204" s="46"/>
      <c r="T204" s="46"/>
      <c r="U204" s="46"/>
    </row>
    <row r="205" spans="1:21">
      <c r="A205" s="353">
        <f>(I124-B198)+40*C184/1000</f>
        <v>4.2863079054099966</v>
      </c>
      <c r="B205" s="357">
        <f>MAX(H198:I198)</f>
        <v>1217.5947341898093</v>
      </c>
      <c r="C205" s="311">
        <f>PI()*(C184/2)^2*1000/B205</f>
        <v>403.15043941942963</v>
      </c>
      <c r="D205" s="592">
        <v>4.5</v>
      </c>
      <c r="E205" s="610">
        <f>IF(D205="","",E204*2)</f>
        <v>400</v>
      </c>
      <c r="G205" s="2727">
        <f>IF(D205="","",PI()*(C184/2)^2*1000/E205)</f>
        <v>1227.1846303085131</v>
      </c>
      <c r="H205" s="2673">
        <f>IF(D205="","",G205*$C$18*$C$22*F198/10^6)</f>
        <v>105.40494152196486</v>
      </c>
      <c r="I205" s="2730" t="str">
        <f>IF(D205="","",IF(AND(H205&gt;=C198),"o.k","Not o.k"))</f>
        <v>o.k</v>
      </c>
      <c r="J205" s="46"/>
      <c r="K205" s="159"/>
      <c r="Q205" s="46"/>
      <c r="R205" s="46"/>
      <c r="S205" s="46"/>
      <c r="T205" s="46"/>
      <c r="U205" s="46"/>
    </row>
    <row r="206" spans="1:21">
      <c r="J206" s="46"/>
      <c r="K206" s="159"/>
      <c r="L206" s="386"/>
      <c r="M206" s="386"/>
      <c r="N206" s="386"/>
      <c r="O206" s="386"/>
      <c r="P206" s="386"/>
      <c r="Q206" s="46"/>
      <c r="R206" s="46"/>
      <c r="S206" s="46"/>
      <c r="T206" s="46"/>
      <c r="U206" s="46"/>
    </row>
    <row r="207" spans="1:21">
      <c r="A207" s="176" t="str">
        <f>"b) Design of Floor  : Sec "&amp;C109&amp;"    (R/S)"</f>
        <v>b) Design of Floor  : Sec 1-1    (R/S)</v>
      </c>
      <c r="B207" s="392"/>
      <c r="C207" s="174"/>
      <c r="D207" s="174"/>
      <c r="J207" s="46"/>
      <c r="K207" s="159"/>
      <c r="L207" s="46"/>
      <c r="M207" s="46"/>
      <c r="N207" s="46"/>
      <c r="O207" s="46"/>
      <c r="P207" s="46"/>
      <c r="Q207" s="46"/>
      <c r="R207" s="46"/>
      <c r="S207" s="46"/>
      <c r="T207" s="46"/>
      <c r="U207" s="46"/>
    </row>
    <row r="208" spans="1:21">
      <c r="J208" s="46"/>
      <c r="K208" s="159"/>
      <c r="L208" s="46"/>
      <c r="M208" s="46"/>
      <c r="N208" s="46"/>
      <c r="O208" s="46"/>
      <c r="P208" s="46"/>
      <c r="Q208" s="46"/>
      <c r="R208" s="46"/>
      <c r="S208" s="46"/>
      <c r="T208" s="46"/>
      <c r="U208" s="46"/>
    </row>
    <row r="209" spans="1:21">
      <c r="A209" s="187" t="s">
        <v>1105</v>
      </c>
      <c r="I209" s="33">
        <f>Hydraulic!A955</f>
        <v>1.270097559421417</v>
      </c>
      <c r="J209" t="s">
        <v>5</v>
      </c>
      <c r="K209" s="159"/>
      <c r="L209" s="46"/>
      <c r="M209" s="46"/>
      <c r="N209" s="46"/>
      <c r="O209" s="46"/>
      <c r="P209" s="46"/>
      <c r="Q209" s="46"/>
      <c r="R209" s="46"/>
      <c r="S209" s="46"/>
      <c r="T209" s="46"/>
      <c r="U209" s="46"/>
    </row>
    <row r="210" spans="1:21">
      <c r="A210" s="187" t="str">
        <f>"Considering Wt of wall,  Floor thickness can be reduced  =2*0.5*("&amp;H117&amp;"+"&amp;H135&amp;")*"&amp;I124&amp;"/"&amp;FIXED(F137,2)&amp;"="</f>
        <v>Considering Wt of wall,  Floor thickness can be reduced  =2*0.5*(0.3+0.8)*7.8/5.35=</v>
      </c>
      <c r="E210" s="33"/>
      <c r="I210" s="224">
        <f>2*0.5*(H117+H135)*I124/F137</f>
        <v>1.6037383177570097</v>
      </c>
      <c r="J210" t="s">
        <v>5</v>
      </c>
      <c r="K210" s="159"/>
      <c r="L210" s="46"/>
      <c r="M210" s="46"/>
      <c r="N210" s="46"/>
      <c r="O210" s="46"/>
      <c r="P210" s="46"/>
      <c r="Q210" s="46"/>
      <c r="R210" s="46"/>
      <c r="S210" s="46"/>
      <c r="T210" s="46"/>
      <c r="U210" s="46"/>
    </row>
    <row r="211" spans="1:21">
      <c r="A211" s="187" t="s">
        <v>1106</v>
      </c>
      <c r="I211" s="33">
        <f>I209-I210</f>
        <v>-0.3336407583355927</v>
      </c>
      <c r="J211" t="s">
        <v>5</v>
      </c>
      <c r="K211" s="159"/>
      <c r="L211" s="46"/>
      <c r="M211" s="46"/>
      <c r="N211" s="46"/>
      <c r="O211" s="46"/>
      <c r="P211" s="46"/>
      <c r="Q211" s="46"/>
      <c r="R211" s="46"/>
      <c r="S211" s="46"/>
      <c r="T211" s="46"/>
      <c r="U211" s="46"/>
    </row>
    <row r="212" spans="1:21">
      <c r="A212" t="s">
        <v>684</v>
      </c>
      <c r="I212" s="742">
        <f>O63</f>
        <v>1.2</v>
      </c>
      <c r="J212" t="s">
        <v>5</v>
      </c>
      <c r="K212" s="159"/>
      <c r="L212" s="46"/>
      <c r="M212" s="46"/>
      <c r="N212" s="46"/>
      <c r="O212" s="46"/>
      <c r="P212" s="46"/>
      <c r="Q212" s="46"/>
      <c r="R212" s="46"/>
      <c r="S212" s="46"/>
      <c r="T212" s="46"/>
      <c r="U212" s="46"/>
    </row>
    <row r="213" spans="1:21">
      <c r="J213" s="46"/>
      <c r="K213" s="159"/>
      <c r="L213" s="46"/>
      <c r="M213" s="46"/>
      <c r="N213" s="46"/>
      <c r="O213" s="46"/>
      <c r="P213" s="46"/>
      <c r="Q213" s="46"/>
      <c r="R213" s="46"/>
      <c r="S213" s="46"/>
      <c r="T213" s="46"/>
      <c r="U213" s="46"/>
    </row>
    <row r="214" spans="1:21">
      <c r="F214" s="187" t="s">
        <v>637</v>
      </c>
      <c r="H214" s="187" t="s">
        <v>636</v>
      </c>
      <c r="J214" s="46"/>
      <c r="K214" s="159"/>
      <c r="L214" s="46"/>
      <c r="M214" s="46"/>
      <c r="N214" s="46"/>
      <c r="O214" s="46"/>
      <c r="P214" s="46"/>
      <c r="Q214" s="46"/>
      <c r="R214" s="46"/>
      <c r="S214" s="46"/>
      <c r="T214" s="46"/>
      <c r="U214" s="46"/>
    </row>
    <row r="215" spans="1:21">
      <c r="E215" s="191" t="s">
        <v>607</v>
      </c>
      <c r="J215" s="46"/>
      <c r="K215" s="159"/>
      <c r="L215" s="46"/>
      <c r="N215" s="46"/>
      <c r="O215" s="46"/>
      <c r="P215" s="46"/>
      <c r="Q215" s="46"/>
      <c r="R215" s="46"/>
      <c r="S215" s="46"/>
      <c r="T215" s="46"/>
      <c r="U215" s="46"/>
    </row>
    <row r="216" spans="1:21">
      <c r="F216" s="17" t="s">
        <v>935</v>
      </c>
      <c r="G216" s="36">
        <f>F135/4</f>
        <v>0.9375</v>
      </c>
      <c r="J216" s="46"/>
      <c r="K216" s="159"/>
      <c r="L216" s="46"/>
      <c r="M216" s="46"/>
      <c r="N216" s="46"/>
      <c r="O216" s="46"/>
      <c r="P216" s="46"/>
      <c r="Q216" s="46"/>
      <c r="R216" s="46"/>
      <c r="S216" s="46"/>
      <c r="T216" s="46"/>
      <c r="U216" s="46"/>
    </row>
    <row r="217" spans="1:21">
      <c r="C217" s="1" t="s">
        <v>658</v>
      </c>
      <c r="D217" s="36"/>
      <c r="F217" s="36"/>
      <c r="H217" s="191"/>
      <c r="I217" s="187" t="s">
        <v>659</v>
      </c>
      <c r="J217" s="109"/>
      <c r="K217" s="159"/>
      <c r="L217" s="46"/>
      <c r="M217" s="46"/>
      <c r="N217" s="46"/>
      <c r="O217" s="46"/>
      <c r="P217" s="46"/>
      <c r="Q217" s="46"/>
      <c r="R217" s="46"/>
      <c r="S217" s="46"/>
      <c r="T217" s="46"/>
      <c r="U217" s="46"/>
    </row>
    <row r="218" spans="1:21">
      <c r="F218" s="203" t="s">
        <v>644</v>
      </c>
      <c r="G218" s="18">
        <f>(F137-H135)/2</f>
        <v>2.2749999999999999</v>
      </c>
      <c r="J218" s="46"/>
      <c r="K218" s="159"/>
      <c r="L218" s="46"/>
      <c r="M218" s="46"/>
      <c r="N218" s="46"/>
      <c r="O218" s="46"/>
      <c r="P218" s="46"/>
      <c r="Q218" s="46"/>
      <c r="R218" s="46"/>
      <c r="S218" s="46"/>
      <c r="T218" s="46"/>
      <c r="U218" s="46"/>
    </row>
    <row r="219" spans="1:21">
      <c r="J219" s="46"/>
      <c r="K219" s="159"/>
      <c r="L219" s="46"/>
      <c r="M219" s="46"/>
      <c r="N219" s="46"/>
      <c r="O219" s="46"/>
      <c r="P219" s="46"/>
      <c r="Q219" s="46"/>
      <c r="R219" s="46"/>
      <c r="S219" s="46"/>
      <c r="T219" s="46"/>
      <c r="U219" s="46"/>
    </row>
    <row r="220" spans="1:21">
      <c r="C220" s="1999"/>
      <c r="D220" s="1999"/>
      <c r="E220" s="1999"/>
      <c r="F220" s="1999"/>
      <c r="G220" s="1999"/>
      <c r="H220" s="3060">
        <f>I212</f>
        <v>1.2</v>
      </c>
      <c r="J220" s="46"/>
      <c r="K220" s="159"/>
      <c r="L220" s="46"/>
      <c r="M220" s="46"/>
      <c r="N220" s="46"/>
      <c r="O220" s="46"/>
      <c r="P220" s="46"/>
      <c r="Q220" s="46"/>
      <c r="R220" s="46"/>
      <c r="S220" s="46"/>
      <c r="T220" s="46"/>
      <c r="U220" s="46"/>
    </row>
    <row r="221" spans="1:21">
      <c r="B221" s="187" t="s">
        <v>642</v>
      </c>
      <c r="C221" s="1999"/>
      <c r="D221" s="1999"/>
      <c r="E221" s="1999"/>
      <c r="F221" s="1999"/>
      <c r="G221" s="1999"/>
      <c r="H221" s="3060"/>
      <c r="I221" s="203" t="s">
        <v>646</v>
      </c>
      <c r="J221" s="288"/>
      <c r="K221" s="159"/>
      <c r="L221" s="46"/>
      <c r="M221" s="46"/>
      <c r="N221" s="46"/>
      <c r="O221" s="46"/>
      <c r="P221" s="46"/>
      <c r="Q221" s="46"/>
      <c r="R221" s="46"/>
      <c r="S221" s="46"/>
      <c r="T221" s="46"/>
      <c r="U221" s="46"/>
    </row>
    <row r="222" spans="1:21">
      <c r="J222" s="46"/>
      <c r="K222" s="159"/>
      <c r="L222" s="46"/>
      <c r="M222" s="46"/>
      <c r="N222" s="46"/>
      <c r="O222" s="46"/>
      <c r="P222" s="46"/>
      <c r="Q222" s="46"/>
      <c r="R222" s="46"/>
      <c r="S222" s="46"/>
      <c r="T222" s="46"/>
      <c r="U222" s="46"/>
    </row>
    <row r="223" spans="1:21">
      <c r="C223" s="191" t="s">
        <v>537</v>
      </c>
      <c r="F223" s="203" t="s">
        <v>643</v>
      </c>
      <c r="G223" s="18">
        <f>F137/4</f>
        <v>1.3374999999999999</v>
      </c>
      <c r="J223" s="46"/>
      <c r="K223" s="159"/>
      <c r="L223" s="46"/>
      <c r="M223" s="46"/>
      <c r="N223" s="46"/>
      <c r="O223" s="46"/>
      <c r="P223" s="46"/>
      <c r="Q223" s="46"/>
      <c r="R223" s="46"/>
      <c r="S223" s="46"/>
      <c r="T223" s="46"/>
      <c r="U223" s="46"/>
    </row>
    <row r="224" spans="1:21">
      <c r="E224" s="7" t="s">
        <v>641</v>
      </c>
      <c r="F224" s="7"/>
      <c r="J224" s="46"/>
      <c r="K224" s="159"/>
      <c r="L224" s="46"/>
      <c r="M224" s="46"/>
      <c r="N224" s="46"/>
      <c r="O224" s="46"/>
      <c r="P224" s="46"/>
      <c r="Q224" s="46"/>
      <c r="R224" s="46"/>
      <c r="S224" s="46"/>
      <c r="T224" s="46"/>
      <c r="U224" s="46"/>
    </row>
    <row r="225" spans="2:21">
      <c r="E225" s="203" t="s">
        <v>645</v>
      </c>
      <c r="F225" s="18">
        <f>F137/2</f>
        <v>2.6749999999999998</v>
      </c>
      <c r="J225" s="46"/>
      <c r="K225" s="159"/>
      <c r="L225" s="46"/>
      <c r="M225" s="46"/>
      <c r="N225" s="46"/>
      <c r="O225" s="46"/>
      <c r="P225" s="46"/>
      <c r="Q225" s="46"/>
      <c r="R225" s="46"/>
      <c r="S225" s="46"/>
      <c r="T225" s="46"/>
      <c r="U225" s="46"/>
    </row>
    <row r="226" spans="2:21">
      <c r="J226" s="46"/>
      <c r="K226" s="159"/>
      <c r="L226" s="46"/>
      <c r="M226" s="46"/>
      <c r="N226" s="46"/>
      <c r="O226" s="46"/>
      <c r="P226" s="46"/>
      <c r="Q226" s="46"/>
      <c r="R226" s="46"/>
      <c r="S226" s="46"/>
      <c r="T226" s="46"/>
      <c r="U226" s="46"/>
    </row>
    <row r="227" spans="2:21">
      <c r="B227" s="1" t="s">
        <v>654</v>
      </c>
      <c r="J227" s="46"/>
      <c r="K227" s="159"/>
      <c r="L227" s="46"/>
      <c r="M227" s="46"/>
      <c r="N227" s="46"/>
      <c r="O227" s="46"/>
      <c r="P227" s="46"/>
      <c r="Q227" s="46"/>
      <c r="R227" s="46"/>
      <c r="S227" s="46"/>
      <c r="T227" s="46"/>
      <c r="U227" s="46"/>
    </row>
    <row r="228" spans="2:21">
      <c r="B228" s="187" t="s">
        <v>655</v>
      </c>
      <c r="J228" s="46"/>
      <c r="K228" s="159"/>
      <c r="L228" s="46"/>
      <c r="M228" s="46"/>
      <c r="N228" s="46"/>
      <c r="O228" s="46"/>
      <c r="P228" s="46"/>
      <c r="Q228" s="46"/>
      <c r="R228" s="46"/>
      <c r="S228" s="46"/>
      <c r="T228" s="46"/>
      <c r="U228" s="46"/>
    </row>
    <row r="229" spans="2:21">
      <c r="J229" s="46"/>
      <c r="K229" s="159"/>
      <c r="M229" s="46"/>
      <c r="N229" s="46"/>
      <c r="O229" s="46"/>
      <c r="P229" s="46"/>
      <c r="Q229" s="46"/>
      <c r="R229" s="46"/>
      <c r="S229" s="46"/>
      <c r="T229" s="46"/>
      <c r="U229" s="46"/>
    </row>
    <row r="230" spans="2:21">
      <c r="B230" s="187" t="s">
        <v>639</v>
      </c>
      <c r="D230" s="33">
        <f>0.5*(H135+H117)*I124*D3</f>
        <v>101.24400000000003</v>
      </c>
      <c r="E230" s="187" t="s">
        <v>341</v>
      </c>
      <c r="J230" s="46"/>
      <c r="K230" s="159"/>
      <c r="L230" s="46"/>
      <c r="M230" s="46"/>
      <c r="N230" s="46"/>
      <c r="O230" s="46"/>
      <c r="P230" s="46"/>
      <c r="Q230" s="46"/>
      <c r="R230" s="46"/>
      <c r="S230" s="46"/>
      <c r="T230" s="46"/>
      <c r="U230" s="46"/>
    </row>
    <row r="231" spans="2:21">
      <c r="B231" s="187" t="s">
        <v>656</v>
      </c>
      <c r="D231" s="33">
        <v>0</v>
      </c>
      <c r="E231" s="187" t="s">
        <v>341</v>
      </c>
      <c r="J231" s="46"/>
      <c r="K231" s="159"/>
      <c r="L231" s="46"/>
      <c r="M231" s="46"/>
      <c r="N231" s="46"/>
      <c r="O231" s="46"/>
      <c r="P231" s="46"/>
      <c r="Q231" s="46"/>
      <c r="R231" s="46"/>
      <c r="S231" s="46"/>
      <c r="T231" s="46"/>
      <c r="U231" s="46"/>
    </row>
    <row r="232" spans="2:21">
      <c r="B232" s="187" t="s">
        <v>638</v>
      </c>
      <c r="D232" s="33">
        <f>+D230+D231</f>
        <v>101.24400000000003</v>
      </c>
      <c r="E232" s="187" t="s">
        <v>341</v>
      </c>
      <c r="J232" s="46"/>
      <c r="K232" s="159"/>
      <c r="L232" s="46"/>
      <c r="M232" s="46"/>
      <c r="N232" s="46"/>
      <c r="O232" s="46"/>
      <c r="P232" s="46"/>
      <c r="Q232" s="46"/>
      <c r="R232" s="46"/>
      <c r="S232" s="46"/>
      <c r="T232" s="46"/>
      <c r="U232" s="46"/>
    </row>
    <row r="233" spans="2:21" ht="15.75">
      <c r="B233" s="187" t="s">
        <v>681</v>
      </c>
      <c r="D233" s="33"/>
      <c r="F233" s="33">
        <v>0</v>
      </c>
      <c r="J233" s="46"/>
      <c r="K233" s="159"/>
      <c r="L233" s="46"/>
      <c r="M233" s="46"/>
      <c r="N233" s="46"/>
      <c r="O233" s="46"/>
      <c r="P233" s="46"/>
      <c r="Q233" s="46"/>
      <c r="R233" s="46"/>
      <c r="S233" s="46"/>
      <c r="T233" s="46"/>
      <c r="U233" s="46"/>
    </row>
    <row r="234" spans="2:21">
      <c r="B234" s="187" t="s">
        <v>678</v>
      </c>
      <c r="D234" s="33"/>
      <c r="H234" s="33">
        <f>F233+D232*G223-(D230+D231)*G218</f>
        <v>-94.916250000000019</v>
      </c>
      <c r="I234" s="187" t="s">
        <v>620</v>
      </c>
      <c r="J234" s="109"/>
      <c r="K234" s="159"/>
      <c r="L234" s="46"/>
      <c r="M234" s="46"/>
      <c r="N234" s="46"/>
      <c r="O234" s="46"/>
      <c r="P234" s="46"/>
      <c r="Q234" s="46"/>
      <c r="R234" s="46"/>
      <c r="S234" s="46"/>
      <c r="T234" s="46"/>
      <c r="U234" s="46"/>
    </row>
    <row r="235" spans="2:21">
      <c r="B235" s="187"/>
      <c r="D235" s="33"/>
      <c r="H235" s="215" t="str">
        <f>IF(H234&gt;0,"(bottom tension)","(top tension)")</f>
        <v>(top tension)</v>
      </c>
      <c r="J235" s="46"/>
      <c r="K235" s="159"/>
      <c r="L235" s="46"/>
      <c r="M235" s="46"/>
      <c r="N235" s="46"/>
      <c r="O235" s="46"/>
      <c r="P235" s="46"/>
      <c r="Q235" s="46"/>
      <c r="R235" s="46"/>
      <c r="S235" s="46"/>
      <c r="T235" s="46"/>
      <c r="U235" s="46"/>
    </row>
    <row r="236" spans="2:21">
      <c r="B236" s="1" t="s">
        <v>657</v>
      </c>
      <c r="J236" s="46"/>
      <c r="K236" s="159"/>
      <c r="L236" s="46"/>
      <c r="M236" s="46"/>
      <c r="N236" s="46"/>
      <c r="O236" s="46"/>
      <c r="P236" s="46"/>
      <c r="Q236" s="46"/>
      <c r="R236" s="46"/>
      <c r="S236" s="46"/>
      <c r="T236" s="46"/>
      <c r="U236" s="46"/>
    </row>
    <row r="237" spans="2:21">
      <c r="B237" s="187" t="s">
        <v>611</v>
      </c>
      <c r="J237" s="46"/>
      <c r="K237" s="159"/>
      <c r="L237" s="46"/>
      <c r="M237" s="46"/>
      <c r="N237" s="46"/>
      <c r="O237" s="46"/>
      <c r="P237" s="46"/>
      <c r="Q237" s="46"/>
      <c r="R237" s="46"/>
      <c r="S237" s="46"/>
      <c r="T237" s="46"/>
      <c r="U237" s="46"/>
    </row>
    <row r="238" spans="2:21">
      <c r="J238" s="46"/>
      <c r="K238" s="159"/>
      <c r="T238" s="46"/>
      <c r="U238" s="46"/>
    </row>
    <row r="239" spans="2:21">
      <c r="B239" s="187" t="s">
        <v>600</v>
      </c>
      <c r="D239" s="33">
        <f>I124</f>
        <v>7.8000000000000007</v>
      </c>
      <c r="E239" s="187" t="s">
        <v>5</v>
      </c>
      <c r="J239" s="46"/>
      <c r="K239" s="159"/>
      <c r="T239" s="46"/>
      <c r="U239" s="46"/>
    </row>
    <row r="240" spans="2:21">
      <c r="B240" s="187" t="s">
        <v>639</v>
      </c>
      <c r="D240" s="33">
        <f>0.5*(H135+H117)*I124*D3</f>
        <v>101.24400000000003</v>
      </c>
      <c r="E240" s="187" t="s">
        <v>341</v>
      </c>
      <c r="J240" s="46"/>
      <c r="K240" s="159"/>
      <c r="T240" s="46"/>
      <c r="U240" s="46"/>
    </row>
    <row r="241" spans="1:21">
      <c r="B241" s="30" t="s">
        <v>640</v>
      </c>
      <c r="D241" s="33">
        <f>0.5*(H135-H117)*I124*D6</f>
        <v>36.855000000000004</v>
      </c>
      <c r="E241" s="187" t="s">
        <v>341</v>
      </c>
      <c r="J241" s="46"/>
      <c r="K241" s="159"/>
      <c r="T241" s="46"/>
      <c r="U241" s="46"/>
    </row>
    <row r="242" spans="1:21">
      <c r="B242" s="187" t="s">
        <v>638</v>
      </c>
      <c r="D242" s="33">
        <f>D240+D241</f>
        <v>138.09900000000005</v>
      </c>
      <c r="E242" s="187" t="s">
        <v>341</v>
      </c>
      <c r="J242" s="46"/>
      <c r="K242" s="159"/>
      <c r="T242" s="46"/>
      <c r="U242" s="46"/>
    </row>
    <row r="243" spans="1:21" ht="15.75">
      <c r="A243" s="187"/>
      <c r="B243" s="187" t="s">
        <v>677</v>
      </c>
      <c r="F243" s="33">
        <f>I8*D6*D239^3/6</f>
        <v>539.68685923224393</v>
      </c>
      <c r="G243" s="187" t="s">
        <v>620</v>
      </c>
      <c r="H243" s="23" t="str">
        <f>IF(F243&gt;0,"(bottom tension)","(top tension)")</f>
        <v>(bottom tension)</v>
      </c>
      <c r="J243" s="46"/>
      <c r="K243" s="159"/>
      <c r="T243" s="46"/>
      <c r="U243" s="46"/>
    </row>
    <row r="244" spans="1:21">
      <c r="B244" s="187" t="s">
        <v>678</v>
      </c>
      <c r="H244" s="33">
        <f>F243+D242*G223-(D240+D241)*G218</f>
        <v>410.2190467322439</v>
      </c>
      <c r="I244" s="187" t="s">
        <v>620</v>
      </c>
      <c r="J244" s="109"/>
      <c r="K244" s="159"/>
      <c r="T244" s="46"/>
      <c r="U244" s="46"/>
    </row>
    <row r="245" spans="1:21">
      <c r="B245" s="187"/>
      <c r="H245" s="215" t="str">
        <f>IF(H244&gt;0,"(bottom tension)","(top tension)")</f>
        <v>(bottom tension)</v>
      </c>
      <c r="J245" s="46"/>
      <c r="K245" s="159"/>
      <c r="T245" s="46"/>
      <c r="U245" s="46"/>
    </row>
    <row r="246" spans="1:21">
      <c r="B246" s="1" t="s">
        <v>660</v>
      </c>
      <c r="H246" s="33"/>
      <c r="J246" s="46"/>
      <c r="K246" s="159"/>
      <c r="T246" s="46"/>
      <c r="U246" s="46"/>
    </row>
    <row r="247" spans="1:21">
      <c r="B247" s="1" t="s">
        <v>653</v>
      </c>
      <c r="H247" s="33"/>
      <c r="J247" s="46"/>
      <c r="K247" s="159"/>
      <c r="T247" s="46"/>
      <c r="U247" s="46"/>
    </row>
    <row r="248" spans="1:21">
      <c r="B248" s="187"/>
      <c r="H248" s="33"/>
      <c r="J248" s="46"/>
      <c r="K248" s="159"/>
      <c r="T248" s="46"/>
      <c r="U248" s="46"/>
    </row>
    <row r="249" spans="1:21">
      <c r="B249" s="187" t="s">
        <v>639</v>
      </c>
      <c r="D249" s="33">
        <f>0.5*(H135+H117)*I124*D3</f>
        <v>101.24400000000003</v>
      </c>
      <c r="E249" s="187" t="s">
        <v>341</v>
      </c>
      <c r="F249" s="187"/>
      <c r="H249" s="187"/>
      <c r="J249" s="46"/>
      <c r="K249" s="159"/>
      <c r="T249" s="46"/>
      <c r="U249" s="46"/>
    </row>
    <row r="250" spans="1:21">
      <c r="B250" s="30" t="s">
        <v>640</v>
      </c>
      <c r="D250" s="33">
        <f>0.5*C127*E122*D6+0.5*(H135-H117+E122)*C120*D5</f>
        <v>35.13957118600382</v>
      </c>
      <c r="E250" s="187" t="s">
        <v>341</v>
      </c>
      <c r="H250" s="33"/>
      <c r="J250" s="46"/>
      <c r="K250" s="159"/>
      <c r="T250" s="46"/>
      <c r="U250" s="46"/>
    </row>
    <row r="251" spans="1:21">
      <c r="B251" s="187" t="s">
        <v>647</v>
      </c>
      <c r="D251" s="33">
        <f>F128*D7*F135/2</f>
        <v>126.91687500000002</v>
      </c>
      <c r="E251" s="187" t="s">
        <v>341</v>
      </c>
      <c r="H251" s="33"/>
      <c r="J251" s="46"/>
      <c r="K251" s="159"/>
      <c r="Q251" s="46"/>
      <c r="S251" s="46"/>
      <c r="T251" s="46"/>
      <c r="U251" s="46"/>
    </row>
    <row r="252" spans="1:21">
      <c r="B252" s="187" t="s">
        <v>648</v>
      </c>
      <c r="D252" s="33">
        <f>D249+D250+D251</f>
        <v>263.30044618600385</v>
      </c>
      <c r="E252" s="187" t="s">
        <v>341</v>
      </c>
      <c r="H252" s="33"/>
      <c r="J252" s="46"/>
      <c r="K252" s="159"/>
      <c r="Q252" s="46"/>
      <c r="S252" s="46"/>
      <c r="T252" s="46"/>
      <c r="U252" s="46"/>
    </row>
    <row r="253" spans="1:21">
      <c r="A253" s="187"/>
      <c r="B253" s="187" t="s">
        <v>682</v>
      </c>
      <c r="F253" s="33">
        <f>I157</f>
        <v>120.43583572756029</v>
      </c>
      <c r="G253" s="187" t="s">
        <v>107</v>
      </c>
      <c r="H253" s="23" t="str">
        <f>IF(F253&gt;0,"(bottom tension)","(top tension)")</f>
        <v>(bottom tension)</v>
      </c>
      <c r="I253" s="33"/>
      <c r="J253" s="224"/>
      <c r="K253" s="159"/>
      <c r="Q253" s="46"/>
      <c r="S253" s="46"/>
      <c r="T253" s="46"/>
      <c r="U253" s="46"/>
    </row>
    <row r="254" spans="1:21">
      <c r="B254" s="187" t="s">
        <v>936</v>
      </c>
      <c r="H254" s="33">
        <f>F253+D252*G223-(D249+D250)*G218-D251*G216</f>
        <v>43.342987740681679</v>
      </c>
      <c r="I254" s="187" t="s">
        <v>620</v>
      </c>
      <c r="J254" s="109"/>
      <c r="K254" s="159"/>
      <c r="Q254" s="46"/>
      <c r="S254" s="46"/>
      <c r="T254" s="46"/>
      <c r="U254" s="46"/>
    </row>
    <row r="255" spans="1:21">
      <c r="B255" s="187"/>
      <c r="H255" s="215" t="str">
        <f>IF(H254&gt;0,"(bottom tension)","(top tension)")</f>
        <v>(bottom tension)</v>
      </c>
      <c r="J255" s="46"/>
      <c r="K255" s="159"/>
      <c r="Q255" s="46"/>
      <c r="S255" s="46"/>
      <c r="T255" s="46"/>
      <c r="U255" s="46"/>
    </row>
    <row r="256" spans="1:21">
      <c r="B256" s="1" t="s">
        <v>661</v>
      </c>
      <c r="H256" s="33"/>
      <c r="J256" s="46"/>
      <c r="K256" s="159"/>
      <c r="Q256" s="46"/>
      <c r="S256" s="46"/>
      <c r="T256" s="46"/>
      <c r="U256" s="46"/>
    </row>
    <row r="257" spans="1:21">
      <c r="B257" s="187" t="s">
        <v>662</v>
      </c>
      <c r="G257" s="2203" t="s">
        <v>1878</v>
      </c>
      <c r="H257" s="2204"/>
      <c r="I257" s="2203"/>
      <c r="J257" s="2203"/>
      <c r="K257" s="159"/>
      <c r="L257" s="46"/>
      <c r="M257" s="46"/>
      <c r="N257" s="46"/>
      <c r="O257" s="46"/>
      <c r="P257" s="46"/>
      <c r="Q257" s="46"/>
      <c r="S257" s="46"/>
      <c r="T257" s="46"/>
      <c r="U257" s="46"/>
    </row>
    <row r="258" spans="1:21">
      <c r="B258" s="187"/>
      <c r="H258" s="33"/>
      <c r="J258" s="46"/>
      <c r="K258" s="159"/>
      <c r="L258" s="46"/>
      <c r="M258" s="46"/>
      <c r="N258" s="46"/>
      <c r="O258" s="46"/>
      <c r="P258" s="46"/>
      <c r="Q258" s="46"/>
      <c r="S258" s="46"/>
      <c r="T258" s="46"/>
      <c r="U258" s="46"/>
    </row>
    <row r="259" spans="1:21">
      <c r="B259" s="187" t="s">
        <v>639</v>
      </c>
      <c r="D259" s="33">
        <f>D249</f>
        <v>101.24400000000003</v>
      </c>
      <c r="E259" s="187" t="s">
        <v>341</v>
      </c>
      <c r="F259" s="187"/>
      <c r="H259" s="187"/>
      <c r="J259" s="46"/>
      <c r="K259" s="159"/>
      <c r="T259" s="46"/>
      <c r="U259" s="46"/>
    </row>
    <row r="260" spans="1:21">
      <c r="B260" s="30" t="s">
        <v>640</v>
      </c>
      <c r="D260" s="33">
        <f>D250</f>
        <v>35.13957118600382</v>
      </c>
      <c r="E260" s="187" t="s">
        <v>341</v>
      </c>
      <c r="H260" s="33"/>
      <c r="J260" s="46"/>
      <c r="K260" s="159"/>
      <c r="T260" s="46"/>
      <c r="U260" s="46"/>
    </row>
    <row r="261" spans="1:21">
      <c r="B261" s="187" t="s">
        <v>647</v>
      </c>
      <c r="D261" s="33">
        <f>IF(F4=1,0,D251)</f>
        <v>126.91687500000002</v>
      </c>
      <c r="E261" s="187" t="s">
        <v>341</v>
      </c>
      <c r="H261" s="187" t="s">
        <v>1879</v>
      </c>
      <c r="J261" s="46"/>
      <c r="K261" s="159"/>
      <c r="T261" s="46"/>
      <c r="U261" s="46"/>
    </row>
    <row r="262" spans="1:21">
      <c r="B262" s="187" t="s">
        <v>638</v>
      </c>
      <c r="D262" s="33">
        <f>D259+D260</f>
        <v>136.38357118600385</v>
      </c>
      <c r="E262" s="187" t="s">
        <v>341</v>
      </c>
      <c r="H262" s="33"/>
      <c r="J262" s="46"/>
      <c r="K262" s="159"/>
      <c r="T262" s="46"/>
      <c r="U262" s="46"/>
    </row>
    <row r="263" spans="1:21">
      <c r="B263" s="187" t="s">
        <v>679</v>
      </c>
      <c r="F263" s="33">
        <f>F253</f>
        <v>120.43583572756029</v>
      </c>
      <c r="G263" s="187" t="s">
        <v>107</v>
      </c>
      <c r="H263" s="23" t="str">
        <f>IF(F263&gt;0,"(bottom tension)","(top tension)")</f>
        <v>(bottom tension)</v>
      </c>
      <c r="I263" s="33"/>
      <c r="J263" s="224"/>
      <c r="K263" s="159"/>
      <c r="T263" s="46"/>
      <c r="U263" s="46"/>
    </row>
    <row r="264" spans="1:21">
      <c r="B264" s="187" t="s">
        <v>680</v>
      </c>
      <c r="H264" s="33">
        <f>F263+D262*G223-(D259+D260)*G218</f>
        <v>-7.4237622593183232</v>
      </c>
      <c r="I264" s="187" t="s">
        <v>341</v>
      </c>
      <c r="J264" s="109"/>
      <c r="K264" s="159"/>
      <c r="T264" s="46"/>
      <c r="U264" s="46"/>
    </row>
    <row r="265" spans="1:21">
      <c r="A265" s="187"/>
      <c r="B265" s="187"/>
      <c r="H265" s="215" t="str">
        <f>IF(H264&gt;0,"(bottom tension)","(top tension)")</f>
        <v>(top tension)</v>
      </c>
      <c r="J265" s="46"/>
      <c r="K265" s="159"/>
      <c r="L265" s="46"/>
      <c r="M265" s="46"/>
      <c r="N265" s="46"/>
      <c r="O265" s="46"/>
      <c r="P265" s="46"/>
      <c r="Q265" s="46"/>
      <c r="R265" s="46"/>
      <c r="S265" s="46"/>
      <c r="T265" s="46"/>
      <c r="U265" s="46"/>
    </row>
    <row r="266" spans="1:21">
      <c r="B266" s="41" t="s">
        <v>664</v>
      </c>
      <c r="H266" s="215"/>
      <c r="J266" s="46"/>
      <c r="K266" s="159"/>
      <c r="L266" s="46"/>
      <c r="M266" s="90"/>
      <c r="N266" s="44"/>
      <c r="O266" s="46"/>
      <c r="P266" s="391"/>
      <c r="Q266" s="46"/>
      <c r="R266" s="46"/>
      <c r="S266" s="46"/>
      <c r="T266" s="46"/>
      <c r="U266" s="46"/>
    </row>
    <row r="267" spans="1:21">
      <c r="B267" s="187"/>
      <c r="H267" s="215"/>
      <c r="J267" s="46"/>
      <c r="K267" s="159"/>
      <c r="L267" s="46"/>
    </row>
    <row r="268" spans="1:21">
      <c r="B268" s="374" t="s">
        <v>673</v>
      </c>
      <c r="C268" s="3118" t="s">
        <v>675</v>
      </c>
      <c r="D268" s="3070" t="s">
        <v>674</v>
      </c>
      <c r="E268" s="3068"/>
      <c r="F268" s="374" t="s">
        <v>615</v>
      </c>
      <c r="G268" s="355" t="s">
        <v>619</v>
      </c>
      <c r="H268" s="355" t="s">
        <v>616</v>
      </c>
      <c r="I268" s="382" t="s">
        <v>676</v>
      </c>
      <c r="J268" s="562"/>
      <c r="K268" s="159"/>
      <c r="L268" s="46"/>
    </row>
    <row r="269" spans="1:21" ht="12.75" customHeight="1">
      <c r="B269" s="348"/>
      <c r="C269" s="3092"/>
      <c r="D269" s="3121" t="s">
        <v>665</v>
      </c>
      <c r="E269" s="3118" t="s">
        <v>672</v>
      </c>
      <c r="F269" s="16"/>
      <c r="G269" s="104"/>
      <c r="H269" s="105"/>
      <c r="I269" s="366"/>
      <c r="J269" s="385"/>
      <c r="K269" s="159"/>
      <c r="L269" s="46"/>
    </row>
    <row r="270" spans="1:21">
      <c r="B270" s="367"/>
      <c r="C270" s="365"/>
      <c r="D270" s="3121"/>
      <c r="E270" s="3092"/>
      <c r="F270" s="16"/>
      <c r="G270" s="105"/>
      <c r="H270" s="365"/>
      <c r="I270" s="380"/>
      <c r="J270" s="408"/>
      <c r="K270" s="159"/>
      <c r="L270" s="46"/>
    </row>
    <row r="271" spans="1:21">
      <c r="B271" s="92"/>
      <c r="C271" s="94" t="s">
        <v>107</v>
      </c>
      <c r="D271" s="128" t="s">
        <v>107</v>
      </c>
      <c r="E271" s="94" t="s">
        <v>107</v>
      </c>
      <c r="F271" s="249" t="s">
        <v>98</v>
      </c>
      <c r="G271" s="256" t="s">
        <v>98</v>
      </c>
      <c r="H271" s="256" t="s">
        <v>98</v>
      </c>
      <c r="I271" s="250"/>
      <c r="J271" s="408"/>
      <c r="K271" s="159"/>
      <c r="L271" s="46"/>
    </row>
    <row r="272" spans="1:21">
      <c r="B272" s="374" t="s">
        <v>666</v>
      </c>
      <c r="C272" s="376">
        <f>F233</f>
        <v>0</v>
      </c>
      <c r="D272" s="251">
        <f>IF(J9="y",0,IF(H234&lt;0,ABS(H234),0))</f>
        <v>0</v>
      </c>
      <c r="E272" s="379">
        <f>IF(H234&gt;0,H234,0)</f>
        <v>0</v>
      </c>
      <c r="F272" s="55"/>
      <c r="G272" s="105"/>
      <c r="H272" s="381"/>
      <c r="I272" s="375"/>
      <c r="J272" s="275"/>
      <c r="K272" s="159"/>
      <c r="L272" s="46"/>
    </row>
    <row r="273" spans="1:12">
      <c r="B273" s="348" t="s">
        <v>667</v>
      </c>
      <c r="C273" s="377">
        <f>F243</f>
        <v>539.68685923224393</v>
      </c>
      <c r="D273" s="107">
        <f>IF(H244&lt;0,ABS(H244),0)</f>
        <v>0</v>
      </c>
      <c r="E273" s="103">
        <f>IF(H244&gt;0,H244,0)</f>
        <v>410.2190467322439</v>
      </c>
      <c r="F273" s="16"/>
      <c r="G273" s="105"/>
      <c r="H273" s="105"/>
      <c r="I273" s="58"/>
      <c r="J273" s="386"/>
      <c r="K273" s="159"/>
      <c r="L273" s="46"/>
    </row>
    <row r="274" spans="1:12">
      <c r="B274" s="348" t="s">
        <v>668</v>
      </c>
      <c r="C274" s="377">
        <f>F253</f>
        <v>120.43583572756029</v>
      </c>
      <c r="D274" s="107">
        <f>IF(H254&lt;0,ABS(H254),0)</f>
        <v>0</v>
      </c>
      <c r="E274" s="103">
        <f>IF(H254&gt;0,H254,0)</f>
        <v>43.342987740681679</v>
      </c>
      <c r="F274" s="16"/>
      <c r="G274" s="105"/>
      <c r="H274" s="356"/>
      <c r="I274" s="350"/>
      <c r="J274" s="612"/>
      <c r="K274" s="159"/>
      <c r="L274" s="46"/>
    </row>
    <row r="275" spans="1:12">
      <c r="B275" s="348" t="s">
        <v>669</v>
      </c>
      <c r="C275" s="377">
        <f>F263</f>
        <v>120.43583572756029</v>
      </c>
      <c r="D275" s="107">
        <f>IF(H264&lt;0,ABS(H264),0)</f>
        <v>7.4237622593183232</v>
      </c>
      <c r="E275" s="103">
        <f>IF(H264&gt;0,H264,0)</f>
        <v>0</v>
      </c>
      <c r="F275" s="16"/>
      <c r="G275" s="105"/>
      <c r="H275" s="105"/>
      <c r="I275" s="350"/>
      <c r="J275" s="612"/>
      <c r="K275" s="159"/>
      <c r="L275" s="46"/>
    </row>
    <row r="276" spans="1:12">
      <c r="B276" s="303" t="s">
        <v>671</v>
      </c>
      <c r="C276" s="393">
        <f>MAX(C272:C275)</f>
        <v>539.68685923224393</v>
      </c>
      <c r="D276" s="394">
        <f>MAX(D272:D275)</f>
        <v>7.4237622593183232</v>
      </c>
      <c r="E276" s="393">
        <f>MAX(E272:E275)</f>
        <v>410.2190467322439</v>
      </c>
      <c r="F276" s="395">
        <f>((MAX(C276,D276,E276)*10^6)/(C23*1000))^0.5</f>
        <v>614.29686129407287</v>
      </c>
      <c r="G276" s="316">
        <f>I212*1000</f>
        <v>1200</v>
      </c>
      <c r="H276" s="396">
        <f>G276-I13-C301/2</f>
        <v>1127.5</v>
      </c>
      <c r="I276" s="1976" t="str">
        <f>IF(H276&gt;=F276,"o.k","Not o.k")</f>
        <v>o.k</v>
      </c>
      <c r="J276" s="386"/>
      <c r="K276" s="159"/>
      <c r="L276" s="46"/>
    </row>
    <row r="277" spans="1:12">
      <c r="B277" s="369"/>
      <c r="C277" s="377"/>
      <c r="D277" s="368"/>
      <c r="E277" s="377"/>
      <c r="F277" s="16"/>
      <c r="G277" s="105"/>
      <c r="H277" s="356">
        <f>H276-$I$15</f>
        <v>1127.5</v>
      </c>
      <c r="I277" s="370" t="s">
        <v>2138</v>
      </c>
      <c r="J277" s="786"/>
      <c r="K277" s="159"/>
      <c r="L277" s="46"/>
    </row>
    <row r="278" spans="1:12">
      <c r="B278" s="371" t="s">
        <v>670</v>
      </c>
      <c r="C278" s="378">
        <f>(C276*10^6)/(C18*C22*H276)</f>
        <v>2880.2468168163937</v>
      </c>
      <c r="D278" s="372">
        <f>(D276*10^6)/(C18*C22*H276)</f>
        <v>39.619767000852299</v>
      </c>
      <c r="E278" s="378">
        <f>(E276*10^6)/(C18*C22*H277)</f>
        <v>2189.2919631744289</v>
      </c>
      <c r="F278" s="59"/>
      <c r="G278" s="106"/>
      <c r="H278" s="357"/>
      <c r="I278" s="373"/>
      <c r="J278" s="786"/>
      <c r="K278" s="159"/>
      <c r="L278" s="46"/>
    </row>
    <row r="279" spans="1:12">
      <c r="A279" s="187"/>
      <c r="B279" s="223"/>
      <c r="C279" s="223"/>
      <c r="D279" s="2"/>
      <c r="E279" s="223"/>
      <c r="G279" s="349"/>
      <c r="H279" s="294"/>
      <c r="I279" s="16"/>
      <c r="J279" s="386"/>
      <c r="K279" s="159"/>
      <c r="L279" s="46"/>
    </row>
    <row r="280" spans="1:12">
      <c r="B280" s="383" t="s">
        <v>1107</v>
      </c>
      <c r="C280" s="223"/>
      <c r="D280" s="2"/>
      <c r="E280" s="223"/>
      <c r="G280" s="349"/>
      <c r="H280" s="294"/>
      <c r="I280" s="16"/>
      <c r="J280" s="386"/>
      <c r="K280" s="159"/>
      <c r="L280" s="46"/>
    </row>
    <row r="281" spans="1:12">
      <c r="A281" s="383"/>
      <c r="B281" s="385" t="s">
        <v>1109</v>
      </c>
      <c r="C281" s="223"/>
      <c r="D281" s="2"/>
      <c r="E281" s="223"/>
      <c r="G281" s="418" t="s">
        <v>1108</v>
      </c>
      <c r="H281" s="294"/>
      <c r="I281" s="16"/>
      <c r="J281" s="386"/>
      <c r="K281" s="159"/>
      <c r="L281" s="46"/>
    </row>
    <row r="282" spans="1:12" ht="14.25">
      <c r="B282" s="385" t="s">
        <v>441</v>
      </c>
      <c r="C282" s="386">
        <f>IF(F137&lt;=9,G100,G105)</f>
        <v>2E-3</v>
      </c>
      <c r="D282" s="385" t="s">
        <v>438</v>
      </c>
      <c r="E282" s="294"/>
      <c r="G282" s="385" t="s">
        <v>441</v>
      </c>
      <c r="H282" s="386">
        <f>IF(F137&lt;=9,G99,G104)</f>
        <v>1E-3</v>
      </c>
      <c r="I282" s="385" t="s">
        <v>438</v>
      </c>
      <c r="K282" s="159"/>
      <c r="L282" s="46"/>
    </row>
    <row r="283" spans="1:12" ht="14.25">
      <c r="A283" s="187"/>
      <c r="B283" s="385" t="s">
        <v>442</v>
      </c>
      <c r="C283" s="386">
        <f>IF(E60&lt;=9,G100,G105)</f>
        <v>2.5000000000000001E-3</v>
      </c>
      <c r="D283" s="385" t="s">
        <v>438</v>
      </c>
      <c r="E283" s="294"/>
      <c r="F283" s="386"/>
      <c r="G283" s="385" t="s">
        <v>442</v>
      </c>
      <c r="H283" s="386">
        <f>IF(E60&lt;=9,G99,G104)</f>
        <v>1.5E-3</v>
      </c>
      <c r="I283" s="385" t="s">
        <v>438</v>
      </c>
      <c r="K283" s="159"/>
      <c r="L283" s="46"/>
    </row>
    <row r="284" spans="1:12">
      <c r="J284" s="46"/>
      <c r="K284" s="159"/>
      <c r="L284" s="46"/>
    </row>
    <row r="285" spans="1:12">
      <c r="A285" s="935" t="str">
        <f>"Reinforcement Distribution of R/S Floor for Sec "&amp;C109&amp;" :"</f>
        <v>Reinforcement Distribution of R/S Floor for Sec 1-1 :</v>
      </c>
      <c r="B285" s="934"/>
      <c r="C285" s="934"/>
      <c r="D285" s="934"/>
      <c r="E285" s="934"/>
      <c r="F285" s="934"/>
      <c r="G285" s="107"/>
      <c r="H285" s="107"/>
      <c r="J285" s="46"/>
      <c r="K285" s="159"/>
      <c r="L285" s="46"/>
    </row>
    <row r="286" spans="1:12">
      <c r="J286" s="46"/>
      <c r="K286" s="159"/>
      <c r="L286" s="46"/>
    </row>
    <row r="287" spans="1:12">
      <c r="A287" s="3147" t="s">
        <v>486</v>
      </c>
      <c r="B287" s="3148" t="s">
        <v>487</v>
      </c>
      <c r="C287" s="3148" t="s">
        <v>488</v>
      </c>
      <c r="D287" s="3148" t="s">
        <v>489</v>
      </c>
      <c r="E287" s="3149" t="s">
        <v>490</v>
      </c>
      <c r="F287" s="3150"/>
      <c r="G287" s="3150"/>
      <c r="H287" s="3150"/>
      <c r="I287" s="3150"/>
      <c r="J287" s="330"/>
      <c r="K287" s="159"/>
      <c r="L287" s="329"/>
    </row>
    <row r="288" spans="1:12">
      <c r="A288" s="3147"/>
      <c r="B288" s="3148"/>
      <c r="C288" s="3148"/>
      <c r="D288" s="3148"/>
      <c r="E288" s="94">
        <v>12</v>
      </c>
      <c r="F288" s="94">
        <v>16</v>
      </c>
      <c r="G288" s="94">
        <v>20</v>
      </c>
      <c r="H288" s="94">
        <v>22</v>
      </c>
      <c r="I288" s="94">
        <v>25</v>
      </c>
      <c r="J288" s="275"/>
      <c r="K288" s="159"/>
      <c r="L288" s="46"/>
    </row>
    <row r="289" spans="1:21" ht="14.25">
      <c r="A289" s="172"/>
      <c r="B289" s="256" t="s">
        <v>491</v>
      </c>
      <c r="C289" s="256" t="s">
        <v>491</v>
      </c>
      <c r="D289" s="256" t="s">
        <v>491</v>
      </c>
      <c r="E289" s="361" t="s">
        <v>98</v>
      </c>
      <c r="F289" s="361" t="s">
        <v>98</v>
      </c>
      <c r="G289" s="361" t="s">
        <v>98</v>
      </c>
      <c r="H289" s="361" t="s">
        <v>98</v>
      </c>
      <c r="I289" s="361" t="s">
        <v>98</v>
      </c>
      <c r="J289" s="759"/>
      <c r="K289" s="159"/>
      <c r="L289" s="46"/>
      <c r="M289" s="46"/>
      <c r="O289" s="46"/>
      <c r="P289" s="46"/>
      <c r="S289" s="46"/>
      <c r="T289" s="46"/>
      <c r="U289" s="46"/>
    </row>
    <row r="290" spans="1:21">
      <c r="A290" s="264" t="s">
        <v>440</v>
      </c>
      <c r="B290" s="55"/>
      <c r="C290" s="55"/>
      <c r="D290" s="55"/>
      <c r="E290" s="55"/>
      <c r="F290" s="55"/>
      <c r="G290" s="55"/>
      <c r="H290" s="55"/>
      <c r="I290" s="56"/>
      <c r="J290" s="386"/>
      <c r="K290" s="159"/>
      <c r="L290" s="46"/>
      <c r="M290" s="46"/>
      <c r="N290" s="46"/>
      <c r="O290" s="46"/>
      <c r="P290" s="46"/>
      <c r="S290" s="46"/>
      <c r="T290" s="46"/>
      <c r="U290" s="46"/>
    </row>
    <row r="291" spans="1:21">
      <c r="A291" s="363" t="s">
        <v>441</v>
      </c>
      <c r="B291" s="318">
        <f>D278</f>
        <v>39.619767000852299</v>
      </c>
      <c r="C291" s="318">
        <f>IF(G276&gt;380,C282*1000*380,C282*1000*G276)</f>
        <v>760</v>
      </c>
      <c r="D291" s="318">
        <f>MAX(B291:C291)</f>
        <v>760</v>
      </c>
      <c r="E291" s="261">
        <f>PI()*(E288/2)^2*1000/$D291</f>
        <v>148.81228359109548</v>
      </c>
      <c r="F291" s="261">
        <f>PI()*(F288/2)^2*1000/$D291</f>
        <v>264.55517082861417</v>
      </c>
      <c r="G291" s="261">
        <f>PI()*(G288/2)^2*1000/$D291</f>
        <v>413.36745441970965</v>
      </c>
      <c r="H291" s="261">
        <f>PI()*(H288/2)^2*1000/$D291</f>
        <v>500.17461984784865</v>
      </c>
      <c r="I291" s="283">
        <f>PI()*(I288/2)^2*1000/$D291</f>
        <v>645.88664753079627</v>
      </c>
      <c r="J291" s="328"/>
      <c r="K291" s="159"/>
      <c r="L291" s="46"/>
      <c r="M291" s="46"/>
      <c r="N291" s="46"/>
      <c r="O291" s="46"/>
      <c r="P291" s="46"/>
      <c r="Q291" s="46"/>
      <c r="R291" s="46"/>
      <c r="S291" s="46"/>
      <c r="T291" s="46"/>
      <c r="U291" s="46"/>
    </row>
    <row r="292" spans="1:21">
      <c r="A292" s="364" t="s">
        <v>442</v>
      </c>
      <c r="B292" s="319"/>
      <c r="C292" s="318">
        <f>IF(G276&gt;380,C283*1000*380,C283*1000*G276)</f>
        <v>950</v>
      </c>
      <c r="D292" s="319">
        <f>MAX(B292:C292)</f>
        <v>950</v>
      </c>
      <c r="E292" s="261">
        <f>PI()*(E288/2)^2*1000/$D292</f>
        <v>119.04982687287638</v>
      </c>
      <c r="F292" s="261">
        <f>PI()*(F288/2)^2*1000/$D292</f>
        <v>211.6441366628913</v>
      </c>
      <c r="G292" s="261">
        <f>PI()*(G288/2)^2*1000/$D292</f>
        <v>330.69396353576775</v>
      </c>
      <c r="H292" s="261">
        <f>PI()*(H288/2)^2*1000/$D292</f>
        <v>400.13969587827893</v>
      </c>
      <c r="I292" s="283">
        <f>PI()*(I288/2)^2*1000/$D292</f>
        <v>516.70931802463701</v>
      </c>
      <c r="J292" s="328"/>
      <c r="K292" s="159"/>
      <c r="L292" s="46"/>
      <c r="M292" s="46"/>
      <c r="N292" s="46"/>
      <c r="O292" s="46"/>
      <c r="P292" s="46"/>
      <c r="Q292" s="46"/>
      <c r="R292" s="46"/>
      <c r="S292" s="46"/>
      <c r="T292" s="46"/>
      <c r="U292" s="46"/>
    </row>
    <row r="293" spans="1:21">
      <c r="A293" s="258" t="s">
        <v>443</v>
      </c>
      <c r="B293" s="265"/>
      <c r="C293" s="322"/>
      <c r="D293" s="322"/>
      <c r="E293" s="266"/>
      <c r="F293" s="266"/>
      <c r="G293" s="266"/>
      <c r="H293" s="266"/>
      <c r="I293" s="267"/>
      <c r="J293" s="330"/>
      <c r="K293" s="159"/>
      <c r="L293" s="46"/>
      <c r="M293" s="46"/>
      <c r="N293" s="46"/>
      <c r="O293" s="46"/>
      <c r="P293" s="46"/>
      <c r="Q293" s="46"/>
      <c r="R293" s="46"/>
      <c r="S293" s="46"/>
      <c r="T293" s="46"/>
      <c r="U293" s="46"/>
    </row>
    <row r="294" spans="1:21">
      <c r="A294" s="363" t="s">
        <v>441</v>
      </c>
      <c r="B294" s="318">
        <f>C278</f>
        <v>2880.2468168163937</v>
      </c>
      <c r="C294" s="318">
        <f>IF(G276&gt;380,H282*1000*380,H282*1000*G276)</f>
        <v>380</v>
      </c>
      <c r="D294" s="318">
        <f>MAX(B294:C294)</f>
        <v>2880.2468168163937</v>
      </c>
      <c r="E294" s="261">
        <f>PI()*(E288/2)^2*1000/$D294</f>
        <v>39.266543016005059</v>
      </c>
      <c r="F294" s="261">
        <f>PI()*(F288/2)^2*1000/$D294</f>
        <v>69.807187584008986</v>
      </c>
      <c r="G294" s="261">
        <f>PI()*(G288/2)^2*1000/$D294</f>
        <v>109.07373060001406</v>
      </c>
      <c r="H294" s="261">
        <f>PI()*(H288/2)^2*1000/$D294</f>
        <v>131.97921402601699</v>
      </c>
      <c r="I294" s="283">
        <f>PI()*(I288/2)^2*1000/$D294</f>
        <v>170.42770406252194</v>
      </c>
      <c r="J294" s="328"/>
      <c r="K294" s="159"/>
      <c r="L294" s="46"/>
      <c r="M294" s="46"/>
      <c r="N294" s="46"/>
      <c r="O294" s="46"/>
      <c r="P294" s="46"/>
      <c r="Q294" s="46"/>
      <c r="R294" s="46"/>
      <c r="S294" s="46"/>
      <c r="T294" s="46"/>
      <c r="U294" s="46"/>
    </row>
    <row r="295" spans="1:21">
      <c r="A295" s="364" t="s">
        <v>442</v>
      </c>
      <c r="B295" s="263"/>
      <c r="C295" s="319">
        <f>IF(G276&gt;380,H283*1000*380,H283*1000*G276)</f>
        <v>570</v>
      </c>
      <c r="D295" s="319">
        <f>MAX(B295:C295)</f>
        <v>570</v>
      </c>
      <c r="E295" s="284">
        <f>PI()*(E288/2)^2*1000/$D295</f>
        <v>198.41637812146064</v>
      </c>
      <c r="F295" s="284">
        <f>PI()*(F288/2)^2*1000/$D295</f>
        <v>352.74022777148554</v>
      </c>
      <c r="G295" s="284">
        <f>PI()*(G288/2)^2*1000/$D295</f>
        <v>551.15660589294623</v>
      </c>
      <c r="H295" s="284">
        <f>PI()*(H288/2)^2*1000/$D295</f>
        <v>666.89949313046486</v>
      </c>
      <c r="I295" s="285">
        <f>PI()*(I288/2)^2*1000/$D295</f>
        <v>861.18219670772839</v>
      </c>
      <c r="J295" s="328"/>
      <c r="K295" s="159"/>
      <c r="L295" s="3173" t="s">
        <v>1140</v>
      </c>
      <c r="M295" s="3174"/>
      <c r="N295" s="3174"/>
      <c r="O295" s="3174"/>
      <c r="P295" s="3175"/>
      <c r="Q295" s="46"/>
      <c r="R295" s="46"/>
      <c r="S295" s="46"/>
      <c r="T295" s="46"/>
      <c r="U295" s="46"/>
    </row>
    <row r="296" spans="1:21" ht="15">
      <c r="A296" s="29"/>
      <c r="J296" s="46"/>
      <c r="K296" s="159"/>
      <c r="L296" s="3205" t="s">
        <v>876</v>
      </c>
      <c r="M296" s="3171" t="s">
        <v>442</v>
      </c>
      <c r="N296" s="3176"/>
      <c r="O296" s="3176"/>
      <c r="P296" s="3172"/>
      <c r="Q296" s="46"/>
      <c r="R296" s="3127" t="s">
        <v>441</v>
      </c>
      <c r="S296" s="3129"/>
      <c r="T296" s="46"/>
      <c r="U296" s="46"/>
    </row>
    <row r="297" spans="1:21">
      <c r="A297" s="264" t="s">
        <v>440</v>
      </c>
      <c r="B297" s="55"/>
      <c r="C297" s="252"/>
      <c r="D297" s="55"/>
      <c r="E297" s="55"/>
      <c r="F297" s="56"/>
      <c r="G297" s="2723" t="s">
        <v>2095</v>
      </c>
      <c r="H297" s="2672" t="s">
        <v>1358</v>
      </c>
      <c r="I297" s="1178" t="s">
        <v>2109</v>
      </c>
      <c r="J297" s="46"/>
      <c r="K297" s="159"/>
      <c r="L297" s="3206"/>
      <c r="M297" s="3171" t="s">
        <v>440</v>
      </c>
      <c r="N297" s="3172"/>
      <c r="O297" s="3171" t="s">
        <v>443</v>
      </c>
      <c r="P297" s="3172"/>
      <c r="Q297" s="46"/>
      <c r="R297" s="3171" t="s">
        <v>440</v>
      </c>
      <c r="S297" s="3172"/>
      <c r="T297" s="46"/>
      <c r="U297" s="46"/>
    </row>
    <row r="298" spans="1:21" ht="15.75">
      <c r="A298" s="363" t="s">
        <v>441</v>
      </c>
      <c r="B298" s="268" t="s">
        <v>136</v>
      </c>
      <c r="C298" s="269">
        <v>16</v>
      </c>
      <c r="D298" s="270" t="s">
        <v>481</v>
      </c>
      <c r="E298" s="271">
        <v>200</v>
      </c>
      <c r="F298" s="272" t="s">
        <v>482</v>
      </c>
      <c r="G298" s="2014" t="s">
        <v>2096</v>
      </c>
      <c r="H298" s="94" t="s">
        <v>1348</v>
      </c>
      <c r="I298" s="2667" t="s">
        <v>107</v>
      </c>
      <c r="J298" s="3245" t="str">
        <f>IF(I299&gt;=N26,"o.k","Not o.k")</f>
        <v>o.k</v>
      </c>
      <c r="K298" s="159"/>
      <c r="L298" s="3207"/>
      <c r="M298" s="882" t="s">
        <v>709</v>
      </c>
      <c r="N298" s="902" t="s">
        <v>710</v>
      </c>
      <c r="O298" s="883" t="s">
        <v>709</v>
      </c>
      <c r="P298" s="902" t="s">
        <v>710</v>
      </c>
      <c r="Q298" s="46"/>
      <c r="R298" s="2320" t="s">
        <v>709</v>
      </c>
      <c r="S298" s="902" t="s">
        <v>710</v>
      </c>
      <c r="T298" s="46"/>
      <c r="U298" s="46"/>
    </row>
    <row r="299" spans="1:21" ht="15.75">
      <c r="A299" s="364" t="s">
        <v>442</v>
      </c>
      <c r="B299" s="278" t="s">
        <v>136</v>
      </c>
      <c r="C299" s="279">
        <v>16</v>
      </c>
      <c r="D299" s="280" t="s">
        <v>481</v>
      </c>
      <c r="E299" s="281">
        <v>200</v>
      </c>
      <c r="F299" s="282" t="s">
        <v>482</v>
      </c>
      <c r="G299" s="2670"/>
      <c r="H299" s="316">
        <f>PI()*(C298/2)^2*1000/E298</f>
        <v>1005.3096491487337</v>
      </c>
      <c r="I299" s="2674">
        <f>H299*$C$18*$C$22*H276/10^6</f>
        <v>188.37010909524946</v>
      </c>
      <c r="J299" s="3246"/>
      <c r="K299" s="159"/>
      <c r="L299" s="2021" t="str">
        <f>L185</f>
        <v>1-1</v>
      </c>
      <c r="M299" s="2022">
        <f>C299</f>
        <v>16</v>
      </c>
      <c r="N299" s="2023">
        <f>E299</f>
        <v>200</v>
      </c>
      <c r="O299" s="2024">
        <f>C302</f>
        <v>16</v>
      </c>
      <c r="P299" s="2025">
        <f>E302</f>
        <v>250</v>
      </c>
      <c r="Q299" s="46"/>
      <c r="R299" s="2328">
        <f>C298</f>
        <v>16</v>
      </c>
      <c r="S299" s="2329">
        <f>E298</f>
        <v>200</v>
      </c>
      <c r="T299" s="46"/>
      <c r="U299" s="46"/>
    </row>
    <row r="300" spans="1:21" ht="15">
      <c r="A300" s="258" t="s">
        <v>443</v>
      </c>
      <c r="B300" s="273"/>
      <c r="C300" s="274"/>
      <c r="D300" s="275"/>
      <c r="E300" s="276"/>
      <c r="F300" s="277"/>
      <c r="G300" s="2670"/>
      <c r="H300" s="16"/>
      <c r="I300" s="16"/>
      <c r="J300" s="2724"/>
      <c r="K300" s="159"/>
      <c r="L300" s="885" t="str">
        <f>L186</f>
        <v>2-2</v>
      </c>
      <c r="M300" s="891">
        <f>C547</f>
        <v>16</v>
      </c>
      <c r="N300" s="2016">
        <f>E547</f>
        <v>200</v>
      </c>
      <c r="O300" s="892">
        <f>C550</f>
        <v>16</v>
      </c>
      <c r="P300" s="886">
        <f>E550</f>
        <v>250</v>
      </c>
      <c r="Q300" s="46"/>
      <c r="R300" s="2324">
        <f>C546</f>
        <v>16</v>
      </c>
      <c r="S300" s="2326">
        <f>E546</f>
        <v>200</v>
      </c>
      <c r="T300" s="46"/>
      <c r="U300" s="46"/>
    </row>
    <row r="301" spans="1:21" ht="15.75">
      <c r="A301" s="363" t="s">
        <v>441</v>
      </c>
      <c r="B301" s="268" t="s">
        <v>136</v>
      </c>
      <c r="C301" s="397">
        <f>C184</f>
        <v>25</v>
      </c>
      <c r="D301" s="270" t="s">
        <v>481</v>
      </c>
      <c r="E301" s="398">
        <f>E184</f>
        <v>100</v>
      </c>
      <c r="F301" s="272" t="s">
        <v>482</v>
      </c>
      <c r="G301" s="2124" t="s">
        <v>2097</v>
      </c>
      <c r="H301" s="316">
        <f>PI()*(C301/2)^2*1000/$E301</f>
        <v>4908.7385212340523</v>
      </c>
      <c r="I301" s="2674">
        <f>H301*$C$18*$C$22*H276/10^6</f>
        <v>919.775923316648</v>
      </c>
      <c r="J301" s="3254" t="str">
        <f>IF(I301&gt;=M26,"o.k","Not o.k")</f>
        <v>o.k</v>
      </c>
      <c r="K301" s="159"/>
      <c r="L301" s="885" t="str">
        <f>L187</f>
        <v>3-3</v>
      </c>
      <c r="M301" s="892">
        <f>C795</f>
        <v>16</v>
      </c>
      <c r="N301" s="887">
        <f>E795</f>
        <v>200</v>
      </c>
      <c r="O301" s="892">
        <f>C798</f>
        <v>16</v>
      </c>
      <c r="P301" s="886">
        <f>E798</f>
        <v>250</v>
      </c>
      <c r="Q301" s="46"/>
      <c r="R301" s="2324">
        <f>C794</f>
        <v>16</v>
      </c>
      <c r="S301" s="2326">
        <f>E794</f>
        <v>200</v>
      </c>
      <c r="T301" s="46"/>
      <c r="U301" s="46"/>
    </row>
    <row r="302" spans="1:21" ht="15.75">
      <c r="A302" s="364" t="s">
        <v>442</v>
      </c>
      <c r="B302" s="278" t="s">
        <v>136</v>
      </c>
      <c r="C302" s="279">
        <v>16</v>
      </c>
      <c r="D302" s="280" t="s">
        <v>481</v>
      </c>
      <c r="E302" s="281">
        <v>250</v>
      </c>
      <c r="F302" s="282" t="s">
        <v>482</v>
      </c>
      <c r="G302" s="2671"/>
      <c r="H302" s="59"/>
      <c r="I302" s="59"/>
      <c r="J302" s="3255"/>
      <c r="K302" s="159"/>
      <c r="L302" s="885" t="str">
        <f>L188</f>
        <v>4-4</v>
      </c>
      <c r="M302" s="892">
        <f>C1045</f>
        <v>16</v>
      </c>
      <c r="N302" s="887">
        <f>E1045</f>
        <v>200</v>
      </c>
      <c r="O302" s="892">
        <f>C1048</f>
        <v>16</v>
      </c>
      <c r="P302" s="886">
        <f>E1048</f>
        <v>250</v>
      </c>
      <c r="Q302" s="46"/>
      <c r="R302" s="2324">
        <f>C1044</f>
        <v>16</v>
      </c>
      <c r="S302" s="2326">
        <f>E1044</f>
        <v>100</v>
      </c>
      <c r="T302" s="46"/>
      <c r="U302" s="46"/>
    </row>
    <row r="303" spans="1:21">
      <c r="J303" s="46"/>
      <c r="K303" s="159"/>
      <c r="L303" s="890" t="str">
        <f>L189</f>
        <v>5-5</v>
      </c>
      <c r="M303" s="893">
        <f>C1293</f>
        <v>16</v>
      </c>
      <c r="N303" s="888">
        <f>E1293</f>
        <v>200</v>
      </c>
      <c r="O303" s="893">
        <f>C1296</f>
        <v>16</v>
      </c>
      <c r="P303" s="889">
        <f>E1296</f>
        <v>250</v>
      </c>
      <c r="R303" s="2325">
        <f>C1292</f>
        <v>16</v>
      </c>
      <c r="S303" s="2327">
        <f>E1292</f>
        <v>200</v>
      </c>
    </row>
    <row r="304" spans="1:21">
      <c r="B304" s="2193" t="s">
        <v>602</v>
      </c>
      <c r="C304" s="2194"/>
      <c r="D304" s="2195" t="s">
        <v>1868</v>
      </c>
      <c r="E304" s="2194"/>
      <c r="F304" s="2194"/>
      <c r="J304" s="46"/>
      <c r="K304" s="159"/>
    </row>
    <row r="305" spans="1:24">
      <c r="B305" s="187" t="s">
        <v>940</v>
      </c>
      <c r="G305" s="126" t="str">
        <f>IF(AND(H244&lt;=F243/2,H254&lt;=F253/2,H264&lt;=F263/2),"For Curtailment follow the Remark","Curtailment not possible")</f>
        <v>Curtailment not possible</v>
      </c>
      <c r="H305" s="126"/>
      <c r="I305" s="126"/>
      <c r="J305" s="126"/>
      <c r="K305" s="159"/>
    </row>
    <row r="306" spans="1:24">
      <c r="B306" s="187"/>
      <c r="K306" s="159"/>
    </row>
    <row r="307" spans="1:24" ht="12.75" customHeight="1">
      <c r="B307" s="187" t="s">
        <v>1822</v>
      </c>
      <c r="F307" s="1995">
        <f>0.5*PI()*(C301/2)^2*1000/E301</f>
        <v>2454.3692606170262</v>
      </c>
      <c r="G307" s="187" t="s">
        <v>1348</v>
      </c>
      <c r="J307" s="46"/>
      <c r="K307" s="159"/>
      <c r="P307" s="423"/>
      <c r="Q307" s="406" t="s">
        <v>689</v>
      </c>
      <c r="R307" s="55"/>
      <c r="S307" s="55"/>
      <c r="T307" s="55"/>
      <c r="U307" s="55"/>
      <c r="V307" s="55"/>
      <c r="W307" s="55"/>
      <c r="X307" s="2736" t="s">
        <v>945</v>
      </c>
    </row>
    <row r="308" spans="1:24" ht="14.25">
      <c r="B308" s="385" t="s">
        <v>1825</v>
      </c>
      <c r="F308" s="33">
        <f>F307*$C$18*$C$22*H276/10^6</f>
        <v>459.887961658324</v>
      </c>
      <c r="G308" s="187" t="s">
        <v>107</v>
      </c>
      <c r="H308" s="2751" t="str">
        <f>IF(F308&gt;M$26,"&gt; Max End Me="&amp;FIXED(M$26,2)&amp;" kn-m","&lt; Max End Me="&amp;FIXED(M$26,2)&amp;" kn-m")</f>
        <v>&lt; Max End Me=539.69 kn-m</v>
      </c>
      <c r="I308" s="2751"/>
      <c r="J308" s="2751"/>
      <c r="K308" s="159"/>
      <c r="L308" s="2742" t="s">
        <v>2116</v>
      </c>
      <c r="M308" s="2743"/>
      <c r="N308" s="2744"/>
      <c r="P308" s="2084"/>
      <c r="Q308" s="241" t="s">
        <v>941</v>
      </c>
      <c r="R308" s="16"/>
      <c r="S308" s="16"/>
      <c r="T308" s="16"/>
      <c r="U308" s="16"/>
      <c r="V308" s="16"/>
      <c r="W308" s="16"/>
      <c r="X308" s="2735"/>
    </row>
    <row r="309" spans="1:24" ht="14.25">
      <c r="B309" s="187" t="s">
        <v>1823</v>
      </c>
      <c r="J309" s="46"/>
      <c r="K309" s="159"/>
      <c r="L309" s="2745" t="s">
        <v>2117</v>
      </c>
      <c r="M309" s="2746"/>
      <c r="N309" s="2747"/>
      <c r="P309" s="259" t="s">
        <v>707</v>
      </c>
      <c r="Q309" s="241" t="s">
        <v>942</v>
      </c>
      <c r="R309" s="16"/>
      <c r="S309" s="16"/>
      <c r="T309" s="16"/>
      <c r="U309" s="16"/>
      <c r="V309" s="16"/>
      <c r="W309" s="16"/>
      <c r="X309" s="2739"/>
    </row>
    <row r="310" spans="1:24" ht="14.25">
      <c r="A310" s="203" t="s">
        <v>707</v>
      </c>
      <c r="B310" s="187" t="s">
        <v>1826</v>
      </c>
      <c r="J310" s="46"/>
      <c r="K310" s="159"/>
      <c r="L310" s="2748" t="s">
        <v>2118</v>
      </c>
      <c r="M310" s="2749"/>
      <c r="N310" s="2750"/>
      <c r="P310" s="2084"/>
      <c r="Q310" s="242">
        <f>D242/F225</f>
        <v>51.625794392523382</v>
      </c>
      <c r="R310" s="434" t="s">
        <v>685</v>
      </c>
      <c r="S310" s="242">
        <f>D242*2</f>
        <v>276.19800000000009</v>
      </c>
      <c r="T310" s="434" t="s">
        <v>686</v>
      </c>
      <c r="U310" s="242">
        <f>D242*H135+F243</f>
        <v>650.16605923224392</v>
      </c>
      <c r="V310" s="2737" t="s">
        <v>35</v>
      </c>
      <c r="W310" s="1048">
        <v>0</v>
      </c>
      <c r="X310" s="256" t="s">
        <v>491</v>
      </c>
    </row>
    <row r="311" spans="1:24" ht="14.25">
      <c r="B311" s="33">
        <f>D242/F225</f>
        <v>51.625794392523382</v>
      </c>
      <c r="C311" s="206" t="s">
        <v>685</v>
      </c>
      <c r="D311" s="33">
        <f>D242*2</f>
        <v>276.19800000000009</v>
      </c>
      <c r="E311" s="206" t="s">
        <v>686</v>
      </c>
      <c r="F311" s="33">
        <f>D242*H135+F243*2-F308*2</f>
        <v>270.07699514783985</v>
      </c>
      <c r="G311" s="2051" t="s">
        <v>35</v>
      </c>
      <c r="H311" s="18">
        <v>0</v>
      </c>
      <c r="J311" s="46"/>
      <c r="K311" s="159"/>
      <c r="P311" s="2084"/>
      <c r="Q311" s="16"/>
      <c r="R311" s="16"/>
      <c r="S311" s="16"/>
      <c r="T311" s="16"/>
      <c r="U311" s="16"/>
      <c r="V311" s="16"/>
      <c r="W311" s="16"/>
      <c r="X311" s="316" t="e">
        <f>U313*10^6/($C$18*$C$22*H276)</f>
        <v>#NUM!</v>
      </c>
    </row>
    <row r="312" spans="1:24">
      <c r="B312" s="33"/>
      <c r="C312" s="206"/>
      <c r="D312" s="33"/>
      <c r="E312" s="206"/>
      <c r="F312" s="33"/>
      <c r="G312" s="2051"/>
      <c r="H312" s="18"/>
      <c r="J312" s="46"/>
      <c r="K312" s="159"/>
      <c r="P312" s="2084"/>
      <c r="Q312" s="241" t="s">
        <v>691</v>
      </c>
      <c r="R312" s="242" t="e">
        <f>(-(-S310)-SQRT(S310^2-4*Q310*U310))/(2*Q310)</f>
        <v>#NUM!</v>
      </c>
      <c r="S312" s="241" t="s">
        <v>688</v>
      </c>
      <c r="T312" s="16"/>
      <c r="U312" s="16"/>
      <c r="V312" s="241" t="s">
        <v>690</v>
      </c>
      <c r="W312" s="16"/>
      <c r="X312" s="58"/>
    </row>
    <row r="313" spans="1:24" ht="14.25">
      <c r="B313" s="187" t="s">
        <v>691</v>
      </c>
      <c r="C313" s="1996">
        <f>(-(-D311)-SQRT(D311^2-4*B311*F311))/(2*B311)</f>
        <v>1.28784829398555</v>
      </c>
      <c r="D313" s="187" t="s">
        <v>688</v>
      </c>
      <c r="G313" s="187" t="s">
        <v>1837</v>
      </c>
      <c r="J313" s="46"/>
      <c r="K313" s="159"/>
      <c r="P313" s="2084"/>
      <c r="Q313" s="241" t="s">
        <v>687</v>
      </c>
      <c r="R313" s="16"/>
      <c r="S313" s="16"/>
      <c r="T313" s="16"/>
      <c r="U313" s="242" t="e">
        <f>F243+R312^2*D242/(2*F225)-D242*(R312-H135/2)</f>
        <v>#NUM!</v>
      </c>
      <c r="V313" s="241" t="s">
        <v>620</v>
      </c>
      <c r="W313" s="16"/>
      <c r="X313" s="58"/>
    </row>
    <row r="314" spans="1:24" ht="14.25">
      <c r="B314" s="187" t="s">
        <v>687</v>
      </c>
      <c r="F314" s="33">
        <f>F243+C313^2*D242/(2*F225)-D242*(C313-H135/2)</f>
        <v>459.88796165832406</v>
      </c>
      <c r="G314" s="187" t="s">
        <v>620</v>
      </c>
      <c r="J314" s="46"/>
      <c r="K314" s="159"/>
      <c r="P314" s="2085"/>
      <c r="Q314" s="59"/>
      <c r="R314" s="59"/>
      <c r="S314" s="59"/>
      <c r="T314" s="1497" t="s">
        <v>943</v>
      </c>
      <c r="U314" s="212">
        <f>+F243/2</f>
        <v>269.84342961612197</v>
      </c>
      <c r="V314" s="204" t="s">
        <v>620</v>
      </c>
      <c r="W314" s="1504" t="e">
        <f>IF(U313=U314,"O.k","Not O.k")</f>
        <v>#NUM!</v>
      </c>
      <c r="X314" s="60"/>
    </row>
    <row r="315" spans="1:24">
      <c r="B315" s="207" t="s">
        <v>2113</v>
      </c>
      <c r="C315" s="126"/>
      <c r="D315" s="126"/>
      <c r="E315" s="126"/>
      <c r="F315" s="246">
        <f>O$26</f>
        <v>410.2190467322439</v>
      </c>
      <c r="G315" s="207" t="s">
        <v>620</v>
      </c>
      <c r="J315" s="46"/>
      <c r="K315" s="159"/>
    </row>
    <row r="316" spans="1:24">
      <c r="B316" s="187" t="s">
        <v>692</v>
      </c>
      <c r="H316" s="33">
        <f>IF(C313&lt;H135,H135,C313)+40*C301/1000</f>
        <v>2.28784829398555</v>
      </c>
      <c r="I316" s="187" t="s">
        <v>5</v>
      </c>
      <c r="J316" s="109"/>
      <c r="K316" s="159"/>
    </row>
    <row r="317" spans="1:24">
      <c r="B317" s="187"/>
      <c r="H317" s="33"/>
      <c r="I317" s="187"/>
      <c r="J317" s="109"/>
      <c r="K317" s="159"/>
    </row>
    <row r="318" spans="1:24" ht="12.75" customHeight="1">
      <c r="A318" s="3085" t="s">
        <v>944</v>
      </c>
      <c r="B318" s="355" t="s">
        <v>1147</v>
      </c>
      <c r="C318" s="3138" t="s">
        <v>2115</v>
      </c>
      <c r="D318" s="3118" t="s">
        <v>946</v>
      </c>
      <c r="E318" s="3122" t="s">
        <v>937</v>
      </c>
      <c r="F318" s="3122" t="s">
        <v>938</v>
      </c>
      <c r="G318" s="3228" t="s">
        <v>947</v>
      </c>
      <c r="H318" s="3118" t="s">
        <v>2120</v>
      </c>
      <c r="I318" s="3213" t="s">
        <v>676</v>
      </c>
      <c r="J318" s="3214"/>
      <c r="K318" s="159"/>
    </row>
    <row r="319" spans="1:24">
      <c r="A319" s="3200"/>
      <c r="B319" s="365" t="s">
        <v>1149</v>
      </c>
      <c r="C319" s="3144"/>
      <c r="D319" s="3092"/>
      <c r="E319" s="3123"/>
      <c r="F319" s="3123"/>
      <c r="G319" s="3231"/>
      <c r="H319" s="3092"/>
      <c r="I319" s="960"/>
      <c r="J319" s="961"/>
      <c r="K319" s="159"/>
    </row>
    <row r="320" spans="1:24">
      <c r="A320" s="3086"/>
      <c r="B320" s="354" t="s">
        <v>1148</v>
      </c>
      <c r="C320" s="3144"/>
      <c r="D320" s="105"/>
      <c r="E320" s="360"/>
      <c r="F320" s="360"/>
      <c r="G320" s="3232"/>
      <c r="H320" s="3239"/>
      <c r="I320" s="959"/>
      <c r="J320" s="961"/>
      <c r="K320" s="159"/>
    </row>
    <row r="321" spans="1:14" ht="14.25">
      <c r="A321" s="2734" t="s">
        <v>5</v>
      </c>
      <c r="B321" s="256" t="s">
        <v>491</v>
      </c>
      <c r="C321" s="256" t="s">
        <v>491</v>
      </c>
      <c r="D321" s="256" t="s">
        <v>491</v>
      </c>
      <c r="E321" s="256" t="s">
        <v>491</v>
      </c>
      <c r="F321" s="608" t="s">
        <v>98</v>
      </c>
      <c r="G321" s="618" t="s">
        <v>5</v>
      </c>
      <c r="H321" s="608" t="s">
        <v>98</v>
      </c>
      <c r="I321" s="962"/>
      <c r="J321" s="963"/>
      <c r="K321" s="159"/>
    </row>
    <row r="322" spans="1:14">
      <c r="A322" s="2740">
        <f>H316</f>
        <v>2.28784829398555</v>
      </c>
      <c r="B322" s="316">
        <f>0.5*PI()*(C301/2)^2*1000/E301</f>
        <v>2454.3692606170262</v>
      </c>
      <c r="C322" s="357">
        <f>F315*10^6/(fs*j*H276)</f>
        <v>2189.2919631744289</v>
      </c>
      <c r="D322" s="316">
        <f>C294</f>
        <v>380</v>
      </c>
      <c r="E322" s="316">
        <f>MAX(B322:D322)</f>
        <v>2454.3692606170262</v>
      </c>
      <c r="F322" s="619">
        <f>PI()*(C301/2)^2*1000/E322</f>
        <v>200</v>
      </c>
      <c r="G322" s="620"/>
      <c r="H322" s="621">
        <f>E301*2</f>
        <v>200</v>
      </c>
      <c r="I322" s="3215" t="str">
        <f>IF(OR(A322&gt;F225-0.5,H322&gt;F322),"Do not curtail ","Do curtailment")</f>
        <v xml:space="preserve">Do not curtail </v>
      </c>
      <c r="J322" s="3216"/>
      <c r="K322" s="159"/>
      <c r="L322" s="1997" t="s">
        <v>645</v>
      </c>
      <c r="M322" s="1998">
        <f>F225</f>
        <v>2.6749999999999998</v>
      </c>
      <c r="N322" s="187" t="s">
        <v>5</v>
      </c>
    </row>
    <row r="323" spans="1:14">
      <c r="B323" s="187"/>
      <c r="D323" s="129"/>
      <c r="E323" s="385"/>
      <c r="I323" s="46"/>
      <c r="J323" s="46"/>
      <c r="K323" s="159"/>
    </row>
    <row r="324" spans="1:14">
      <c r="B324" s="2193" t="s">
        <v>602</v>
      </c>
      <c r="C324" s="2194"/>
      <c r="D324" s="2195" t="s">
        <v>1869</v>
      </c>
      <c r="E324" s="2194"/>
      <c r="F324" s="2194"/>
      <c r="J324" s="46"/>
      <c r="K324" s="159"/>
    </row>
    <row r="325" spans="1:14">
      <c r="B325" s="187"/>
      <c r="G325" s="126" t="str">
        <f>IF(F335=0,"No curtailment needed ","For Curtailment follow the Remark")</f>
        <v>For Curtailment follow the Remark</v>
      </c>
      <c r="H325" s="126"/>
      <c r="I325" s="126"/>
      <c r="J325" s="126"/>
      <c r="K325" s="159"/>
    </row>
    <row r="326" spans="1:14">
      <c r="B326" s="1" t="s">
        <v>657</v>
      </c>
      <c r="C326" s="46"/>
      <c r="D326" s="46"/>
      <c r="E326" s="46"/>
      <c r="F326" s="46"/>
      <c r="G326" s="46"/>
      <c r="H326" s="46"/>
      <c r="I326" s="46"/>
      <c r="J326" s="46"/>
      <c r="K326" s="159"/>
    </row>
    <row r="327" spans="1:14">
      <c r="B327" s="187" t="s">
        <v>2131</v>
      </c>
      <c r="C327" s="46"/>
      <c r="D327" s="46"/>
      <c r="E327" s="46"/>
      <c r="F327" s="224">
        <f>IF(H244&lt;0,H244,0)</f>
        <v>0</v>
      </c>
      <c r="G327" s="187" t="s">
        <v>107</v>
      </c>
      <c r="H327" s="46"/>
      <c r="I327" s="46"/>
      <c r="J327" s="46"/>
      <c r="K327" s="159"/>
    </row>
    <row r="328" spans="1:14">
      <c r="B328" s="385" t="s">
        <v>2129</v>
      </c>
      <c r="C328" s="46"/>
      <c r="D328" s="46"/>
      <c r="F328" s="33">
        <f>F327*0.5</f>
        <v>0</v>
      </c>
      <c r="G328" s="187" t="s">
        <v>107</v>
      </c>
      <c r="I328" s="46"/>
      <c r="J328" s="46"/>
      <c r="K328" s="159"/>
    </row>
    <row r="329" spans="1:14" ht="14.25">
      <c r="B329" s="187" t="s">
        <v>1826</v>
      </c>
      <c r="I329" s="46"/>
      <c r="J329" s="46"/>
      <c r="K329" s="159"/>
    </row>
    <row r="330" spans="1:14" ht="14.25">
      <c r="B330" s="33">
        <f>D242/F225</f>
        <v>51.625794392523382</v>
      </c>
      <c r="C330" s="206" t="s">
        <v>685</v>
      </c>
      <c r="D330" s="33">
        <f>D242*2</f>
        <v>276.19800000000009</v>
      </c>
      <c r="E330" s="206" t="s">
        <v>686</v>
      </c>
      <c r="F330" s="33">
        <f>D242*D135+F243*2-F328*2</f>
        <v>1189.8529184644879</v>
      </c>
      <c r="G330" s="2754" t="s">
        <v>35</v>
      </c>
      <c r="H330" s="18">
        <v>0</v>
      </c>
      <c r="I330" s="46"/>
      <c r="J330" s="46"/>
      <c r="K330" s="159"/>
    </row>
    <row r="331" spans="1:14">
      <c r="B331" s="187" t="s">
        <v>691</v>
      </c>
      <c r="C331" s="1996" t="e">
        <f>(-(-D330)-SQRT(D330^2-4*B330*F330))/(2*B330)</f>
        <v>#NUM!</v>
      </c>
      <c r="D331" s="187" t="s">
        <v>688</v>
      </c>
      <c r="F331" s="187" t="s">
        <v>1827</v>
      </c>
      <c r="I331" s="46"/>
      <c r="J331" s="46"/>
      <c r="K331" s="159"/>
    </row>
    <row r="332" spans="1:14" ht="14.25">
      <c r="B332" s="187" t="s">
        <v>687</v>
      </c>
      <c r="F332" s="33" t="e">
        <f>F243+C331^2*D242/(2*F225)-D242*(C331-D135/2)</f>
        <v>#NUM!</v>
      </c>
      <c r="G332" s="187" t="s">
        <v>620</v>
      </c>
      <c r="I332" s="46"/>
      <c r="J332" s="46"/>
      <c r="K332" s="159"/>
    </row>
    <row r="333" spans="1:14">
      <c r="B333" s="187"/>
      <c r="F333" s="33"/>
      <c r="G333" s="187"/>
      <c r="J333" s="46"/>
      <c r="K333" s="159"/>
    </row>
    <row r="334" spans="1:14">
      <c r="B334" s="1" t="s">
        <v>661</v>
      </c>
      <c r="F334" s="33"/>
      <c r="G334" s="187"/>
      <c r="J334" s="46"/>
      <c r="K334" s="159"/>
    </row>
    <row r="335" spans="1:14">
      <c r="B335" s="187" t="s">
        <v>1870</v>
      </c>
      <c r="F335" s="158">
        <f>IF(H264&lt;0,H264,0)</f>
        <v>-7.4237622593183232</v>
      </c>
      <c r="G335" s="187" t="s">
        <v>107</v>
      </c>
      <c r="J335" s="46"/>
      <c r="K335" s="159"/>
    </row>
    <row r="336" spans="1:14">
      <c r="B336" s="187" t="s">
        <v>1871</v>
      </c>
      <c r="F336" s="33">
        <f>F335/2</f>
        <v>-3.7118811296591616</v>
      </c>
      <c r="G336" s="187" t="s">
        <v>107</v>
      </c>
      <c r="J336" s="46"/>
      <c r="K336" s="159"/>
    </row>
    <row r="337" spans="1:19" ht="14.25">
      <c r="B337" s="187" t="s">
        <v>1823</v>
      </c>
      <c r="J337" s="46"/>
      <c r="K337" s="159"/>
      <c r="R337" s="18"/>
    </row>
    <row r="338" spans="1:19" ht="14.25">
      <c r="A338" s="203" t="s">
        <v>707</v>
      </c>
      <c r="B338" s="187" t="s">
        <v>1826</v>
      </c>
      <c r="J338" s="46"/>
      <c r="K338" s="159"/>
    </row>
    <row r="339" spans="1:19" ht="14.25">
      <c r="B339" s="33">
        <f>D262/F225</f>
        <v>50.984512592898639</v>
      </c>
      <c r="C339" s="206" t="s">
        <v>685</v>
      </c>
      <c r="D339" s="33">
        <f>D262*2</f>
        <v>272.7671423720077</v>
      </c>
      <c r="E339" s="206" t="s">
        <v>686</v>
      </c>
      <c r="F339" s="33">
        <f>D262*H135+2*F263-2*F336</f>
        <v>357.40229066324196</v>
      </c>
      <c r="G339" s="2188" t="s">
        <v>35</v>
      </c>
      <c r="H339" s="18">
        <v>0</v>
      </c>
      <c r="J339" s="46"/>
      <c r="K339" s="159"/>
    </row>
    <row r="340" spans="1:19">
      <c r="B340" s="33"/>
      <c r="C340" s="206"/>
      <c r="D340" s="33"/>
      <c r="E340" s="206"/>
      <c r="F340" s="33"/>
      <c r="G340" s="2188"/>
      <c r="H340" s="18"/>
      <c r="J340" s="46"/>
      <c r="K340" s="159"/>
    </row>
    <row r="341" spans="1:19">
      <c r="B341" s="187" t="s">
        <v>691</v>
      </c>
      <c r="C341" s="1996">
        <f>(-(-D339)-SQRT(D339^2-4*B339*F339))/(2*B339)</f>
        <v>2.2934135964385352</v>
      </c>
      <c r="D341" s="187" t="s">
        <v>688</v>
      </c>
      <c r="G341" s="187" t="s">
        <v>1820</v>
      </c>
      <c r="J341" s="46"/>
      <c r="K341" s="159"/>
    </row>
    <row r="342" spans="1:19" ht="14.25">
      <c r="B342" s="187" t="s">
        <v>687</v>
      </c>
      <c r="F342" s="33">
        <f>F263+C341^2*D262/(2*F225)-D262*(C341-H135/2)</f>
        <v>-3.7118811296591616</v>
      </c>
      <c r="G342" s="187" t="s">
        <v>620</v>
      </c>
      <c r="J342" s="46"/>
      <c r="K342" s="159"/>
      <c r="S342" s="46"/>
    </row>
    <row r="343" spans="1:19">
      <c r="B343" s="187"/>
      <c r="F343" s="33"/>
      <c r="G343" s="187"/>
      <c r="J343" s="46"/>
      <c r="K343" s="159"/>
      <c r="S343" s="46"/>
    </row>
    <row r="344" spans="1:19">
      <c r="B344" s="207" t="s">
        <v>2119</v>
      </c>
      <c r="C344" s="126"/>
      <c r="D344" s="126"/>
      <c r="E344" s="126"/>
      <c r="F344" s="126"/>
      <c r="G344" s="126"/>
      <c r="H344" s="246">
        <f>N$26</f>
        <v>22.641181856694004</v>
      </c>
      <c r="I344" s="207" t="s">
        <v>620</v>
      </c>
      <c r="J344" s="46"/>
      <c r="K344" s="159"/>
      <c r="S344" s="46"/>
    </row>
    <row r="345" spans="1:19">
      <c r="B345" t="s">
        <v>2127</v>
      </c>
      <c r="H345" s="33" t="e">
        <f>AB26</f>
        <v>#NUM!</v>
      </c>
      <c r="I345" s="187" t="s">
        <v>5</v>
      </c>
      <c r="J345" s="46"/>
      <c r="K345" s="159"/>
      <c r="S345" s="46"/>
    </row>
    <row r="346" spans="1:19">
      <c r="B346" s="187" t="s">
        <v>692</v>
      </c>
      <c r="H346" s="33" t="e">
        <f>H345-40*C298/1000</f>
        <v>#NUM!</v>
      </c>
      <c r="I346" s="187" t="s">
        <v>5</v>
      </c>
      <c r="J346" s="109"/>
      <c r="K346" s="159"/>
      <c r="S346" s="46"/>
    </row>
    <row r="347" spans="1:19">
      <c r="B347" s="187" t="s">
        <v>1874</v>
      </c>
      <c r="H347" s="33" t="e">
        <f>IF(H346&lt;D135,0,H346-D135)</f>
        <v>#NUM!</v>
      </c>
      <c r="I347" s="187" t="s">
        <v>5</v>
      </c>
      <c r="J347" s="109"/>
      <c r="K347" s="159"/>
      <c r="S347" s="46"/>
    </row>
    <row r="348" spans="1:19">
      <c r="B348" s="187" t="s">
        <v>2122</v>
      </c>
      <c r="H348" s="33">
        <f>F135</f>
        <v>3.75</v>
      </c>
      <c r="I348" s="187" t="s">
        <v>5</v>
      </c>
      <c r="J348" s="109"/>
      <c r="K348" s="159"/>
      <c r="S348" s="46"/>
    </row>
    <row r="349" spans="1:19">
      <c r="B349" s="187" t="s">
        <v>2121</v>
      </c>
      <c r="H349" s="33" t="str">
        <f>IF(G355="","",H348-G355*2)</f>
        <v/>
      </c>
      <c r="I349" s="187" t="s">
        <v>5</v>
      </c>
      <c r="J349" s="109"/>
      <c r="K349" s="159"/>
      <c r="S349" s="46"/>
    </row>
    <row r="350" spans="1:19">
      <c r="J350" s="46"/>
      <c r="K350" s="159"/>
    </row>
    <row r="351" spans="1:19" ht="12.75" customHeight="1">
      <c r="A351" s="3085" t="s">
        <v>1875</v>
      </c>
      <c r="B351" s="3118" t="s">
        <v>945</v>
      </c>
      <c r="C351" s="355" t="s">
        <v>1147</v>
      </c>
      <c r="D351" s="3118" t="s">
        <v>946</v>
      </c>
      <c r="E351" s="3122" t="s">
        <v>937</v>
      </c>
      <c r="F351" s="3118" t="s">
        <v>1150</v>
      </c>
      <c r="G351" s="3228" t="s">
        <v>1877</v>
      </c>
      <c r="H351" s="3118" t="s">
        <v>2120</v>
      </c>
      <c r="I351" s="3213" t="s">
        <v>676</v>
      </c>
      <c r="J351" s="3214"/>
      <c r="K351" s="159"/>
    </row>
    <row r="352" spans="1:19">
      <c r="A352" s="3202"/>
      <c r="B352" s="3092"/>
      <c r="C352" s="365" t="s">
        <v>1149</v>
      </c>
      <c r="D352" s="3092"/>
      <c r="E352" s="3123"/>
      <c r="F352" s="3092"/>
      <c r="G352" s="3231"/>
      <c r="H352" s="3092"/>
      <c r="I352" s="960"/>
      <c r="J352" s="961"/>
      <c r="K352" s="159"/>
    </row>
    <row r="353" spans="1:14">
      <c r="A353" s="3203"/>
      <c r="B353" s="2192"/>
      <c r="C353" s="354" t="s">
        <v>1148</v>
      </c>
      <c r="D353" s="2190"/>
      <c r="E353" s="360"/>
      <c r="F353" s="3239"/>
      <c r="G353" s="3232"/>
      <c r="H353" s="3239"/>
      <c r="I353" s="959"/>
      <c r="J353" s="961"/>
      <c r="K353" s="159"/>
    </row>
    <row r="354" spans="1:14" ht="14.25">
      <c r="A354" s="2186" t="s">
        <v>5</v>
      </c>
      <c r="B354" s="256" t="s">
        <v>491</v>
      </c>
      <c r="C354" s="256" t="s">
        <v>491</v>
      </c>
      <c r="D354" s="256" t="s">
        <v>491</v>
      </c>
      <c r="E354" s="256" t="s">
        <v>491</v>
      </c>
      <c r="F354" s="2187" t="s">
        <v>98</v>
      </c>
      <c r="G354" s="618" t="s">
        <v>5</v>
      </c>
      <c r="H354" s="2187" t="s">
        <v>98</v>
      </c>
      <c r="I354" s="962"/>
      <c r="J354" s="963"/>
      <c r="K354" s="159"/>
    </row>
    <row r="355" spans="1:14">
      <c r="A355" s="455" t="e">
        <f>H347</f>
        <v>#NUM!</v>
      </c>
      <c r="B355" s="316">
        <f>0.5*ABS(H344)*10^6/($C$18*$C$22*H276)</f>
        <v>60.416694288679331</v>
      </c>
      <c r="C355" s="316">
        <f>0.5*PI()*(C298/2)^2*1000/E298</f>
        <v>502.65482457436684</v>
      </c>
      <c r="D355" s="316">
        <f>C291</f>
        <v>760</v>
      </c>
      <c r="E355" s="316">
        <f>MAX(B355:D355)</f>
        <v>760</v>
      </c>
      <c r="F355" s="619">
        <f>PI()*(C298/2)^2*1000/E355</f>
        <v>264.55517082861417</v>
      </c>
      <c r="G355" s="620"/>
      <c r="H355" s="621">
        <f>E298*2</f>
        <v>400</v>
      </c>
      <c r="I355" s="3215" t="str">
        <f>IF(OR(H355&gt;F355,H344=0),"No curtailment ","Do curtailment")</f>
        <v xml:space="preserve">No curtailment </v>
      </c>
      <c r="J355" s="3216"/>
      <c r="K355" s="159"/>
    </row>
    <row r="356" spans="1:14">
      <c r="B356" s="187"/>
      <c r="D356" s="129"/>
      <c r="E356" s="385"/>
      <c r="I356" s="46"/>
      <c r="J356" s="46"/>
      <c r="K356" s="159"/>
    </row>
    <row r="357" spans="1:14" ht="14.25">
      <c r="A357" s="399" t="s">
        <v>1131</v>
      </c>
      <c r="B357" s="126"/>
      <c r="C357" s="933" t="str">
        <f>C33&amp;"-"&amp;C33</f>
        <v>2-2</v>
      </c>
      <c r="D357" s="126" t="s">
        <v>949</v>
      </c>
      <c r="E357" s="10"/>
      <c r="J357" s="46"/>
      <c r="K357" s="159"/>
      <c r="L357" s="46"/>
      <c r="M357" s="46"/>
      <c r="N357" s="46"/>
    </row>
    <row r="358" spans="1:14">
      <c r="J358" s="46"/>
      <c r="K358" s="159"/>
      <c r="L358" s="46"/>
      <c r="M358" s="46"/>
      <c r="N358" s="46"/>
    </row>
    <row r="359" spans="1:14">
      <c r="B359" s="1" t="s">
        <v>1110</v>
      </c>
      <c r="J359" s="46"/>
      <c r="K359" s="159"/>
      <c r="L359" s="46"/>
      <c r="M359" s="46"/>
      <c r="N359" s="46"/>
    </row>
    <row r="360" spans="1:14">
      <c r="B360" s="241" t="s">
        <v>1122</v>
      </c>
      <c r="F360" s="241" t="s">
        <v>1124</v>
      </c>
      <c r="H360" s="16"/>
      <c r="K360" s="159"/>
      <c r="M360" s="46"/>
      <c r="N360" s="46"/>
    </row>
    <row r="361" spans="1:14" ht="14.25">
      <c r="B361" s="241" t="s">
        <v>111</v>
      </c>
      <c r="C361" s="16">
        <f>IF(I373&lt;=9,$G$99,$G$104)</f>
        <v>1E-3</v>
      </c>
      <c r="D361" s="241" t="s">
        <v>438</v>
      </c>
      <c r="F361" s="241" t="s">
        <v>111</v>
      </c>
      <c r="G361" s="16">
        <f>IF(I373&lt;=9,$G$100,$G$105)</f>
        <v>2E-3</v>
      </c>
      <c r="H361" s="241" t="s">
        <v>438</v>
      </c>
      <c r="I361" s="46"/>
      <c r="K361" s="159"/>
      <c r="M361" s="46"/>
      <c r="N361" s="46"/>
    </row>
    <row r="362" spans="1:14" ht="14.25">
      <c r="B362" s="241" t="s">
        <v>110</v>
      </c>
      <c r="C362" s="16">
        <f>IF(E26&lt;=9,$G$99,$G$104)</f>
        <v>1.5E-3</v>
      </c>
      <c r="D362" s="241" t="s">
        <v>438</v>
      </c>
      <c r="E362" s="16"/>
      <c r="F362" s="241" t="s">
        <v>110</v>
      </c>
      <c r="G362" s="16">
        <f>IF(E26&lt;=9,$G$100,$G$105)</f>
        <v>2.5000000000000001E-3</v>
      </c>
      <c r="H362" s="241" t="s">
        <v>438</v>
      </c>
      <c r="I362" s="46"/>
      <c r="J362" s="46"/>
      <c r="K362" s="159"/>
      <c r="L362" s="46"/>
      <c r="M362" s="46"/>
      <c r="N362" s="46"/>
    </row>
    <row r="363" spans="1:14">
      <c r="B363" s="187" t="s">
        <v>601</v>
      </c>
      <c r="E363" s="129">
        <f>1000*(H384+H366)/2</f>
        <v>550</v>
      </c>
      <c r="F363" s="187" t="s">
        <v>98</v>
      </c>
      <c r="J363" s="46"/>
      <c r="K363" s="159"/>
      <c r="L363" s="46"/>
      <c r="M363" s="46"/>
      <c r="N363" s="46"/>
    </row>
    <row r="364" spans="1:14">
      <c r="J364" s="46"/>
      <c r="K364" s="159"/>
      <c r="L364" s="46"/>
      <c r="M364" s="46"/>
      <c r="N364" s="46"/>
    </row>
    <row r="365" spans="1:14">
      <c r="J365" s="46"/>
      <c r="K365" s="159"/>
      <c r="L365" s="46"/>
      <c r="M365" s="46"/>
      <c r="N365" s="46"/>
    </row>
    <row r="366" spans="1:14">
      <c r="C366" s="203" t="s">
        <v>149</v>
      </c>
      <c r="D366" s="36">
        <f>C35</f>
        <v>13.9</v>
      </c>
      <c r="H366" s="2550">
        <f>R64</f>
        <v>0.3</v>
      </c>
      <c r="I366" s="36"/>
      <c r="J366" s="489"/>
      <c r="K366" s="159"/>
      <c r="L366" s="46"/>
      <c r="M366" s="46"/>
      <c r="N366" s="46"/>
    </row>
    <row r="367" spans="1:14">
      <c r="C367" s="187"/>
      <c r="D367" s="2"/>
      <c r="G367" s="79"/>
      <c r="J367" s="46"/>
      <c r="K367" s="159"/>
      <c r="L367" s="46"/>
      <c r="M367" s="46"/>
      <c r="N367" s="46"/>
    </row>
    <row r="368" spans="1:14">
      <c r="C368" s="187"/>
      <c r="D368" s="2201" t="s">
        <v>604</v>
      </c>
      <c r="E368" s="17"/>
      <c r="F368" s="36"/>
      <c r="J368" s="46"/>
      <c r="K368" s="159"/>
      <c r="L368" s="46"/>
      <c r="M368" s="46"/>
      <c r="N368" s="46"/>
    </row>
    <row r="369" spans="1:14">
      <c r="C369" s="206">
        <f>IF(D366-C372&lt;0,0,D366-C372)</f>
        <v>1.5539850936358448</v>
      </c>
      <c r="E369" s="40"/>
      <c r="G369" s="404"/>
      <c r="J369" s="46"/>
      <c r="K369" s="159"/>
      <c r="L369" s="46"/>
      <c r="M369" s="46"/>
      <c r="N369" s="46"/>
    </row>
    <row r="370" spans="1:14">
      <c r="A370" s="17" t="s">
        <v>45</v>
      </c>
      <c r="C370" s="187"/>
      <c r="D370" s="2202" t="s">
        <v>135</v>
      </c>
      <c r="E370" s="17"/>
      <c r="F370" s="36"/>
      <c r="G370" s="404"/>
      <c r="J370" s="46"/>
      <c r="K370" s="159"/>
      <c r="L370" s="46"/>
      <c r="M370" s="46"/>
      <c r="N370" s="46"/>
    </row>
    <row r="371" spans="1:14">
      <c r="C371" s="187"/>
      <c r="D371" s="33"/>
      <c r="E371" s="84">
        <f>C376*(H384-H366)/I373</f>
        <v>0.4003855709207792</v>
      </c>
      <c r="G371" s="404"/>
      <c r="J371" s="46"/>
      <c r="K371" s="159"/>
      <c r="L371" s="46"/>
      <c r="M371" s="46"/>
      <c r="N371" s="46"/>
    </row>
    <row r="372" spans="1:14">
      <c r="C372" s="54">
        <f>C41</f>
        <v>12.346014906364156</v>
      </c>
      <c r="D372" s="33"/>
      <c r="E372" s="17"/>
      <c r="F372" s="36"/>
      <c r="G372" s="404"/>
      <c r="J372" s="46"/>
      <c r="K372" s="159"/>
      <c r="L372" s="46"/>
      <c r="M372" s="46"/>
      <c r="N372" s="46"/>
    </row>
    <row r="373" spans="1:14">
      <c r="C373" s="187"/>
      <c r="E373" s="40"/>
      <c r="H373" s="17" t="s">
        <v>600</v>
      </c>
      <c r="I373" s="10">
        <f>D366-G380</f>
        <v>7.8000000000000007</v>
      </c>
      <c r="J373" s="44"/>
      <c r="K373" s="159"/>
      <c r="L373" s="46"/>
      <c r="M373" s="224"/>
      <c r="N373" s="46"/>
    </row>
    <row r="374" spans="1:14">
      <c r="A374" s="17" t="s">
        <v>44</v>
      </c>
      <c r="C374" s="187"/>
      <c r="E374" s="40"/>
      <c r="F374" s="33">
        <f>E45</f>
        <v>13.9</v>
      </c>
      <c r="G374" s="18" t="s">
        <v>5</v>
      </c>
      <c r="J374" s="46"/>
      <c r="K374" s="159"/>
    </row>
    <row r="375" spans="1:14">
      <c r="C375" s="187"/>
      <c r="E375" s="88"/>
      <c r="G375" s="33"/>
      <c r="I375" s="10"/>
      <c r="J375" s="44"/>
      <c r="K375" s="159"/>
      <c r="L375" s="46"/>
      <c r="M375" s="46"/>
      <c r="N375" s="46"/>
    </row>
    <row r="376" spans="1:14">
      <c r="C376" s="206">
        <f>IF(C372-G380&gt;I373,I373,C372-G380)</f>
        <v>6.2460149063641559</v>
      </c>
      <c r="E376" s="53"/>
      <c r="G376" s="1015" t="s">
        <v>607</v>
      </c>
      <c r="J376" s="46"/>
      <c r="K376" s="159"/>
      <c r="L376" s="46"/>
      <c r="M376" s="46"/>
      <c r="N376" s="46"/>
    </row>
    <row r="377" spans="1:14">
      <c r="C377" s="187"/>
      <c r="E377" s="346"/>
      <c r="F377" s="54">
        <f>IF(F374&gt;D366,I373,IF(F374&lt;G380,0,F374-G380))</f>
        <v>7.8000000000000007</v>
      </c>
      <c r="G377" t="s">
        <v>5</v>
      </c>
      <c r="J377" s="46"/>
      <c r="K377" s="159"/>
      <c r="L377" s="46"/>
      <c r="M377" s="46"/>
    </row>
    <row r="378" spans="1:14">
      <c r="A378" s="2" t="s">
        <v>605</v>
      </c>
      <c r="C378" s="187"/>
      <c r="E378" s="17" t="s">
        <v>606</v>
      </c>
      <c r="F378" s="36"/>
      <c r="J378" s="46"/>
      <c r="K378" s="159"/>
      <c r="L378" s="46"/>
      <c r="M378" s="46"/>
      <c r="N378" s="46"/>
    </row>
    <row r="379" spans="1:14">
      <c r="C379" s="187"/>
      <c r="E379" s="40"/>
      <c r="J379" s="46"/>
      <c r="K379" s="159"/>
      <c r="L379" s="46"/>
      <c r="M379" s="46"/>
      <c r="N379" s="46"/>
    </row>
    <row r="380" spans="1:14">
      <c r="C380" s="187"/>
      <c r="E380" s="40"/>
      <c r="F380" s="17" t="s">
        <v>603</v>
      </c>
      <c r="G380" s="36">
        <f>F51</f>
        <v>6.1</v>
      </c>
      <c r="I380" s="10"/>
      <c r="J380" s="44"/>
      <c r="K380" s="159"/>
      <c r="L380" s="46"/>
      <c r="M380" s="46"/>
      <c r="N380" s="46"/>
    </row>
    <row r="381" spans="1:14">
      <c r="C381" s="187"/>
      <c r="F381" s="53"/>
      <c r="H381" s="33"/>
      <c r="I381" s="3223">
        <f>I460</f>
        <v>1.2</v>
      </c>
      <c r="J381" s="46"/>
      <c r="K381" s="159"/>
      <c r="L381" s="46"/>
      <c r="M381" s="46"/>
      <c r="N381" s="46"/>
    </row>
    <row r="382" spans="1:14">
      <c r="C382" s="187"/>
      <c r="I382" s="3223"/>
      <c r="J382" s="44"/>
      <c r="K382" s="159"/>
      <c r="L382" s="46"/>
      <c r="M382" s="46"/>
      <c r="N382" s="46"/>
    </row>
    <row r="383" spans="1:14">
      <c r="C383" s="187"/>
      <c r="G383" s="33"/>
      <c r="J383" s="46"/>
      <c r="K383" s="159"/>
      <c r="L383" s="46"/>
      <c r="M383" s="46"/>
      <c r="N383" s="46"/>
    </row>
    <row r="384" spans="1:14">
      <c r="C384" s="187"/>
      <c r="D384" s="10">
        <f>H384</f>
        <v>0.8</v>
      </c>
      <c r="F384" s="33">
        <f>C82</f>
        <v>5.0084745762711869</v>
      </c>
      <c r="G384" t="s">
        <v>5</v>
      </c>
      <c r="H384" s="2550">
        <f>S64</f>
        <v>0.8</v>
      </c>
      <c r="I384" s="440" t="str">
        <f>IF(AND(I412="ok",I413="ok"),"ok","Not ok")</f>
        <v>ok</v>
      </c>
      <c r="J384" s="46"/>
      <c r="K384" s="159"/>
      <c r="L384" s="46"/>
      <c r="M384" s="46"/>
      <c r="N384" s="46"/>
    </row>
    <row r="385" spans="1:14">
      <c r="C385" s="187"/>
      <c r="J385" s="46"/>
      <c r="K385" s="159"/>
      <c r="L385" s="46"/>
      <c r="M385" s="46"/>
      <c r="N385" s="46"/>
    </row>
    <row r="386" spans="1:14">
      <c r="C386" s="187"/>
      <c r="F386" s="33">
        <f>F384+H384+D384</f>
        <v>6.6084745762711865</v>
      </c>
      <c r="G386" t="s">
        <v>5</v>
      </c>
      <c r="J386" s="46"/>
      <c r="K386" s="159"/>
      <c r="L386" s="46"/>
      <c r="M386" s="61"/>
      <c r="N386" s="46"/>
    </row>
    <row r="387" spans="1:14">
      <c r="A387" s="187"/>
      <c r="B387" s="753" t="s">
        <v>1880</v>
      </c>
      <c r="C387" s="753"/>
      <c r="D387" s="753"/>
      <c r="E387" s="753"/>
      <c r="F387" s="753"/>
      <c r="G387" s="753"/>
      <c r="H387" s="753"/>
      <c r="I387" s="753"/>
      <c r="J387" s="46"/>
      <c r="K387" s="159"/>
      <c r="L387" s="109"/>
      <c r="M387" s="61"/>
      <c r="N387" s="46"/>
    </row>
    <row r="388" spans="1:14">
      <c r="A388" s="187"/>
      <c r="J388" s="46"/>
      <c r="K388" s="159"/>
      <c r="L388" s="109"/>
      <c r="M388" s="61"/>
      <c r="N388" s="46"/>
    </row>
    <row r="389" spans="1:14">
      <c r="A389" s="187"/>
      <c r="B389" s="225" t="str">
        <f>"a) Design of Wall  : Sec "&amp;C357&amp;"    (R/S)"</f>
        <v>a) Design of Wall  : Sec 2-2    (R/S)</v>
      </c>
      <c r="C389" s="174"/>
      <c r="D389" s="174"/>
      <c r="E389" s="174"/>
      <c r="J389" s="46"/>
      <c r="K389" s="159"/>
      <c r="L389" s="46"/>
      <c r="M389" s="46"/>
      <c r="N389" s="46"/>
    </row>
    <row r="390" spans="1:14">
      <c r="B390" s="1" t="s">
        <v>612</v>
      </c>
      <c r="D390" s="2"/>
      <c r="E390" s="10"/>
      <c r="J390" s="46"/>
      <c r="K390" s="159"/>
      <c r="L390" s="46"/>
      <c r="M390" s="46"/>
      <c r="N390" s="46"/>
    </row>
    <row r="391" spans="1:14">
      <c r="A391" s="187"/>
      <c r="B391" s="187" t="s">
        <v>611</v>
      </c>
      <c r="D391" s="2"/>
      <c r="E391" s="10"/>
      <c r="J391" s="46"/>
      <c r="K391" s="159"/>
      <c r="L391" s="46"/>
      <c r="M391" s="46"/>
      <c r="N391" s="46"/>
    </row>
    <row r="392" spans="1:14">
      <c r="B392" s="2" t="s">
        <v>131</v>
      </c>
      <c r="D392" s="2" t="s">
        <v>35</v>
      </c>
      <c r="E392" s="10">
        <f>D366-G380</f>
        <v>7.8000000000000007</v>
      </c>
      <c r="F392" t="s">
        <v>5</v>
      </c>
      <c r="J392" s="46"/>
      <c r="K392" s="159"/>
      <c r="L392" s="46"/>
      <c r="M392" s="109"/>
      <c r="N392" s="46"/>
    </row>
    <row r="393" spans="1:14" ht="15.75">
      <c r="A393" s="40"/>
      <c r="B393" s="187" t="s">
        <v>593</v>
      </c>
      <c r="D393" s="2" t="s">
        <v>35</v>
      </c>
      <c r="E393" s="10">
        <f>0.5*$I$8*$D$6*E392^2</f>
        <v>207.57186893547839</v>
      </c>
      <c r="F393" t="s">
        <v>21</v>
      </c>
      <c r="J393" s="46"/>
      <c r="K393" s="159"/>
      <c r="L393" s="46"/>
      <c r="M393" s="109"/>
      <c r="N393" s="388"/>
    </row>
    <row r="394" spans="1:14" ht="20.25">
      <c r="A394" s="40"/>
      <c r="B394" s="38" t="s">
        <v>594</v>
      </c>
      <c r="D394" s="2" t="s">
        <v>35</v>
      </c>
      <c r="E394" s="10">
        <f>(1/6)*$I$8*$D$6*E392^3</f>
        <v>539.68685923224382</v>
      </c>
      <c r="F394" t="s">
        <v>107</v>
      </c>
      <c r="J394" s="46"/>
      <c r="K394" s="159"/>
      <c r="L394" s="46"/>
      <c r="M394" s="46"/>
      <c r="N394" s="46"/>
    </row>
    <row r="395" spans="1:14" ht="15.75">
      <c r="J395" s="46"/>
      <c r="K395" s="159"/>
      <c r="L395" s="389"/>
      <c r="M395" s="388"/>
      <c r="N395" s="389"/>
    </row>
    <row r="396" spans="1:14" ht="15.75">
      <c r="B396" s="1" t="s">
        <v>649</v>
      </c>
      <c r="J396" s="46"/>
      <c r="K396" s="159"/>
      <c r="L396" s="389"/>
      <c r="M396" s="388"/>
      <c r="N396" s="389"/>
    </row>
    <row r="397" spans="1:14" ht="15.75">
      <c r="B397" s="1" t="s">
        <v>653</v>
      </c>
      <c r="E397" s="86"/>
      <c r="J397" s="46"/>
      <c r="K397" s="159"/>
      <c r="L397" s="389"/>
      <c r="M397" s="388"/>
      <c r="N397" s="389"/>
    </row>
    <row r="398" spans="1:14" ht="15.75">
      <c r="B398" s="2" t="s">
        <v>132</v>
      </c>
      <c r="C398" s="2" t="s">
        <v>35</v>
      </c>
      <c r="D398" s="10">
        <f>C369</f>
        <v>1.5539850936358448</v>
      </c>
      <c r="E398" t="s">
        <v>5</v>
      </c>
      <c r="J398" s="46"/>
      <c r="K398" s="159"/>
      <c r="L398" s="389"/>
      <c r="M398" s="388"/>
      <c r="N398" s="389"/>
    </row>
    <row r="399" spans="1:14">
      <c r="B399" s="2" t="s">
        <v>133</v>
      </c>
      <c r="C399" s="2" t="s">
        <v>35</v>
      </c>
      <c r="D399" s="10">
        <f>C376</f>
        <v>6.2460149063641559</v>
      </c>
      <c r="E399" t="s">
        <v>5</v>
      </c>
      <c r="J399" s="46"/>
      <c r="K399" s="159"/>
      <c r="L399" s="46"/>
      <c r="M399" s="46"/>
      <c r="N399" s="46"/>
    </row>
    <row r="400" spans="1:14">
      <c r="B400" s="2" t="s">
        <v>134</v>
      </c>
      <c r="C400" s="2" t="s">
        <v>35</v>
      </c>
      <c r="D400" s="10">
        <f>F377</f>
        <v>7.8000000000000007</v>
      </c>
      <c r="E400" t="s">
        <v>5</v>
      </c>
      <c r="J400" s="46"/>
      <c r="K400" s="159"/>
      <c r="L400" s="46"/>
      <c r="M400" s="46"/>
      <c r="N400" s="46"/>
    </row>
    <row r="401" spans="1:14" ht="20.25">
      <c r="A401" s="38" t="s">
        <v>624</v>
      </c>
      <c r="C401" s="2"/>
      <c r="D401" s="54">
        <f>0.5*$I$8*$D$5*D398^2</f>
        <v>7.5414922030638545</v>
      </c>
      <c r="E401" s="187" t="s">
        <v>341</v>
      </c>
      <c r="F401" s="38" t="s">
        <v>628</v>
      </c>
      <c r="I401" s="33">
        <f>D401*(D399+D398/3)</f>
        <v>51.010728205676621</v>
      </c>
      <c r="J401" s="224"/>
      <c r="K401" s="159"/>
      <c r="L401" s="46"/>
      <c r="M401" s="46"/>
      <c r="N401" s="90"/>
    </row>
    <row r="402" spans="1:14" ht="18.75">
      <c r="A402" s="38" t="s">
        <v>625</v>
      </c>
      <c r="C402" s="2"/>
      <c r="D402" s="54">
        <f>$I$8*$D$5*D398*D399</f>
        <v>60.623841128818619</v>
      </c>
      <c r="E402" s="187" t="s">
        <v>341</v>
      </c>
      <c r="F402" s="38" t="s">
        <v>631</v>
      </c>
      <c r="I402" s="33">
        <f>D402*D399/2</f>
        <v>189.32870768582674</v>
      </c>
      <c r="J402" s="224"/>
      <c r="K402" s="159"/>
      <c r="L402" s="388"/>
      <c r="M402" s="389"/>
      <c r="N402" s="90"/>
    </row>
    <row r="403" spans="1:14" ht="20.25">
      <c r="A403" s="38" t="s">
        <v>626</v>
      </c>
      <c r="C403" s="2"/>
      <c r="D403" s="54">
        <f>0.5*($I$8*($D$6-$D$7)+$D$7)*D399^2</f>
        <v>255.37313748154602</v>
      </c>
      <c r="E403" s="187" t="s">
        <v>341</v>
      </c>
      <c r="F403" s="38" t="s">
        <v>629</v>
      </c>
      <c r="I403" s="33">
        <f>D403*D399/3</f>
        <v>531.68814113157316</v>
      </c>
      <c r="J403" s="224"/>
      <c r="K403" s="159"/>
      <c r="L403" s="388"/>
      <c r="M403" s="224"/>
      <c r="N403" s="109"/>
    </row>
    <row r="404" spans="1:14" ht="20.25">
      <c r="A404" s="38" t="s">
        <v>627</v>
      </c>
      <c r="C404" s="2"/>
      <c r="D404" s="211">
        <f>0.5*$D$7*D400^2</f>
        <v>298.42020000000008</v>
      </c>
      <c r="E404" s="187" t="s">
        <v>341</v>
      </c>
      <c r="F404" s="38" t="s">
        <v>630</v>
      </c>
      <c r="I404" s="212">
        <f>D404*D400/3</f>
        <v>775.89252000000033</v>
      </c>
      <c r="J404" s="785"/>
      <c r="K404" s="159"/>
      <c r="L404" s="388"/>
      <c r="M404" s="46"/>
      <c r="N404" s="90"/>
    </row>
    <row r="405" spans="1:14" ht="15.75">
      <c r="C405" s="38" t="s">
        <v>632</v>
      </c>
      <c r="D405" s="54">
        <f>D401+D402+D403-D404</f>
        <v>25.11827081342841</v>
      </c>
      <c r="E405" s="187" t="s">
        <v>341</v>
      </c>
      <c r="F405" s="18"/>
      <c r="H405" s="187" t="s">
        <v>633</v>
      </c>
      <c r="I405" s="54">
        <f>D401*(D399+D398/3)+D402*0.5*D399+D403*D399/3-D404*D400/3</f>
        <v>-3.8649429769237713</v>
      </c>
      <c r="J405" s="162"/>
      <c r="K405" s="159"/>
      <c r="L405" s="388"/>
      <c r="M405" s="389"/>
      <c r="N405" s="90"/>
    </row>
    <row r="406" spans="1:14">
      <c r="D406" s="2"/>
      <c r="E406" s="10"/>
      <c r="J406" s="46"/>
      <c r="K406" s="159"/>
      <c r="L406" s="388"/>
      <c r="M406" s="46"/>
      <c r="N406" s="90"/>
    </row>
    <row r="407" spans="1:14">
      <c r="B407" t="s">
        <v>129</v>
      </c>
      <c r="C407" s="17"/>
      <c r="D407" s="2" t="s">
        <v>35</v>
      </c>
      <c r="E407" s="210">
        <f>MAX(E393,D405)</f>
        <v>207.57186893547839</v>
      </c>
      <c r="F407" s="36" t="s">
        <v>21</v>
      </c>
      <c r="J407" s="46"/>
      <c r="K407" s="159"/>
      <c r="L407" s="46"/>
      <c r="M407" s="46"/>
      <c r="N407" s="46"/>
    </row>
    <row r="408" spans="1:14">
      <c r="B408" t="s">
        <v>130</v>
      </c>
      <c r="C408" s="17"/>
      <c r="D408" s="2" t="s">
        <v>35</v>
      </c>
      <c r="E408" s="210">
        <f>MAX(E394,I405)</f>
        <v>539.68685923224382</v>
      </c>
      <c r="F408" s="36" t="s">
        <v>107</v>
      </c>
      <c r="J408" s="46"/>
      <c r="K408" s="159"/>
      <c r="L408" s="46"/>
      <c r="M408" s="46"/>
      <c r="N408" s="46"/>
    </row>
    <row r="409" spans="1:14">
      <c r="B409" s="187" t="s">
        <v>599</v>
      </c>
      <c r="E409" s="129">
        <f>H384*1000</f>
        <v>800</v>
      </c>
      <c r="F409" s="187" t="s">
        <v>98</v>
      </c>
      <c r="J409" s="46"/>
      <c r="K409" s="159"/>
      <c r="L409" s="46"/>
      <c r="M409" s="46"/>
      <c r="N409" s="46"/>
    </row>
    <row r="410" spans="1:14">
      <c r="B410" s="187" t="s">
        <v>571</v>
      </c>
      <c r="E410" s="129">
        <f>E409-$I$13-C432/2</f>
        <v>727.5</v>
      </c>
      <c r="F410" s="187" t="s">
        <v>98</v>
      </c>
      <c r="J410" s="46"/>
      <c r="K410" s="159"/>
      <c r="L410" s="46"/>
      <c r="M410" s="46"/>
      <c r="N410" s="189"/>
    </row>
    <row r="411" spans="1:14">
      <c r="J411" s="46"/>
      <c r="K411" s="159"/>
      <c r="L411" s="388"/>
      <c r="M411" s="46"/>
      <c r="N411" s="46"/>
    </row>
    <row r="412" spans="1:14">
      <c r="A412" s="187" t="s">
        <v>578</v>
      </c>
      <c r="D412" s="2"/>
      <c r="G412" s="9">
        <f>(E407*10^3)/($C$24*1000)</f>
        <v>486.31286980567995</v>
      </c>
      <c r="H412" s="187" t="s">
        <v>98</v>
      </c>
      <c r="I412" s="126" t="str">
        <f>IF(G412&lt;=E410,"ok","Not ok")</f>
        <v>ok</v>
      </c>
      <c r="J412" s="46"/>
      <c r="K412" s="159"/>
      <c r="L412" s="289"/>
      <c r="M412" s="46"/>
      <c r="N412" s="46"/>
    </row>
    <row r="413" spans="1:14">
      <c r="A413" s="187" t="s">
        <v>577</v>
      </c>
      <c r="C413" s="201"/>
      <c r="D413" s="2"/>
      <c r="G413" s="9">
        <f>((E408*10^6)/($C$23*1000))^0.5</f>
        <v>614.29686129407276</v>
      </c>
      <c r="H413" s="187" t="s">
        <v>98</v>
      </c>
      <c r="I413" s="126" t="str">
        <f>IF(G413&lt;=E410,"ok","Not ok")</f>
        <v>ok</v>
      </c>
      <c r="J413" s="46"/>
      <c r="K413" s="159"/>
      <c r="L413" s="388"/>
      <c r="M413" s="46"/>
      <c r="N413" s="46"/>
    </row>
    <row r="414" spans="1:14">
      <c r="A414" s="187" t="s">
        <v>634</v>
      </c>
      <c r="E414" s="2"/>
      <c r="G414" s="9">
        <f>(E408*10^6)/($C$18*$C$22*E410)</f>
        <v>4463.887678296197</v>
      </c>
      <c r="H414" s="187" t="s">
        <v>128</v>
      </c>
      <c r="J414" s="46"/>
      <c r="K414" s="159"/>
      <c r="L414" s="289"/>
      <c r="M414" s="46"/>
      <c r="N414" s="46"/>
    </row>
    <row r="415" spans="1:14">
      <c r="A415" s="187"/>
      <c r="E415" s="2"/>
      <c r="G415" s="9"/>
      <c r="H415" s="187"/>
      <c r="J415" s="46"/>
      <c r="K415" s="159"/>
      <c r="L415" s="289"/>
      <c r="M415" s="46"/>
      <c r="N415" s="46"/>
    </row>
    <row r="416" spans="1:14">
      <c r="A416" s="187" t="s">
        <v>1828</v>
      </c>
      <c r="E416" s="2"/>
      <c r="G416" s="2052">
        <f>IF(I405&lt;0,ABS(I405),0)</f>
        <v>3.8649429769237713</v>
      </c>
      <c r="H416" s="36" t="s">
        <v>107</v>
      </c>
      <c r="J416" s="46"/>
      <c r="K416" s="159"/>
    </row>
    <row r="417" spans="1:16">
      <c r="A417" s="187" t="s">
        <v>1829</v>
      </c>
      <c r="E417" s="2"/>
      <c r="G417" s="9">
        <f>(G416*10^6)/($C$18*$C$22*E410)</f>
        <v>31.967929247992107</v>
      </c>
      <c r="H417" s="187" t="s">
        <v>128</v>
      </c>
      <c r="J417" s="46"/>
      <c r="K417" s="159"/>
    </row>
    <row r="418" spans="1:16">
      <c r="J418" s="46"/>
      <c r="K418" s="159"/>
    </row>
    <row r="419" spans="1:16">
      <c r="A419" s="936" t="str">
        <f>"Reinforcement Distribution of R/S Wing Wall for Sec "&amp;C357</f>
        <v>Reinforcement Distribution of R/S Wing Wall for Sec 2-2</v>
      </c>
      <c r="G419" s="107"/>
      <c r="H419" s="107"/>
      <c r="J419" s="46"/>
      <c r="K419" s="159"/>
    </row>
    <row r="420" spans="1:16">
      <c r="J420" s="46"/>
      <c r="K420" s="159"/>
    </row>
    <row r="421" spans="1:16">
      <c r="A421" s="3147" t="s">
        <v>486</v>
      </c>
      <c r="B421" s="3148" t="s">
        <v>487</v>
      </c>
      <c r="C421" s="3148" t="s">
        <v>488</v>
      </c>
      <c r="D421" s="3148" t="s">
        <v>489</v>
      </c>
      <c r="E421" s="3149" t="s">
        <v>490</v>
      </c>
      <c r="F421" s="3150"/>
      <c r="G421" s="3150"/>
      <c r="H421" s="3150"/>
      <c r="I421" s="3150"/>
      <c r="J421" s="330"/>
      <c r="K421" s="159"/>
      <c r="L421" s="3219" t="s">
        <v>1940</v>
      </c>
      <c r="M421" s="3220"/>
      <c r="N421" s="3220"/>
      <c r="O421" s="3220"/>
      <c r="P421" s="3221"/>
    </row>
    <row r="422" spans="1:16">
      <c r="A422" s="3147"/>
      <c r="B422" s="3148"/>
      <c r="C422" s="3148"/>
      <c r="D422" s="3148"/>
      <c r="E422" s="94">
        <v>12</v>
      </c>
      <c r="F422" s="94">
        <v>16</v>
      </c>
      <c r="G422" s="94">
        <v>20</v>
      </c>
      <c r="H422" s="94">
        <v>22</v>
      </c>
      <c r="I422" s="94">
        <v>25</v>
      </c>
      <c r="J422" s="275"/>
      <c r="K422" s="159"/>
      <c r="L422" s="2286" t="s">
        <v>876</v>
      </c>
      <c r="M422" s="3210" t="s">
        <v>492</v>
      </c>
      <c r="N422" s="3212"/>
      <c r="O422" s="3210" t="s">
        <v>493</v>
      </c>
      <c r="P422" s="3212"/>
    </row>
    <row r="423" spans="1:16" ht="14.25">
      <c r="A423" s="172"/>
      <c r="B423" s="256" t="s">
        <v>491</v>
      </c>
      <c r="C423" s="256" t="s">
        <v>491</v>
      </c>
      <c r="D423" s="256" t="s">
        <v>491</v>
      </c>
      <c r="E423" s="402" t="s">
        <v>98</v>
      </c>
      <c r="F423" s="402" t="s">
        <v>98</v>
      </c>
      <c r="G423" s="402" t="s">
        <v>98</v>
      </c>
      <c r="H423" s="402" t="s">
        <v>98</v>
      </c>
      <c r="I423" s="402" t="s">
        <v>98</v>
      </c>
      <c r="J423" s="759"/>
      <c r="K423" s="159"/>
      <c r="L423" s="2293"/>
      <c r="M423" s="2287" t="s">
        <v>709</v>
      </c>
      <c r="N423" s="1973" t="s">
        <v>710</v>
      </c>
      <c r="O423" s="1973" t="s">
        <v>709</v>
      </c>
      <c r="P423" s="2288" t="s">
        <v>710</v>
      </c>
    </row>
    <row r="424" spans="1:16">
      <c r="A424" s="258" t="s">
        <v>492</v>
      </c>
      <c r="B424" s="55"/>
      <c r="C424" s="55"/>
      <c r="D424" s="55"/>
      <c r="E424" s="55"/>
      <c r="F424" s="55"/>
      <c r="G424" s="55"/>
      <c r="H424" s="55"/>
      <c r="I424" s="56"/>
      <c r="J424" s="386"/>
      <c r="K424" s="159"/>
      <c r="L424" s="860" t="str">
        <f>L437</f>
        <v>1-1</v>
      </c>
      <c r="M424" s="869">
        <f t="shared" ref="M424:P428" si="10">M173</f>
        <v>25</v>
      </c>
      <c r="N424" s="870">
        <f t="shared" si="10"/>
        <v>100</v>
      </c>
      <c r="O424" s="876">
        <f t="shared" si="10"/>
        <v>16</v>
      </c>
      <c r="P424" s="870">
        <f t="shared" si="10"/>
        <v>200</v>
      </c>
    </row>
    <row r="425" spans="1:16">
      <c r="A425" s="259" t="s">
        <v>111</v>
      </c>
      <c r="B425" s="318">
        <f>G414</f>
        <v>4463.887678296197</v>
      </c>
      <c r="C425" s="318">
        <f>IF(E363&gt;380,C361*1000*380,C361*1000*E363)</f>
        <v>380</v>
      </c>
      <c r="D425" s="318">
        <f>MAX(B425:C425)</f>
        <v>4463.887678296197</v>
      </c>
      <c r="E425" s="261">
        <f>PI()*(E422/2)^2*1000/$D425</f>
        <v>25.336062123409032</v>
      </c>
      <c r="F425" s="261">
        <f>PI()*(F422/2)^2*1000/$D425</f>
        <v>45.041888219393826</v>
      </c>
      <c r="G425" s="261">
        <f>PI()*(G422/2)^2*1000/$D425</f>
        <v>70.377950342802876</v>
      </c>
      <c r="H425" s="261">
        <f>PI()*(H422/2)^2*1000/$D425</f>
        <v>85.157319914791458</v>
      </c>
      <c r="I425" s="283">
        <f>PI()*(I422/2)^2*1000/$D425</f>
        <v>109.96554741062948</v>
      </c>
      <c r="J425" s="328"/>
      <c r="K425" s="159"/>
      <c r="L425" s="2021" t="str">
        <f>L438</f>
        <v>2-2</v>
      </c>
      <c r="M425" s="2017">
        <f t="shared" si="10"/>
        <v>25</v>
      </c>
      <c r="N425" s="2018">
        <f t="shared" si="10"/>
        <v>100</v>
      </c>
      <c r="O425" s="2019">
        <f t="shared" si="10"/>
        <v>16</v>
      </c>
      <c r="P425" s="2018">
        <f t="shared" si="10"/>
        <v>200</v>
      </c>
    </row>
    <row r="426" spans="1:16">
      <c r="A426" s="262" t="s">
        <v>110</v>
      </c>
      <c r="B426" s="319"/>
      <c r="C426" s="318">
        <f>IF(E363&gt;380,C362*1000*380,C362*1000*E363)</f>
        <v>570</v>
      </c>
      <c r="D426" s="319">
        <f>MAX(B426:C426)</f>
        <v>570</v>
      </c>
      <c r="E426" s="261">
        <f>PI()*(E422/2)^2*1000/$D426</f>
        <v>198.41637812146064</v>
      </c>
      <c r="F426" s="261">
        <f>PI()*(F422/2)^2*1000/$D426</f>
        <v>352.74022777148554</v>
      </c>
      <c r="G426" s="261">
        <f>PI()*(G422/2)^2*1000/$D426</f>
        <v>551.15660589294623</v>
      </c>
      <c r="H426" s="261">
        <f>PI()*(H422/2)^2*1000/$D426</f>
        <v>666.89949313046486</v>
      </c>
      <c r="I426" s="283">
        <f>PI()*(I422/2)^2*1000/$D426</f>
        <v>861.18219670772839</v>
      </c>
      <c r="J426" s="328"/>
      <c r="K426" s="159"/>
      <c r="L426" s="860" t="str">
        <f>L439</f>
        <v>3-3</v>
      </c>
      <c r="M426" s="869">
        <f t="shared" si="10"/>
        <v>20</v>
      </c>
      <c r="N426" s="870">
        <f t="shared" si="10"/>
        <v>100</v>
      </c>
      <c r="O426" s="876">
        <f t="shared" si="10"/>
        <v>16</v>
      </c>
      <c r="P426" s="870">
        <f t="shared" si="10"/>
        <v>200</v>
      </c>
    </row>
    <row r="427" spans="1:16">
      <c r="A427" s="264" t="s">
        <v>493</v>
      </c>
      <c r="B427" s="265"/>
      <c r="C427" s="322"/>
      <c r="D427" s="322"/>
      <c r="E427" s="266"/>
      <c r="F427" s="266"/>
      <c r="G427" s="266"/>
      <c r="H427" s="266"/>
      <c r="I427" s="267"/>
      <c r="J427" s="330"/>
      <c r="K427" s="159"/>
      <c r="L427" s="860" t="str">
        <f>L440</f>
        <v>4-4</v>
      </c>
      <c r="M427" s="869">
        <f t="shared" si="10"/>
        <v>16</v>
      </c>
      <c r="N427" s="870">
        <f t="shared" si="10"/>
        <v>100</v>
      </c>
      <c r="O427" s="876">
        <f t="shared" si="10"/>
        <v>16</v>
      </c>
      <c r="P427" s="870">
        <f t="shared" si="10"/>
        <v>200</v>
      </c>
    </row>
    <row r="428" spans="1:16">
      <c r="A428" s="259" t="s">
        <v>111</v>
      </c>
      <c r="B428" s="318">
        <f>G417</f>
        <v>31.967929247992107</v>
      </c>
      <c r="C428" s="318">
        <f>IF(E363&gt;380,G361*1000*380,G361*1000*E363)</f>
        <v>760</v>
      </c>
      <c r="D428" s="318">
        <f>MAX(B428:C428)</f>
        <v>760</v>
      </c>
      <c r="E428" s="261">
        <f>PI()*(E422/2)^2*1000/$D428</f>
        <v>148.81228359109548</v>
      </c>
      <c r="F428" s="261">
        <f>PI()*(F422/2)^2*1000/$D428</f>
        <v>264.55517082861417</v>
      </c>
      <c r="G428" s="261">
        <f>PI()*(G422/2)^2*1000/$D428</f>
        <v>413.36745441970965</v>
      </c>
      <c r="H428" s="261">
        <f>PI()*(H422/2)^2*1000/$D428</f>
        <v>500.17461984784865</v>
      </c>
      <c r="I428" s="283">
        <f>PI()*(I422/2)^2*1000/$D428</f>
        <v>645.88664753079627</v>
      </c>
      <c r="J428" s="328"/>
      <c r="K428" s="159"/>
      <c r="L428" s="865" t="str">
        <f>L441</f>
        <v>5-5</v>
      </c>
      <c r="M428" s="871">
        <f t="shared" si="10"/>
        <v>16</v>
      </c>
      <c r="N428" s="872">
        <f t="shared" si="10"/>
        <v>100</v>
      </c>
      <c r="O428" s="878">
        <f t="shared" si="10"/>
        <v>16</v>
      </c>
      <c r="P428" s="872">
        <f t="shared" si="10"/>
        <v>200</v>
      </c>
    </row>
    <row r="429" spans="1:16">
      <c r="A429" s="262" t="s">
        <v>110</v>
      </c>
      <c r="B429" s="263"/>
      <c r="C429" s="319">
        <f>IF(E363&gt;380,G362*1000*380,G362*1000*E363)</f>
        <v>950</v>
      </c>
      <c r="D429" s="319">
        <f>MAX(B429:C429)</f>
        <v>950</v>
      </c>
      <c r="E429" s="284">
        <f>PI()*(E422/2)^2*1000/$D429</f>
        <v>119.04982687287638</v>
      </c>
      <c r="F429" s="284">
        <f>PI()*(F422/2)^2*1000/$D429</f>
        <v>211.6441366628913</v>
      </c>
      <c r="G429" s="284">
        <f>PI()*(G422/2)^2*1000/$D429</f>
        <v>330.69396353576775</v>
      </c>
      <c r="H429" s="284">
        <f>PI()*(H422/2)^2*1000/$D429</f>
        <v>400.13969587827893</v>
      </c>
      <c r="I429" s="285">
        <f>PI()*(I422/2)^2*1000/$D429</f>
        <v>516.70931802463701</v>
      </c>
      <c r="J429" s="328"/>
      <c r="K429" s="159"/>
    </row>
    <row r="430" spans="1:16">
      <c r="J430" s="46"/>
      <c r="K430" s="159"/>
    </row>
    <row r="431" spans="1:16">
      <c r="A431" s="258" t="s">
        <v>492</v>
      </c>
      <c r="B431" s="55"/>
      <c r="C431" s="252"/>
      <c r="D431" s="55"/>
      <c r="E431" s="55"/>
      <c r="F431" s="56"/>
      <c r="G431" s="2723" t="s">
        <v>2095</v>
      </c>
      <c r="H431" s="2672" t="s">
        <v>1358</v>
      </c>
      <c r="I431" s="1178" t="s">
        <v>2094</v>
      </c>
      <c r="J431" s="46"/>
      <c r="K431" s="159"/>
    </row>
    <row r="432" spans="1:16" ht="15.75">
      <c r="A432" s="259" t="s">
        <v>111</v>
      </c>
      <c r="B432" s="268" t="s">
        <v>136</v>
      </c>
      <c r="C432" s="614">
        <v>25</v>
      </c>
      <c r="D432" s="270" t="s">
        <v>481</v>
      </c>
      <c r="E432" s="616">
        <v>100</v>
      </c>
      <c r="F432" s="272" t="s">
        <v>482</v>
      </c>
      <c r="G432" s="3118" t="s">
        <v>2108</v>
      </c>
      <c r="H432" s="94" t="s">
        <v>1348</v>
      </c>
      <c r="I432" s="94" t="s">
        <v>107</v>
      </c>
      <c r="J432" s="3253" t="str">
        <f>IF(I433&gt;=P26,"o.k","Not o.k")</f>
        <v>o.k</v>
      </c>
      <c r="K432" s="159"/>
    </row>
    <row r="433" spans="1:16" ht="15.75">
      <c r="A433" s="262" t="s">
        <v>110</v>
      </c>
      <c r="B433" s="278" t="s">
        <v>136</v>
      </c>
      <c r="C433" s="615">
        <v>16</v>
      </c>
      <c r="D433" s="280" t="s">
        <v>481</v>
      </c>
      <c r="E433" s="617">
        <v>200</v>
      </c>
      <c r="F433" s="282" t="s">
        <v>482</v>
      </c>
      <c r="G433" s="3239"/>
      <c r="H433" s="316">
        <f>PI()*(C432/2)^2*1000/E432</f>
        <v>4908.7385212340523</v>
      </c>
      <c r="I433" s="2675">
        <f>H433*$C$18*$C$22*E410/10^6</f>
        <v>593.46960905797027</v>
      </c>
      <c r="J433" s="3253"/>
      <c r="K433" s="159"/>
      <c r="L433" s="3219" t="s">
        <v>1139</v>
      </c>
      <c r="M433" s="3220"/>
      <c r="N433" s="3220"/>
      <c r="O433" s="3220"/>
      <c r="P433" s="3221"/>
    </row>
    <row r="434" spans="1:16" ht="15">
      <c r="A434" s="321" t="s">
        <v>493</v>
      </c>
      <c r="B434" s="273"/>
      <c r="C434" s="274"/>
      <c r="D434" s="275"/>
      <c r="E434" s="276"/>
      <c r="F434" s="277"/>
      <c r="J434" s="46"/>
      <c r="K434" s="159"/>
      <c r="L434" s="3208" t="s">
        <v>876</v>
      </c>
      <c r="M434" s="3210" t="s">
        <v>110</v>
      </c>
      <c r="N434" s="3211"/>
      <c r="O434" s="3211"/>
      <c r="P434" s="3212"/>
    </row>
    <row r="435" spans="1:16" ht="15.75">
      <c r="A435" s="259" t="s">
        <v>111</v>
      </c>
      <c r="B435" s="268" t="s">
        <v>136</v>
      </c>
      <c r="C435" s="614">
        <v>16</v>
      </c>
      <c r="D435" s="270" t="s">
        <v>481</v>
      </c>
      <c r="E435" s="616">
        <v>200</v>
      </c>
      <c r="F435" s="272" t="s">
        <v>482</v>
      </c>
      <c r="J435" s="46"/>
      <c r="K435" s="159"/>
      <c r="L435" s="3209"/>
      <c r="M435" s="3210" t="s">
        <v>492</v>
      </c>
      <c r="N435" s="3212"/>
      <c r="O435" s="3210" t="s">
        <v>493</v>
      </c>
      <c r="P435" s="3212"/>
    </row>
    <row r="436" spans="1:16" ht="15.75">
      <c r="A436" s="262" t="s">
        <v>110</v>
      </c>
      <c r="B436" s="278" t="s">
        <v>136</v>
      </c>
      <c r="C436" s="615">
        <v>16</v>
      </c>
      <c r="D436" s="280" t="s">
        <v>481</v>
      </c>
      <c r="E436" s="617">
        <v>200</v>
      </c>
      <c r="F436" s="282" t="s">
        <v>482</v>
      </c>
      <c r="J436" s="46"/>
      <c r="K436" s="159"/>
      <c r="L436" s="3222"/>
      <c r="M436" s="857" t="s">
        <v>709</v>
      </c>
      <c r="N436" s="858" t="s">
        <v>710</v>
      </c>
      <c r="O436" s="858" t="s">
        <v>709</v>
      </c>
      <c r="P436" s="859" t="s">
        <v>710</v>
      </c>
    </row>
    <row r="437" spans="1:16">
      <c r="J437" s="46"/>
      <c r="K437" s="159"/>
      <c r="L437" s="860" t="str">
        <f t="shared" ref="L437:P441" si="11">L185</f>
        <v>1-1</v>
      </c>
      <c r="M437" s="869">
        <f t="shared" si="11"/>
        <v>16</v>
      </c>
      <c r="N437" s="869">
        <f t="shared" si="11"/>
        <v>200</v>
      </c>
      <c r="O437" s="869">
        <f t="shared" si="11"/>
        <v>16</v>
      </c>
      <c r="P437" s="870">
        <f t="shared" si="11"/>
        <v>200</v>
      </c>
    </row>
    <row r="438" spans="1:16">
      <c r="A438" s="41" t="s">
        <v>939</v>
      </c>
      <c r="J438" s="46"/>
      <c r="K438" s="159"/>
      <c r="L438" s="860" t="str">
        <f t="shared" si="11"/>
        <v>2-2</v>
      </c>
      <c r="M438" s="869">
        <f t="shared" si="11"/>
        <v>16</v>
      </c>
      <c r="N438" s="869">
        <f t="shared" si="11"/>
        <v>200</v>
      </c>
      <c r="O438" s="869">
        <f t="shared" si="11"/>
        <v>16</v>
      </c>
      <c r="P438" s="870">
        <f t="shared" si="11"/>
        <v>200</v>
      </c>
    </row>
    <row r="439" spans="1:16" ht="12.75" customHeight="1">
      <c r="A439" s="187" t="s">
        <v>651</v>
      </c>
      <c r="F439" s="33">
        <f>(6*E394/(2*$I$8*$D$6))^(1/3)</f>
        <v>6.1908641026759783</v>
      </c>
      <c r="G439" s="2871" t="s">
        <v>1003</v>
      </c>
      <c r="H439" s="2878">
        <v>0.3</v>
      </c>
      <c r="I439" s="187" t="str">
        <f>"= "&amp;FIXED(F439-H439,2)&amp;" m from top"</f>
        <v>= 5.89 m from top</v>
      </c>
      <c r="K439" s="159"/>
      <c r="L439" s="860" t="str">
        <f t="shared" si="11"/>
        <v>3-3</v>
      </c>
      <c r="M439" s="869">
        <f t="shared" si="11"/>
        <v>16</v>
      </c>
      <c r="N439" s="869">
        <f t="shared" si="11"/>
        <v>200</v>
      </c>
      <c r="O439" s="869">
        <f t="shared" si="11"/>
        <v>16</v>
      </c>
      <c r="P439" s="870">
        <f t="shared" si="11"/>
        <v>200</v>
      </c>
    </row>
    <row r="440" spans="1:16">
      <c r="A440" s="187" t="s">
        <v>652</v>
      </c>
      <c r="F440" s="33">
        <f>(6*E394/(4*$I$8*$D$6))^(1/3)</f>
        <v>4.9136920945900044</v>
      </c>
      <c r="G440" s="2871" t="s">
        <v>1003</v>
      </c>
      <c r="H440" s="2878">
        <v>0.4</v>
      </c>
      <c r="I440" s="187" t="str">
        <f>"= "&amp;FIXED(F440-H440,2)&amp;" m from top"</f>
        <v>= 4.51 m from top</v>
      </c>
      <c r="J440" s="187"/>
      <c r="K440" s="159"/>
      <c r="L440" s="860" t="str">
        <f t="shared" si="11"/>
        <v>4-4</v>
      </c>
      <c r="M440" s="869">
        <f t="shared" si="11"/>
        <v>16</v>
      </c>
      <c r="N440" s="869">
        <f t="shared" si="11"/>
        <v>200</v>
      </c>
      <c r="O440" s="869">
        <f t="shared" si="11"/>
        <v>16</v>
      </c>
      <c r="P440" s="870">
        <f t="shared" si="11"/>
        <v>200</v>
      </c>
    </row>
    <row r="441" spans="1:16">
      <c r="E441" s="46"/>
      <c r="J441" s="46"/>
      <c r="K441" s="159"/>
      <c r="L441" s="865" t="str">
        <f t="shared" si="11"/>
        <v>5-5</v>
      </c>
      <c r="M441" s="871">
        <f t="shared" si="11"/>
        <v>16</v>
      </c>
      <c r="N441" s="871">
        <f t="shared" si="11"/>
        <v>200</v>
      </c>
      <c r="O441" s="871">
        <f t="shared" si="11"/>
        <v>16</v>
      </c>
      <c r="P441" s="872">
        <f t="shared" si="11"/>
        <v>200</v>
      </c>
    </row>
    <row r="442" spans="1:16">
      <c r="A442" s="248" t="s">
        <v>602</v>
      </c>
      <c r="B442" s="3085" t="s">
        <v>621</v>
      </c>
      <c r="C442" s="347" t="s">
        <v>614</v>
      </c>
      <c r="D442" s="355" t="s">
        <v>615</v>
      </c>
      <c r="E442" s="347" t="s">
        <v>619</v>
      </c>
      <c r="F442" s="355" t="s">
        <v>616</v>
      </c>
      <c r="G442" s="355" t="s">
        <v>676</v>
      </c>
      <c r="H442" s="3224" t="s">
        <v>487</v>
      </c>
      <c r="I442" s="3148" t="s">
        <v>488</v>
      </c>
      <c r="J442" s="611"/>
      <c r="K442" s="159"/>
    </row>
    <row r="443" spans="1:16">
      <c r="A443" s="156"/>
      <c r="B443" s="3086"/>
      <c r="C443" s="77"/>
      <c r="D443" s="104"/>
      <c r="E443" s="77"/>
      <c r="F443" s="104"/>
      <c r="G443" s="105"/>
      <c r="H443" s="3227"/>
      <c r="I443" s="3148"/>
      <c r="J443" s="611"/>
      <c r="K443" s="159"/>
    </row>
    <row r="444" spans="1:16" ht="14.25">
      <c r="A444" s="156"/>
      <c r="B444" s="354" t="s">
        <v>5</v>
      </c>
      <c r="C444" s="280" t="s">
        <v>620</v>
      </c>
      <c r="D444" s="354" t="s">
        <v>98</v>
      </c>
      <c r="E444" s="280" t="s">
        <v>98</v>
      </c>
      <c r="F444" s="354" t="s">
        <v>98</v>
      </c>
      <c r="G444" s="106"/>
      <c r="H444" s="401" t="s">
        <v>491</v>
      </c>
      <c r="I444" s="256" t="s">
        <v>491</v>
      </c>
      <c r="J444" s="408"/>
      <c r="K444" s="159"/>
    </row>
    <row r="445" spans="1:16">
      <c r="A445" s="348" t="s">
        <v>617</v>
      </c>
      <c r="B445" s="2706">
        <f>F439-H439</f>
        <v>5.8908641026759785</v>
      </c>
      <c r="C445" s="107">
        <f>$I$8*$D$6*B445^3/6</f>
        <v>232.48505906521754</v>
      </c>
      <c r="D445" s="356">
        <f>((C445*10^6)/($C$23*1000))^0.5</f>
        <v>403.18549389619665</v>
      </c>
      <c r="E445" s="349">
        <f>(H366+B445*(H384-H366)/I373)*1000</f>
        <v>677.61949376128064</v>
      </c>
      <c r="F445" s="356">
        <f>E445-$I$13-C432/2</f>
        <v>605.11949376128064</v>
      </c>
      <c r="G445" s="123" t="str">
        <f>IF(F445&gt;=D445,"O.k","Not O.k")</f>
        <v>O.k</v>
      </c>
      <c r="H445" s="349">
        <f>C445*10^6/($C$18*$C$22*F445)</f>
        <v>2311.8428870892126</v>
      </c>
      <c r="I445" s="123">
        <f>IF(E445&gt;380,C361*1000*380,C361*1000*E445)</f>
        <v>380</v>
      </c>
      <c r="J445" s="275"/>
      <c r="K445" s="159"/>
    </row>
    <row r="446" spans="1:16">
      <c r="A446" s="351" t="s">
        <v>618</v>
      </c>
      <c r="B446" s="2708">
        <f>F440-H440</f>
        <v>4.5136920945900041</v>
      </c>
      <c r="C446" s="121">
        <f>$I$8*$D$6*B446^3/6</f>
        <v>104.5812492961752</v>
      </c>
      <c r="D446" s="357">
        <f>((C446*10^6)/($C$23*1000))^0.5</f>
        <v>270.41718482510413</v>
      </c>
      <c r="E446" s="310">
        <f>(H366+B446*(H384-H366)/I373)*1000</f>
        <v>589.33923683269256</v>
      </c>
      <c r="F446" s="357">
        <f>E446-$I$13-C432/2</f>
        <v>516.83923683269256</v>
      </c>
      <c r="G446" s="104" t="str">
        <f>IF(F446&gt;=D446,"O.k","Not O.k")</f>
        <v>O.k</v>
      </c>
      <c r="H446" s="310">
        <f>C446*10^6/($C$18*$C$22*F446)</f>
        <v>1217.5947341898093</v>
      </c>
      <c r="I446" s="104">
        <f>IF(E446&gt;380,C361*1000*380,C361*1000*E446)</f>
        <v>380</v>
      </c>
      <c r="J446" s="275"/>
      <c r="K446" s="159"/>
    </row>
    <row r="447" spans="1:16">
      <c r="J447" s="46"/>
      <c r="K447" s="159"/>
    </row>
    <row r="448" spans="1:16" ht="12.75" customHeight="1">
      <c r="A448" s="3228" t="s">
        <v>613</v>
      </c>
      <c r="B448" s="3122" t="s">
        <v>937</v>
      </c>
      <c r="C448" s="3122" t="s">
        <v>938</v>
      </c>
      <c r="D448" s="3085" t="s">
        <v>623</v>
      </c>
      <c r="E448" s="3119" t="s">
        <v>622</v>
      </c>
      <c r="G448" s="3233" t="s">
        <v>2112</v>
      </c>
      <c r="H448" s="3234"/>
      <c r="I448" s="3235"/>
      <c r="J448" s="46"/>
      <c r="K448" s="159"/>
    </row>
    <row r="449" spans="1:16">
      <c r="A449" s="3229"/>
      <c r="B449" s="3123"/>
      <c r="C449" s="3123"/>
      <c r="D449" s="3200"/>
      <c r="E449" s="3120"/>
      <c r="G449" s="3122" t="s">
        <v>2110</v>
      </c>
      <c r="H449" s="3244" t="s">
        <v>2111</v>
      </c>
      <c r="I449" s="1541" t="s">
        <v>676</v>
      </c>
      <c r="J449" s="46"/>
      <c r="K449" s="159"/>
    </row>
    <row r="450" spans="1:16">
      <c r="A450" s="3230"/>
      <c r="B450" s="360"/>
      <c r="C450" s="360"/>
      <c r="D450" s="3086"/>
      <c r="E450" s="359"/>
      <c r="G450" s="3241"/>
      <c r="H450" s="3204"/>
      <c r="I450" s="1244"/>
      <c r="J450" s="46"/>
      <c r="K450" s="159"/>
    </row>
    <row r="451" spans="1:16" ht="14.25">
      <c r="A451" s="606" t="s">
        <v>5</v>
      </c>
      <c r="B451" s="256" t="s">
        <v>491</v>
      </c>
      <c r="C451" s="605" t="s">
        <v>98</v>
      </c>
      <c r="D451" s="605" t="s">
        <v>5</v>
      </c>
      <c r="E451" s="358" t="s">
        <v>98</v>
      </c>
      <c r="G451" s="2668" t="s">
        <v>491</v>
      </c>
      <c r="H451" s="94" t="s">
        <v>107</v>
      </c>
      <c r="I451" s="1289"/>
      <c r="J451" s="46"/>
      <c r="K451" s="159"/>
    </row>
    <row r="452" spans="1:16">
      <c r="A452" s="352">
        <f>(I373-B445)+40*C432/1000</f>
        <v>2.9091358973240222</v>
      </c>
      <c r="B452" s="356">
        <f>MAX(H445:I445)</f>
        <v>2311.8428870892126</v>
      </c>
      <c r="C452" s="350">
        <f>PI()*(C432/2)^2*1000/B452</f>
        <v>212.33010896404514</v>
      </c>
      <c r="D452" s="591">
        <v>3</v>
      </c>
      <c r="E452" s="609">
        <f>IF(D452="","",E432*2)</f>
        <v>200</v>
      </c>
      <c r="G452" s="2725">
        <f>IF(D452="","",PI()*(C432/2)^2*1000/E452)</f>
        <v>2454.3692606170262</v>
      </c>
      <c r="H452" s="2676">
        <f>IF(D452="","",G452*$C$18*$C$22*F445/10^6)</f>
        <v>246.81788961915058</v>
      </c>
      <c r="I452" s="2729" t="str">
        <f>IF(D452="","",IF(AND(H452&gt;=C445),"o.k","Not o.k"))</f>
        <v>o.k</v>
      </c>
      <c r="J452" s="46"/>
      <c r="K452" s="159"/>
    </row>
    <row r="453" spans="1:16">
      <c r="A453" s="353">
        <f>(I373-B446)+40*C432/1000</f>
        <v>4.2863079054099966</v>
      </c>
      <c r="B453" s="357">
        <f>MAX(H446:I446)</f>
        <v>1217.5947341898093</v>
      </c>
      <c r="C453" s="311">
        <f>PI()*(C432/2)^2*1000/B453</f>
        <v>403.15043941942963</v>
      </c>
      <c r="D453" s="592">
        <v>5</v>
      </c>
      <c r="E453" s="610">
        <f>IF(D453="","",E452*2)</f>
        <v>400</v>
      </c>
      <c r="G453" s="2727">
        <f>IF(D453="","",PI()*(C432/2)^2*1000/E453)</f>
        <v>1227.1846303085131</v>
      </c>
      <c r="H453" s="2673">
        <f>IF(D453="","",G453*$C$18*$C$22*F446/10^6)</f>
        <v>105.40494152196486</v>
      </c>
      <c r="I453" s="2730" t="str">
        <f>IF(D453="","",IF(AND(H453&gt;=C446),"o.k","Not o.k"))</f>
        <v>o.k</v>
      </c>
      <c r="J453" s="46"/>
      <c r="K453" s="159"/>
    </row>
    <row r="454" spans="1:16">
      <c r="J454" s="46"/>
      <c r="K454" s="159"/>
      <c r="L454" s="386"/>
      <c r="M454" s="386"/>
      <c r="N454" s="386"/>
      <c r="O454" s="386"/>
      <c r="P454" s="386"/>
    </row>
    <row r="455" spans="1:16">
      <c r="A455" s="176" t="str">
        <f>"b) Design of Floor : Sec  "&amp;C357&amp;"    (R/S)"</f>
        <v>b) Design of Floor : Sec  2-2    (R/S)</v>
      </c>
      <c r="B455" s="174"/>
      <c r="C455" s="174"/>
      <c r="D455" s="174"/>
      <c r="J455" s="46"/>
      <c r="K455" s="159"/>
      <c r="L455" s="386"/>
      <c r="M455" s="386"/>
      <c r="N455" s="386"/>
      <c r="O455" s="386"/>
      <c r="P455" s="386"/>
    </row>
    <row r="456" spans="1:16">
      <c r="J456" s="46"/>
      <c r="K456" s="159"/>
      <c r="L456" s="46"/>
      <c r="M456" s="46"/>
      <c r="N456" s="46"/>
    </row>
    <row r="457" spans="1:16">
      <c r="A457" s="187" t="s">
        <v>1105</v>
      </c>
      <c r="I457" s="115">
        <f>Hydraulic!C959</f>
        <v>1.1812313992663344</v>
      </c>
      <c r="J457" t="s">
        <v>5</v>
      </c>
      <c r="K457" s="159"/>
      <c r="L457" s="46"/>
      <c r="M457" s="46"/>
      <c r="N457" s="46"/>
    </row>
    <row r="458" spans="1:16">
      <c r="A458" s="187" t="str">
        <f>"Considering Wt of wall,  Floor thickness can be reduced  =2*0.5*("&amp;H366&amp;"+"&amp;H384&amp;")*"&amp;I373&amp;"/"&amp;FIXED(F384,2)&amp;"="</f>
        <v>Considering Wt of wall,  Floor thickness can be reduced  =2*0.5*(0.3+0.8)*7.8/5.01=</v>
      </c>
      <c r="E458" s="33"/>
      <c r="I458" s="224">
        <f>2*0.5*(H366+H384)*I373/F386</f>
        <v>1.2983329058733011</v>
      </c>
      <c r="J458" t="s">
        <v>5</v>
      </c>
      <c r="K458" s="159"/>
      <c r="L458" s="46"/>
      <c r="M458" s="46"/>
      <c r="N458" s="46"/>
    </row>
    <row r="459" spans="1:16">
      <c r="A459" s="187" t="s">
        <v>1106</v>
      </c>
      <c r="I459" s="33">
        <f>I457-I458</f>
        <v>-0.11710150660696672</v>
      </c>
      <c r="J459" t="s">
        <v>5</v>
      </c>
      <c r="K459" s="159"/>
      <c r="L459" s="46"/>
      <c r="M459" s="46"/>
      <c r="N459" s="46"/>
    </row>
    <row r="460" spans="1:16">
      <c r="A460" t="s">
        <v>684</v>
      </c>
      <c r="I460" s="742">
        <f>O64</f>
        <v>1.2</v>
      </c>
      <c r="J460" t="s">
        <v>5</v>
      </c>
      <c r="K460" s="159"/>
      <c r="L460" s="46"/>
      <c r="M460" s="46"/>
      <c r="N460" s="46"/>
    </row>
    <row r="461" spans="1:16">
      <c r="J461" s="46"/>
      <c r="K461" s="159"/>
      <c r="L461" s="46"/>
      <c r="M461" s="46"/>
      <c r="N461" s="46"/>
    </row>
    <row r="462" spans="1:16">
      <c r="F462" s="187" t="s">
        <v>637</v>
      </c>
      <c r="H462" s="187" t="s">
        <v>636</v>
      </c>
      <c r="J462" s="46"/>
      <c r="K462" s="159"/>
      <c r="L462" s="46"/>
      <c r="M462" s="46"/>
      <c r="N462" s="46"/>
    </row>
    <row r="463" spans="1:16">
      <c r="E463" s="191" t="s">
        <v>607</v>
      </c>
      <c r="J463" s="46"/>
      <c r="K463" s="159"/>
      <c r="L463" s="46"/>
      <c r="N463" s="46"/>
    </row>
    <row r="464" spans="1:16">
      <c r="F464" s="17" t="s">
        <v>935</v>
      </c>
      <c r="G464" s="36">
        <f>F384/4</f>
        <v>1.2521186440677967</v>
      </c>
      <c r="J464" s="46"/>
      <c r="K464" s="159"/>
      <c r="L464" s="46"/>
      <c r="M464" s="46"/>
      <c r="N464" s="46"/>
    </row>
    <row r="465" spans="2:14">
      <c r="C465" s="1" t="s">
        <v>658</v>
      </c>
      <c r="D465" s="36"/>
      <c r="F465" s="36"/>
      <c r="H465" s="191"/>
      <c r="I465" s="187" t="s">
        <v>659</v>
      </c>
      <c r="J465" s="109"/>
      <c r="K465" s="159"/>
      <c r="L465" s="46"/>
      <c r="M465" s="46"/>
      <c r="N465" s="46"/>
    </row>
    <row r="466" spans="2:14">
      <c r="F466" s="203" t="s">
        <v>644</v>
      </c>
      <c r="G466" s="36">
        <f>(F386-H384)/2</f>
        <v>2.9042372881355933</v>
      </c>
      <c r="J466" s="46"/>
      <c r="K466" s="159"/>
      <c r="L466" s="46"/>
      <c r="M466" s="46"/>
      <c r="N466" s="46"/>
    </row>
    <row r="467" spans="2:14">
      <c r="J467" s="46"/>
      <c r="K467" s="159"/>
      <c r="L467" s="46"/>
      <c r="M467" s="46"/>
      <c r="N467" s="46"/>
    </row>
    <row r="468" spans="2:14">
      <c r="C468" s="2008"/>
      <c r="D468" s="2008"/>
      <c r="E468" s="2008"/>
      <c r="F468" s="2008"/>
      <c r="G468" s="2008"/>
      <c r="H468" s="3256">
        <f>I460</f>
        <v>1.2</v>
      </c>
      <c r="J468" s="46"/>
      <c r="K468" s="159"/>
      <c r="L468" s="46"/>
      <c r="M468" s="46"/>
      <c r="N468" s="46"/>
    </row>
    <row r="469" spans="2:14">
      <c r="B469" s="187" t="s">
        <v>642</v>
      </c>
      <c r="C469" s="2008"/>
      <c r="D469" s="2008"/>
      <c r="E469" s="2008"/>
      <c r="F469" s="2008"/>
      <c r="G469" s="2008"/>
      <c r="H469" s="3256"/>
      <c r="I469" s="203" t="s">
        <v>646</v>
      </c>
      <c r="J469" s="288"/>
      <c r="K469" s="159"/>
      <c r="L469" s="46"/>
      <c r="M469" s="46"/>
      <c r="N469" s="46"/>
    </row>
    <row r="470" spans="2:14">
      <c r="J470" s="46"/>
      <c r="K470" s="159"/>
      <c r="L470" s="46"/>
      <c r="M470" s="46"/>
      <c r="N470" s="46"/>
    </row>
    <row r="471" spans="2:14">
      <c r="C471" s="191" t="s">
        <v>537</v>
      </c>
      <c r="F471" s="203" t="s">
        <v>643</v>
      </c>
      <c r="G471" s="36">
        <f>F386/4</f>
        <v>1.6521186440677966</v>
      </c>
      <c r="J471" s="46"/>
      <c r="K471" s="159"/>
      <c r="L471" s="46"/>
      <c r="M471" s="46"/>
      <c r="N471" s="46"/>
    </row>
    <row r="472" spans="2:14">
      <c r="E472" s="404" t="s">
        <v>641</v>
      </c>
      <c r="F472" s="404"/>
      <c r="J472" s="46"/>
      <c r="K472" s="159"/>
      <c r="L472" s="46"/>
      <c r="M472" s="46"/>
      <c r="N472" s="46"/>
    </row>
    <row r="473" spans="2:14">
      <c r="E473" s="203" t="s">
        <v>645</v>
      </c>
      <c r="F473" s="36">
        <f>F386/2</f>
        <v>3.3042372881355933</v>
      </c>
      <c r="J473" s="46"/>
      <c r="K473" s="159"/>
      <c r="L473" s="46"/>
      <c r="M473" s="46"/>
      <c r="N473" s="46"/>
    </row>
    <row r="474" spans="2:14">
      <c r="J474" s="46"/>
      <c r="K474" s="159"/>
      <c r="L474" s="46"/>
      <c r="M474" s="46"/>
      <c r="N474" s="46"/>
    </row>
    <row r="475" spans="2:14">
      <c r="B475" s="1" t="s">
        <v>654</v>
      </c>
      <c r="J475" s="46"/>
      <c r="K475" s="159"/>
      <c r="L475" s="46"/>
      <c r="M475" s="46"/>
      <c r="N475" s="46"/>
    </row>
    <row r="476" spans="2:14">
      <c r="B476" s="187" t="s">
        <v>655</v>
      </c>
      <c r="J476" s="46"/>
      <c r="K476" s="159"/>
      <c r="L476" s="46"/>
      <c r="M476" s="46"/>
      <c r="N476" s="46"/>
    </row>
    <row r="477" spans="2:14">
      <c r="J477" s="46"/>
      <c r="K477" s="159"/>
      <c r="L477" s="46"/>
      <c r="M477" s="46"/>
      <c r="N477" s="46"/>
    </row>
    <row r="478" spans="2:14">
      <c r="B478" s="187" t="s">
        <v>639</v>
      </c>
      <c r="D478" s="33">
        <f>0.5*(H384+H366)*I373*$D$3</f>
        <v>101.24400000000003</v>
      </c>
      <c r="E478" s="187" t="s">
        <v>341</v>
      </c>
      <c r="J478" s="46"/>
      <c r="K478" s="159"/>
      <c r="L478" s="46"/>
      <c r="M478" s="46"/>
      <c r="N478" s="46"/>
    </row>
    <row r="479" spans="2:14">
      <c r="B479" s="187" t="s">
        <v>656</v>
      </c>
      <c r="D479" s="33">
        <v>0</v>
      </c>
      <c r="E479" s="187" t="s">
        <v>341</v>
      </c>
      <c r="J479" s="46"/>
      <c r="K479" s="159"/>
      <c r="L479" s="46"/>
      <c r="M479" s="46"/>
      <c r="N479" s="46"/>
    </row>
    <row r="480" spans="2:14">
      <c r="B480" s="187" t="s">
        <v>638</v>
      </c>
      <c r="D480" s="33">
        <f>+D478+D479</f>
        <v>101.24400000000003</v>
      </c>
      <c r="E480" s="187" t="s">
        <v>341</v>
      </c>
      <c r="J480" s="46"/>
      <c r="K480" s="159"/>
      <c r="L480" s="46"/>
      <c r="M480" s="46"/>
      <c r="N480" s="46"/>
    </row>
    <row r="481" spans="1:14" ht="15.75">
      <c r="B481" s="187" t="s">
        <v>681</v>
      </c>
      <c r="D481" s="33"/>
      <c r="F481" s="33">
        <v>0</v>
      </c>
      <c r="J481" s="46"/>
      <c r="K481" s="159"/>
      <c r="L481" s="46"/>
      <c r="M481" s="46"/>
      <c r="N481" s="46"/>
    </row>
    <row r="482" spans="1:14">
      <c r="B482" s="187" t="s">
        <v>678</v>
      </c>
      <c r="D482" s="33"/>
      <c r="H482" s="33">
        <f>F481+D480*G471-(D478+D479)*G466</f>
        <v>-126.76950000000002</v>
      </c>
      <c r="I482" s="187" t="s">
        <v>620</v>
      </c>
      <c r="J482" s="109"/>
      <c r="K482" s="159"/>
      <c r="L482" s="46"/>
      <c r="M482" s="46"/>
      <c r="N482" s="46"/>
    </row>
    <row r="483" spans="1:14">
      <c r="B483" s="187"/>
      <c r="D483" s="33"/>
      <c r="H483" s="215" t="str">
        <f>IF(H482&gt;0,"(bottom tension)","(top tension)")</f>
        <v>(top tension)</v>
      </c>
      <c r="J483" s="46"/>
      <c r="K483" s="159"/>
      <c r="L483" s="46"/>
      <c r="M483" s="46"/>
      <c r="N483" s="46"/>
    </row>
    <row r="484" spans="1:14">
      <c r="B484" s="1" t="s">
        <v>657</v>
      </c>
      <c r="J484" s="46"/>
      <c r="K484" s="159"/>
      <c r="L484" s="46"/>
      <c r="M484" s="46"/>
      <c r="N484" s="46"/>
    </row>
    <row r="485" spans="1:14">
      <c r="B485" s="187" t="s">
        <v>611</v>
      </c>
      <c r="J485" s="46"/>
      <c r="K485" s="159"/>
    </row>
    <row r="486" spans="1:14">
      <c r="J486" s="46"/>
      <c r="K486" s="159"/>
    </row>
    <row r="487" spans="1:14">
      <c r="B487" s="187" t="s">
        <v>600</v>
      </c>
      <c r="D487" s="33">
        <f>I373</f>
        <v>7.8000000000000007</v>
      </c>
      <c r="E487" s="187" t="s">
        <v>5</v>
      </c>
      <c r="J487" s="46"/>
      <c r="K487" s="159"/>
    </row>
    <row r="488" spans="1:14">
      <c r="B488" s="187" t="s">
        <v>639</v>
      </c>
      <c r="D488" s="33">
        <f>D478</f>
        <v>101.24400000000003</v>
      </c>
      <c r="E488" s="187" t="s">
        <v>341</v>
      </c>
      <c r="J488" s="46"/>
      <c r="K488" s="159"/>
    </row>
    <row r="489" spans="1:14">
      <c r="B489" s="30" t="s">
        <v>640</v>
      </c>
      <c r="D489" s="33">
        <f>0.5*(H384-H366)*I373*$D$6</f>
        <v>36.855000000000004</v>
      </c>
      <c r="E489" s="187" t="s">
        <v>341</v>
      </c>
      <c r="J489" s="46"/>
      <c r="K489" s="159"/>
    </row>
    <row r="490" spans="1:14">
      <c r="B490" s="187" t="s">
        <v>638</v>
      </c>
      <c r="D490" s="33">
        <f>D488+D489</f>
        <v>138.09900000000005</v>
      </c>
      <c r="E490" s="187" t="s">
        <v>341</v>
      </c>
      <c r="J490" s="46"/>
      <c r="K490" s="159"/>
    </row>
    <row r="491" spans="1:14" ht="15.75">
      <c r="A491" s="187"/>
      <c r="B491" s="187" t="s">
        <v>677</v>
      </c>
      <c r="F491" s="33">
        <f>$I$8*$D$6*D487^3/6</f>
        <v>539.68685923224393</v>
      </c>
      <c r="G491" s="187" t="s">
        <v>620</v>
      </c>
      <c r="H491" s="23" t="str">
        <f>IF(F491&gt;0,"(bottom tension)","(top tension)")</f>
        <v>(bottom tension)</v>
      </c>
      <c r="J491" s="46"/>
      <c r="K491" s="159"/>
    </row>
    <row r="492" spans="1:14">
      <c r="B492" s="187" t="s">
        <v>678</v>
      </c>
      <c r="H492" s="33">
        <f>F491+D490*G471-(D488+D489)*G466</f>
        <v>366.77052660512527</v>
      </c>
      <c r="I492" s="187" t="s">
        <v>620</v>
      </c>
      <c r="J492" s="109"/>
      <c r="K492" s="159"/>
    </row>
    <row r="493" spans="1:14">
      <c r="B493" s="187"/>
      <c r="H493" s="215" t="str">
        <f>IF(H492&gt;0,"(bottom tension)","(top tension)")</f>
        <v>(bottom tension)</v>
      </c>
      <c r="J493" s="46"/>
      <c r="K493" s="159"/>
    </row>
    <row r="494" spans="1:14">
      <c r="B494" s="1" t="s">
        <v>660</v>
      </c>
      <c r="H494" s="33"/>
      <c r="J494" s="46"/>
      <c r="K494" s="159"/>
    </row>
    <row r="495" spans="1:14">
      <c r="B495" s="1" t="s">
        <v>653</v>
      </c>
      <c r="H495" s="33"/>
      <c r="J495" s="46"/>
      <c r="K495" s="159"/>
    </row>
    <row r="496" spans="1:14">
      <c r="B496" s="187"/>
      <c r="H496" s="33"/>
      <c r="J496" s="46"/>
      <c r="K496" s="159"/>
    </row>
    <row r="497" spans="1:18">
      <c r="B497" s="187" t="s">
        <v>639</v>
      </c>
      <c r="D497" s="33">
        <f>D488</f>
        <v>101.24400000000003</v>
      </c>
      <c r="E497" s="187" t="s">
        <v>341</v>
      </c>
      <c r="F497" s="187"/>
      <c r="H497" s="187"/>
      <c r="J497" s="46"/>
      <c r="K497" s="159"/>
    </row>
    <row r="498" spans="1:18">
      <c r="B498" s="30" t="s">
        <v>640</v>
      </c>
      <c r="D498" s="33">
        <f>0.5*C376*E371*$D$6+0.5*(H384-H366+E371)*C369*$D$5</f>
        <v>35.735651395411452</v>
      </c>
      <c r="E498" s="187" t="s">
        <v>341</v>
      </c>
      <c r="H498" s="33"/>
      <c r="J498" s="46"/>
      <c r="K498" s="159"/>
    </row>
    <row r="499" spans="1:18">
      <c r="B499" s="187" t="s">
        <v>647</v>
      </c>
      <c r="D499" s="33">
        <f>F377*$D$7*F384/2</f>
        <v>191.61922881355937</v>
      </c>
      <c r="E499" s="187" t="s">
        <v>341</v>
      </c>
      <c r="H499" s="33"/>
      <c r="J499" s="46"/>
      <c r="K499" s="159"/>
      <c r="Q499" s="2754"/>
      <c r="R499" s="18"/>
    </row>
    <row r="500" spans="1:18">
      <c r="B500" s="187" t="s">
        <v>648</v>
      </c>
      <c r="D500" s="33">
        <f>D497+D498+D499</f>
        <v>328.59888020897085</v>
      </c>
      <c r="E500" s="187" t="s">
        <v>341</v>
      </c>
      <c r="H500" s="33"/>
      <c r="J500" s="46"/>
      <c r="K500" s="159"/>
    </row>
    <row r="501" spans="1:18">
      <c r="A501" s="187"/>
      <c r="B501" s="187" t="s">
        <v>682</v>
      </c>
      <c r="F501" s="33">
        <f>I405</f>
        <v>-3.8649429769237713</v>
      </c>
      <c r="G501" s="187" t="s">
        <v>107</v>
      </c>
      <c r="H501" s="23" t="str">
        <f>IF(F501&gt;0,"(bottom tension)","(top tension)")</f>
        <v>(top tension)</v>
      </c>
      <c r="I501" s="33"/>
      <c r="J501" s="224"/>
      <c r="K501" s="159"/>
      <c r="Q501" s="187"/>
    </row>
    <row r="502" spans="1:18">
      <c r="B502" s="187" t="s">
        <v>936</v>
      </c>
      <c r="H502" s="33">
        <f>F501+D500*G471-(D497+D498)*G466-D499*G464</f>
        <v>-98.732026821602119</v>
      </c>
      <c r="I502" s="187" t="s">
        <v>620</v>
      </c>
      <c r="J502" s="109"/>
      <c r="K502" s="159"/>
    </row>
    <row r="503" spans="1:18">
      <c r="B503" s="187"/>
      <c r="H503" s="215" t="str">
        <f>IF(H502&gt;0,"(bottom tension)","(top tension)")</f>
        <v>(top tension)</v>
      </c>
      <c r="J503" s="46"/>
      <c r="K503" s="159"/>
      <c r="L503" s="46"/>
      <c r="M503" s="46"/>
      <c r="N503" s="46"/>
    </row>
    <row r="504" spans="1:18">
      <c r="B504" s="1" t="s">
        <v>661</v>
      </c>
      <c r="H504" s="33"/>
      <c r="J504" s="46"/>
      <c r="K504" s="159"/>
      <c r="L504" s="46"/>
      <c r="M504" s="46"/>
      <c r="N504" s="46"/>
    </row>
    <row r="505" spans="1:18">
      <c r="B505" s="187" t="s">
        <v>662</v>
      </c>
      <c r="G505" s="2203" t="s">
        <v>1878</v>
      </c>
      <c r="H505" s="2204"/>
      <c r="I505" s="2203"/>
      <c r="J505" s="2203"/>
      <c r="K505" s="159"/>
      <c r="L505" s="46"/>
      <c r="M505" s="46"/>
      <c r="N505" s="46"/>
    </row>
    <row r="506" spans="1:18">
      <c r="B506" s="187"/>
      <c r="H506" s="33"/>
      <c r="J506" s="46"/>
      <c r="K506" s="159"/>
    </row>
    <row r="507" spans="1:18">
      <c r="B507" s="187" t="s">
        <v>639</v>
      </c>
      <c r="D507" s="33">
        <f>D497</f>
        <v>101.24400000000003</v>
      </c>
      <c r="E507" s="187" t="s">
        <v>341</v>
      </c>
      <c r="F507" s="187"/>
      <c r="H507" s="187"/>
      <c r="J507" s="46"/>
      <c r="K507" s="159"/>
    </row>
    <row r="508" spans="1:18">
      <c r="B508" s="30" t="s">
        <v>640</v>
      </c>
      <c r="D508" s="33">
        <f>D498</f>
        <v>35.735651395411452</v>
      </c>
      <c r="E508" s="187" t="s">
        <v>341</v>
      </c>
      <c r="H508" s="33"/>
      <c r="J508" s="46"/>
      <c r="K508" s="159"/>
    </row>
    <row r="509" spans="1:18">
      <c r="B509" s="187" t="s">
        <v>638</v>
      </c>
      <c r="D509" s="33">
        <f>D507+D508</f>
        <v>136.97965139541148</v>
      </c>
      <c r="E509" s="187" t="s">
        <v>341</v>
      </c>
      <c r="J509" s="46"/>
      <c r="K509" s="159"/>
    </row>
    <row r="510" spans="1:18">
      <c r="B510" s="187" t="s">
        <v>647</v>
      </c>
      <c r="D510" s="33">
        <f>IF($F$4=1,0,D499)</f>
        <v>191.61922881355937</v>
      </c>
      <c r="E510" s="187" t="s">
        <v>341</v>
      </c>
      <c r="H510" s="187" t="s">
        <v>1879</v>
      </c>
      <c r="J510" s="46"/>
      <c r="K510" s="159"/>
    </row>
    <row r="511" spans="1:18">
      <c r="B511" s="187" t="s">
        <v>679</v>
      </c>
      <c r="F511" s="33">
        <f>F501</f>
        <v>-3.8649429769237713</v>
      </c>
      <c r="G511" s="187" t="s">
        <v>107</v>
      </c>
      <c r="H511" s="23" t="str">
        <f>IF(F511&gt;0,"(bottom tension)","(top tension)")</f>
        <v>(top tension)</v>
      </c>
      <c r="I511" s="33"/>
      <c r="J511" s="224"/>
      <c r="K511" s="159"/>
    </row>
    <row r="512" spans="1:18">
      <c r="B512" s="187" t="s">
        <v>680</v>
      </c>
      <c r="H512" s="33">
        <f>F511+D509*G471-(D507+D508)*G466</f>
        <v>-175.37971834702589</v>
      </c>
      <c r="I512" s="187" t="s">
        <v>341</v>
      </c>
      <c r="J512" s="109"/>
      <c r="K512" s="159"/>
      <c r="L512" s="46"/>
      <c r="M512" s="46"/>
      <c r="N512" s="46"/>
    </row>
    <row r="513" spans="1:14">
      <c r="A513" s="187"/>
      <c r="B513" s="187"/>
      <c r="H513" s="215" t="str">
        <f>IF(H512&gt;0,"(bottom tension)","(top tension)")</f>
        <v>(top tension)</v>
      </c>
      <c r="J513" s="46"/>
      <c r="K513" s="159"/>
      <c r="L513" s="46"/>
      <c r="M513" s="46"/>
      <c r="N513" s="46"/>
    </row>
    <row r="514" spans="1:14">
      <c r="B514" s="41" t="s">
        <v>664</v>
      </c>
      <c r="H514" s="215"/>
      <c r="J514" s="46"/>
      <c r="K514" s="159"/>
      <c r="L514" s="46"/>
      <c r="M514" s="90"/>
      <c r="N514" s="44"/>
    </row>
    <row r="515" spans="1:14">
      <c r="B515" s="187"/>
      <c r="H515" s="215"/>
      <c r="J515" s="46"/>
      <c r="K515" s="159"/>
      <c r="L515" s="46"/>
      <c r="M515" s="46"/>
      <c r="N515" s="46"/>
    </row>
    <row r="516" spans="1:14">
      <c r="B516" s="374" t="s">
        <v>673</v>
      </c>
      <c r="C516" s="3118" t="s">
        <v>675</v>
      </c>
      <c r="D516" s="3070" t="s">
        <v>674</v>
      </c>
      <c r="E516" s="3068"/>
      <c r="F516" s="374" t="s">
        <v>615</v>
      </c>
      <c r="G516" s="355" t="s">
        <v>619</v>
      </c>
      <c r="H516" s="355" t="s">
        <v>616</v>
      </c>
      <c r="I516" s="382" t="s">
        <v>676</v>
      </c>
      <c r="J516" s="562"/>
      <c r="K516" s="159"/>
      <c r="L516" s="46"/>
      <c r="M516" s="46"/>
      <c r="N516" s="46"/>
    </row>
    <row r="517" spans="1:14">
      <c r="B517" s="348"/>
      <c r="C517" s="3092"/>
      <c r="D517" s="3121" t="s">
        <v>665</v>
      </c>
      <c r="E517" s="3118" t="s">
        <v>672</v>
      </c>
      <c r="F517" s="16"/>
      <c r="G517" s="104"/>
      <c r="H517" s="105"/>
      <c r="I517" s="366"/>
      <c r="J517" s="385"/>
      <c r="K517" s="159"/>
      <c r="L517" s="46"/>
      <c r="M517" s="46"/>
      <c r="N517" s="46"/>
    </row>
    <row r="518" spans="1:14">
      <c r="B518" s="367"/>
      <c r="C518" s="365"/>
      <c r="D518" s="3121"/>
      <c r="E518" s="3092"/>
      <c r="F518" s="16"/>
      <c r="G518" s="105"/>
      <c r="H518" s="365"/>
      <c r="I518" s="380"/>
      <c r="J518" s="408"/>
      <c r="K518" s="159"/>
      <c r="L518" s="46"/>
      <c r="M518" s="46"/>
      <c r="N518" s="46"/>
    </row>
    <row r="519" spans="1:14">
      <c r="B519" s="92"/>
      <c r="C519" s="94" t="s">
        <v>107</v>
      </c>
      <c r="D519" s="128" t="s">
        <v>107</v>
      </c>
      <c r="E519" s="94" t="s">
        <v>107</v>
      </c>
      <c r="F519" s="401" t="s">
        <v>98</v>
      </c>
      <c r="G519" s="256" t="s">
        <v>98</v>
      </c>
      <c r="H519" s="256" t="s">
        <v>98</v>
      </c>
      <c r="I519" s="250"/>
      <c r="J519" s="408"/>
      <c r="K519" s="159"/>
      <c r="L519" s="46"/>
      <c r="M519" s="46"/>
      <c r="N519" s="46"/>
    </row>
    <row r="520" spans="1:14">
      <c r="B520" s="374" t="s">
        <v>666</v>
      </c>
      <c r="C520" s="376">
        <f>F481</f>
        <v>0</v>
      </c>
      <c r="D520" s="251">
        <f>IF(J9="y",0,IF(H482&lt;0,ABS(H482),0))</f>
        <v>0</v>
      </c>
      <c r="E520" s="379">
        <f>IF(H482&gt;0,H482,0)</f>
        <v>0</v>
      </c>
      <c r="F520" s="55"/>
      <c r="G520" s="105"/>
      <c r="H520" s="381"/>
      <c r="I520" s="375"/>
      <c r="J520" s="275"/>
      <c r="K520" s="159"/>
      <c r="L520" s="46"/>
      <c r="M520" s="46"/>
      <c r="N520" s="46"/>
    </row>
    <row r="521" spans="1:14">
      <c r="B521" s="348" t="s">
        <v>667</v>
      </c>
      <c r="C521" s="377">
        <f>F491</f>
        <v>539.68685923224393</v>
      </c>
      <c r="D521" s="107">
        <f>IF(H492&lt;0,ABS(H492),0)</f>
        <v>0</v>
      </c>
      <c r="E521" s="103">
        <f>IF(H492&gt;0,H492,0)</f>
        <v>366.77052660512527</v>
      </c>
      <c r="F521" s="16"/>
      <c r="G521" s="105"/>
      <c r="H521" s="105"/>
      <c r="I521" s="58"/>
      <c r="J521" s="386"/>
      <c r="K521" s="159"/>
      <c r="L521" s="46"/>
      <c r="M521" s="46"/>
      <c r="N521" s="46"/>
    </row>
    <row r="522" spans="1:14">
      <c r="B522" s="348" t="s">
        <v>668</v>
      </c>
      <c r="C522" s="377">
        <f>F501</f>
        <v>-3.8649429769237713</v>
      </c>
      <c r="D522" s="107">
        <f>IF(H502&lt;0,ABS(H502),0)</f>
        <v>98.732026821602119</v>
      </c>
      <c r="E522" s="103">
        <f>IF(H502&gt;0,H502,0)</f>
        <v>0</v>
      </c>
      <c r="F522" s="16"/>
      <c r="G522" s="105"/>
      <c r="H522" s="356"/>
      <c r="I522" s="350"/>
      <c r="J522" s="612"/>
      <c r="K522" s="159"/>
      <c r="L522" s="46"/>
      <c r="M522" s="46"/>
      <c r="N522" s="46"/>
    </row>
    <row r="523" spans="1:14">
      <c r="B523" s="348" t="s">
        <v>669</v>
      </c>
      <c r="C523" s="377">
        <f>F511</f>
        <v>-3.8649429769237713</v>
      </c>
      <c r="D523" s="107">
        <f>IF(H512&lt;0,ABS(H512),0)</f>
        <v>175.37971834702589</v>
      </c>
      <c r="E523" s="103">
        <f>IF(H512&gt;0,H512,0)</f>
        <v>0</v>
      </c>
      <c r="F523" s="16"/>
      <c r="G523" s="105"/>
      <c r="H523" s="105"/>
      <c r="I523" s="350"/>
      <c r="J523" s="612"/>
      <c r="K523" s="159"/>
      <c r="L523" s="46"/>
      <c r="M523" s="46"/>
      <c r="N523" s="46"/>
    </row>
    <row r="524" spans="1:14">
      <c r="B524" s="303" t="s">
        <v>671</v>
      </c>
      <c r="C524" s="393">
        <f>MAX(C520:C523)</f>
        <v>539.68685923224393</v>
      </c>
      <c r="D524" s="394">
        <f>MAX(D520:D523)</f>
        <v>175.37971834702589</v>
      </c>
      <c r="E524" s="393">
        <f>MAX(E520:E523)</f>
        <v>366.77052660512527</v>
      </c>
      <c r="F524" s="395">
        <f>((MAX(C524,D524,E524)*10^6)/($C$23*1000))^0.5</f>
        <v>614.29686129407287</v>
      </c>
      <c r="G524" s="316">
        <f>I460*1000</f>
        <v>1200</v>
      </c>
      <c r="H524" s="396">
        <f>G524-$I$13-C549/2</f>
        <v>1127.5</v>
      </c>
      <c r="I524" s="1976" t="str">
        <f>IF(H524&gt;=F524,"o.k","Not o.k")</f>
        <v>o.k</v>
      </c>
      <c r="J524" s="386"/>
      <c r="K524" s="159"/>
      <c r="L524" s="46"/>
      <c r="M524" s="46"/>
      <c r="N524" s="46"/>
    </row>
    <row r="525" spans="1:14">
      <c r="B525" s="369"/>
      <c r="C525" s="377"/>
      <c r="D525" s="368"/>
      <c r="E525" s="377"/>
      <c r="F525" s="16"/>
      <c r="G525" s="105"/>
      <c r="H525" s="356">
        <f>H524-$I$15</f>
        <v>1127.5</v>
      </c>
      <c r="I525" s="370" t="s">
        <v>2138</v>
      </c>
      <c r="J525" s="786"/>
      <c r="K525" s="159"/>
      <c r="L525" s="46"/>
      <c r="M525" s="46"/>
      <c r="N525" s="46"/>
    </row>
    <row r="526" spans="1:14">
      <c r="B526" s="371" t="s">
        <v>670</v>
      </c>
      <c r="C526" s="378">
        <f>(C524*10^6)/($C$18*$C$22*H524)</f>
        <v>2880.2468168163937</v>
      </c>
      <c r="D526" s="372">
        <f>(D524*10^6)/($C$18*$C$22*H524)</f>
        <v>935.98142489847237</v>
      </c>
      <c r="E526" s="378">
        <f>(E524*10^6)/($C$18*$C$22*H525)</f>
        <v>1957.4121987318713</v>
      </c>
      <c r="F526" s="59"/>
      <c r="G526" s="106"/>
      <c r="H526" s="357"/>
      <c r="I526" s="373"/>
      <c r="J526" s="786"/>
      <c r="K526" s="159"/>
      <c r="L526" s="46"/>
      <c r="M526" s="46"/>
      <c r="N526" s="46"/>
    </row>
    <row r="527" spans="1:14">
      <c r="A527" s="187"/>
      <c r="B527" s="223"/>
      <c r="C527" s="223"/>
      <c r="D527" s="2"/>
      <c r="E527" s="223"/>
      <c r="G527" s="349"/>
      <c r="H527" s="294"/>
      <c r="I527" s="16"/>
      <c r="J527" s="386"/>
      <c r="K527" s="159"/>
      <c r="L527" s="46"/>
      <c r="M527" s="46"/>
      <c r="N527" s="46"/>
    </row>
    <row r="528" spans="1:14">
      <c r="A528" s="187"/>
      <c r="B528" s="383" t="s">
        <v>1107</v>
      </c>
      <c r="C528" s="223"/>
      <c r="D528" s="2"/>
      <c r="E528" s="223"/>
      <c r="G528" s="349"/>
      <c r="H528" s="294"/>
      <c r="I528" s="16"/>
      <c r="J528" s="386"/>
      <c r="K528" s="159"/>
      <c r="L528" s="46"/>
      <c r="M528" s="46"/>
      <c r="N528" s="46"/>
    </row>
    <row r="529" spans="1:19">
      <c r="A529" s="187"/>
      <c r="B529" s="385" t="s">
        <v>440</v>
      </c>
      <c r="D529" s="386"/>
      <c r="F529" s="385" t="s">
        <v>443</v>
      </c>
      <c r="H529" s="294"/>
      <c r="I529" s="16"/>
      <c r="J529" s="386"/>
      <c r="K529" s="159"/>
      <c r="L529" s="46"/>
      <c r="M529" s="46"/>
      <c r="N529" s="46"/>
    </row>
    <row r="530" spans="1:19" ht="14.25">
      <c r="A530" s="187"/>
      <c r="B530" s="385" t="s">
        <v>441</v>
      </c>
      <c r="C530" s="386">
        <f>IF(F386&lt;=9,$G$100,$G$105)</f>
        <v>2E-3</v>
      </c>
      <c r="D530" s="385" t="s">
        <v>438</v>
      </c>
      <c r="F530" s="385" t="s">
        <v>441</v>
      </c>
      <c r="G530" s="386">
        <f>IF(F386&lt;=9,$G$99,$G$104)</f>
        <v>1E-3</v>
      </c>
      <c r="H530" s="385" t="s">
        <v>438</v>
      </c>
      <c r="I530" s="16"/>
      <c r="J530" s="386"/>
      <c r="K530" s="159"/>
      <c r="L530" s="46"/>
      <c r="M530" s="46"/>
      <c r="N530" s="46"/>
    </row>
    <row r="531" spans="1:19" ht="14.25">
      <c r="A531" s="187"/>
      <c r="B531" s="385" t="s">
        <v>442</v>
      </c>
      <c r="C531" s="386">
        <f>IF(E60&lt;=9,$G$100,$G$105)</f>
        <v>2.5000000000000001E-3</v>
      </c>
      <c r="D531" s="385" t="s">
        <v>438</v>
      </c>
      <c r="E531" s="386"/>
      <c r="F531" s="385" t="s">
        <v>442</v>
      </c>
      <c r="G531" s="386">
        <f>IF(E60&lt;=9,$G$99,$G$104)</f>
        <v>1.5E-3</v>
      </c>
      <c r="H531" s="385" t="s">
        <v>438</v>
      </c>
      <c r="I531" s="16"/>
      <c r="J531" s="386"/>
      <c r="K531" s="159"/>
      <c r="L531" s="46"/>
      <c r="M531" s="46"/>
      <c r="N531" s="46"/>
    </row>
    <row r="532" spans="1:19">
      <c r="J532" s="46"/>
      <c r="K532" s="159"/>
      <c r="L532" s="46"/>
      <c r="M532" s="46"/>
      <c r="N532" s="46"/>
    </row>
    <row r="533" spans="1:19">
      <c r="A533" s="936" t="str">
        <f>"Reinforcement Distribution of R/S Floor  for Sec  "&amp;C357</f>
        <v>Reinforcement Distribution of R/S Floor  for Sec  2-2</v>
      </c>
      <c r="G533" s="107"/>
      <c r="H533" s="107"/>
      <c r="J533" s="46"/>
      <c r="K533" s="159"/>
      <c r="L533" s="46"/>
      <c r="M533" s="46"/>
      <c r="N533" s="46"/>
    </row>
    <row r="534" spans="1:19">
      <c r="J534" s="46"/>
      <c r="K534" s="159"/>
      <c r="L534" s="46"/>
      <c r="M534" s="46"/>
      <c r="N534" s="46"/>
    </row>
    <row r="535" spans="1:19">
      <c r="A535" s="3147" t="s">
        <v>486</v>
      </c>
      <c r="B535" s="3148" t="s">
        <v>487</v>
      </c>
      <c r="C535" s="3148" t="s">
        <v>488</v>
      </c>
      <c r="D535" s="3148" t="s">
        <v>489</v>
      </c>
      <c r="E535" s="3149" t="s">
        <v>490</v>
      </c>
      <c r="F535" s="3150"/>
      <c r="G535" s="3150"/>
      <c r="H535" s="3150"/>
      <c r="I535" s="3150"/>
      <c r="J535" s="330"/>
      <c r="K535" s="159"/>
      <c r="L535" s="329"/>
      <c r="M535" s="46"/>
      <c r="N535" s="46"/>
    </row>
    <row r="536" spans="1:19">
      <c r="A536" s="3147"/>
      <c r="B536" s="3148"/>
      <c r="C536" s="3148"/>
      <c r="D536" s="3148"/>
      <c r="E536" s="94">
        <v>12</v>
      </c>
      <c r="F536" s="94">
        <v>16</v>
      </c>
      <c r="G536" s="94">
        <v>20</v>
      </c>
      <c r="H536" s="94">
        <v>22</v>
      </c>
      <c r="I536" s="94">
        <v>25</v>
      </c>
      <c r="J536" s="275"/>
      <c r="K536" s="159"/>
      <c r="L536" s="46"/>
      <c r="M536" s="46"/>
      <c r="N536" s="46"/>
    </row>
    <row r="537" spans="1:19" ht="14.25">
      <c r="A537" s="172"/>
      <c r="B537" s="256" t="s">
        <v>491</v>
      </c>
      <c r="C537" s="256" t="s">
        <v>491</v>
      </c>
      <c r="D537" s="256" t="s">
        <v>491</v>
      </c>
      <c r="E537" s="402" t="s">
        <v>98</v>
      </c>
      <c r="F537" s="402" t="s">
        <v>98</v>
      </c>
      <c r="G537" s="402" t="s">
        <v>98</v>
      </c>
      <c r="H537" s="402" t="s">
        <v>98</v>
      </c>
      <c r="I537" s="402" t="s">
        <v>98</v>
      </c>
      <c r="J537" s="759"/>
      <c r="K537" s="159"/>
      <c r="L537" s="46"/>
      <c r="M537" s="46"/>
      <c r="N537" s="46"/>
    </row>
    <row r="538" spans="1:19">
      <c r="A538" s="264" t="s">
        <v>440</v>
      </c>
      <c r="B538" s="55"/>
      <c r="C538" s="55"/>
      <c r="D538" s="55"/>
      <c r="E538" s="55"/>
      <c r="F538" s="55"/>
      <c r="G538" s="55"/>
      <c r="H538" s="55"/>
      <c r="I538" s="56"/>
      <c r="J538" s="386"/>
      <c r="K538" s="159"/>
      <c r="L538" s="46"/>
      <c r="M538" s="46"/>
      <c r="N538" s="46"/>
    </row>
    <row r="539" spans="1:19">
      <c r="A539" s="363" t="s">
        <v>441</v>
      </c>
      <c r="B539" s="318">
        <f>D526</f>
        <v>935.98142489847237</v>
      </c>
      <c r="C539" s="318">
        <f>IF(G524&gt;380,C530*1000*380,C530*1000*G524)</f>
        <v>760</v>
      </c>
      <c r="D539" s="318">
        <f>MAX(B539:C539)</f>
        <v>935.98142489847237</v>
      </c>
      <c r="E539" s="261">
        <f>PI()*(E536/2)^2*1000/$D539</f>
        <v>120.83288462856027</v>
      </c>
      <c r="F539" s="261">
        <f>PI()*(F536/2)^2*1000/$D539</f>
        <v>214.81401711744044</v>
      </c>
      <c r="G539" s="261">
        <f>PI()*(G536/2)^2*1000/$D539</f>
        <v>335.64690174600076</v>
      </c>
      <c r="H539" s="261">
        <f>PI()*(H536/2)^2*1000/$D539</f>
        <v>406.13275111266086</v>
      </c>
      <c r="I539" s="283">
        <f>PI()*(I536/2)^2*1000/$D539</f>
        <v>524.44828397812614</v>
      </c>
      <c r="J539" s="328"/>
      <c r="K539" s="159"/>
      <c r="L539" s="46"/>
      <c r="M539" s="46"/>
      <c r="N539" s="46"/>
    </row>
    <row r="540" spans="1:19">
      <c r="A540" s="364" t="s">
        <v>442</v>
      </c>
      <c r="B540" s="319"/>
      <c r="C540" s="318">
        <f>IF(G524&gt;380,C531*1000*380,C531*1000*G524)</f>
        <v>950</v>
      </c>
      <c r="D540" s="319">
        <f>MAX(B540:C540)</f>
        <v>950</v>
      </c>
      <c r="E540" s="261">
        <f>PI()*(E536/2)^2*1000/$D540</f>
        <v>119.04982687287638</v>
      </c>
      <c r="F540" s="261">
        <f>PI()*(F536/2)^2*1000/$D540</f>
        <v>211.6441366628913</v>
      </c>
      <c r="G540" s="261">
        <f>PI()*(G536/2)^2*1000/$D540</f>
        <v>330.69396353576775</v>
      </c>
      <c r="H540" s="261">
        <f>PI()*(H536/2)^2*1000/$D540</f>
        <v>400.13969587827893</v>
      </c>
      <c r="I540" s="283">
        <f>PI()*(I536/2)^2*1000/$D540</f>
        <v>516.70931802463701</v>
      </c>
      <c r="J540" s="328"/>
      <c r="K540" s="159"/>
      <c r="L540" s="46"/>
      <c r="M540" s="46"/>
      <c r="N540" s="46"/>
    </row>
    <row r="541" spans="1:19">
      <c r="A541" s="258" t="s">
        <v>443</v>
      </c>
      <c r="B541" s="265"/>
      <c r="C541" s="322"/>
      <c r="D541" s="322"/>
      <c r="E541" s="266"/>
      <c r="F541" s="266"/>
      <c r="G541" s="266"/>
      <c r="H541" s="266"/>
      <c r="I541" s="267"/>
      <c r="J541" s="330"/>
      <c r="K541" s="159"/>
      <c r="L541" s="46"/>
      <c r="M541" s="46"/>
      <c r="N541" s="46"/>
    </row>
    <row r="542" spans="1:19">
      <c r="A542" s="363" t="s">
        <v>441</v>
      </c>
      <c r="B542" s="318">
        <f>C526</f>
        <v>2880.2468168163937</v>
      </c>
      <c r="C542" s="318">
        <f>IF(G524&gt;380,G530*1000*380,G530*1000*G524)</f>
        <v>380</v>
      </c>
      <c r="D542" s="318">
        <f>MAX(B542:C542)</f>
        <v>2880.2468168163937</v>
      </c>
      <c r="E542" s="261">
        <f>PI()*(E536/2)^2*1000/$D542</f>
        <v>39.266543016005059</v>
      </c>
      <c r="F542" s="261">
        <f>PI()*(F536/2)^2*1000/$D542</f>
        <v>69.807187584008986</v>
      </c>
      <c r="G542" s="261">
        <f>PI()*(G536/2)^2*1000/$D542</f>
        <v>109.07373060001406</v>
      </c>
      <c r="H542" s="261">
        <f>PI()*(H536/2)^2*1000/$D542</f>
        <v>131.97921402601699</v>
      </c>
      <c r="I542" s="283">
        <f>PI()*(I536/2)^2*1000/$D542</f>
        <v>170.42770406252194</v>
      </c>
      <c r="J542" s="328"/>
      <c r="K542" s="159"/>
      <c r="L542" s="46"/>
      <c r="M542" s="46"/>
      <c r="N542" s="46"/>
    </row>
    <row r="543" spans="1:19">
      <c r="A543" s="364" t="s">
        <v>442</v>
      </c>
      <c r="B543" s="263"/>
      <c r="C543" s="319">
        <f>IF(G524&gt;380,G531*1000*380,G531*1000*G524)</f>
        <v>570</v>
      </c>
      <c r="D543" s="319">
        <f>MAX(B543:C543)</f>
        <v>570</v>
      </c>
      <c r="E543" s="284">
        <f>PI()*(E536/2)^2*1000/$D543</f>
        <v>198.41637812146064</v>
      </c>
      <c r="F543" s="284">
        <f>PI()*(F536/2)^2*1000/$D543</f>
        <v>352.74022777148554</v>
      </c>
      <c r="G543" s="284">
        <f>PI()*(G536/2)^2*1000/$D543</f>
        <v>551.15660589294623</v>
      </c>
      <c r="H543" s="284">
        <f>PI()*(H536/2)^2*1000/$D543</f>
        <v>666.89949313046486</v>
      </c>
      <c r="I543" s="285">
        <f>PI()*(I536/2)^2*1000/$D543</f>
        <v>861.18219670772839</v>
      </c>
      <c r="J543" s="328"/>
      <c r="K543" s="159"/>
      <c r="L543" s="3173" t="s">
        <v>1140</v>
      </c>
      <c r="M543" s="3174"/>
      <c r="N543" s="3174"/>
      <c r="O543" s="3174"/>
      <c r="P543" s="3175"/>
    </row>
    <row r="544" spans="1:19" ht="15">
      <c r="A544" s="29"/>
      <c r="J544" s="46"/>
      <c r="K544" s="159"/>
      <c r="L544" s="3205" t="s">
        <v>876</v>
      </c>
      <c r="M544" s="3171" t="s">
        <v>442</v>
      </c>
      <c r="N544" s="3176"/>
      <c r="O544" s="3176"/>
      <c r="P544" s="3172"/>
      <c r="R544" s="3127" t="s">
        <v>441</v>
      </c>
      <c r="S544" s="3129"/>
    </row>
    <row r="545" spans="1:23">
      <c r="A545" s="264" t="s">
        <v>440</v>
      </c>
      <c r="B545" s="55"/>
      <c r="C545" s="252"/>
      <c r="D545" s="55"/>
      <c r="E545" s="55"/>
      <c r="F545" s="56"/>
      <c r="G545" s="2723" t="s">
        <v>2095</v>
      </c>
      <c r="H545" s="2672" t="s">
        <v>1358</v>
      </c>
      <c r="I545" s="1178" t="s">
        <v>2109</v>
      </c>
      <c r="J545" s="46"/>
      <c r="K545" s="159"/>
      <c r="L545" s="3206"/>
      <c r="M545" s="3171" t="s">
        <v>440</v>
      </c>
      <c r="N545" s="3172"/>
      <c r="O545" s="3171" t="s">
        <v>443</v>
      </c>
      <c r="P545" s="3172"/>
      <c r="R545" s="3171" t="s">
        <v>440</v>
      </c>
      <c r="S545" s="3172"/>
    </row>
    <row r="546" spans="1:23" ht="15.75">
      <c r="A546" s="363" t="s">
        <v>441</v>
      </c>
      <c r="B546" s="268" t="s">
        <v>136</v>
      </c>
      <c r="C546" s="269">
        <v>16</v>
      </c>
      <c r="D546" s="270" t="s">
        <v>481</v>
      </c>
      <c r="E546" s="271">
        <v>200</v>
      </c>
      <c r="F546" s="272" t="s">
        <v>482</v>
      </c>
      <c r="G546" s="2014" t="s">
        <v>2096</v>
      </c>
      <c r="H546" s="94" t="s">
        <v>1348</v>
      </c>
      <c r="I546" s="2667" t="s">
        <v>107</v>
      </c>
      <c r="J546" s="3245" t="str">
        <f>IF(I547&gt;=Q26,"o.k","Not o.k")</f>
        <v>Not o.k</v>
      </c>
      <c r="K546" s="159"/>
      <c r="L546" s="3207"/>
      <c r="M546" s="882" t="s">
        <v>709</v>
      </c>
      <c r="N546" s="883" t="s">
        <v>710</v>
      </c>
      <c r="O546" s="883" t="s">
        <v>709</v>
      </c>
      <c r="P546" s="884" t="s">
        <v>710</v>
      </c>
      <c r="R546" s="2320" t="s">
        <v>709</v>
      </c>
      <c r="S546" s="902" t="s">
        <v>710</v>
      </c>
    </row>
    <row r="547" spans="1:23" ht="15.75">
      <c r="A547" s="364" t="s">
        <v>442</v>
      </c>
      <c r="B547" s="278" t="s">
        <v>136</v>
      </c>
      <c r="C547" s="279">
        <v>16</v>
      </c>
      <c r="D547" s="280" t="s">
        <v>481</v>
      </c>
      <c r="E547" s="281">
        <v>200</v>
      </c>
      <c r="F547" s="282" t="s">
        <v>482</v>
      </c>
      <c r="G547" s="2670"/>
      <c r="H547" s="316">
        <f>PI()*(C546/2)^2*1000/E546</f>
        <v>1005.3096491487337</v>
      </c>
      <c r="I547" s="2674">
        <f>H547*$C$18*$C$22*H524/10^6</f>
        <v>188.37010909524946</v>
      </c>
      <c r="J547" s="3246"/>
      <c r="K547" s="159"/>
      <c r="L547" s="896" t="str">
        <f>L299</f>
        <v>1-1</v>
      </c>
      <c r="M547" s="897">
        <f t="shared" ref="M547:P547" si="12">M299</f>
        <v>16</v>
      </c>
      <c r="N547" s="897">
        <f t="shared" si="12"/>
        <v>200</v>
      </c>
      <c r="O547" s="897">
        <f t="shared" si="12"/>
        <v>16</v>
      </c>
      <c r="P547" s="898">
        <f t="shared" si="12"/>
        <v>250</v>
      </c>
      <c r="R547" s="902">
        <f>R299</f>
        <v>16</v>
      </c>
      <c r="S547" s="2321">
        <f>S299</f>
        <v>200</v>
      </c>
    </row>
    <row r="548" spans="1:23" ht="15">
      <c r="A548" s="258" t="s">
        <v>443</v>
      </c>
      <c r="B548" s="273"/>
      <c r="C548" s="274"/>
      <c r="D548" s="275"/>
      <c r="E548" s="276"/>
      <c r="F548" s="277"/>
      <c r="G548" s="2670"/>
      <c r="H548" s="16"/>
      <c r="I548" s="16"/>
      <c r="J548" s="2724"/>
      <c r="K548" s="159"/>
      <c r="L548" s="2021" t="str">
        <f t="shared" ref="L548:P551" si="13">L300</f>
        <v>2-2</v>
      </c>
      <c r="M548" s="2017">
        <f t="shared" si="13"/>
        <v>16</v>
      </c>
      <c r="N548" s="2017">
        <f t="shared" si="13"/>
        <v>200</v>
      </c>
      <c r="O548" s="2017">
        <f t="shared" si="13"/>
        <v>16</v>
      </c>
      <c r="P548" s="2018">
        <f t="shared" si="13"/>
        <v>250</v>
      </c>
      <c r="R548" s="2330">
        <f t="shared" ref="R548:S548" si="14">R300</f>
        <v>16</v>
      </c>
      <c r="S548" s="2331">
        <f t="shared" si="14"/>
        <v>200</v>
      </c>
    </row>
    <row r="549" spans="1:23" ht="15.75">
      <c r="A549" s="363" t="s">
        <v>441</v>
      </c>
      <c r="B549" s="268" t="s">
        <v>136</v>
      </c>
      <c r="C549" s="397">
        <f>C432</f>
        <v>25</v>
      </c>
      <c r="D549" s="270" t="s">
        <v>481</v>
      </c>
      <c r="E549" s="398">
        <f>E432</f>
        <v>100</v>
      </c>
      <c r="F549" s="272" t="s">
        <v>482</v>
      </c>
      <c r="G549" s="2124" t="s">
        <v>2097</v>
      </c>
      <c r="H549" s="316">
        <f>PI()*(C549/2)^2*1000/$E549</f>
        <v>4908.7385212340523</v>
      </c>
      <c r="I549" s="2674">
        <f>H549*$C$18*$C$22*H524/10^6</f>
        <v>919.775923316648</v>
      </c>
      <c r="J549" s="3254" t="str">
        <f>IF(I549&gt;=P26,"o.k","Not o.k")</f>
        <v>o.k</v>
      </c>
      <c r="K549" s="159"/>
      <c r="L549" s="885" t="str">
        <f t="shared" si="13"/>
        <v>3-3</v>
      </c>
      <c r="M549" s="895">
        <f t="shared" si="13"/>
        <v>16</v>
      </c>
      <c r="N549" s="895">
        <f t="shared" si="13"/>
        <v>200</v>
      </c>
      <c r="O549" s="895">
        <f t="shared" si="13"/>
        <v>16</v>
      </c>
      <c r="P549" s="899">
        <f t="shared" si="13"/>
        <v>250</v>
      </c>
      <c r="R549" s="892">
        <f t="shared" ref="R549:S549" si="15">R301</f>
        <v>16</v>
      </c>
      <c r="S549" s="2332">
        <f t="shared" si="15"/>
        <v>200</v>
      </c>
    </row>
    <row r="550" spans="1:23" ht="15.75">
      <c r="A550" s="364" t="s">
        <v>442</v>
      </c>
      <c r="B550" s="278" t="s">
        <v>136</v>
      </c>
      <c r="C550" s="279">
        <v>16</v>
      </c>
      <c r="D550" s="280" t="s">
        <v>481</v>
      </c>
      <c r="E550" s="281">
        <v>250</v>
      </c>
      <c r="F550" s="282" t="s">
        <v>482</v>
      </c>
      <c r="G550" s="2671"/>
      <c r="H550" s="59"/>
      <c r="I550" s="59"/>
      <c r="J550" s="3255"/>
      <c r="K550" s="159"/>
      <c r="L550" s="885" t="str">
        <f t="shared" si="13"/>
        <v>4-4</v>
      </c>
      <c r="M550" s="895">
        <f t="shared" si="13"/>
        <v>16</v>
      </c>
      <c r="N550" s="895">
        <f t="shared" si="13"/>
        <v>200</v>
      </c>
      <c r="O550" s="895">
        <f t="shared" si="13"/>
        <v>16</v>
      </c>
      <c r="P550" s="899">
        <f t="shared" si="13"/>
        <v>250</v>
      </c>
      <c r="R550" s="892">
        <f t="shared" ref="R550:S550" si="16">R302</f>
        <v>16</v>
      </c>
      <c r="S550" s="2332">
        <f t="shared" si="16"/>
        <v>100</v>
      </c>
    </row>
    <row r="551" spans="1:23" ht="15">
      <c r="A551" s="29"/>
      <c r="J551" s="46"/>
      <c r="K551" s="159"/>
      <c r="L551" s="890" t="str">
        <f t="shared" si="13"/>
        <v>5-5</v>
      </c>
      <c r="M551" s="900">
        <f t="shared" si="13"/>
        <v>16</v>
      </c>
      <c r="N551" s="900">
        <f t="shared" si="13"/>
        <v>200</v>
      </c>
      <c r="O551" s="900">
        <f t="shared" si="13"/>
        <v>16</v>
      </c>
      <c r="P551" s="901">
        <f t="shared" si="13"/>
        <v>250</v>
      </c>
      <c r="R551" s="893">
        <f t="shared" ref="R551:S551" si="17">R303</f>
        <v>16</v>
      </c>
      <c r="S551" s="2333">
        <f t="shared" si="17"/>
        <v>200</v>
      </c>
    </row>
    <row r="552" spans="1:23">
      <c r="B552" s="2193" t="s">
        <v>602</v>
      </c>
      <c r="C552" s="2194"/>
      <c r="D552" s="2195" t="s">
        <v>1868</v>
      </c>
      <c r="E552" s="2194"/>
      <c r="F552" s="2194"/>
      <c r="J552" s="46"/>
      <c r="K552" s="159"/>
    </row>
    <row r="553" spans="1:23">
      <c r="B553" s="187" t="s">
        <v>940</v>
      </c>
      <c r="G553" s="126" t="str">
        <f>IF(AND(H492&lt;=F491/2,H502&lt;=F501/2,H512&lt;=F511/2),"For Curtailment follow the Remark","Curtailment not possible")</f>
        <v>Curtailment not possible</v>
      </c>
      <c r="H553" s="126"/>
      <c r="I553" s="126"/>
      <c r="J553" s="126"/>
      <c r="K553" s="159"/>
    </row>
    <row r="554" spans="1:23">
      <c r="B554" s="187"/>
      <c r="K554" s="159"/>
    </row>
    <row r="555" spans="1:23" ht="12.75" customHeight="1">
      <c r="B555" s="187" t="s">
        <v>1822</v>
      </c>
      <c r="F555" s="1995">
        <f>0.5*PI()*(C549/2)^2*1000/E549</f>
        <v>2454.3692606170262</v>
      </c>
      <c r="G555" s="187" t="s">
        <v>1348</v>
      </c>
      <c r="J555" s="46"/>
      <c r="K555" s="159"/>
      <c r="O555" s="423"/>
      <c r="P555" s="406" t="s">
        <v>689</v>
      </c>
      <c r="Q555" s="55"/>
      <c r="R555" s="55"/>
      <c r="S555" s="55"/>
      <c r="T555" s="55"/>
      <c r="U555" s="55"/>
      <c r="V555" s="55"/>
      <c r="W555" s="2736" t="s">
        <v>945</v>
      </c>
    </row>
    <row r="556" spans="1:23" ht="14.25">
      <c r="B556" s="385" t="s">
        <v>1825</v>
      </c>
      <c r="F556" s="33">
        <f>F555*$C$18*$C$22*H524/10^6</f>
        <v>459.887961658324</v>
      </c>
      <c r="G556" s="187" t="s">
        <v>107</v>
      </c>
      <c r="H556" s="2751" t="str">
        <f>IF(F556&gt;P$26,"&gt; Max End Me="&amp;FIXED(P$26,2)&amp;" kn-m","&lt; Max End Me="&amp;FIXED(P$26,2)&amp;" kn-m")</f>
        <v>&lt; Max End Me=539.69 kn-m</v>
      </c>
      <c r="I556" s="2751"/>
      <c r="J556" s="2751"/>
      <c r="K556" s="159"/>
      <c r="L556" s="2742" t="s">
        <v>2116</v>
      </c>
      <c r="M556" s="2743"/>
      <c r="N556" s="2744"/>
      <c r="O556" s="2084"/>
      <c r="P556" s="241" t="s">
        <v>941</v>
      </c>
      <c r="Q556" s="16"/>
      <c r="R556" s="16"/>
      <c r="S556" s="16"/>
      <c r="T556" s="16"/>
      <c r="U556" s="16"/>
      <c r="V556" s="16"/>
      <c r="W556" s="2735"/>
    </row>
    <row r="557" spans="1:23" ht="14.25">
      <c r="B557" s="187" t="s">
        <v>1823</v>
      </c>
      <c r="J557" s="46"/>
      <c r="K557" s="159"/>
      <c r="L557" s="2745" t="s">
        <v>2117</v>
      </c>
      <c r="M557" s="2746"/>
      <c r="N557" s="2747"/>
      <c r="O557" s="259" t="s">
        <v>707</v>
      </c>
      <c r="P557" s="241" t="s">
        <v>942</v>
      </c>
      <c r="Q557" s="16"/>
      <c r="R557" s="16"/>
      <c r="S557" s="16"/>
      <c r="T557" s="16"/>
      <c r="U557" s="16"/>
      <c r="V557" s="16"/>
      <c r="W557" s="2739"/>
    </row>
    <row r="558" spans="1:23" ht="14.25">
      <c r="A558" s="203" t="s">
        <v>707</v>
      </c>
      <c r="B558" s="187" t="s">
        <v>1826</v>
      </c>
      <c r="J558" s="46"/>
      <c r="K558" s="159"/>
      <c r="L558" s="2748" t="s">
        <v>2118</v>
      </c>
      <c r="M558" s="2749"/>
      <c r="N558" s="2750"/>
      <c r="O558" s="2084"/>
      <c r="P558" s="242">
        <f>D490/F473</f>
        <v>41.794516542703271</v>
      </c>
      <c r="Q558" s="434" t="s">
        <v>685</v>
      </c>
      <c r="R558" s="242">
        <f>D490*2</f>
        <v>276.19800000000009</v>
      </c>
      <c r="S558" s="434" t="s">
        <v>686</v>
      </c>
      <c r="T558" s="242">
        <f>D490*H384+F491</f>
        <v>650.16605923224392</v>
      </c>
      <c r="U558" s="2737" t="s">
        <v>35</v>
      </c>
      <c r="V558" s="1048">
        <v>0</v>
      </c>
      <c r="W558" s="256" t="s">
        <v>491</v>
      </c>
    </row>
    <row r="559" spans="1:23" ht="14.25">
      <c r="B559" s="33">
        <f>D490/F473</f>
        <v>41.794516542703271</v>
      </c>
      <c r="C559" s="206" t="s">
        <v>685</v>
      </c>
      <c r="D559" s="33">
        <f>D490*2</f>
        <v>276.19800000000009</v>
      </c>
      <c r="E559" s="206" t="s">
        <v>686</v>
      </c>
      <c r="F559" s="33">
        <f>D490*H383+F491*2-F556*2</f>
        <v>159.59779514783986</v>
      </c>
      <c r="G559" s="2051" t="s">
        <v>35</v>
      </c>
      <c r="H559" s="18">
        <v>0</v>
      </c>
      <c r="J559" s="46"/>
      <c r="K559" s="159"/>
      <c r="O559" s="2084"/>
      <c r="P559" s="242"/>
      <c r="Q559" s="434"/>
      <c r="R559" s="242"/>
      <c r="S559" s="434"/>
      <c r="T559" s="242"/>
      <c r="U559" s="2737"/>
      <c r="V559" s="1048"/>
      <c r="W559" s="316" t="e">
        <f>T563*10^6/($C$18*$C$22*H524)</f>
        <v>#NUM!</v>
      </c>
    </row>
    <row r="560" spans="1:23">
      <c r="B560" s="33"/>
      <c r="C560" s="206"/>
      <c r="D560" s="33"/>
      <c r="E560" s="206"/>
      <c r="F560" s="33"/>
      <c r="G560" s="2051"/>
      <c r="H560" s="18"/>
      <c r="J560" s="46"/>
      <c r="K560" s="159"/>
      <c r="O560" s="2084"/>
      <c r="P560" s="242"/>
      <c r="Q560" s="434"/>
      <c r="R560" s="242"/>
      <c r="S560" s="434"/>
      <c r="T560" s="242"/>
      <c r="U560" s="2737"/>
      <c r="V560" s="1048"/>
      <c r="W560" s="58"/>
    </row>
    <row r="561" spans="1:23">
      <c r="B561" s="187" t="s">
        <v>691</v>
      </c>
      <c r="C561" s="1996">
        <f>(-(-D559)-SQRT(D559^2-4*B559*F559))/(2*B559)</f>
        <v>0.63977598315833939</v>
      </c>
      <c r="D561" s="187" t="s">
        <v>688</v>
      </c>
      <c r="G561" s="187" t="s">
        <v>1837</v>
      </c>
      <c r="J561" s="46"/>
      <c r="K561" s="159"/>
      <c r="O561" s="2084"/>
      <c r="P561" s="16"/>
      <c r="Q561" s="16"/>
      <c r="R561" s="16"/>
      <c r="S561" s="16"/>
      <c r="T561" s="16"/>
      <c r="U561" s="16"/>
      <c r="V561" s="16"/>
      <c r="W561" s="58"/>
    </row>
    <row r="562" spans="1:23" ht="14.25">
      <c r="B562" s="187" t="s">
        <v>687</v>
      </c>
      <c r="F562" s="33">
        <f>F491+C561^2*D490/(2*F473)-D490*(C561-H383/2)</f>
        <v>459.88796165832395</v>
      </c>
      <c r="G562" s="187" t="s">
        <v>620</v>
      </c>
      <c r="J562" s="46"/>
      <c r="K562" s="159"/>
      <c r="O562" s="2084"/>
      <c r="P562" s="241" t="s">
        <v>691</v>
      </c>
      <c r="Q562" s="242" t="e">
        <f>(-(-R558)-SQRT(R558^2-4*P558*T558))/(2*P558)</f>
        <v>#NUM!</v>
      </c>
      <c r="R562" s="241" t="s">
        <v>688</v>
      </c>
      <c r="S562" s="16"/>
      <c r="T562" s="16"/>
      <c r="U562" s="241" t="s">
        <v>690</v>
      </c>
      <c r="V562" s="16"/>
      <c r="W562" s="58"/>
    </row>
    <row r="563" spans="1:23" ht="14.25">
      <c r="B563" s="207" t="s">
        <v>2113</v>
      </c>
      <c r="C563" s="126"/>
      <c r="D563" s="126"/>
      <c r="E563" s="126"/>
      <c r="F563" s="246">
        <f>R$26</f>
        <v>366.77052660512527</v>
      </c>
      <c r="G563" s="207" t="s">
        <v>620</v>
      </c>
      <c r="K563" s="159"/>
      <c r="O563" s="2084"/>
      <c r="P563" s="241" t="s">
        <v>687</v>
      </c>
      <c r="Q563" s="16"/>
      <c r="R563" s="16"/>
      <c r="S563" s="16"/>
      <c r="T563" s="242" t="e">
        <f>F491+Q562^2*D490/(2*F473)-D490*(Q562-H384/2)</f>
        <v>#NUM!</v>
      </c>
      <c r="U563" s="241" t="s">
        <v>620</v>
      </c>
      <c r="V563" s="16"/>
      <c r="W563" s="58"/>
    </row>
    <row r="564" spans="1:23">
      <c r="B564" s="187" t="s">
        <v>692</v>
      </c>
      <c r="H564" s="33">
        <f>IF(C561&lt;H384,H384,C561)+40*C549/1000</f>
        <v>1.8</v>
      </c>
      <c r="I564" s="187" t="s">
        <v>5</v>
      </c>
      <c r="J564" s="109"/>
      <c r="K564" s="159"/>
      <c r="O564" s="2085"/>
      <c r="P564" s="59"/>
      <c r="Q564" s="59"/>
      <c r="R564" s="59"/>
      <c r="S564" s="1497" t="s">
        <v>943</v>
      </c>
      <c r="T564" s="212">
        <f>+F491/2</f>
        <v>269.84342961612197</v>
      </c>
      <c r="U564" s="204" t="s">
        <v>620</v>
      </c>
      <c r="V564" s="1504" t="e">
        <f>IF(T563=T564,"O.k","Not O.k")</f>
        <v>#NUM!</v>
      </c>
      <c r="W564" s="60"/>
    </row>
    <row r="565" spans="1:23">
      <c r="B565" s="187"/>
      <c r="H565" s="33"/>
      <c r="I565" s="187"/>
      <c r="J565" s="109"/>
      <c r="K565" s="159"/>
    </row>
    <row r="566" spans="1:23" ht="12.75" customHeight="1">
      <c r="A566" s="3085" t="s">
        <v>944</v>
      </c>
      <c r="B566" s="355" t="s">
        <v>1147</v>
      </c>
      <c r="C566" s="3138" t="s">
        <v>2115</v>
      </c>
      <c r="D566" s="3118" t="s">
        <v>946</v>
      </c>
      <c r="E566" s="3122" t="s">
        <v>937</v>
      </c>
      <c r="F566" s="3122" t="s">
        <v>938</v>
      </c>
      <c r="G566" s="3228" t="s">
        <v>947</v>
      </c>
      <c r="H566" s="3118" t="s">
        <v>2120</v>
      </c>
      <c r="I566" s="3213" t="s">
        <v>676</v>
      </c>
      <c r="J566" s="3214"/>
      <c r="K566" s="159"/>
    </row>
    <row r="567" spans="1:23">
      <c r="A567" s="3200"/>
      <c r="B567" s="365" t="s">
        <v>1149</v>
      </c>
      <c r="C567" s="3144"/>
      <c r="D567" s="3092"/>
      <c r="E567" s="3123"/>
      <c r="F567" s="3123"/>
      <c r="G567" s="3231"/>
      <c r="H567" s="3092"/>
      <c r="I567" s="960"/>
      <c r="J567" s="961"/>
      <c r="K567" s="159"/>
    </row>
    <row r="568" spans="1:23">
      <c r="A568" s="3086"/>
      <c r="B568" s="354" t="s">
        <v>1148</v>
      </c>
      <c r="C568" s="3144"/>
      <c r="D568" s="623"/>
      <c r="E568" s="360"/>
      <c r="F568" s="360"/>
      <c r="G568" s="3232"/>
      <c r="H568" s="3239"/>
      <c r="I568" s="959"/>
      <c r="J568" s="961"/>
      <c r="K568" s="159"/>
    </row>
    <row r="569" spans="1:23" ht="14.25">
      <c r="A569" s="2734" t="s">
        <v>5</v>
      </c>
      <c r="B569" s="256" t="s">
        <v>491</v>
      </c>
      <c r="C569" s="256" t="s">
        <v>491</v>
      </c>
      <c r="D569" s="256" t="s">
        <v>491</v>
      </c>
      <c r="E569" s="256" t="s">
        <v>491</v>
      </c>
      <c r="F569" s="622" t="s">
        <v>98</v>
      </c>
      <c r="G569" s="618" t="s">
        <v>5</v>
      </c>
      <c r="H569" s="622" t="s">
        <v>98</v>
      </c>
      <c r="I569" s="962"/>
      <c r="J569" s="963"/>
      <c r="K569" s="159"/>
      <c r="L569" s="187"/>
      <c r="N569" s="129"/>
      <c r="O569" s="385"/>
    </row>
    <row r="570" spans="1:23">
      <c r="A570" s="2740">
        <f>H564</f>
        <v>1.8</v>
      </c>
      <c r="B570" s="316">
        <f>0.5*PI()*(C549/2)^2*1000/E549</f>
        <v>2454.3692606170262</v>
      </c>
      <c r="C570" s="357">
        <f>F563*10^6/(fs*j*H524)</f>
        <v>1957.4121987318713</v>
      </c>
      <c r="D570" s="316">
        <f>C542</f>
        <v>380</v>
      </c>
      <c r="E570" s="316">
        <f>MAX(B570:D570)</f>
        <v>2454.3692606170262</v>
      </c>
      <c r="F570" s="619">
        <f>PI()*(C549/2)^2*1000/E570</f>
        <v>200</v>
      </c>
      <c r="G570" s="620">
        <v>3</v>
      </c>
      <c r="H570" s="621">
        <f>E549*2</f>
        <v>200</v>
      </c>
      <c r="I570" s="3215" t="str">
        <f>IF(OR(A570&gt;F473-0.5,H570&gt;F570),"Do not curtail ","Do curtailment")</f>
        <v>Do curtailment</v>
      </c>
      <c r="J570" s="3216"/>
      <c r="K570" s="159"/>
      <c r="L570" s="1997" t="s">
        <v>645</v>
      </c>
      <c r="M570" s="1998">
        <f>F473</f>
        <v>3.3042372881355933</v>
      </c>
      <c r="N570" s="187" t="s">
        <v>5</v>
      </c>
      <c r="O570" s="385"/>
    </row>
    <row r="571" spans="1:23">
      <c r="J571" s="46"/>
      <c r="K571" s="159"/>
    </row>
    <row r="572" spans="1:23">
      <c r="B572" s="2183" t="s">
        <v>602</v>
      </c>
      <c r="C572" s="2184"/>
      <c r="D572" s="2185" t="s">
        <v>1869</v>
      </c>
      <c r="E572" s="2184"/>
      <c r="F572" s="2184"/>
      <c r="J572" s="46"/>
      <c r="K572" s="159"/>
    </row>
    <row r="573" spans="1:23">
      <c r="B573" s="187"/>
      <c r="G573" s="126" t="str">
        <f>IF(F583=0,"No curtailment needed ","For Curtailment follow the Remark")</f>
        <v>For Curtailment follow the Remark</v>
      </c>
      <c r="H573" s="126"/>
      <c r="I573" s="126"/>
      <c r="J573" s="126"/>
      <c r="K573" s="159"/>
    </row>
    <row r="574" spans="1:23">
      <c r="B574" s="1" t="s">
        <v>657</v>
      </c>
      <c r="C574" s="46"/>
      <c r="D574" s="46"/>
      <c r="K574" s="159"/>
    </row>
    <row r="575" spans="1:23">
      <c r="B575" s="187" t="s">
        <v>2132</v>
      </c>
      <c r="C575" s="46"/>
      <c r="D575" s="46"/>
      <c r="F575" s="33">
        <f>IF(H492&lt;0,H492,0)</f>
        <v>0</v>
      </c>
      <c r="G575" s="187" t="s">
        <v>107</v>
      </c>
      <c r="K575" s="159"/>
    </row>
    <row r="576" spans="1:23">
      <c r="B576" s="187" t="s">
        <v>1873</v>
      </c>
      <c r="C576" s="46"/>
      <c r="D576" s="46"/>
      <c r="F576" s="33">
        <f>F575*0.5</f>
        <v>0</v>
      </c>
      <c r="G576" s="187" t="s">
        <v>107</v>
      </c>
      <c r="K576" s="159"/>
    </row>
    <row r="577" spans="1:11" ht="14.25">
      <c r="B577" s="187" t="s">
        <v>1826</v>
      </c>
      <c r="K577" s="159"/>
    </row>
    <row r="578" spans="1:11" ht="14.25">
      <c r="B578" s="33">
        <f>D490/$F$473</f>
        <v>41.794516542703271</v>
      </c>
      <c r="C578" s="206" t="s">
        <v>685</v>
      </c>
      <c r="D578" s="33">
        <f>D490*2</f>
        <v>276.19800000000009</v>
      </c>
      <c r="E578" s="206" t="s">
        <v>686</v>
      </c>
      <c r="F578" s="33">
        <f>D490*$D$384+F491*2-$F$576*2</f>
        <v>1189.8529184644879</v>
      </c>
      <c r="G578" s="2754" t="s">
        <v>35</v>
      </c>
      <c r="H578" s="18">
        <v>0</v>
      </c>
      <c r="K578" s="159"/>
    </row>
    <row r="579" spans="1:11">
      <c r="B579" s="187" t="s">
        <v>691</v>
      </c>
      <c r="C579" s="1996" t="e">
        <f>(-(-D578)-SQRT(D578^2-4*B578*F578))/(2*B578)</f>
        <v>#NUM!</v>
      </c>
      <c r="D579" s="187" t="s">
        <v>688</v>
      </c>
      <c r="F579" s="187" t="s">
        <v>1827</v>
      </c>
      <c r="K579" s="159"/>
    </row>
    <row r="580" spans="1:11" ht="14.25">
      <c r="B580" s="187" t="s">
        <v>687</v>
      </c>
      <c r="F580" s="33" t="e">
        <f>F491+C579^2*D490/(2*$F$473)-D490*(C579-$D$384/2)</f>
        <v>#NUM!</v>
      </c>
      <c r="G580" s="187" t="s">
        <v>620</v>
      </c>
      <c r="K580" s="159"/>
    </row>
    <row r="581" spans="1:11">
      <c r="K581" s="159"/>
    </row>
    <row r="582" spans="1:11">
      <c r="B582" s="1" t="s">
        <v>661</v>
      </c>
      <c r="K582" s="159"/>
    </row>
    <row r="583" spans="1:11">
      <c r="B583" s="187" t="s">
        <v>1872</v>
      </c>
      <c r="F583" s="158">
        <f>IF(H512&lt;0,H512,0)</f>
        <v>-175.37971834702589</v>
      </c>
      <c r="G583" s="187" t="s">
        <v>107</v>
      </c>
      <c r="J583" s="46"/>
      <c r="K583" s="159"/>
    </row>
    <row r="584" spans="1:11">
      <c r="B584" s="187" t="s">
        <v>1873</v>
      </c>
      <c r="F584" s="33">
        <f>F583/2</f>
        <v>-87.689859173512943</v>
      </c>
      <c r="G584" s="187" t="s">
        <v>107</v>
      </c>
      <c r="J584" s="46"/>
      <c r="K584" s="159"/>
    </row>
    <row r="585" spans="1:11" ht="14.25">
      <c r="B585" s="187" t="s">
        <v>1823</v>
      </c>
      <c r="J585" s="46"/>
      <c r="K585" s="159"/>
    </row>
    <row r="586" spans="1:11" ht="14.25">
      <c r="A586" s="203" t="s">
        <v>707</v>
      </c>
      <c r="B586" s="187" t="s">
        <v>1826</v>
      </c>
      <c r="J586" s="46"/>
      <c r="K586" s="159"/>
    </row>
    <row r="587" spans="1:11" ht="14.25">
      <c r="B587" s="33">
        <f>D509/F473</f>
        <v>41.455754974759053</v>
      </c>
      <c r="C587" s="206" t="s">
        <v>685</v>
      </c>
      <c r="D587" s="33">
        <f>D509*2</f>
        <v>273.95930279082296</v>
      </c>
      <c r="E587" s="206" t="s">
        <v>686</v>
      </c>
      <c r="F587" s="33">
        <f>D509*H384+F511*2-F584*2</f>
        <v>277.23355350950754</v>
      </c>
      <c r="G587" s="2188" t="s">
        <v>35</v>
      </c>
      <c r="H587" s="18">
        <v>0</v>
      </c>
      <c r="J587" s="46"/>
      <c r="K587" s="159"/>
    </row>
    <row r="588" spans="1:11">
      <c r="B588" s="33"/>
      <c r="C588" s="206"/>
      <c r="D588" s="33"/>
      <c r="E588" s="206"/>
      <c r="F588" s="33"/>
      <c r="G588" s="2188"/>
      <c r="H588" s="18"/>
      <c r="J588" s="46"/>
      <c r="K588" s="159"/>
    </row>
    <row r="589" spans="1:11">
      <c r="B589" s="187" t="s">
        <v>691</v>
      </c>
      <c r="C589" s="1996">
        <f>(-(-D587)-SQRT(D587^2-4*B587*F587))/(2*B587)</f>
        <v>1.2474126319544294</v>
      </c>
      <c r="D589" s="187" t="s">
        <v>688</v>
      </c>
      <c r="G589" s="187" t="s">
        <v>1827</v>
      </c>
      <c r="J589" s="46"/>
      <c r="K589" s="159"/>
    </row>
    <row r="590" spans="1:11" ht="14.25">
      <c r="B590" s="187" t="s">
        <v>687</v>
      </c>
      <c r="F590" s="33">
        <f>F511+C589^2*D509/(2*F473)-D509*(C589-H384/2)</f>
        <v>-87.689859173512957</v>
      </c>
      <c r="G590" s="187" t="s">
        <v>620</v>
      </c>
      <c r="J590" s="46"/>
      <c r="K590" s="159"/>
    </row>
    <row r="591" spans="1:11">
      <c r="B591" s="187"/>
      <c r="F591" s="33"/>
      <c r="G591" s="187"/>
      <c r="J591" s="46"/>
      <c r="K591" s="159"/>
    </row>
    <row r="592" spans="1:11">
      <c r="B592" s="207" t="s">
        <v>2119</v>
      </c>
      <c r="C592" s="126"/>
      <c r="D592" s="126"/>
      <c r="E592" s="126"/>
      <c r="F592" s="126"/>
      <c r="G592" s="126"/>
      <c r="H592" s="246">
        <f>Q$26</f>
        <v>195.85327342104631</v>
      </c>
      <c r="I592" s="207" t="s">
        <v>620</v>
      </c>
      <c r="K592" s="159"/>
    </row>
    <row r="593" spans="1:14">
      <c r="B593" t="s">
        <v>2127</v>
      </c>
      <c r="H593" s="33" t="e">
        <f>AC26</f>
        <v>#NUM!</v>
      </c>
      <c r="I593" t="s">
        <v>5</v>
      </c>
      <c r="K593" s="159"/>
    </row>
    <row r="594" spans="1:14">
      <c r="B594" s="187" t="s">
        <v>692</v>
      </c>
      <c r="H594" s="33" t="e">
        <f>H593-40*C546/1000</f>
        <v>#NUM!</v>
      </c>
      <c r="I594" s="187" t="s">
        <v>5</v>
      </c>
      <c r="J594" s="109"/>
      <c r="K594" s="159"/>
    </row>
    <row r="595" spans="1:14">
      <c r="B595" s="187" t="s">
        <v>1874</v>
      </c>
      <c r="H595" s="33" t="e">
        <f>IF(H594&lt;D384,0,H594-D384)</f>
        <v>#NUM!</v>
      </c>
      <c r="I595" s="187" t="s">
        <v>5</v>
      </c>
      <c r="J595" s="109"/>
      <c r="K595" s="159"/>
    </row>
    <row r="596" spans="1:14">
      <c r="B596" s="187" t="s">
        <v>2122</v>
      </c>
      <c r="H596" s="33">
        <f>F384</f>
        <v>5.0084745762711869</v>
      </c>
      <c r="I596" s="187" t="s">
        <v>5</v>
      </c>
      <c r="J596" s="109"/>
      <c r="K596" s="159"/>
    </row>
    <row r="597" spans="1:14">
      <c r="B597" s="187" t="s">
        <v>2121</v>
      </c>
      <c r="H597" s="33" t="str">
        <f>IF(G603="","",H596-G603*2)</f>
        <v/>
      </c>
      <c r="I597" s="187" t="s">
        <v>5</v>
      </c>
      <c r="J597" s="109"/>
      <c r="K597" s="159"/>
    </row>
    <row r="598" spans="1:14">
      <c r="J598" s="46"/>
      <c r="K598" s="159"/>
    </row>
    <row r="599" spans="1:14" ht="12.75" customHeight="1">
      <c r="A599" s="3085" t="s">
        <v>1875</v>
      </c>
      <c r="B599" s="3118" t="s">
        <v>945</v>
      </c>
      <c r="C599" s="355" t="s">
        <v>1147</v>
      </c>
      <c r="D599" s="3118" t="s">
        <v>946</v>
      </c>
      <c r="E599" s="3122" t="s">
        <v>937</v>
      </c>
      <c r="F599" s="3118" t="s">
        <v>1150</v>
      </c>
      <c r="G599" s="3228" t="s">
        <v>1877</v>
      </c>
      <c r="H599" s="3118" t="s">
        <v>2120</v>
      </c>
      <c r="I599" s="3213" t="s">
        <v>676</v>
      </c>
      <c r="J599" s="3214"/>
      <c r="K599" s="159"/>
    </row>
    <row r="600" spans="1:14">
      <c r="A600" s="3202"/>
      <c r="B600" s="3092"/>
      <c r="C600" s="365" t="s">
        <v>1149</v>
      </c>
      <c r="D600" s="3092"/>
      <c r="E600" s="3123"/>
      <c r="F600" s="3092"/>
      <c r="G600" s="3231"/>
      <c r="H600" s="3092"/>
      <c r="I600" s="960"/>
      <c r="J600" s="961"/>
      <c r="K600" s="159"/>
    </row>
    <row r="601" spans="1:14">
      <c r="A601" s="3203"/>
      <c r="B601" s="2192"/>
      <c r="C601" s="354" t="s">
        <v>1148</v>
      </c>
      <c r="D601" s="2190"/>
      <c r="E601" s="360"/>
      <c r="F601" s="3239"/>
      <c r="G601" s="3232"/>
      <c r="H601" s="3239"/>
      <c r="I601" s="959"/>
      <c r="J601" s="961"/>
      <c r="K601" s="159"/>
    </row>
    <row r="602" spans="1:14" ht="14.25">
      <c r="A602" s="2186" t="s">
        <v>5</v>
      </c>
      <c r="B602" s="256" t="s">
        <v>491</v>
      </c>
      <c r="C602" s="256" t="s">
        <v>491</v>
      </c>
      <c r="D602" s="256" t="s">
        <v>491</v>
      </c>
      <c r="E602" s="256" t="s">
        <v>491</v>
      </c>
      <c r="F602" s="2187" t="s">
        <v>98</v>
      </c>
      <c r="G602" s="618" t="s">
        <v>5</v>
      </c>
      <c r="H602" s="2187" t="s">
        <v>98</v>
      </c>
      <c r="I602" s="962"/>
      <c r="J602" s="963"/>
      <c r="K602" s="159"/>
    </row>
    <row r="603" spans="1:14">
      <c r="A603" s="455" t="e">
        <f>H595</f>
        <v>#NUM!</v>
      </c>
      <c r="B603" s="316">
        <f>0.5*ABS(H592)*10^6/($C$18*$C$22*H524)</f>
        <v>522.62321907979538</v>
      </c>
      <c r="C603" s="316">
        <f>0.5*PI()*(C546/2)^2*1000/E546</f>
        <v>502.65482457436684</v>
      </c>
      <c r="D603" s="316">
        <f>C539</f>
        <v>760</v>
      </c>
      <c r="E603" s="316">
        <f>MAX(B603:D603)</f>
        <v>760</v>
      </c>
      <c r="F603" s="619">
        <f>PI()*(C546/2)^2*1000/E603</f>
        <v>264.55517082861417</v>
      </c>
      <c r="G603" s="620"/>
      <c r="H603" s="621">
        <f>E546*2</f>
        <v>400</v>
      </c>
      <c r="I603" s="3215" t="str">
        <f>IF(OR(H603&gt;F603,H592=0),"No curtailment ","Do curtailment")</f>
        <v xml:space="preserve">No curtailment </v>
      </c>
      <c r="J603" s="3216"/>
      <c r="K603" s="159"/>
    </row>
    <row r="604" spans="1:14">
      <c r="B604" s="2189"/>
      <c r="C604" s="349"/>
      <c r="D604" s="349"/>
      <c r="E604" s="349"/>
      <c r="F604" s="349"/>
      <c r="G604" s="349"/>
      <c r="H604" s="349"/>
      <c r="I604" s="349"/>
      <c r="J604" s="349"/>
      <c r="K604" s="159"/>
    </row>
    <row r="605" spans="1:14" ht="14.25">
      <c r="A605" s="399" t="s">
        <v>2073</v>
      </c>
      <c r="B605" s="126"/>
      <c r="C605" s="2013" t="str">
        <f>E34&amp;"-"&amp;E34</f>
        <v>3-3</v>
      </c>
      <c r="D605" s="692" t="s">
        <v>949</v>
      </c>
      <c r="E605" s="10"/>
      <c r="J605" s="46"/>
      <c r="K605" s="159"/>
      <c r="L605" s="46"/>
      <c r="M605" s="46"/>
      <c r="N605" s="46"/>
    </row>
    <row r="606" spans="1:14">
      <c r="J606" s="46"/>
      <c r="K606" s="159"/>
      <c r="L606" s="46"/>
      <c r="M606" s="46"/>
      <c r="N606" s="46"/>
    </row>
    <row r="607" spans="1:14">
      <c r="B607" s="1" t="s">
        <v>1111</v>
      </c>
      <c r="J607" s="46"/>
      <c r="K607" s="159"/>
      <c r="L607" s="46"/>
      <c r="M607" s="46"/>
      <c r="N607" s="46"/>
    </row>
    <row r="608" spans="1:14">
      <c r="B608" s="241" t="s">
        <v>1112</v>
      </c>
      <c r="D608" s="16"/>
      <c r="G608" s="241" t="s">
        <v>1113</v>
      </c>
      <c r="J608" s="46"/>
      <c r="K608" s="159"/>
      <c r="L608" s="46"/>
      <c r="M608" s="46"/>
      <c r="N608" s="46"/>
    </row>
    <row r="609" spans="1:14" ht="14.25">
      <c r="B609" s="241" t="s">
        <v>111</v>
      </c>
      <c r="C609" s="16">
        <f>IF(I620&lt;=9,$G$99,$G$104)</f>
        <v>1E-3</v>
      </c>
      <c r="D609" s="241" t="s">
        <v>438</v>
      </c>
      <c r="G609" s="241" t="s">
        <v>111</v>
      </c>
      <c r="H609" s="16">
        <f>IF(I620&lt;=9,$G$100,$G$105)</f>
        <v>2E-3</v>
      </c>
      <c r="I609" s="241" t="s">
        <v>438</v>
      </c>
      <c r="J609" s="46"/>
      <c r="K609" s="159"/>
      <c r="L609" s="46"/>
      <c r="M609" s="46"/>
      <c r="N609" s="46"/>
    </row>
    <row r="610" spans="1:14" ht="14.25">
      <c r="B610" s="241" t="s">
        <v>110</v>
      </c>
      <c r="C610" s="16">
        <f>IF(E26&lt;=9,$G$99,$G$104)</f>
        <v>1.5E-3</v>
      </c>
      <c r="D610" s="241" t="s">
        <v>438</v>
      </c>
      <c r="E610" s="16"/>
      <c r="F610" s="16"/>
      <c r="G610" s="241" t="s">
        <v>110</v>
      </c>
      <c r="H610" s="16">
        <f>IF(E26&lt;=9,$G$100,$G$105)</f>
        <v>2.5000000000000001E-3</v>
      </c>
      <c r="I610" s="241" t="s">
        <v>438</v>
      </c>
      <c r="J610" s="46"/>
      <c r="K610" s="159"/>
      <c r="L610" s="46"/>
      <c r="M610" s="46"/>
      <c r="N610" s="46"/>
    </row>
    <row r="611" spans="1:14">
      <c r="B611" s="187" t="s">
        <v>601</v>
      </c>
      <c r="E611" s="129">
        <f>1000*(H631+H613)/2</f>
        <v>449.99999999999994</v>
      </c>
      <c r="F611" s="187" t="s">
        <v>98</v>
      </c>
      <c r="J611" s="46"/>
      <c r="K611" s="159"/>
      <c r="L611" s="46"/>
      <c r="M611" s="46"/>
      <c r="N611" s="46"/>
    </row>
    <row r="612" spans="1:14">
      <c r="J612" s="46"/>
      <c r="K612" s="159"/>
      <c r="L612" s="46"/>
      <c r="M612" s="46"/>
      <c r="N612" s="46"/>
    </row>
    <row r="613" spans="1:14">
      <c r="C613" s="203" t="s">
        <v>149</v>
      </c>
      <c r="D613" s="36">
        <f>E37</f>
        <v>11.95</v>
      </c>
      <c r="H613" s="2550">
        <f>R65</f>
        <v>0.3</v>
      </c>
      <c r="I613" s="36"/>
      <c r="J613" s="489"/>
      <c r="K613" s="159"/>
      <c r="L613" s="46"/>
      <c r="M613" s="46"/>
      <c r="N613" s="46"/>
    </row>
    <row r="614" spans="1:14">
      <c r="C614" s="187"/>
      <c r="D614" s="2"/>
      <c r="G614" s="79"/>
      <c r="J614" s="46"/>
      <c r="K614" s="159"/>
      <c r="L614" s="46"/>
      <c r="M614" s="46"/>
      <c r="N614" s="46"/>
    </row>
    <row r="615" spans="1:14">
      <c r="C615" s="187"/>
      <c r="D615" s="18" t="s">
        <v>604</v>
      </c>
      <c r="E615" s="17"/>
      <c r="F615" s="36"/>
      <c r="J615" s="46"/>
      <c r="K615" s="159"/>
      <c r="L615" s="46"/>
      <c r="M615" s="46"/>
      <c r="N615" s="46"/>
    </row>
    <row r="616" spans="1:14">
      <c r="C616" s="206">
        <f>IF(C619&gt;D613,0,D613-C619)</f>
        <v>0</v>
      </c>
      <c r="E616" s="40"/>
      <c r="G616" s="637"/>
      <c r="J616" s="46"/>
      <c r="K616" s="159"/>
      <c r="L616" s="46"/>
      <c r="M616" s="46"/>
      <c r="N616" s="46"/>
    </row>
    <row r="617" spans="1:14">
      <c r="A617" s="17" t="s">
        <v>45</v>
      </c>
      <c r="C617" s="187"/>
      <c r="D617" s="54" t="s">
        <v>135</v>
      </c>
      <c r="E617" s="17"/>
      <c r="F617" s="36"/>
      <c r="G617" s="637"/>
      <c r="J617" s="46"/>
      <c r="K617" s="159"/>
      <c r="L617" s="46"/>
      <c r="M617" s="46"/>
      <c r="N617" s="46"/>
    </row>
    <row r="618" spans="1:14">
      <c r="C618" s="187"/>
      <c r="D618" s="33"/>
      <c r="E618" s="84">
        <f>C623*(H631-H613)/I620</f>
        <v>0.3</v>
      </c>
      <c r="G618" s="637"/>
      <c r="J618" s="46"/>
      <c r="K618" s="159"/>
      <c r="L618" s="46"/>
      <c r="M618" s="46"/>
      <c r="N618" s="46"/>
    </row>
    <row r="619" spans="1:14">
      <c r="C619" s="54">
        <f>E42</f>
        <v>12.589876717125241</v>
      </c>
      <c r="D619" s="33"/>
      <c r="E619" s="17"/>
      <c r="F619" s="36"/>
      <c r="G619" s="637"/>
      <c r="J619" s="46"/>
      <c r="K619" s="159"/>
      <c r="L619" s="46"/>
      <c r="M619" s="46"/>
      <c r="N619" s="46"/>
    </row>
    <row r="620" spans="1:14">
      <c r="C620" s="187"/>
      <c r="E620" s="40"/>
      <c r="H620" s="17" t="s">
        <v>600</v>
      </c>
      <c r="I620" s="10">
        <f>D613-G627</f>
        <v>5.85</v>
      </c>
      <c r="J620" s="44"/>
      <c r="K620" s="159"/>
      <c r="L620" s="46"/>
      <c r="M620" s="224"/>
      <c r="N620" s="46"/>
    </row>
    <row r="621" spans="1:14">
      <c r="A621" s="17" t="s">
        <v>44</v>
      </c>
      <c r="C621" s="187"/>
      <c r="E621" s="40"/>
      <c r="F621" s="33">
        <f>E45</f>
        <v>13.9</v>
      </c>
      <c r="G621" s="18" t="s">
        <v>5</v>
      </c>
      <c r="J621" s="46"/>
      <c r="K621" s="159"/>
      <c r="L621" s="46"/>
      <c r="M621" s="46"/>
      <c r="N621" s="46"/>
    </row>
    <row r="622" spans="1:14">
      <c r="C622" s="187"/>
      <c r="E622" s="88"/>
      <c r="G622" s="33"/>
      <c r="I622" s="10"/>
      <c r="J622" s="44"/>
      <c r="K622" s="159"/>
      <c r="L622" s="46"/>
      <c r="M622" s="46"/>
      <c r="N622" s="46"/>
    </row>
    <row r="623" spans="1:14">
      <c r="C623" s="206">
        <f>IF(C619&gt;D613,I620,C619-G627)</f>
        <v>5.85</v>
      </c>
      <c r="E623" s="53"/>
      <c r="G623" s="637" t="s">
        <v>607</v>
      </c>
      <c r="J623" s="46"/>
      <c r="K623" s="159"/>
      <c r="L623" s="46"/>
      <c r="M623" s="46"/>
      <c r="N623" s="46"/>
    </row>
    <row r="624" spans="1:14">
      <c r="C624" s="187"/>
      <c r="E624" s="346"/>
      <c r="F624" s="54">
        <f>IF(F621&gt;D613,I620,IF(F621&lt;G627,0,F621-G627))</f>
        <v>5.85</v>
      </c>
      <c r="G624" t="s">
        <v>5</v>
      </c>
      <c r="J624" s="46"/>
      <c r="K624" s="159"/>
      <c r="L624" s="46"/>
      <c r="M624" s="46"/>
    </row>
    <row r="625" spans="1:14">
      <c r="A625" s="2" t="s">
        <v>605</v>
      </c>
      <c r="C625" s="187"/>
      <c r="E625" s="17" t="s">
        <v>606</v>
      </c>
      <c r="F625" s="36"/>
      <c r="J625" s="46"/>
      <c r="K625" s="159"/>
      <c r="L625" s="46"/>
      <c r="M625" s="46"/>
      <c r="N625" s="46"/>
    </row>
    <row r="626" spans="1:14">
      <c r="C626" s="187"/>
      <c r="E626" s="40"/>
      <c r="J626" s="46"/>
      <c r="K626" s="159"/>
      <c r="L626" s="46"/>
      <c r="M626" s="46"/>
      <c r="N626" s="46"/>
    </row>
    <row r="627" spans="1:14">
      <c r="C627" s="187"/>
      <c r="E627" s="40"/>
      <c r="F627" s="17" t="s">
        <v>603</v>
      </c>
      <c r="G627" s="36">
        <f>F51</f>
        <v>6.1</v>
      </c>
      <c r="I627" s="10"/>
      <c r="J627" s="44"/>
      <c r="K627" s="159"/>
      <c r="L627" s="46"/>
      <c r="M627" s="46"/>
      <c r="N627" s="46"/>
    </row>
    <row r="628" spans="1:14">
      <c r="C628" s="187"/>
      <c r="F628" s="53"/>
      <c r="H628" s="33"/>
      <c r="I628" s="3223">
        <f>I708</f>
        <v>1.0013888888888889</v>
      </c>
      <c r="J628" s="46"/>
      <c r="K628" s="159"/>
      <c r="L628" s="46"/>
      <c r="M628" s="46"/>
      <c r="N628" s="46"/>
    </row>
    <row r="629" spans="1:14">
      <c r="C629" s="187"/>
      <c r="I629" s="3223"/>
      <c r="J629" s="44"/>
      <c r="K629" s="159"/>
      <c r="L629" s="46"/>
      <c r="M629" s="46"/>
      <c r="N629" s="46"/>
    </row>
    <row r="630" spans="1:14">
      <c r="C630" s="187"/>
      <c r="G630" s="33"/>
      <c r="J630" s="46"/>
      <c r="K630" s="159"/>
      <c r="L630" s="46"/>
      <c r="M630" s="46"/>
      <c r="N630" s="46"/>
    </row>
    <row r="631" spans="1:14">
      <c r="C631" s="187"/>
      <c r="D631" s="10">
        <f>H631</f>
        <v>0.6</v>
      </c>
      <c r="F631" s="33">
        <f>E82</f>
        <v>7.7351694915254239</v>
      </c>
      <c r="G631" t="s">
        <v>5</v>
      </c>
      <c r="H631" s="2549">
        <f>S65</f>
        <v>0.6</v>
      </c>
      <c r="I631" s="440" t="str">
        <f>IF(AND(I660="ok",I661="ok"),"ok","Not ok")</f>
        <v>ok</v>
      </c>
      <c r="J631" s="46"/>
      <c r="K631" s="159"/>
      <c r="L631" s="46"/>
      <c r="M631" s="46"/>
      <c r="N631" s="46"/>
    </row>
    <row r="632" spans="1:14">
      <c r="C632" s="187"/>
      <c r="J632" s="46"/>
      <c r="K632" s="159"/>
      <c r="L632" s="46"/>
      <c r="M632" s="46"/>
      <c r="N632" s="46"/>
    </row>
    <row r="633" spans="1:14">
      <c r="C633" s="187"/>
      <c r="F633" s="33">
        <f>F631+H631+D631</f>
        <v>8.9351694915254232</v>
      </c>
      <c r="G633" t="s">
        <v>5</v>
      </c>
      <c r="J633" s="46"/>
      <c r="K633" s="159"/>
      <c r="L633" s="46"/>
      <c r="M633" s="61"/>
      <c r="N633" s="46"/>
    </row>
    <row r="634" spans="1:14">
      <c r="A634" s="187"/>
      <c r="B634" s="753" t="s">
        <v>1880</v>
      </c>
      <c r="C634" s="753"/>
      <c r="D634" s="753"/>
      <c r="E634" s="753"/>
      <c r="F634" s="753"/>
      <c r="G634" s="753"/>
      <c r="H634" s="753"/>
      <c r="I634" s="753"/>
      <c r="J634" s="46"/>
      <c r="K634" s="159"/>
      <c r="L634" s="109"/>
      <c r="M634" s="61"/>
      <c r="N634" s="46"/>
    </row>
    <row r="635" spans="1:14">
      <c r="A635" s="187"/>
      <c r="J635" s="46"/>
      <c r="K635" s="159"/>
      <c r="L635" s="109"/>
      <c r="M635" s="61"/>
      <c r="N635" s="46"/>
    </row>
    <row r="636" spans="1:14">
      <c r="A636" s="225" t="str">
        <f>"a) Design of Wall  : SEC "&amp;C605&amp;"    (R/S)"</f>
        <v>a) Design of Wall  : SEC 3-3    (R/S)</v>
      </c>
      <c r="B636" s="174"/>
      <c r="C636" s="174"/>
      <c r="D636" s="174"/>
      <c r="J636" s="46"/>
      <c r="K636" s="159"/>
      <c r="L636" s="46"/>
      <c r="M636" s="46"/>
      <c r="N636" s="46"/>
    </row>
    <row r="637" spans="1:14">
      <c r="A637" s="1" t="s">
        <v>612</v>
      </c>
      <c r="C637" s="2"/>
      <c r="D637" s="10"/>
      <c r="J637" s="46"/>
      <c r="K637" s="159"/>
      <c r="L637" s="46"/>
      <c r="M637" s="46"/>
      <c r="N637" s="46"/>
    </row>
    <row r="638" spans="1:14">
      <c r="A638" s="187" t="s">
        <v>611</v>
      </c>
      <c r="C638" s="2"/>
      <c r="D638" s="10"/>
      <c r="J638" s="46"/>
      <c r="K638" s="159"/>
      <c r="L638" s="46"/>
      <c r="M638" s="46"/>
      <c r="N638" s="46"/>
    </row>
    <row r="639" spans="1:14">
      <c r="A639" s="2" t="s">
        <v>131</v>
      </c>
      <c r="C639" s="2" t="s">
        <v>35</v>
      </c>
      <c r="D639" s="10">
        <f>D613-G627</f>
        <v>5.85</v>
      </c>
      <c r="E639" t="s">
        <v>5</v>
      </c>
      <c r="J639" s="46"/>
      <c r="K639" s="159"/>
      <c r="L639" s="46"/>
      <c r="M639" s="109"/>
      <c r="N639" s="46"/>
    </row>
    <row r="640" spans="1:14" ht="15.75">
      <c r="A640" s="187" t="s">
        <v>593</v>
      </c>
      <c r="C640" s="2" t="s">
        <v>35</v>
      </c>
      <c r="D640" s="10">
        <f>0.5*$I$8*$D$6*D639^2</f>
        <v>116.75917627620657</v>
      </c>
      <c r="E640" t="s">
        <v>21</v>
      </c>
      <c r="J640" s="46"/>
      <c r="K640" s="159"/>
      <c r="L640" s="46"/>
      <c r="M640" s="109"/>
      <c r="N640" s="388"/>
    </row>
    <row r="641" spans="1:14" ht="20.25">
      <c r="A641" s="38" t="s">
        <v>594</v>
      </c>
      <c r="C641" s="2" t="s">
        <v>35</v>
      </c>
      <c r="D641" s="10">
        <f>(1/6)*$I$8*$D$6*D639^3</f>
        <v>227.68039373860279</v>
      </c>
      <c r="E641" t="s">
        <v>107</v>
      </c>
      <c r="J641" s="46"/>
      <c r="K641" s="159"/>
      <c r="L641" s="46"/>
      <c r="M641" s="46"/>
      <c r="N641" s="46"/>
    </row>
    <row r="642" spans="1:14" ht="12.75" customHeight="1">
      <c r="J642" s="46"/>
      <c r="K642" s="159"/>
      <c r="L642" s="389"/>
      <c r="M642" s="388"/>
      <c r="N642" s="389"/>
    </row>
    <row r="643" spans="1:14" ht="12.75" customHeight="1">
      <c r="A643" s="1" t="s">
        <v>649</v>
      </c>
      <c r="J643" s="46"/>
      <c r="K643" s="159"/>
      <c r="L643" s="389"/>
      <c r="M643" s="388"/>
      <c r="N643" s="389"/>
    </row>
    <row r="644" spans="1:14" ht="12.75" customHeight="1">
      <c r="A644" s="1" t="s">
        <v>653</v>
      </c>
      <c r="D644" s="86"/>
      <c r="J644" s="46"/>
      <c r="K644" s="159"/>
      <c r="L644" s="389"/>
      <c r="M644" s="388"/>
      <c r="N644" s="389"/>
    </row>
    <row r="645" spans="1:14" ht="12.75" customHeight="1">
      <c r="A645" s="1"/>
      <c r="B645" s="187"/>
      <c r="D645" s="86"/>
      <c r="J645" s="46"/>
      <c r="K645" s="159"/>
      <c r="L645" s="389"/>
      <c r="M645" s="388"/>
      <c r="N645" s="389"/>
    </row>
    <row r="646" spans="1:14" ht="12.75" customHeight="1">
      <c r="A646" s="2" t="s">
        <v>132</v>
      </c>
      <c r="B646" s="2" t="s">
        <v>35</v>
      </c>
      <c r="C646" s="10">
        <f>C616</f>
        <v>0</v>
      </c>
      <c r="D646" t="s">
        <v>5</v>
      </c>
      <c r="J646" s="46"/>
      <c r="K646" s="159"/>
      <c r="L646" s="389"/>
      <c r="M646" s="388"/>
      <c r="N646" s="389"/>
    </row>
    <row r="647" spans="1:14">
      <c r="A647" s="2" t="s">
        <v>133</v>
      </c>
      <c r="B647" s="2" t="s">
        <v>35</v>
      </c>
      <c r="C647" s="10">
        <f>C623</f>
        <v>5.85</v>
      </c>
      <c r="D647" t="s">
        <v>5</v>
      </c>
      <c r="J647" s="46"/>
      <c r="K647" s="159"/>
      <c r="L647" s="46"/>
      <c r="M647" s="46"/>
      <c r="N647" s="46"/>
    </row>
    <row r="648" spans="1:14">
      <c r="A648" s="2" t="s">
        <v>134</v>
      </c>
      <c r="B648" s="2" t="s">
        <v>35</v>
      </c>
      <c r="C648" s="10">
        <f>F624</f>
        <v>5.85</v>
      </c>
      <c r="D648" t="s">
        <v>5</v>
      </c>
      <c r="J648" s="46"/>
      <c r="K648" s="159"/>
      <c r="L648" s="46"/>
      <c r="M648" s="46"/>
      <c r="N648" s="46"/>
    </row>
    <row r="649" spans="1:14" ht="20.25">
      <c r="A649" s="38" t="s">
        <v>624</v>
      </c>
      <c r="C649" s="2"/>
      <c r="D649" s="54">
        <f>0.5*$I$8*$D$5*C646^2</f>
        <v>0</v>
      </c>
      <c r="E649" s="187" t="s">
        <v>341</v>
      </c>
      <c r="F649" s="38" t="s">
        <v>628</v>
      </c>
      <c r="I649" s="33">
        <f>D649*(C647+C646/3)</f>
        <v>0</v>
      </c>
      <c r="J649" s="224"/>
      <c r="K649" s="159"/>
      <c r="L649" s="46"/>
      <c r="M649" s="46"/>
      <c r="N649" s="90"/>
    </row>
    <row r="650" spans="1:14" ht="18.75">
      <c r="A650" s="38" t="s">
        <v>625</v>
      </c>
      <c r="C650" s="2"/>
      <c r="D650" s="54">
        <f>$I$8*$D$5*C646*C647</f>
        <v>0</v>
      </c>
      <c r="E650" s="187" t="s">
        <v>341</v>
      </c>
      <c r="F650" s="38" t="s">
        <v>631</v>
      </c>
      <c r="I650" s="33">
        <f>D650*C647/2</f>
        <v>0</v>
      </c>
      <c r="J650" s="224"/>
      <c r="K650" s="159"/>
      <c r="L650" s="388"/>
      <c r="M650" s="389"/>
      <c r="N650" s="90"/>
    </row>
    <row r="651" spans="1:14" ht="20.25">
      <c r="A651" s="38" t="s">
        <v>626</v>
      </c>
      <c r="C651" s="2"/>
      <c r="D651" s="54">
        <f>0.5*($I$8*($D$6-$D$7)+$D$7)*C647^2</f>
        <v>224.01696632808031</v>
      </c>
      <c r="E651" s="187" t="s">
        <v>341</v>
      </c>
      <c r="F651" s="38" t="s">
        <v>629</v>
      </c>
      <c r="I651" s="33">
        <f>D651*C647/3</f>
        <v>436.83308433975662</v>
      </c>
      <c r="J651" s="224"/>
      <c r="K651" s="159"/>
      <c r="L651" s="388"/>
      <c r="M651" s="224"/>
      <c r="N651" s="109"/>
    </row>
    <row r="652" spans="1:14" ht="20.25">
      <c r="A652" s="38" t="s">
        <v>627</v>
      </c>
      <c r="C652" s="2"/>
      <c r="D652" s="211">
        <f>0.5*$D$7*C648^2</f>
        <v>167.86136249999998</v>
      </c>
      <c r="E652" s="187" t="s">
        <v>341</v>
      </c>
      <c r="F652" s="38" t="s">
        <v>630</v>
      </c>
      <c r="I652" s="212">
        <f>D652*C648/3</f>
        <v>327.32965687499996</v>
      </c>
      <c r="J652" s="785"/>
      <c r="K652" s="159"/>
      <c r="L652" s="388"/>
      <c r="M652" s="46"/>
      <c r="N652" s="90"/>
    </row>
    <row r="653" spans="1:14" ht="15.75">
      <c r="C653" s="38" t="s">
        <v>632</v>
      </c>
      <c r="D653" s="54">
        <f>D649+D650+D651-D652</f>
        <v>56.155603828080331</v>
      </c>
      <c r="E653" s="187" t="s">
        <v>341</v>
      </c>
      <c r="F653" s="18"/>
      <c r="H653" s="187" t="s">
        <v>633</v>
      </c>
      <c r="I653" s="54">
        <f>D649*(C647+C646/3)+D650*0.5*C647+D651*C647/3-D652*C648/3</f>
        <v>109.50342746475667</v>
      </c>
      <c r="J653" s="162"/>
      <c r="K653" s="159"/>
      <c r="L653" s="388"/>
      <c r="M653" s="389"/>
      <c r="N653" s="90"/>
    </row>
    <row r="654" spans="1:14">
      <c r="D654" s="2"/>
      <c r="E654" s="10"/>
      <c r="J654" s="46"/>
      <c r="K654" s="159"/>
      <c r="L654" s="388"/>
      <c r="M654" s="46"/>
      <c r="N654" s="90"/>
    </row>
    <row r="655" spans="1:14">
      <c r="A655" t="s">
        <v>129</v>
      </c>
      <c r="B655" s="17"/>
      <c r="C655" s="2" t="s">
        <v>35</v>
      </c>
      <c r="D655" s="210">
        <f>MAX(D640,D653)</f>
        <v>116.75917627620657</v>
      </c>
      <c r="E655" s="36" t="s">
        <v>21</v>
      </c>
      <c r="J655" s="46"/>
      <c r="K655" s="159"/>
      <c r="L655" s="46"/>
      <c r="M655" s="46"/>
      <c r="N655" s="46"/>
    </row>
    <row r="656" spans="1:14">
      <c r="A656" t="s">
        <v>130</v>
      </c>
      <c r="B656" s="17"/>
      <c r="C656" s="2" t="s">
        <v>35</v>
      </c>
      <c r="D656" s="210">
        <f>MAX(D641,I653)</f>
        <v>227.68039373860279</v>
      </c>
      <c r="E656" s="36" t="s">
        <v>107</v>
      </c>
      <c r="J656" s="46"/>
      <c r="K656" s="159"/>
      <c r="L656" s="46"/>
      <c r="M656" s="46"/>
      <c r="N656" s="46"/>
    </row>
    <row r="657" spans="1:16">
      <c r="A657" s="187" t="s">
        <v>599</v>
      </c>
      <c r="D657" s="129">
        <f>H631*1000</f>
        <v>600</v>
      </c>
      <c r="E657" s="187" t="s">
        <v>98</v>
      </c>
      <c r="J657" s="46"/>
      <c r="K657" s="159"/>
      <c r="L657" s="46"/>
      <c r="M657" s="46"/>
      <c r="N657" s="46"/>
    </row>
    <row r="658" spans="1:16">
      <c r="A658" s="187" t="s">
        <v>571</v>
      </c>
      <c r="D658" s="129">
        <f>D657-$I$13-C680/2</f>
        <v>530</v>
      </c>
      <c r="E658" s="187" t="s">
        <v>98</v>
      </c>
      <c r="J658" s="46"/>
      <c r="K658" s="159"/>
      <c r="L658" s="46"/>
      <c r="M658" s="46"/>
      <c r="N658" s="189"/>
    </row>
    <row r="659" spans="1:16">
      <c r="J659" s="46"/>
      <c r="K659" s="159"/>
      <c r="L659" s="388"/>
      <c r="M659" s="46"/>
      <c r="N659" s="46"/>
    </row>
    <row r="660" spans="1:16">
      <c r="A660" s="187" t="s">
        <v>578</v>
      </c>
      <c r="D660" s="2"/>
      <c r="G660" s="9">
        <f>(D655*10^3)/($C$24*1000)</f>
        <v>273.55098926569491</v>
      </c>
      <c r="H660" s="187" t="s">
        <v>98</v>
      </c>
      <c r="I660" s="126" t="str">
        <f>IF(G660&lt;=D658,"ok","Not ok")</f>
        <v>ok</v>
      </c>
      <c r="J660" s="46"/>
      <c r="K660" s="159"/>
      <c r="L660" s="289"/>
      <c r="M660" s="46"/>
      <c r="N660" s="46"/>
    </row>
    <row r="661" spans="1:16">
      <c r="A661" s="187" t="s">
        <v>577</v>
      </c>
      <c r="C661" s="201"/>
      <c r="D661" s="2"/>
      <c r="G661" s="9">
        <f>((D656*10^6)/($C$23*1000))^0.5</f>
        <v>398.99751550928443</v>
      </c>
      <c r="H661" s="187" t="s">
        <v>98</v>
      </c>
      <c r="I661" s="126" t="str">
        <f>IF(G661&lt;=D658,"ok","Not ok")</f>
        <v>ok</v>
      </c>
      <c r="J661" s="46"/>
      <c r="K661" s="159"/>
      <c r="L661" s="388"/>
      <c r="M661" s="46"/>
      <c r="N661" s="46"/>
    </row>
    <row r="662" spans="1:16">
      <c r="A662" s="187" t="s">
        <v>634</v>
      </c>
      <c r="E662" s="2"/>
      <c r="G662" s="9">
        <f>(D656*10^6)/($C$18*$C$22*D658)</f>
        <v>2584.9620790369408</v>
      </c>
      <c r="H662" s="187" t="s">
        <v>128</v>
      </c>
      <c r="J662" s="46"/>
      <c r="K662" s="159"/>
      <c r="L662" s="289"/>
      <c r="M662" s="46"/>
      <c r="N662" s="46"/>
    </row>
    <row r="663" spans="1:16">
      <c r="J663" s="46"/>
      <c r="K663" s="159"/>
      <c r="L663" s="289"/>
      <c r="M663" s="46"/>
      <c r="N663" s="46"/>
    </row>
    <row r="664" spans="1:16">
      <c r="A664" s="187" t="s">
        <v>1828</v>
      </c>
      <c r="E664" s="2"/>
      <c r="G664" s="2052">
        <f>IF(I653&lt;0,ABS(I653),0)</f>
        <v>0</v>
      </c>
      <c r="H664" s="36" t="s">
        <v>107</v>
      </c>
      <c r="J664" s="46"/>
      <c r="K664" s="159"/>
      <c r="L664" s="289"/>
      <c r="M664" s="46"/>
      <c r="N664" s="46"/>
    </row>
    <row r="665" spans="1:16">
      <c r="A665" s="187" t="s">
        <v>1829</v>
      </c>
      <c r="E665" s="2"/>
      <c r="G665" s="9">
        <f>(G664*10^6)/($C$18*$C$22*D658)</f>
        <v>0</v>
      </c>
      <c r="H665" s="187" t="s">
        <v>128</v>
      </c>
      <c r="J665" s="46"/>
      <c r="K665" s="159"/>
      <c r="L665" s="289"/>
      <c r="M665" s="46"/>
      <c r="N665" s="46"/>
    </row>
    <row r="666" spans="1:16">
      <c r="J666" s="46"/>
      <c r="K666" s="159"/>
      <c r="L666" s="3219" t="s">
        <v>1940</v>
      </c>
      <c r="M666" s="3220"/>
      <c r="N666" s="3220"/>
      <c r="O666" s="3220"/>
      <c r="P666" s="3221"/>
    </row>
    <row r="667" spans="1:16">
      <c r="A667" s="936" t="str">
        <f>"Reinforcement Distribution of R/S Wing Wall for Sec "&amp;C605</f>
        <v>Reinforcement Distribution of R/S Wing Wall for Sec 3-3</v>
      </c>
      <c r="G667" s="107"/>
      <c r="H667" s="107"/>
      <c r="J667" s="46"/>
      <c r="K667" s="159"/>
      <c r="L667" s="2286" t="s">
        <v>876</v>
      </c>
      <c r="M667" s="3210" t="s">
        <v>492</v>
      </c>
      <c r="N667" s="3212"/>
      <c r="O667" s="3210" t="s">
        <v>493</v>
      </c>
      <c r="P667" s="3212"/>
    </row>
    <row r="668" spans="1:16">
      <c r="J668" s="46"/>
      <c r="K668" s="159"/>
      <c r="L668" s="2293"/>
      <c r="M668" s="2287" t="s">
        <v>709</v>
      </c>
      <c r="N668" s="1973" t="s">
        <v>710</v>
      </c>
      <c r="O668" s="1973" t="s">
        <v>709</v>
      </c>
      <c r="P668" s="2288" t="s">
        <v>710</v>
      </c>
    </row>
    <row r="669" spans="1:16">
      <c r="A669" s="3147" t="s">
        <v>486</v>
      </c>
      <c r="B669" s="3148" t="s">
        <v>487</v>
      </c>
      <c r="C669" s="3148" t="s">
        <v>488</v>
      </c>
      <c r="D669" s="3148" t="s">
        <v>489</v>
      </c>
      <c r="E669" s="3149" t="s">
        <v>490</v>
      </c>
      <c r="F669" s="3150"/>
      <c r="G669" s="3150"/>
      <c r="H669" s="3150"/>
      <c r="I669" s="3150"/>
      <c r="J669" s="330"/>
      <c r="K669" s="159"/>
      <c r="L669" s="873" t="str">
        <f>L681</f>
        <v>1-1</v>
      </c>
      <c r="M669" s="874">
        <f t="shared" ref="M669:P673" si="18">M173</f>
        <v>25</v>
      </c>
      <c r="N669" s="874">
        <f t="shared" si="18"/>
        <v>100</v>
      </c>
      <c r="O669" s="874">
        <f t="shared" si="18"/>
        <v>16</v>
      </c>
      <c r="P669" s="875">
        <f t="shared" si="18"/>
        <v>200</v>
      </c>
    </row>
    <row r="670" spans="1:16">
      <c r="A670" s="3147"/>
      <c r="B670" s="3148"/>
      <c r="C670" s="3148"/>
      <c r="D670" s="3148"/>
      <c r="E670" s="94">
        <v>12</v>
      </c>
      <c r="F670" s="94">
        <v>16</v>
      </c>
      <c r="G670" s="94">
        <v>20</v>
      </c>
      <c r="H670" s="94">
        <v>22</v>
      </c>
      <c r="I670" s="94">
        <v>25</v>
      </c>
      <c r="J670" s="275"/>
      <c r="K670" s="159"/>
      <c r="L670" s="860" t="str">
        <f>L682</f>
        <v>2-2</v>
      </c>
      <c r="M670" s="869">
        <f t="shared" si="18"/>
        <v>25</v>
      </c>
      <c r="N670" s="869">
        <f t="shared" si="18"/>
        <v>100</v>
      </c>
      <c r="O670" s="869">
        <f t="shared" si="18"/>
        <v>16</v>
      </c>
      <c r="P670" s="870">
        <f t="shared" si="18"/>
        <v>200</v>
      </c>
    </row>
    <row r="671" spans="1:16" ht="14.25">
      <c r="A671" s="172"/>
      <c r="B671" s="256" t="s">
        <v>491</v>
      </c>
      <c r="C671" s="256" t="s">
        <v>491</v>
      </c>
      <c r="D671" s="256" t="s">
        <v>491</v>
      </c>
      <c r="E671" s="628" t="s">
        <v>98</v>
      </c>
      <c r="F671" s="628" t="s">
        <v>98</v>
      </c>
      <c r="G671" s="628" t="s">
        <v>98</v>
      </c>
      <c r="H671" s="628" t="s">
        <v>98</v>
      </c>
      <c r="I671" s="628" t="s">
        <v>98</v>
      </c>
      <c r="J671" s="759"/>
      <c r="K671" s="159"/>
      <c r="L671" s="2021" t="str">
        <f>L683</f>
        <v>3-3</v>
      </c>
      <c r="M671" s="2017">
        <f t="shared" si="18"/>
        <v>20</v>
      </c>
      <c r="N671" s="2017">
        <f t="shared" si="18"/>
        <v>100</v>
      </c>
      <c r="O671" s="2017">
        <f t="shared" si="18"/>
        <v>16</v>
      </c>
      <c r="P671" s="2018">
        <f t="shared" si="18"/>
        <v>200</v>
      </c>
    </row>
    <row r="672" spans="1:16">
      <c r="A672" s="258" t="s">
        <v>492</v>
      </c>
      <c r="B672" s="55"/>
      <c r="C672" s="55"/>
      <c r="D672" s="55"/>
      <c r="E672" s="55"/>
      <c r="F672" s="55"/>
      <c r="G672" s="55"/>
      <c r="H672" s="55"/>
      <c r="I672" s="56"/>
      <c r="J672" s="386"/>
      <c r="K672" s="159"/>
      <c r="L672" s="860" t="str">
        <f>L684</f>
        <v>4-4</v>
      </c>
      <c r="M672" s="869">
        <f t="shared" si="18"/>
        <v>16</v>
      </c>
      <c r="N672" s="869">
        <f t="shared" si="18"/>
        <v>100</v>
      </c>
      <c r="O672" s="869">
        <f t="shared" si="18"/>
        <v>16</v>
      </c>
      <c r="P672" s="870">
        <f t="shared" si="18"/>
        <v>200</v>
      </c>
    </row>
    <row r="673" spans="1:16">
      <c r="A673" s="259" t="s">
        <v>111</v>
      </c>
      <c r="B673" s="318">
        <f>G662</f>
        <v>2584.9620790369408</v>
      </c>
      <c r="C673" s="318">
        <f>IF(E611&gt;380,C609*1000*380,C609*1000*E611)</f>
        <v>380</v>
      </c>
      <c r="D673" s="318">
        <f>MAX(B673:C673)</f>
        <v>2584.9620790369408</v>
      </c>
      <c r="E673" s="261">
        <f>PI()*(E670/2)^2*1000/$D673</f>
        <v>43.752028877486801</v>
      </c>
      <c r="F673" s="261">
        <f>PI()*(F670/2)^2*1000/$D673</f>
        <v>77.781384671087636</v>
      </c>
      <c r="G673" s="261">
        <f>PI()*(G670/2)^2*1000/$D673</f>
        <v>121.53341354857446</v>
      </c>
      <c r="H673" s="261">
        <f>PI()*(H670/2)^2*1000/$D673</f>
        <v>147.05543039377508</v>
      </c>
      <c r="I673" s="283">
        <f>PI()*(I670/2)^2*1000/$D673</f>
        <v>189.89595866964757</v>
      </c>
      <c r="J673" s="328"/>
      <c r="K673" s="159"/>
      <c r="L673" s="865" t="str">
        <f>L685</f>
        <v>5-5</v>
      </c>
      <c r="M673" s="871">
        <f t="shared" si="18"/>
        <v>16</v>
      </c>
      <c r="N673" s="871">
        <f t="shared" si="18"/>
        <v>100</v>
      </c>
      <c r="O673" s="871">
        <f t="shared" si="18"/>
        <v>16</v>
      </c>
      <c r="P673" s="872">
        <f t="shared" si="18"/>
        <v>200</v>
      </c>
    </row>
    <row r="674" spans="1:16">
      <c r="A674" s="262" t="s">
        <v>110</v>
      </c>
      <c r="B674" s="319"/>
      <c r="C674" s="318">
        <f>IF(E611&gt;380,C610*1000*380,C610*1000*E611)</f>
        <v>570</v>
      </c>
      <c r="D674" s="319">
        <f>MAX(B674:C674)</f>
        <v>570</v>
      </c>
      <c r="E674" s="261">
        <f>PI()*(E670/2)^2*1000/$D674</f>
        <v>198.41637812146064</v>
      </c>
      <c r="F674" s="261">
        <f>PI()*(F670/2)^2*1000/$D674</f>
        <v>352.74022777148554</v>
      </c>
      <c r="G674" s="261">
        <f>PI()*(G670/2)^2*1000/$D674</f>
        <v>551.15660589294623</v>
      </c>
      <c r="H674" s="261">
        <f>PI()*(H670/2)^2*1000/$D674</f>
        <v>666.89949313046486</v>
      </c>
      <c r="I674" s="283">
        <f>PI()*(I670/2)^2*1000/$D674</f>
        <v>861.18219670772839</v>
      </c>
      <c r="J674" s="328"/>
      <c r="K674" s="159"/>
      <c r="L674" s="46"/>
      <c r="M674" s="46"/>
      <c r="N674" s="46"/>
    </row>
    <row r="675" spans="1:16">
      <c r="A675" s="264" t="s">
        <v>493</v>
      </c>
      <c r="B675" s="265"/>
      <c r="C675" s="322"/>
      <c r="D675" s="322"/>
      <c r="E675" s="266"/>
      <c r="F675" s="266"/>
      <c r="G675" s="266"/>
      <c r="H675" s="266"/>
      <c r="I675" s="267"/>
      <c r="J675" s="330"/>
      <c r="K675" s="159"/>
      <c r="L675" s="46"/>
      <c r="M675" s="46"/>
      <c r="N675" s="46"/>
    </row>
    <row r="676" spans="1:16">
      <c r="A676" s="259" t="s">
        <v>111</v>
      </c>
      <c r="B676" s="318">
        <f>G665</f>
        <v>0</v>
      </c>
      <c r="C676" s="318">
        <f>IF(E611&gt;380,H609*1000*380,H609*1000*E611)</f>
        <v>760</v>
      </c>
      <c r="D676" s="318">
        <f>MAX(B676:C676)</f>
        <v>760</v>
      </c>
      <c r="E676" s="261">
        <f>PI()*(E670/2)^2*1000/$D676</f>
        <v>148.81228359109548</v>
      </c>
      <c r="F676" s="261">
        <f>PI()*(F670/2)^2*1000/$D676</f>
        <v>264.55517082861417</v>
      </c>
      <c r="G676" s="261">
        <f>PI()*(G670/2)^2*1000/$D676</f>
        <v>413.36745441970965</v>
      </c>
      <c r="H676" s="261">
        <f>PI()*(H670/2)^2*1000/$D676</f>
        <v>500.17461984784865</v>
      </c>
      <c r="I676" s="283">
        <f>PI()*(I670/2)^2*1000/$D676</f>
        <v>645.88664753079627</v>
      </c>
      <c r="J676" s="328"/>
      <c r="K676" s="159"/>
      <c r="L676" s="46"/>
      <c r="M676" s="46"/>
      <c r="N676" s="388"/>
    </row>
    <row r="677" spans="1:16">
      <c r="A677" s="262" t="s">
        <v>110</v>
      </c>
      <c r="B677" s="263"/>
      <c r="C677" s="319">
        <f>IF(E611&gt;380,H610*1000*380,H610*1000*E611)</f>
        <v>950</v>
      </c>
      <c r="D677" s="319">
        <f>MAX(B677:C677)</f>
        <v>950</v>
      </c>
      <c r="E677" s="284">
        <f>PI()*(E670/2)^2*1000/$D677</f>
        <v>119.04982687287638</v>
      </c>
      <c r="F677" s="284">
        <f>PI()*(F670/2)^2*1000/$D677</f>
        <v>211.6441366628913</v>
      </c>
      <c r="G677" s="284">
        <f>PI()*(G670/2)^2*1000/$D677</f>
        <v>330.69396353576775</v>
      </c>
      <c r="H677" s="284">
        <f>PI()*(H670/2)^2*1000/$D677</f>
        <v>400.13969587827893</v>
      </c>
      <c r="I677" s="285">
        <f>PI()*(I670/2)^2*1000/$D677</f>
        <v>516.70931802463701</v>
      </c>
      <c r="J677" s="328"/>
      <c r="K677" s="159"/>
      <c r="L677" s="3219" t="s">
        <v>1139</v>
      </c>
      <c r="M677" s="3220"/>
      <c r="N677" s="3220"/>
      <c r="O677" s="3220"/>
      <c r="P677" s="3221"/>
    </row>
    <row r="678" spans="1:16">
      <c r="J678" s="46"/>
      <c r="K678" s="159"/>
      <c r="L678" s="3208" t="s">
        <v>876</v>
      </c>
      <c r="M678" s="3210" t="s">
        <v>110</v>
      </c>
      <c r="N678" s="3211"/>
      <c r="O678" s="3211"/>
      <c r="P678" s="3212"/>
    </row>
    <row r="679" spans="1:16">
      <c r="A679" s="258" t="s">
        <v>492</v>
      </c>
      <c r="B679" s="55"/>
      <c r="C679" s="252"/>
      <c r="D679" s="55"/>
      <c r="E679" s="55"/>
      <c r="F679" s="56"/>
      <c r="G679" s="2723" t="s">
        <v>2095</v>
      </c>
      <c r="H679" s="2672" t="s">
        <v>1358</v>
      </c>
      <c r="I679" s="1178" t="s">
        <v>2094</v>
      </c>
      <c r="J679" s="46"/>
      <c r="K679" s="159"/>
      <c r="L679" s="3209"/>
      <c r="M679" s="3210" t="s">
        <v>492</v>
      </c>
      <c r="N679" s="3212"/>
      <c r="O679" s="3210" t="s">
        <v>493</v>
      </c>
      <c r="P679" s="3212"/>
    </row>
    <row r="680" spans="1:16" ht="15.75">
      <c r="A680" s="259" t="s">
        <v>111</v>
      </c>
      <c r="B680" s="268" t="s">
        <v>136</v>
      </c>
      <c r="C680" s="614">
        <v>20</v>
      </c>
      <c r="D680" s="638" t="s">
        <v>481</v>
      </c>
      <c r="E680" s="616">
        <v>100</v>
      </c>
      <c r="F680" s="272" t="s">
        <v>482</v>
      </c>
      <c r="G680" s="3118" t="s">
        <v>2108</v>
      </c>
      <c r="H680" s="94" t="s">
        <v>1348</v>
      </c>
      <c r="I680" s="94" t="s">
        <v>107</v>
      </c>
      <c r="J680" s="3253" t="str">
        <f>IF(I681&gt;=S26,"o.k","Not o.k")</f>
        <v>o.k</v>
      </c>
      <c r="K680" s="159"/>
      <c r="L680" s="3222"/>
      <c r="M680" s="857" t="s">
        <v>709</v>
      </c>
      <c r="N680" s="858" t="s">
        <v>710</v>
      </c>
      <c r="O680" s="858" t="s">
        <v>709</v>
      </c>
      <c r="P680" s="859" t="s">
        <v>710</v>
      </c>
    </row>
    <row r="681" spans="1:16" ht="15.75">
      <c r="A681" s="262" t="s">
        <v>110</v>
      </c>
      <c r="B681" s="278" t="s">
        <v>136</v>
      </c>
      <c r="C681" s="615">
        <v>16</v>
      </c>
      <c r="D681" s="280" t="s">
        <v>481</v>
      </c>
      <c r="E681" s="617">
        <v>200</v>
      </c>
      <c r="F681" s="282" t="s">
        <v>482</v>
      </c>
      <c r="G681" s="3239"/>
      <c r="H681" s="316">
        <f>PI()*(C680/2)^2*1000/E680</f>
        <v>3141.5926535897934</v>
      </c>
      <c r="I681" s="2675">
        <f>H681*$C$18*$C$22*D658/10^6</f>
        <v>276.70775449135874</v>
      </c>
      <c r="J681" s="3253"/>
      <c r="K681" s="159"/>
      <c r="L681" s="860" t="str">
        <f>L185</f>
        <v>1-1</v>
      </c>
      <c r="M681" s="869">
        <f t="shared" ref="M681:P681" si="19">M185</f>
        <v>16</v>
      </c>
      <c r="N681" s="869">
        <f t="shared" si="19"/>
        <v>200</v>
      </c>
      <c r="O681" s="869">
        <f t="shared" si="19"/>
        <v>16</v>
      </c>
      <c r="P681" s="870">
        <f t="shared" si="19"/>
        <v>200</v>
      </c>
    </row>
    <row r="682" spans="1:16" ht="15">
      <c r="A682" s="321" t="s">
        <v>493</v>
      </c>
      <c r="B682" s="273"/>
      <c r="C682" s="274"/>
      <c r="D682" s="275"/>
      <c r="E682" s="276"/>
      <c r="F682" s="277"/>
      <c r="J682" s="46"/>
      <c r="K682" s="159"/>
      <c r="L682" s="860" t="str">
        <f t="shared" ref="L682:P685" si="20">L186</f>
        <v>2-2</v>
      </c>
      <c r="M682" s="869">
        <f t="shared" si="20"/>
        <v>16</v>
      </c>
      <c r="N682" s="869">
        <f t="shared" si="20"/>
        <v>200</v>
      </c>
      <c r="O682" s="869">
        <f t="shared" si="20"/>
        <v>16</v>
      </c>
      <c r="P682" s="870">
        <f t="shared" si="20"/>
        <v>200</v>
      </c>
    </row>
    <row r="683" spans="1:16" ht="15.75">
      <c r="A683" s="259" t="s">
        <v>111</v>
      </c>
      <c r="B683" s="268" t="s">
        <v>136</v>
      </c>
      <c r="C683" s="614">
        <v>16</v>
      </c>
      <c r="D683" s="638" t="s">
        <v>481</v>
      </c>
      <c r="E683" s="616">
        <v>200</v>
      </c>
      <c r="F683" s="272" t="s">
        <v>482</v>
      </c>
      <c r="J683" s="46"/>
      <c r="K683" s="159"/>
      <c r="L683" s="860" t="str">
        <f t="shared" si="20"/>
        <v>3-3</v>
      </c>
      <c r="M683" s="869">
        <f t="shared" si="20"/>
        <v>16</v>
      </c>
      <c r="N683" s="869">
        <f t="shared" si="20"/>
        <v>200</v>
      </c>
      <c r="O683" s="869">
        <f t="shared" si="20"/>
        <v>16</v>
      </c>
      <c r="P683" s="870">
        <f t="shared" si="20"/>
        <v>200</v>
      </c>
    </row>
    <row r="684" spans="1:16" ht="15.75">
      <c r="A684" s="262" t="s">
        <v>110</v>
      </c>
      <c r="B684" s="278" t="s">
        <v>136</v>
      </c>
      <c r="C684" s="615">
        <v>16</v>
      </c>
      <c r="D684" s="280" t="s">
        <v>481</v>
      </c>
      <c r="E684" s="617">
        <v>200</v>
      </c>
      <c r="F684" s="282" t="s">
        <v>482</v>
      </c>
      <c r="J684" s="46"/>
      <c r="K684" s="159"/>
      <c r="L684" s="860" t="str">
        <f t="shared" si="20"/>
        <v>4-4</v>
      </c>
      <c r="M684" s="869">
        <f t="shared" si="20"/>
        <v>16</v>
      </c>
      <c r="N684" s="869">
        <f t="shared" si="20"/>
        <v>200</v>
      </c>
      <c r="O684" s="869">
        <f t="shared" si="20"/>
        <v>16</v>
      </c>
      <c r="P684" s="870">
        <f t="shared" si="20"/>
        <v>200</v>
      </c>
    </row>
    <row r="685" spans="1:16">
      <c r="J685" s="46"/>
      <c r="K685" s="159"/>
      <c r="L685" s="865" t="str">
        <f t="shared" si="20"/>
        <v>5-5</v>
      </c>
      <c r="M685" s="871">
        <f t="shared" si="20"/>
        <v>16</v>
      </c>
      <c r="N685" s="871">
        <f t="shared" si="20"/>
        <v>200</v>
      </c>
      <c r="O685" s="871">
        <f t="shared" si="20"/>
        <v>16</v>
      </c>
      <c r="P685" s="872">
        <f t="shared" si="20"/>
        <v>200</v>
      </c>
    </row>
    <row r="686" spans="1:16">
      <c r="A686" s="41" t="s">
        <v>939</v>
      </c>
      <c r="J686" s="46"/>
      <c r="K686" s="159"/>
    </row>
    <row r="687" spans="1:16">
      <c r="A687" s="187" t="s">
        <v>651</v>
      </c>
      <c r="F687" s="33">
        <f>(6*D641/(2*$I$8*$D$6))^(1/3)</f>
        <v>4.6431480770069822</v>
      </c>
      <c r="G687" s="2874" t="s">
        <v>1003</v>
      </c>
      <c r="H687" s="2878">
        <v>0.1</v>
      </c>
      <c r="I687" s="187" t="str">
        <f>"= "&amp;FIXED(F687-H687,2)&amp;" m from top"</f>
        <v>= 4.54 m from top</v>
      </c>
      <c r="K687" s="159"/>
      <c r="L687" s="386"/>
      <c r="M687" s="386"/>
      <c r="N687" s="613"/>
      <c r="O687" s="386"/>
    </row>
    <row r="688" spans="1:16">
      <c r="A688" s="187" t="s">
        <v>652</v>
      </c>
      <c r="F688" s="33">
        <f>(6*D641/(4*$I$8*$D$6))^(1/3)</f>
        <v>3.6852690709425038</v>
      </c>
      <c r="G688" s="2874" t="s">
        <v>1003</v>
      </c>
      <c r="H688" s="2878">
        <v>0.2</v>
      </c>
      <c r="I688" s="187" t="str">
        <f>"= "&amp;FIXED(F688-H688,2)&amp;" m from top"</f>
        <v>= 3.49 m from top</v>
      </c>
      <c r="J688" s="187"/>
      <c r="K688" s="159"/>
    </row>
    <row r="689" spans="1:15">
      <c r="E689" s="46"/>
      <c r="J689" s="46"/>
      <c r="K689" s="159"/>
    </row>
    <row r="690" spans="1:15">
      <c r="A690" s="248" t="s">
        <v>602</v>
      </c>
      <c r="B690" s="3085" t="s">
        <v>621</v>
      </c>
      <c r="C690" s="347" t="s">
        <v>614</v>
      </c>
      <c r="D690" s="355" t="s">
        <v>615</v>
      </c>
      <c r="E690" s="347" t="s">
        <v>619</v>
      </c>
      <c r="F690" s="355" t="s">
        <v>616</v>
      </c>
      <c r="G690" s="355" t="s">
        <v>676</v>
      </c>
      <c r="H690" s="3224" t="s">
        <v>487</v>
      </c>
      <c r="I690" s="3148" t="s">
        <v>488</v>
      </c>
      <c r="J690" s="611"/>
      <c r="K690" s="159"/>
    </row>
    <row r="691" spans="1:15">
      <c r="A691" s="156"/>
      <c r="B691" s="3086"/>
      <c r="C691" s="77"/>
      <c r="D691" s="104"/>
      <c r="E691" s="77"/>
      <c r="F691" s="104"/>
      <c r="G691" s="635"/>
      <c r="H691" s="3227"/>
      <c r="I691" s="3148"/>
      <c r="J691" s="611"/>
      <c r="K691" s="159"/>
    </row>
    <row r="692" spans="1:15" ht="14.25">
      <c r="A692" s="156"/>
      <c r="B692" s="354" t="s">
        <v>5</v>
      </c>
      <c r="C692" s="280" t="s">
        <v>620</v>
      </c>
      <c r="D692" s="354" t="s">
        <v>98</v>
      </c>
      <c r="E692" s="280" t="s">
        <v>98</v>
      </c>
      <c r="F692" s="354" t="s">
        <v>98</v>
      </c>
      <c r="G692" s="636"/>
      <c r="H692" s="634" t="s">
        <v>491</v>
      </c>
      <c r="I692" s="256" t="s">
        <v>491</v>
      </c>
      <c r="J692" s="408"/>
      <c r="K692" s="159"/>
    </row>
    <row r="693" spans="1:15">
      <c r="A693" s="348" t="s">
        <v>617</v>
      </c>
      <c r="B693" s="2706">
        <f>F687-H687</f>
        <v>4.5431480770069825</v>
      </c>
      <c r="C693" s="107">
        <f>$I$8*$D$6*B693^3/6</f>
        <v>106.64210578276784</v>
      </c>
      <c r="D693" s="356">
        <f>((C693*10^6)/($C$23*1000))^0.5</f>
        <v>273.06857917138154</v>
      </c>
      <c r="E693" s="349">
        <f>(H613+B693*(H631-H613)/I620)*1000</f>
        <v>532.98195266702476</v>
      </c>
      <c r="F693" s="356">
        <f>E693-$I$13-C680/2</f>
        <v>462.98195266702476</v>
      </c>
      <c r="G693" s="123" t="str">
        <f>IF(F693&gt;=D693,"O.k","Not O.k")</f>
        <v>O.k</v>
      </c>
      <c r="H693" s="349">
        <f>C693*10^6/($C$18*$C$22*F693)</f>
        <v>1386.0186119457312</v>
      </c>
      <c r="I693" s="123">
        <f>IF(E693&gt;380,C609*1000*380,C609*1000*E693)</f>
        <v>380</v>
      </c>
      <c r="J693" s="275"/>
      <c r="K693" s="159"/>
    </row>
    <row r="694" spans="1:15">
      <c r="A694" s="351" t="s">
        <v>618</v>
      </c>
      <c r="B694" s="2708">
        <f>F688-H688</f>
        <v>3.4852690709425036</v>
      </c>
      <c r="C694" s="121">
        <f>$I$8*$D$6*B694^3/6</f>
        <v>48.146749518934364</v>
      </c>
      <c r="D694" s="357">
        <f>((C694*10^6)/($C$23*1000))^0.5</f>
        <v>183.48089956565983</v>
      </c>
      <c r="E694" s="310">
        <f>(H613+B694*(H631-H613)/I620)*1000</f>
        <v>478.73174722782068</v>
      </c>
      <c r="F694" s="357">
        <f>E694-$I$13-C680/2</f>
        <v>408.73174722782068</v>
      </c>
      <c r="G694" s="104" t="str">
        <f>IF(F694&gt;=D694,"O.k","Not O.k")</f>
        <v>O.k</v>
      </c>
      <c r="H694" s="310">
        <f>C694*10^6/($C$18*$C$22*F694)</f>
        <v>708.81518495328135</v>
      </c>
      <c r="I694" s="104">
        <f>IF(E694&gt;380,C609*1000*380,C609*1000*E694)</f>
        <v>380</v>
      </c>
      <c r="J694" s="275"/>
      <c r="K694" s="159"/>
    </row>
    <row r="695" spans="1:15">
      <c r="J695" s="46"/>
      <c r="K695" s="159"/>
    </row>
    <row r="696" spans="1:15">
      <c r="A696" s="3228" t="s">
        <v>613</v>
      </c>
      <c r="B696" s="3122" t="s">
        <v>937</v>
      </c>
      <c r="C696" s="3122" t="s">
        <v>938</v>
      </c>
      <c r="D696" s="3085" t="s">
        <v>623</v>
      </c>
      <c r="E696" s="3119" t="s">
        <v>622</v>
      </c>
      <c r="G696" s="3233" t="s">
        <v>2112</v>
      </c>
      <c r="H696" s="3234"/>
      <c r="I696" s="3235"/>
      <c r="J696" s="46"/>
      <c r="K696" s="159"/>
    </row>
    <row r="697" spans="1:15">
      <c r="A697" s="3229"/>
      <c r="B697" s="3123"/>
      <c r="C697" s="3123"/>
      <c r="D697" s="3200"/>
      <c r="E697" s="3120"/>
      <c r="G697" s="3122" t="s">
        <v>2110</v>
      </c>
      <c r="H697" s="3244" t="s">
        <v>2111</v>
      </c>
      <c r="I697" s="1541" t="s">
        <v>676</v>
      </c>
      <c r="J697" s="46"/>
      <c r="K697" s="159"/>
    </row>
    <row r="698" spans="1:15">
      <c r="A698" s="3230"/>
      <c r="B698" s="360"/>
      <c r="C698" s="360"/>
      <c r="D698" s="3086"/>
      <c r="E698" s="359"/>
      <c r="G698" s="3241"/>
      <c r="H698" s="3204"/>
      <c r="I698" s="1244"/>
      <c r="J698" s="46"/>
      <c r="K698" s="159"/>
    </row>
    <row r="699" spans="1:15" ht="14.25">
      <c r="A699" s="632" t="s">
        <v>5</v>
      </c>
      <c r="B699" s="256" t="s">
        <v>491</v>
      </c>
      <c r="C699" s="629" t="s">
        <v>98</v>
      </c>
      <c r="D699" s="629" t="s">
        <v>5</v>
      </c>
      <c r="E699" s="358" t="s">
        <v>98</v>
      </c>
      <c r="G699" s="2668" t="s">
        <v>491</v>
      </c>
      <c r="H699" s="94" t="s">
        <v>107</v>
      </c>
      <c r="I699" s="1289"/>
      <c r="J699" s="46"/>
      <c r="K699" s="159"/>
    </row>
    <row r="700" spans="1:15">
      <c r="A700" s="352">
        <f>(I620-B693)+40*C680/1000</f>
        <v>2.1068519229930169</v>
      </c>
      <c r="B700" s="356">
        <f>MAX(H693:I693)</f>
        <v>1386.0186119457312</v>
      </c>
      <c r="C700" s="350">
        <f>PI()*(C680/2)^2*1000/B700</f>
        <v>226.66309286998239</v>
      </c>
      <c r="D700" s="591">
        <v>3</v>
      </c>
      <c r="E700" s="609">
        <f>IF(D700="","",E680*2)</f>
        <v>200</v>
      </c>
      <c r="G700" s="2725">
        <f>IF(D700="","",PI()*(C680/2)^2*1000/E700)</f>
        <v>1570.7963267948967</v>
      </c>
      <c r="H700" s="2676">
        <f>IF(D700="","",G700*$C$18*$C$22*F693/10^6)</f>
        <v>120.85914763444997</v>
      </c>
      <c r="I700" s="2729" t="str">
        <f>IF(D700="","",IF(AND(H700&gt;=C693),"o.k","Not o.k"))</f>
        <v>o.k</v>
      </c>
      <c r="J700" s="46"/>
      <c r="K700" s="159"/>
    </row>
    <row r="701" spans="1:15">
      <c r="A701" s="353">
        <f>(I620-B694)+40*C680/1000</f>
        <v>3.1647309290574963</v>
      </c>
      <c r="B701" s="357">
        <f>MAX(H694:I694)</f>
        <v>708.81518495328135</v>
      </c>
      <c r="C701" s="311">
        <f>PI()*(C680/2)^2*1000/B701</f>
        <v>443.21745925870067</v>
      </c>
      <c r="D701" s="592">
        <v>4.5</v>
      </c>
      <c r="E701" s="610">
        <f>IF(D701="","",E700*2)</f>
        <v>400</v>
      </c>
      <c r="G701" s="2727">
        <f>IF(D701="","",PI()*(C680/2)^2*1000/E701)</f>
        <v>785.39816339744834</v>
      </c>
      <c r="H701" s="2673">
        <f>IF(D701="","",G701*$C$18*$C$22*F694/10^6)</f>
        <v>53.348699983367894</v>
      </c>
      <c r="I701" s="2730" t="str">
        <f>IF(D701="","",IF(AND(H701&gt;=C694),"o.k","Not o.k"))</f>
        <v>o.k</v>
      </c>
      <c r="J701" s="46"/>
      <c r="K701" s="159"/>
    </row>
    <row r="702" spans="1:15">
      <c r="J702" s="46"/>
      <c r="K702" s="159"/>
      <c r="L702" s="386"/>
      <c r="M702" s="386"/>
      <c r="N702" s="386"/>
      <c r="O702" s="386"/>
    </row>
    <row r="703" spans="1:15">
      <c r="A703" s="176" t="str">
        <f>"b) Design of Floor : Sec "&amp;C605</f>
        <v>b) Design of Floor : Sec 3-3</v>
      </c>
      <c r="B703" s="392"/>
      <c r="C703" s="174"/>
      <c r="J703" s="46"/>
      <c r="K703" s="159"/>
      <c r="L703" s="386"/>
      <c r="M703" s="386"/>
      <c r="N703" s="386"/>
      <c r="O703" s="386"/>
    </row>
    <row r="704" spans="1:15">
      <c r="J704" s="46"/>
      <c r="K704" s="159"/>
      <c r="L704" s="46"/>
      <c r="M704" s="46"/>
      <c r="N704" s="46"/>
    </row>
    <row r="705" spans="1:14">
      <c r="A705" s="187" t="s">
        <v>1105</v>
      </c>
      <c r="I705" s="115">
        <f>Hydraulic!E959</f>
        <v>0.99785678307330694</v>
      </c>
      <c r="J705" t="s">
        <v>5</v>
      </c>
      <c r="K705" s="159"/>
      <c r="L705" s="46"/>
      <c r="M705" s="46"/>
      <c r="N705" s="46"/>
    </row>
    <row r="706" spans="1:14">
      <c r="A706" s="187" t="str">
        <f>"Considering Wt of wall,  Floor thickness can be reduced  =2*0.5*("&amp;H613&amp;"+"&amp;H631&amp;")*"&amp;I620&amp;"/"&amp;FIXED(F633,2)&amp;"="</f>
        <v>Considering Wt of wall,  Floor thickness can be reduced  =2*0.5*(0.3+0.6)*5.85/8.94=</v>
      </c>
      <c r="D706" s="33"/>
      <c r="I706" s="224">
        <f>2*0.5*(H613+H631)*I620/F633</f>
        <v>0.58924455825864264</v>
      </c>
      <c r="J706" t="s">
        <v>5</v>
      </c>
      <c r="K706" s="159"/>
      <c r="L706" s="46"/>
      <c r="M706" s="46"/>
      <c r="N706" s="46"/>
    </row>
    <row r="707" spans="1:14">
      <c r="A707" s="187" t="s">
        <v>1106</v>
      </c>
      <c r="I707" s="33">
        <f>I705-I706</f>
        <v>0.4086122248146643</v>
      </c>
      <c r="J707" t="s">
        <v>5</v>
      </c>
      <c r="K707" s="159"/>
      <c r="L707" s="46"/>
      <c r="M707" s="46"/>
      <c r="N707" s="46"/>
    </row>
    <row r="708" spans="1:14">
      <c r="A708" t="s">
        <v>684</v>
      </c>
      <c r="I708" s="914">
        <f>E69</f>
        <v>1.0013888888888889</v>
      </c>
      <c r="J708" t="s">
        <v>5</v>
      </c>
      <c r="K708" s="159"/>
      <c r="L708" s="46"/>
      <c r="M708" s="46"/>
      <c r="N708" s="46"/>
    </row>
    <row r="709" spans="1:14">
      <c r="J709" s="46"/>
      <c r="K709" s="159"/>
      <c r="L709" s="46"/>
      <c r="M709" s="46"/>
      <c r="N709" s="46"/>
    </row>
    <row r="710" spans="1:14">
      <c r="F710" s="187" t="s">
        <v>637</v>
      </c>
      <c r="H710" s="187" t="s">
        <v>636</v>
      </c>
      <c r="J710" s="46"/>
      <c r="K710" s="159"/>
      <c r="L710" s="46"/>
      <c r="M710" s="46"/>
      <c r="N710" s="46"/>
    </row>
    <row r="711" spans="1:14">
      <c r="E711" s="191" t="s">
        <v>607</v>
      </c>
      <c r="J711" s="46"/>
      <c r="K711" s="159"/>
      <c r="L711" s="46"/>
      <c r="N711" s="46"/>
    </row>
    <row r="712" spans="1:14">
      <c r="F712" s="17" t="s">
        <v>935</v>
      </c>
      <c r="G712" s="36">
        <f>F631/4</f>
        <v>1.933792372881356</v>
      </c>
      <c r="J712" s="46"/>
      <c r="K712" s="159"/>
      <c r="L712" s="46"/>
      <c r="M712" s="46"/>
      <c r="N712" s="46"/>
    </row>
    <row r="713" spans="1:14">
      <c r="C713" s="1" t="s">
        <v>658</v>
      </c>
      <c r="D713" s="36"/>
      <c r="F713" s="36"/>
      <c r="H713" s="191"/>
      <c r="I713" s="187" t="s">
        <v>659</v>
      </c>
      <c r="J713" s="109"/>
      <c r="K713" s="159"/>
      <c r="L713" s="46"/>
      <c r="M713" s="46"/>
      <c r="N713" s="46"/>
    </row>
    <row r="714" spans="1:14">
      <c r="F714" s="203" t="s">
        <v>644</v>
      </c>
      <c r="G714" s="36">
        <f>(F633-H631)/2</f>
        <v>4.1675847457627118</v>
      </c>
      <c r="J714" s="46"/>
      <c r="K714" s="159"/>
      <c r="L714" s="46"/>
      <c r="M714" s="46"/>
      <c r="N714" s="46"/>
    </row>
    <row r="715" spans="1:14">
      <c r="J715" s="46"/>
      <c r="K715" s="159"/>
      <c r="L715" s="46"/>
      <c r="M715" s="46"/>
      <c r="N715" s="46"/>
    </row>
    <row r="716" spans="1:14">
      <c r="C716" s="1999"/>
      <c r="D716" s="1999"/>
      <c r="E716" s="1999"/>
      <c r="F716" s="1999"/>
      <c r="G716" s="1999"/>
      <c r="H716" s="33">
        <f>I708</f>
        <v>1.0013888888888889</v>
      </c>
      <c r="J716" s="46"/>
      <c r="K716" s="159"/>
      <c r="L716" s="46"/>
      <c r="M716" s="46"/>
      <c r="N716" s="46"/>
    </row>
    <row r="717" spans="1:14">
      <c r="B717" s="187" t="s">
        <v>642</v>
      </c>
      <c r="C717" s="1999"/>
      <c r="D717" s="1999"/>
      <c r="E717" s="1999"/>
      <c r="F717" s="1999"/>
      <c r="G717" s="1999"/>
      <c r="I717" s="203" t="s">
        <v>646</v>
      </c>
      <c r="J717" s="288"/>
      <c r="K717" s="159"/>
      <c r="L717" s="46"/>
      <c r="M717" s="46"/>
      <c r="N717" s="46"/>
    </row>
    <row r="718" spans="1:14">
      <c r="J718" s="46"/>
      <c r="K718" s="159"/>
      <c r="L718" s="46"/>
      <c r="M718" s="46"/>
      <c r="N718" s="46"/>
    </row>
    <row r="719" spans="1:14">
      <c r="C719" s="191" t="s">
        <v>537</v>
      </c>
      <c r="F719" s="203" t="s">
        <v>643</v>
      </c>
      <c r="G719" s="36">
        <f>F633/4</f>
        <v>2.2337923728813558</v>
      </c>
      <c r="J719" s="46"/>
      <c r="K719" s="159"/>
      <c r="L719" s="46"/>
      <c r="M719" s="46"/>
      <c r="N719" s="46"/>
    </row>
    <row r="720" spans="1:14">
      <c r="E720" s="637" t="s">
        <v>641</v>
      </c>
      <c r="F720" s="637"/>
      <c r="J720" s="46"/>
      <c r="K720" s="159"/>
      <c r="L720" s="46"/>
      <c r="M720" s="46"/>
      <c r="N720" s="46"/>
    </row>
    <row r="721" spans="2:14">
      <c r="E721" s="203" t="s">
        <v>645</v>
      </c>
      <c r="F721" s="36">
        <f>F633/2</f>
        <v>4.4675847457627116</v>
      </c>
      <c r="J721" s="46"/>
      <c r="K721" s="159"/>
      <c r="L721" s="46"/>
      <c r="M721" s="46"/>
      <c r="N721" s="46"/>
    </row>
    <row r="722" spans="2:14">
      <c r="J722" s="46"/>
      <c r="K722" s="159"/>
      <c r="L722" s="46"/>
      <c r="M722" s="46"/>
      <c r="N722" s="46"/>
    </row>
    <row r="723" spans="2:14">
      <c r="B723" s="1" t="s">
        <v>654</v>
      </c>
      <c r="J723" s="46"/>
      <c r="K723" s="159"/>
      <c r="L723" s="46"/>
      <c r="M723" s="46"/>
      <c r="N723" s="46"/>
    </row>
    <row r="724" spans="2:14">
      <c r="B724" s="187" t="s">
        <v>655</v>
      </c>
      <c r="J724" s="46"/>
      <c r="K724" s="159"/>
      <c r="L724" s="46"/>
      <c r="M724" s="46"/>
      <c r="N724" s="46"/>
    </row>
    <row r="725" spans="2:14">
      <c r="J725" s="46"/>
      <c r="K725" s="159"/>
      <c r="L725" s="46"/>
      <c r="M725" s="46"/>
      <c r="N725" s="46"/>
    </row>
    <row r="726" spans="2:14">
      <c r="B726" s="187" t="s">
        <v>639</v>
      </c>
      <c r="D726" s="33">
        <f>0.5*(H631+H613)*I620*$D$3</f>
        <v>62.126999999999988</v>
      </c>
      <c r="E726" s="187" t="s">
        <v>341</v>
      </c>
      <c r="J726" s="46"/>
      <c r="K726" s="159"/>
      <c r="L726" s="46"/>
      <c r="M726" s="46"/>
      <c r="N726" s="46"/>
    </row>
    <row r="727" spans="2:14">
      <c r="B727" s="187" t="s">
        <v>656</v>
      </c>
      <c r="D727" s="33">
        <v>0</v>
      </c>
      <c r="E727" s="187" t="s">
        <v>341</v>
      </c>
      <c r="J727" s="46"/>
      <c r="K727" s="159"/>
      <c r="L727" s="46"/>
      <c r="M727" s="46"/>
      <c r="N727" s="46"/>
    </row>
    <row r="728" spans="2:14">
      <c r="B728" s="187" t="s">
        <v>638</v>
      </c>
      <c r="D728" s="33">
        <f>+D726+D727</f>
        <v>62.126999999999988</v>
      </c>
      <c r="E728" s="187" t="s">
        <v>341</v>
      </c>
      <c r="J728" s="46"/>
      <c r="K728" s="159"/>
      <c r="L728" s="46"/>
      <c r="M728" s="46"/>
      <c r="N728" s="46"/>
    </row>
    <row r="729" spans="2:14" ht="15.75">
      <c r="B729" s="187" t="s">
        <v>681</v>
      </c>
      <c r="D729" s="33"/>
      <c r="F729" s="33">
        <v>0</v>
      </c>
      <c r="J729" s="46"/>
      <c r="K729" s="159"/>
      <c r="L729" s="46"/>
      <c r="M729" s="46"/>
      <c r="N729" s="46"/>
    </row>
    <row r="730" spans="2:14">
      <c r="B730" s="187" t="s">
        <v>678</v>
      </c>
      <c r="D730" s="33"/>
      <c r="H730" s="33">
        <f>F729+D728*G719-(D726+D727)*G714</f>
        <v>-120.14071874999996</v>
      </c>
      <c r="I730" s="187" t="s">
        <v>620</v>
      </c>
      <c r="J730" s="109"/>
      <c r="K730" s="159"/>
      <c r="L730" s="46"/>
      <c r="M730" s="46"/>
      <c r="N730" s="46"/>
    </row>
    <row r="731" spans="2:14">
      <c r="B731" s="187"/>
      <c r="D731" s="33"/>
      <c r="H731" s="215" t="str">
        <f>IF(H730&gt;0,"(bottom tension)","(top tension)")</f>
        <v>(top tension)</v>
      </c>
      <c r="J731" s="46"/>
      <c r="K731" s="159"/>
      <c r="L731" s="46"/>
      <c r="M731" s="46"/>
      <c r="N731" s="46"/>
    </row>
    <row r="732" spans="2:14">
      <c r="B732" s="1" t="s">
        <v>657</v>
      </c>
      <c r="J732" s="46"/>
      <c r="K732" s="159"/>
      <c r="L732" s="46"/>
      <c r="M732" s="46"/>
      <c r="N732" s="46"/>
    </row>
    <row r="733" spans="2:14">
      <c r="B733" s="187" t="s">
        <v>611</v>
      </c>
      <c r="J733" s="46"/>
      <c r="K733" s="159"/>
      <c r="L733" s="46"/>
      <c r="M733" s="46"/>
      <c r="N733" s="46"/>
    </row>
    <row r="734" spans="2:14">
      <c r="J734" s="46"/>
      <c r="K734" s="159"/>
    </row>
    <row r="735" spans="2:14">
      <c r="B735" s="187" t="s">
        <v>600</v>
      </c>
      <c r="D735" s="33">
        <f>I620</f>
        <v>5.85</v>
      </c>
      <c r="E735" s="187" t="s">
        <v>5</v>
      </c>
      <c r="J735" s="46"/>
      <c r="K735" s="159"/>
    </row>
    <row r="736" spans="2:14">
      <c r="B736" s="187" t="s">
        <v>639</v>
      </c>
      <c r="D736" s="33">
        <f>D726</f>
        <v>62.126999999999988</v>
      </c>
      <c r="E736" s="187" t="s">
        <v>341</v>
      </c>
      <c r="J736" s="46"/>
      <c r="K736" s="159"/>
    </row>
    <row r="737" spans="1:14">
      <c r="B737" s="30" t="s">
        <v>640</v>
      </c>
      <c r="D737" s="33">
        <f>0.5*(H631-H613)*I620*$D$6</f>
        <v>16.584749999999996</v>
      </c>
      <c r="E737" s="187" t="s">
        <v>341</v>
      </c>
      <c r="J737" s="46"/>
      <c r="K737" s="159"/>
    </row>
    <row r="738" spans="1:14">
      <c r="B738" s="187" t="s">
        <v>638</v>
      </c>
      <c r="D738" s="33">
        <f>D736+D737</f>
        <v>78.711749999999981</v>
      </c>
      <c r="E738" s="187" t="s">
        <v>341</v>
      </c>
      <c r="J738" s="46"/>
      <c r="K738" s="159"/>
    </row>
    <row r="739" spans="1:14" ht="15.75">
      <c r="A739" s="187"/>
      <c r="B739" s="187" t="s">
        <v>677</v>
      </c>
      <c r="F739" s="33">
        <f>$I$8*$D$6*D735^3/6</f>
        <v>227.68039373860282</v>
      </c>
      <c r="G739" s="187" t="s">
        <v>620</v>
      </c>
      <c r="H739" s="23" t="str">
        <f>IF(F739&gt;0,"(bottom tension)","(top tension)")</f>
        <v>(bottom tension)</v>
      </c>
      <c r="J739" s="46"/>
      <c r="K739" s="159"/>
    </row>
    <row r="740" spans="1:14">
      <c r="B740" s="187" t="s">
        <v>678</v>
      </c>
      <c r="H740" s="33">
        <f>F739+D738*G719-(D736+D737)*G714</f>
        <v>75.468211932458757</v>
      </c>
      <c r="I740" s="187" t="s">
        <v>620</v>
      </c>
      <c r="J740" s="109"/>
      <c r="K740" s="159"/>
    </row>
    <row r="741" spans="1:14">
      <c r="B741" s="187"/>
      <c r="H741" s="215" t="str">
        <f>IF(H740&gt;0,"(bottom tension)","(top tension)")</f>
        <v>(bottom tension)</v>
      </c>
      <c r="J741" s="46"/>
      <c r="K741" s="159"/>
    </row>
    <row r="742" spans="1:14">
      <c r="B742" s="1" t="s">
        <v>660</v>
      </c>
      <c r="H742" s="33"/>
      <c r="J742" s="46"/>
      <c r="K742" s="159"/>
    </row>
    <row r="743" spans="1:14">
      <c r="B743" s="1" t="s">
        <v>653</v>
      </c>
      <c r="H743" s="33"/>
      <c r="J743" s="46"/>
      <c r="K743" s="159"/>
    </row>
    <row r="744" spans="1:14">
      <c r="B744" s="187"/>
      <c r="H744" s="33"/>
      <c r="J744" s="46"/>
      <c r="K744" s="159"/>
    </row>
    <row r="745" spans="1:14">
      <c r="B745" s="187" t="s">
        <v>639</v>
      </c>
      <c r="D745" s="33">
        <f>D736</f>
        <v>62.126999999999988</v>
      </c>
      <c r="E745" s="187" t="s">
        <v>341</v>
      </c>
      <c r="F745" s="187"/>
      <c r="H745" s="187"/>
      <c r="J745" s="46"/>
      <c r="K745" s="159"/>
    </row>
    <row r="746" spans="1:14">
      <c r="B746" s="30" t="s">
        <v>640</v>
      </c>
      <c r="D746" s="33">
        <f>0.5*C623*E618*$D$6+0.5*(H631-H613+E618)*C616*$D$5</f>
        <v>16.584749999999996</v>
      </c>
      <c r="E746" s="187" t="s">
        <v>341</v>
      </c>
      <c r="H746" s="33"/>
      <c r="J746" s="46"/>
      <c r="K746" s="159"/>
    </row>
    <row r="747" spans="1:14">
      <c r="B747" s="187" t="s">
        <v>647</v>
      </c>
      <c r="D747" s="33">
        <f>F624*$D$7*F631/2</f>
        <v>221.95488718220341</v>
      </c>
      <c r="E747" s="187" t="s">
        <v>341</v>
      </c>
      <c r="H747" s="33"/>
      <c r="J747" s="46"/>
      <c r="K747" s="159"/>
    </row>
    <row r="748" spans="1:14">
      <c r="B748" s="187" t="s">
        <v>648</v>
      </c>
      <c r="D748" s="33">
        <f>D745+D746+D747</f>
        <v>300.66663718220337</v>
      </c>
      <c r="E748" s="187" t="s">
        <v>341</v>
      </c>
      <c r="H748" s="33"/>
      <c r="J748" s="46"/>
      <c r="K748" s="159"/>
    </row>
    <row r="749" spans="1:14">
      <c r="A749" s="187"/>
      <c r="B749" s="187" t="s">
        <v>682</v>
      </c>
      <c r="F749" s="33">
        <f>I653</f>
        <v>109.50342746475667</v>
      </c>
      <c r="G749" s="187" t="s">
        <v>107</v>
      </c>
      <c r="H749" s="23" t="str">
        <f>IF(F749&gt;0,"(bottom tension)","(top tension)")</f>
        <v>(bottom tension)</v>
      </c>
      <c r="I749" s="33"/>
      <c r="J749" s="224"/>
      <c r="K749" s="159"/>
    </row>
    <row r="750" spans="1:14">
      <c r="B750" s="187" t="s">
        <v>936</v>
      </c>
      <c r="H750" s="33">
        <f>F749+D748*G719-(D745+D746)*G714-D747*G712</f>
        <v>23.877711813273606</v>
      </c>
      <c r="I750" s="187" t="s">
        <v>620</v>
      </c>
      <c r="J750" s="109"/>
      <c r="K750" s="159"/>
    </row>
    <row r="751" spans="1:14">
      <c r="B751" s="187"/>
      <c r="H751" s="215" t="str">
        <f>IF(H750&gt;0,"(bottom tension)","(top tension)")</f>
        <v>(bottom tension)</v>
      </c>
      <c r="J751" s="46"/>
      <c r="K751" s="159"/>
    </row>
    <row r="752" spans="1:14">
      <c r="B752" s="1" t="s">
        <v>661</v>
      </c>
      <c r="H752" s="33"/>
      <c r="J752" s="46"/>
      <c r="K752" s="159"/>
      <c r="L752" s="46"/>
      <c r="M752" s="46"/>
      <c r="N752" s="46"/>
    </row>
    <row r="753" spans="1:14">
      <c r="B753" s="187" t="s">
        <v>662</v>
      </c>
      <c r="G753" s="2203" t="s">
        <v>1878</v>
      </c>
      <c r="H753" s="2204"/>
      <c r="I753" s="2203"/>
      <c r="J753" s="2203"/>
      <c r="K753" s="159"/>
      <c r="L753" s="46"/>
      <c r="M753" s="46"/>
      <c r="N753" s="46"/>
    </row>
    <row r="754" spans="1:14">
      <c r="B754" s="187"/>
      <c r="H754" s="33"/>
      <c r="J754" s="46"/>
      <c r="K754" s="159"/>
    </row>
    <row r="755" spans="1:14">
      <c r="B755" s="187" t="s">
        <v>639</v>
      </c>
      <c r="D755" s="33">
        <f>D745</f>
        <v>62.126999999999988</v>
      </c>
      <c r="E755" s="187" t="s">
        <v>341</v>
      </c>
      <c r="F755" s="187"/>
      <c r="H755" s="187"/>
      <c r="J755" s="46"/>
      <c r="K755" s="159"/>
    </row>
    <row r="756" spans="1:14">
      <c r="B756" s="30" t="s">
        <v>640</v>
      </c>
      <c r="D756" s="33">
        <f>D746</f>
        <v>16.584749999999996</v>
      </c>
      <c r="E756" s="187" t="s">
        <v>341</v>
      </c>
      <c r="H756" s="33"/>
      <c r="J756" s="46"/>
      <c r="K756" s="159"/>
    </row>
    <row r="757" spans="1:14">
      <c r="B757" s="187" t="s">
        <v>663</v>
      </c>
      <c r="D757" s="33">
        <f>D755+D756</f>
        <v>78.711749999999981</v>
      </c>
      <c r="E757" s="187" t="s">
        <v>341</v>
      </c>
      <c r="H757" s="33"/>
      <c r="J757" s="46"/>
      <c r="K757" s="159"/>
    </row>
    <row r="758" spans="1:14">
      <c r="B758" s="187" t="s">
        <v>647</v>
      </c>
      <c r="D758" s="33">
        <f>IF($F$4=1,0,D747)</f>
        <v>221.95488718220341</v>
      </c>
      <c r="E758" s="187" t="s">
        <v>341</v>
      </c>
      <c r="H758" s="187" t="s">
        <v>1879</v>
      </c>
      <c r="J758" s="46"/>
      <c r="K758" s="159"/>
    </row>
    <row r="759" spans="1:14">
      <c r="B759" s="187" t="s">
        <v>679</v>
      </c>
      <c r="F759" s="33">
        <f>F749</f>
        <v>109.50342746475667</v>
      </c>
      <c r="G759" s="187" t="s">
        <v>107</v>
      </c>
      <c r="H759" s="23" t="str">
        <f>IF(F759&gt;0,"(bottom tension)","(top tension)")</f>
        <v>(bottom tension)</v>
      </c>
      <c r="I759" s="33"/>
      <c r="J759" s="224"/>
      <c r="K759" s="159"/>
    </row>
    <row r="760" spans="1:14">
      <c r="B760" s="187" t="s">
        <v>680</v>
      </c>
      <c r="H760" s="33">
        <f>F759+D757*G719-(D755+D756)*G714</f>
        <v>-42.708754341387362</v>
      </c>
      <c r="I760" s="187" t="s">
        <v>341</v>
      </c>
      <c r="J760" s="109"/>
      <c r="K760" s="159"/>
      <c r="L760" s="46"/>
      <c r="M760" s="46"/>
      <c r="N760" s="46"/>
    </row>
    <row r="761" spans="1:14">
      <c r="A761" s="187"/>
      <c r="B761" s="187"/>
      <c r="H761" s="215" t="str">
        <f>IF(H760&gt;0,"(bottom tension)","(top tension)")</f>
        <v>(top tension)</v>
      </c>
      <c r="J761" s="46"/>
      <c r="K761" s="159"/>
      <c r="L761" s="46"/>
      <c r="M761" s="46"/>
      <c r="N761" s="46"/>
    </row>
    <row r="762" spans="1:14">
      <c r="B762" s="41" t="s">
        <v>664</v>
      </c>
      <c r="H762" s="215"/>
      <c r="J762" s="46"/>
      <c r="K762" s="159"/>
      <c r="L762" s="46"/>
      <c r="M762" s="90"/>
      <c r="N762" s="44"/>
    </row>
    <row r="763" spans="1:14">
      <c r="B763" s="187"/>
      <c r="H763" s="215"/>
      <c r="J763" s="46"/>
      <c r="K763" s="159"/>
      <c r="L763" s="46"/>
      <c r="M763" s="46"/>
      <c r="N763" s="46"/>
    </row>
    <row r="764" spans="1:14">
      <c r="B764" s="374" t="s">
        <v>673</v>
      </c>
      <c r="C764" s="3118" t="s">
        <v>675</v>
      </c>
      <c r="D764" s="3070" t="s">
        <v>674</v>
      </c>
      <c r="E764" s="3068"/>
      <c r="F764" s="374" t="s">
        <v>615</v>
      </c>
      <c r="G764" s="355" t="s">
        <v>619</v>
      </c>
      <c r="H764" s="355" t="s">
        <v>616</v>
      </c>
      <c r="I764" s="382" t="s">
        <v>676</v>
      </c>
      <c r="J764" s="562"/>
      <c r="K764" s="159"/>
      <c r="L764" s="46"/>
      <c r="M764" s="46"/>
      <c r="N764" s="46"/>
    </row>
    <row r="765" spans="1:14">
      <c r="B765" s="348"/>
      <c r="C765" s="3092"/>
      <c r="D765" s="3121" t="s">
        <v>665</v>
      </c>
      <c r="E765" s="3118" t="s">
        <v>672</v>
      </c>
      <c r="F765" s="16"/>
      <c r="G765" s="104"/>
      <c r="H765" s="635"/>
      <c r="I765" s="366"/>
      <c r="J765" s="385"/>
      <c r="K765" s="159"/>
      <c r="L765" s="46"/>
      <c r="M765" s="46"/>
      <c r="N765" s="46"/>
    </row>
    <row r="766" spans="1:14">
      <c r="B766" s="367"/>
      <c r="C766" s="365"/>
      <c r="D766" s="3121"/>
      <c r="E766" s="3092"/>
      <c r="F766" s="16"/>
      <c r="G766" s="635"/>
      <c r="H766" s="365"/>
      <c r="I766" s="380"/>
      <c r="J766" s="408"/>
      <c r="K766" s="159"/>
      <c r="L766" s="46"/>
      <c r="M766" s="46"/>
      <c r="N766" s="46"/>
    </row>
    <row r="767" spans="1:14">
      <c r="B767" s="630"/>
      <c r="C767" s="94" t="s">
        <v>107</v>
      </c>
      <c r="D767" s="631" t="s">
        <v>107</v>
      </c>
      <c r="E767" s="94" t="s">
        <v>107</v>
      </c>
      <c r="F767" s="634" t="s">
        <v>98</v>
      </c>
      <c r="G767" s="256" t="s">
        <v>98</v>
      </c>
      <c r="H767" s="256" t="s">
        <v>98</v>
      </c>
      <c r="I767" s="633"/>
      <c r="J767" s="408"/>
      <c r="K767" s="159"/>
      <c r="L767" s="46"/>
      <c r="M767" s="46"/>
      <c r="N767" s="46"/>
    </row>
    <row r="768" spans="1:14">
      <c r="B768" s="374" t="s">
        <v>666</v>
      </c>
      <c r="C768" s="376">
        <f>F729</f>
        <v>0</v>
      </c>
      <c r="D768" s="251">
        <f>IF(J9="y",0,IF(H730&lt;0,ABS(H730),0))</f>
        <v>0</v>
      </c>
      <c r="E768" s="379">
        <f>IF(H730&gt;0,H730,0)</f>
        <v>0</v>
      </c>
      <c r="F768" s="55"/>
      <c r="G768" s="635"/>
      <c r="H768" s="381"/>
      <c r="I768" s="375"/>
      <c r="J768" s="275"/>
      <c r="K768" s="159"/>
      <c r="L768" s="46"/>
      <c r="M768" s="46"/>
      <c r="N768" s="46"/>
    </row>
    <row r="769" spans="1:14">
      <c r="B769" s="348" t="s">
        <v>667</v>
      </c>
      <c r="C769" s="377">
        <f>F739</f>
        <v>227.68039373860282</v>
      </c>
      <c r="D769" s="107">
        <f>IF(H740&lt;0,ABS(H740),0)</f>
        <v>0</v>
      </c>
      <c r="E769" s="103">
        <f>IF(H740&gt;0,H740,0)</f>
        <v>75.468211932458757</v>
      </c>
      <c r="F769" s="16"/>
      <c r="G769" s="635"/>
      <c r="H769" s="635"/>
      <c r="I769" s="58"/>
      <c r="J769" s="386"/>
      <c r="K769" s="159"/>
      <c r="L769" s="46"/>
      <c r="M769" s="46"/>
      <c r="N769" s="46"/>
    </row>
    <row r="770" spans="1:14">
      <c r="B770" s="348" t="s">
        <v>668</v>
      </c>
      <c r="C770" s="377">
        <f>F749</f>
        <v>109.50342746475667</v>
      </c>
      <c r="D770" s="107">
        <f>IF(H750&lt;0,ABS(H750),0)</f>
        <v>0</v>
      </c>
      <c r="E770" s="103">
        <f>IF(H750&gt;0,H750,0)</f>
        <v>23.877711813273606</v>
      </c>
      <c r="F770" s="16"/>
      <c r="G770" s="635"/>
      <c r="H770" s="356"/>
      <c r="I770" s="350"/>
      <c r="J770" s="612"/>
      <c r="K770" s="159"/>
      <c r="L770" s="46"/>
      <c r="M770" s="46"/>
      <c r="N770" s="46"/>
    </row>
    <row r="771" spans="1:14">
      <c r="B771" s="348" t="s">
        <v>669</v>
      </c>
      <c r="C771" s="377">
        <f>F759</f>
        <v>109.50342746475667</v>
      </c>
      <c r="D771" s="107">
        <f>IF(H760&lt;0,ABS(H760),0)</f>
        <v>42.708754341387362</v>
      </c>
      <c r="E771" s="103">
        <f>IF(H760&gt;0,H760,0)</f>
        <v>0</v>
      </c>
      <c r="F771" s="16"/>
      <c r="G771" s="635"/>
      <c r="H771" s="635"/>
      <c r="I771" s="350"/>
      <c r="J771" s="612"/>
      <c r="K771" s="159"/>
      <c r="L771" s="46"/>
      <c r="M771" s="46"/>
      <c r="N771" s="46"/>
    </row>
    <row r="772" spans="1:14">
      <c r="B772" s="632" t="s">
        <v>671</v>
      </c>
      <c r="C772" s="393">
        <f>MAX(C768:C771)</f>
        <v>227.68039373860282</v>
      </c>
      <c r="D772" s="394">
        <f>MAX(D768:D771)</f>
        <v>42.708754341387362</v>
      </c>
      <c r="E772" s="393">
        <f>MAX(E768:E771)</f>
        <v>75.468211932458757</v>
      </c>
      <c r="F772" s="395">
        <f>((MAX(C772,D772,E772)*10^6)/($C$23*1000))^0.5</f>
        <v>398.99751550928448</v>
      </c>
      <c r="G772" s="316">
        <f>I708*1000</f>
        <v>1001.3888888888889</v>
      </c>
      <c r="H772" s="396">
        <f>G772-$I$13-C797/2</f>
        <v>931.38888888888891</v>
      </c>
      <c r="I772" s="1976" t="str">
        <f>IF(H772&gt;=F772,"o.k","Not o.k")</f>
        <v>o.k</v>
      </c>
      <c r="J772" s="386"/>
      <c r="K772" s="159"/>
      <c r="L772" s="46"/>
      <c r="M772" s="46"/>
      <c r="N772" s="46"/>
    </row>
    <row r="773" spans="1:14">
      <c r="B773" s="369"/>
      <c r="C773" s="377"/>
      <c r="D773" s="368"/>
      <c r="E773" s="377"/>
      <c r="F773" s="16"/>
      <c r="G773" s="635"/>
      <c r="H773" s="356">
        <f>H772-$I$15</f>
        <v>931.38888888888891</v>
      </c>
      <c r="I773" s="370" t="s">
        <v>2138</v>
      </c>
      <c r="J773" s="786"/>
      <c r="K773" s="159"/>
      <c r="L773" s="46"/>
      <c r="M773" s="46"/>
      <c r="N773" s="46"/>
    </row>
    <row r="774" spans="1:14">
      <c r="B774" s="371" t="s">
        <v>670</v>
      </c>
      <c r="C774" s="378">
        <f>(C772*10^6)/($C$18*$C$22*H772)</f>
        <v>1470.9536674030669</v>
      </c>
      <c r="D774" s="372">
        <f>(D772*10^6)/($C$18*$C$22*H772)</f>
        <v>275.92450011662521</v>
      </c>
      <c r="E774" s="378">
        <f>(E772*10^6)/($C$18*$C$22*H773)</f>
        <v>487.57049867829926</v>
      </c>
      <c r="F774" s="59"/>
      <c r="G774" s="636"/>
      <c r="H774" s="357"/>
      <c r="I774" s="373"/>
      <c r="J774" s="786"/>
      <c r="K774" s="159"/>
      <c r="L774" s="46"/>
      <c r="M774" s="46"/>
      <c r="N774" s="46"/>
    </row>
    <row r="775" spans="1:14">
      <c r="A775" s="187"/>
      <c r="B775" s="223"/>
      <c r="C775" s="223"/>
      <c r="D775" s="2"/>
      <c r="E775" s="223"/>
      <c r="G775" s="349"/>
      <c r="H775" s="294"/>
      <c r="I775" s="16"/>
      <c r="J775" s="386"/>
      <c r="K775" s="159"/>
      <c r="L775" s="46"/>
      <c r="M775" s="46"/>
      <c r="N775" s="46"/>
    </row>
    <row r="776" spans="1:14">
      <c r="A776" s="187"/>
      <c r="B776" s="383" t="s">
        <v>1107</v>
      </c>
      <c r="C776" s="223"/>
      <c r="D776" s="2"/>
      <c r="E776" s="223"/>
      <c r="G776" s="349"/>
      <c r="H776" s="294"/>
      <c r="I776" s="16"/>
      <c r="J776" s="386"/>
      <c r="K776" s="159"/>
      <c r="L776" s="46"/>
      <c r="M776" s="46"/>
      <c r="N776" s="46"/>
    </row>
    <row r="777" spans="1:14">
      <c r="A777" s="187"/>
      <c r="B777" s="385" t="s">
        <v>440</v>
      </c>
      <c r="D777" s="386"/>
      <c r="G777" s="385" t="s">
        <v>443</v>
      </c>
      <c r="H777" s="294"/>
      <c r="I777" s="16"/>
      <c r="J777" s="386"/>
      <c r="K777" s="159"/>
      <c r="L777" s="46"/>
      <c r="M777" s="46"/>
      <c r="N777" s="46"/>
    </row>
    <row r="778" spans="1:14" ht="14.25">
      <c r="A778" s="187"/>
      <c r="B778" s="385" t="s">
        <v>441</v>
      </c>
      <c r="C778" s="386">
        <f>IF(F633&lt;=9,$G$100,$G$105)</f>
        <v>2E-3</v>
      </c>
      <c r="D778" s="385" t="s">
        <v>438</v>
      </c>
      <c r="G778" s="385" t="s">
        <v>441</v>
      </c>
      <c r="H778" s="386">
        <f>IF(F633&lt;=9,$G$99,$G$104)</f>
        <v>1E-3</v>
      </c>
      <c r="I778" s="385" t="s">
        <v>438</v>
      </c>
      <c r="J778" s="386"/>
      <c r="K778" s="159"/>
      <c r="L778" s="46"/>
      <c r="M778" s="46"/>
      <c r="N778" s="46"/>
    </row>
    <row r="779" spans="1:14" ht="14.25">
      <c r="A779" s="187"/>
      <c r="B779" s="385" t="s">
        <v>442</v>
      </c>
      <c r="C779" s="386">
        <f>IF(E60&lt;=9,$G$100,$G$105)</f>
        <v>2.5000000000000001E-3</v>
      </c>
      <c r="D779" s="385" t="s">
        <v>438</v>
      </c>
      <c r="E779" s="386"/>
      <c r="F779" s="386"/>
      <c r="G779" s="385" t="s">
        <v>442</v>
      </c>
      <c r="H779" s="386">
        <f>IF(E60&lt;=9,$G$99,$G$104)</f>
        <v>1.5E-3</v>
      </c>
      <c r="I779" s="385" t="s">
        <v>438</v>
      </c>
      <c r="J779" s="386"/>
      <c r="K779" s="159"/>
      <c r="L779" s="46"/>
      <c r="M779" s="46"/>
      <c r="N779" s="46"/>
    </row>
    <row r="780" spans="1:14">
      <c r="J780" s="46"/>
      <c r="K780" s="159"/>
      <c r="L780" s="46"/>
      <c r="M780" s="46"/>
      <c r="N780" s="46"/>
    </row>
    <row r="781" spans="1:14">
      <c r="A781" s="936" t="str">
        <f>"Reinforcement Distribution of R/S Floor  for Sec  "&amp;C605</f>
        <v>Reinforcement Distribution of R/S Floor  for Sec  3-3</v>
      </c>
      <c r="G781" s="107"/>
      <c r="H781" s="107"/>
      <c r="J781" s="46"/>
      <c r="K781" s="159"/>
      <c r="L781" s="46"/>
      <c r="M781" s="46"/>
      <c r="N781" s="46"/>
    </row>
    <row r="782" spans="1:14">
      <c r="J782" s="46"/>
      <c r="K782" s="159"/>
      <c r="L782" s="46"/>
      <c r="M782" s="46"/>
      <c r="N782" s="46"/>
    </row>
    <row r="783" spans="1:14">
      <c r="A783" s="3147" t="s">
        <v>486</v>
      </c>
      <c r="B783" s="3148" t="s">
        <v>487</v>
      </c>
      <c r="C783" s="3148" t="s">
        <v>488</v>
      </c>
      <c r="D783" s="3148" t="s">
        <v>489</v>
      </c>
      <c r="E783" s="3149" t="s">
        <v>490</v>
      </c>
      <c r="F783" s="3150"/>
      <c r="G783" s="3150"/>
      <c r="H783" s="3150"/>
      <c r="I783" s="3150"/>
      <c r="J783" s="330"/>
      <c r="K783" s="159"/>
      <c r="L783" s="329"/>
      <c r="M783" s="46"/>
      <c r="N783" s="46"/>
    </row>
    <row r="784" spans="1:14">
      <c r="A784" s="3147"/>
      <c r="B784" s="3148"/>
      <c r="C784" s="3148"/>
      <c r="D784" s="3148"/>
      <c r="E784" s="94">
        <v>12</v>
      </c>
      <c r="F784" s="94">
        <v>16</v>
      </c>
      <c r="G784" s="94">
        <v>20</v>
      </c>
      <c r="H784" s="94">
        <v>22</v>
      </c>
      <c r="I784" s="94">
        <v>25</v>
      </c>
      <c r="J784" s="275"/>
      <c r="K784" s="159"/>
      <c r="L784" s="46"/>
      <c r="M784" s="46"/>
      <c r="N784" s="46"/>
    </row>
    <row r="785" spans="1:19" ht="14.25">
      <c r="A785" s="172"/>
      <c r="B785" s="256" t="s">
        <v>491</v>
      </c>
      <c r="C785" s="256" t="s">
        <v>491</v>
      </c>
      <c r="D785" s="256" t="s">
        <v>491</v>
      </c>
      <c r="E785" s="628" t="s">
        <v>98</v>
      </c>
      <c r="F785" s="628" t="s">
        <v>98</v>
      </c>
      <c r="G785" s="628" t="s">
        <v>98</v>
      </c>
      <c r="H785" s="628" t="s">
        <v>98</v>
      </c>
      <c r="I785" s="628" t="s">
        <v>98</v>
      </c>
      <c r="J785" s="759"/>
      <c r="K785" s="159"/>
      <c r="L785" s="46"/>
      <c r="M785" s="46"/>
      <c r="N785" s="46"/>
    </row>
    <row r="786" spans="1:19">
      <c r="A786" s="264" t="s">
        <v>440</v>
      </c>
      <c r="B786" s="55"/>
      <c r="C786" s="55"/>
      <c r="D786" s="55"/>
      <c r="E786" s="55"/>
      <c r="F786" s="55"/>
      <c r="G786" s="55"/>
      <c r="H786" s="55"/>
      <c r="I786" s="56"/>
      <c r="J786" s="386"/>
      <c r="K786" s="159"/>
      <c r="L786" s="46"/>
      <c r="M786" s="46"/>
      <c r="N786" s="46"/>
    </row>
    <row r="787" spans="1:19">
      <c r="A787" s="363" t="s">
        <v>441</v>
      </c>
      <c r="B787" s="318">
        <f>D774</f>
        <v>275.92450011662521</v>
      </c>
      <c r="C787" s="318">
        <f>IF(G772&gt;380,C778*1000*380,C778*1000*G772)</f>
        <v>760</v>
      </c>
      <c r="D787" s="318">
        <f>MAX(B787:C787)</f>
        <v>760</v>
      </c>
      <c r="E787" s="261">
        <f>PI()*(E784/2)^2*1000/$D787</f>
        <v>148.81228359109548</v>
      </c>
      <c r="F787" s="261">
        <f>PI()*(F784/2)^2*1000/$D787</f>
        <v>264.55517082861417</v>
      </c>
      <c r="G787" s="261">
        <f>PI()*(G784/2)^2*1000/$D787</f>
        <v>413.36745441970965</v>
      </c>
      <c r="H787" s="261">
        <f>PI()*(H784/2)^2*1000/$D787</f>
        <v>500.17461984784865</v>
      </c>
      <c r="I787" s="283">
        <f>PI()*(I784/2)^2*1000/$D787</f>
        <v>645.88664753079627</v>
      </c>
      <c r="J787" s="328"/>
      <c r="K787" s="159"/>
      <c r="L787" s="46"/>
      <c r="M787" s="46"/>
      <c r="N787" s="46"/>
    </row>
    <row r="788" spans="1:19">
      <c r="A788" s="364" t="s">
        <v>442</v>
      </c>
      <c r="B788" s="319"/>
      <c r="C788" s="318">
        <f>IF(G772&gt;380,C779*1000*380,C779*1000*G772)</f>
        <v>950</v>
      </c>
      <c r="D788" s="319">
        <f>MAX(B788:C788)</f>
        <v>950</v>
      </c>
      <c r="E788" s="261">
        <f>PI()*(E784/2)^2*1000/$D788</f>
        <v>119.04982687287638</v>
      </c>
      <c r="F788" s="261">
        <f>PI()*(F784/2)^2*1000/$D788</f>
        <v>211.6441366628913</v>
      </c>
      <c r="G788" s="261">
        <f>PI()*(G784/2)^2*1000/$D788</f>
        <v>330.69396353576775</v>
      </c>
      <c r="H788" s="261">
        <f>PI()*(H784/2)^2*1000/$D788</f>
        <v>400.13969587827893</v>
      </c>
      <c r="I788" s="283">
        <f>PI()*(I784/2)^2*1000/$D788</f>
        <v>516.70931802463701</v>
      </c>
      <c r="J788" s="328"/>
      <c r="K788" s="159"/>
      <c r="L788" s="46"/>
      <c r="M788" s="46"/>
      <c r="N788" s="46"/>
    </row>
    <row r="789" spans="1:19">
      <c r="A789" s="258" t="s">
        <v>443</v>
      </c>
      <c r="B789" s="265"/>
      <c r="C789" s="322"/>
      <c r="D789" s="322"/>
      <c r="E789" s="266"/>
      <c r="F789" s="266"/>
      <c r="G789" s="266"/>
      <c r="H789" s="266"/>
      <c r="I789" s="267"/>
      <c r="J789" s="330"/>
      <c r="K789" s="159"/>
      <c r="L789" s="46"/>
      <c r="M789" s="46"/>
      <c r="N789" s="46"/>
    </row>
    <row r="790" spans="1:19">
      <c r="A790" s="363" t="s">
        <v>441</v>
      </c>
      <c r="B790" s="318">
        <f>C774</f>
        <v>1470.9536674030669</v>
      </c>
      <c r="C790" s="318">
        <f>IF(G772&gt;380,H778*1000*380,H778*1000*G772)</f>
        <v>380</v>
      </c>
      <c r="D790" s="318">
        <f>MAX(B790:C790)</f>
        <v>1470.9536674030669</v>
      </c>
      <c r="E790" s="261">
        <f>PI()*(E784/2)^2*1000/$D790</f>
        <v>76.887082194032104</v>
      </c>
      <c r="F790" s="261">
        <f>PI()*(F784/2)^2*1000/$D790</f>
        <v>136.68814612272371</v>
      </c>
      <c r="G790" s="261">
        <f>PI()*(G784/2)^2*1000/$D790</f>
        <v>213.57522831675584</v>
      </c>
      <c r="H790" s="261">
        <f>PI()*(H784/2)^2*1000/$D790</f>
        <v>258.42602626327454</v>
      </c>
      <c r="I790" s="283">
        <f>PI()*(I784/2)^2*1000/$D790</f>
        <v>333.71129424493097</v>
      </c>
      <c r="J790" s="328"/>
      <c r="K790" s="159"/>
      <c r="L790" s="46"/>
      <c r="M790" s="46"/>
      <c r="N790" s="46"/>
    </row>
    <row r="791" spans="1:19">
      <c r="A791" s="364" t="s">
        <v>442</v>
      </c>
      <c r="B791" s="263"/>
      <c r="C791" s="319">
        <f>IF(G772&gt;380,H779*1000*380,H779*1000*G772)</f>
        <v>570</v>
      </c>
      <c r="D791" s="319">
        <f>MAX(B791:C791)</f>
        <v>570</v>
      </c>
      <c r="E791" s="284">
        <f>PI()*(E784/2)^2*1000/$D791</f>
        <v>198.41637812146064</v>
      </c>
      <c r="F791" s="284">
        <f>PI()*(F784/2)^2*1000/$D791</f>
        <v>352.74022777148554</v>
      </c>
      <c r="G791" s="284">
        <f>PI()*(G784/2)^2*1000/$D791</f>
        <v>551.15660589294623</v>
      </c>
      <c r="H791" s="284">
        <f>PI()*(H784/2)^2*1000/$D791</f>
        <v>666.89949313046486</v>
      </c>
      <c r="I791" s="285">
        <f>PI()*(I784/2)^2*1000/$D791</f>
        <v>861.18219670772839</v>
      </c>
      <c r="J791" s="328"/>
      <c r="K791" s="159"/>
    </row>
    <row r="792" spans="1:19" ht="15">
      <c r="A792" s="29"/>
      <c r="J792" s="46"/>
      <c r="K792" s="159"/>
      <c r="L792" s="3173" t="s">
        <v>1140</v>
      </c>
      <c r="M792" s="3174"/>
      <c r="N792" s="3174"/>
      <c r="O792" s="3174"/>
      <c r="P792" s="3175"/>
    </row>
    <row r="793" spans="1:19">
      <c r="A793" s="264" t="s">
        <v>440</v>
      </c>
      <c r="B793" s="55"/>
      <c r="C793" s="252"/>
      <c r="D793" s="55"/>
      <c r="E793" s="55"/>
      <c r="F793" s="56"/>
      <c r="G793" s="2723" t="s">
        <v>2095</v>
      </c>
      <c r="H793" s="2672" t="s">
        <v>1358</v>
      </c>
      <c r="I793" s="1178" t="s">
        <v>2109</v>
      </c>
      <c r="J793" s="46"/>
      <c r="K793" s="159"/>
      <c r="L793" s="3205" t="s">
        <v>876</v>
      </c>
      <c r="M793" s="3171" t="s">
        <v>442</v>
      </c>
      <c r="N793" s="3176"/>
      <c r="O793" s="3176"/>
      <c r="P793" s="3172"/>
      <c r="R793" s="3127" t="s">
        <v>441</v>
      </c>
      <c r="S793" s="3129"/>
    </row>
    <row r="794" spans="1:19" ht="15.75">
      <c r="A794" s="363" t="s">
        <v>441</v>
      </c>
      <c r="B794" s="268" t="s">
        <v>136</v>
      </c>
      <c r="C794" s="269">
        <v>16</v>
      </c>
      <c r="D794" s="638" t="s">
        <v>481</v>
      </c>
      <c r="E794" s="271">
        <v>200</v>
      </c>
      <c r="F794" s="272" t="s">
        <v>482</v>
      </c>
      <c r="G794" s="2014" t="s">
        <v>2096</v>
      </c>
      <c r="H794" s="94" t="s">
        <v>1348</v>
      </c>
      <c r="I794" s="2667" t="s">
        <v>107</v>
      </c>
      <c r="J794" s="3245" t="str">
        <f>IF(I795&gt;=T26,"o.k","Not o.k")</f>
        <v>o.k</v>
      </c>
      <c r="K794" s="159"/>
      <c r="L794" s="3206"/>
      <c r="M794" s="3171" t="s">
        <v>440</v>
      </c>
      <c r="N794" s="3172"/>
      <c r="O794" s="3171" t="s">
        <v>443</v>
      </c>
      <c r="P794" s="3172"/>
      <c r="R794" s="3171" t="s">
        <v>440</v>
      </c>
      <c r="S794" s="3172"/>
    </row>
    <row r="795" spans="1:19" ht="15.75">
      <c r="A795" s="364" t="s">
        <v>442</v>
      </c>
      <c r="B795" s="278" t="s">
        <v>136</v>
      </c>
      <c r="C795" s="279">
        <v>16</v>
      </c>
      <c r="D795" s="280" t="s">
        <v>481</v>
      </c>
      <c r="E795" s="281">
        <v>200</v>
      </c>
      <c r="F795" s="282" t="s">
        <v>482</v>
      </c>
      <c r="G795" s="2670"/>
      <c r="H795" s="316">
        <f>PI()*(C794/2)^2*1000/E794</f>
        <v>1005.3096491487337</v>
      </c>
      <c r="I795" s="2674">
        <f>H795*$C$18*$C$22*H772/10^6</f>
        <v>155.60605464310706</v>
      </c>
      <c r="J795" s="3246"/>
      <c r="K795" s="159"/>
      <c r="L795" s="3207"/>
      <c r="M795" s="882" t="s">
        <v>709</v>
      </c>
      <c r="N795" s="902" t="s">
        <v>710</v>
      </c>
      <c r="O795" s="902" t="s">
        <v>709</v>
      </c>
      <c r="P795" s="884" t="s">
        <v>710</v>
      </c>
      <c r="R795" s="926" t="s">
        <v>709</v>
      </c>
      <c r="S795" s="894" t="s">
        <v>710</v>
      </c>
    </row>
    <row r="796" spans="1:19" ht="15">
      <c r="A796" s="258" t="s">
        <v>443</v>
      </c>
      <c r="B796" s="273"/>
      <c r="C796" s="274"/>
      <c r="D796" s="275"/>
      <c r="E796" s="276"/>
      <c r="F796" s="277"/>
      <c r="G796" s="2670"/>
      <c r="H796" s="16"/>
      <c r="I796" s="16"/>
      <c r="J796" s="2724"/>
      <c r="K796" s="159"/>
      <c r="L796" s="896" t="str">
        <f>L299</f>
        <v>1-1</v>
      </c>
      <c r="M796" s="898">
        <f t="shared" ref="M796:P796" si="21">M299</f>
        <v>16</v>
      </c>
      <c r="N796" s="907">
        <f t="shared" si="21"/>
        <v>200</v>
      </c>
      <c r="O796" s="898">
        <f t="shared" si="21"/>
        <v>16</v>
      </c>
      <c r="P796" s="908">
        <f t="shared" si="21"/>
        <v>250</v>
      </c>
      <c r="R796" s="926">
        <f>R299</f>
        <v>16</v>
      </c>
      <c r="S796" s="894">
        <f>S299</f>
        <v>200</v>
      </c>
    </row>
    <row r="797" spans="1:19" ht="15.75">
      <c r="A797" s="363" t="s">
        <v>441</v>
      </c>
      <c r="B797" s="268" t="s">
        <v>136</v>
      </c>
      <c r="C797" s="397">
        <f>C680</f>
        <v>20</v>
      </c>
      <c r="D797" s="638" t="s">
        <v>481</v>
      </c>
      <c r="E797" s="398">
        <f>E680</f>
        <v>100</v>
      </c>
      <c r="F797" s="272" t="s">
        <v>482</v>
      </c>
      <c r="G797" s="2124" t="s">
        <v>2097</v>
      </c>
      <c r="H797" s="316">
        <f>PI()*(C797/2)^2*1000/$E797</f>
        <v>3141.5926535897934</v>
      </c>
      <c r="I797" s="2674">
        <f>H797*$C$18*$C$22*H772/10^6</f>
        <v>486.26892075970966</v>
      </c>
      <c r="J797" s="3254" t="str">
        <f>IF(I797&gt;=S26,"o.k","Not o.k")</f>
        <v>o.k</v>
      </c>
      <c r="K797" s="159"/>
      <c r="L797" s="885" t="str">
        <f t="shared" ref="L797:P800" si="22">L300</f>
        <v>2-2</v>
      </c>
      <c r="M797" s="899">
        <f t="shared" si="22"/>
        <v>16</v>
      </c>
      <c r="N797" s="903">
        <f t="shared" si="22"/>
        <v>200</v>
      </c>
      <c r="O797" s="899">
        <f t="shared" si="22"/>
        <v>16</v>
      </c>
      <c r="P797" s="904">
        <f t="shared" si="22"/>
        <v>250</v>
      </c>
      <c r="R797" s="2334">
        <f t="shared" ref="R797:S800" si="23">R300</f>
        <v>16</v>
      </c>
      <c r="S797" s="892">
        <f t="shared" si="23"/>
        <v>200</v>
      </c>
    </row>
    <row r="798" spans="1:19" ht="15.75">
      <c r="A798" s="364" t="s">
        <v>442</v>
      </c>
      <c r="B798" s="278" t="s">
        <v>136</v>
      </c>
      <c r="C798" s="279">
        <v>16</v>
      </c>
      <c r="D798" s="280" t="s">
        <v>481</v>
      </c>
      <c r="E798" s="281">
        <v>250</v>
      </c>
      <c r="F798" s="282" t="s">
        <v>482</v>
      </c>
      <c r="G798" s="2671"/>
      <c r="H798" s="59"/>
      <c r="I798" s="59"/>
      <c r="J798" s="3255"/>
      <c r="K798" s="159"/>
      <c r="L798" s="2021" t="str">
        <f t="shared" si="22"/>
        <v>3-3</v>
      </c>
      <c r="M798" s="2018">
        <f t="shared" si="22"/>
        <v>16</v>
      </c>
      <c r="N798" s="2019">
        <f t="shared" si="22"/>
        <v>200</v>
      </c>
      <c r="O798" s="2018">
        <f t="shared" si="22"/>
        <v>16</v>
      </c>
      <c r="P798" s="2020">
        <f t="shared" si="22"/>
        <v>250</v>
      </c>
      <c r="R798" s="2335">
        <f t="shared" si="23"/>
        <v>16</v>
      </c>
      <c r="S798" s="2337">
        <f t="shared" si="23"/>
        <v>200</v>
      </c>
    </row>
    <row r="799" spans="1:19">
      <c r="J799" s="46"/>
      <c r="K799" s="159"/>
      <c r="L799" s="885" t="str">
        <f t="shared" si="22"/>
        <v>4-4</v>
      </c>
      <c r="M799" s="899">
        <f t="shared" si="22"/>
        <v>16</v>
      </c>
      <c r="N799" s="903">
        <f t="shared" si="22"/>
        <v>200</v>
      </c>
      <c r="O799" s="899">
        <f t="shared" si="22"/>
        <v>16</v>
      </c>
      <c r="P799" s="904">
        <f t="shared" si="22"/>
        <v>250</v>
      </c>
      <c r="R799" s="2334">
        <f t="shared" si="23"/>
        <v>16</v>
      </c>
      <c r="S799" s="892">
        <f t="shared" si="23"/>
        <v>100</v>
      </c>
    </row>
    <row r="800" spans="1:19">
      <c r="B800" s="2193" t="s">
        <v>602</v>
      </c>
      <c r="C800" s="2194"/>
      <c r="D800" s="2195" t="s">
        <v>1868</v>
      </c>
      <c r="E800" s="2194"/>
      <c r="F800" s="2194"/>
      <c r="J800" s="46"/>
      <c r="K800" s="159"/>
      <c r="L800" s="890" t="str">
        <f t="shared" si="22"/>
        <v>5-5</v>
      </c>
      <c r="M800" s="901">
        <f t="shared" si="22"/>
        <v>16</v>
      </c>
      <c r="N800" s="905">
        <f t="shared" si="22"/>
        <v>200</v>
      </c>
      <c r="O800" s="901">
        <f t="shared" si="22"/>
        <v>16</v>
      </c>
      <c r="P800" s="906">
        <f t="shared" si="22"/>
        <v>250</v>
      </c>
      <c r="R800" s="2336">
        <f t="shared" si="23"/>
        <v>16</v>
      </c>
      <c r="S800" s="893">
        <f t="shared" si="23"/>
        <v>200</v>
      </c>
    </row>
    <row r="801" spans="1:24">
      <c r="B801" s="187" t="s">
        <v>940</v>
      </c>
      <c r="G801" s="126" t="str">
        <f>IF(AND(H740&lt;=F739/2,H750&lt;=F749/2,H760&lt;=F759/2),"For Curtailment follow the Remark","Curtailment not possible")</f>
        <v>For Curtailment follow the Remark</v>
      </c>
      <c r="H801" s="126"/>
      <c r="I801" s="126"/>
      <c r="J801" s="126"/>
      <c r="K801" s="159"/>
    </row>
    <row r="802" spans="1:24">
      <c r="B802" s="187"/>
      <c r="K802" s="159"/>
    </row>
    <row r="803" spans="1:24">
      <c r="B803" s="187" t="s">
        <v>1822</v>
      </c>
      <c r="F803" s="1995">
        <f>0.5*PI()*(C797/2)^2*1000/E797</f>
        <v>1570.7963267948967</v>
      </c>
      <c r="G803" s="187" t="s">
        <v>1348</v>
      </c>
      <c r="J803" s="46"/>
      <c r="K803" s="159"/>
    </row>
    <row r="804" spans="1:24" ht="12.75" customHeight="1">
      <c r="B804" s="385" t="s">
        <v>1825</v>
      </c>
      <c r="F804" s="33">
        <f>F803*$C$18*$C$22*H772/10^6</f>
        <v>243.13446037985483</v>
      </c>
      <c r="G804" s="187" t="s">
        <v>107</v>
      </c>
      <c r="H804" s="2751" t="str">
        <f>IF(F804&gt;S$26,"&gt; Max End Me="&amp;FIXED(S$26,2)&amp;" kn-m","&lt; Max End Me="&amp;FIXED(S$26,2)&amp;" kn-m")</f>
        <v>&gt; Max End Me=227.68 kn-m</v>
      </c>
      <c r="I804" s="2751"/>
      <c r="J804" s="2751"/>
      <c r="K804" s="159"/>
      <c r="L804" s="2742" t="s">
        <v>2116</v>
      </c>
      <c r="M804" s="2743"/>
      <c r="N804" s="2744"/>
      <c r="P804" s="423"/>
      <c r="Q804" s="406" t="s">
        <v>689</v>
      </c>
      <c r="R804" s="55"/>
      <c r="S804" s="55"/>
      <c r="T804" s="55"/>
      <c r="U804" s="55"/>
      <c r="V804" s="55"/>
      <c r="W804" s="55"/>
      <c r="X804" s="2736" t="s">
        <v>945</v>
      </c>
    </row>
    <row r="805" spans="1:24" ht="14.25">
      <c r="B805" s="187" t="s">
        <v>1823</v>
      </c>
      <c r="J805" s="46"/>
      <c r="K805" s="159"/>
      <c r="L805" s="2745" t="s">
        <v>2117</v>
      </c>
      <c r="M805" s="2746"/>
      <c r="N805" s="2747"/>
      <c r="P805" s="2084"/>
      <c r="Q805" s="241" t="s">
        <v>941</v>
      </c>
      <c r="R805" s="16"/>
      <c r="S805" s="16"/>
      <c r="T805" s="16"/>
      <c r="U805" s="16"/>
      <c r="V805" s="16"/>
      <c r="W805" s="16"/>
      <c r="X805" s="2735"/>
    </row>
    <row r="806" spans="1:24" ht="14.25">
      <c r="A806" s="203" t="s">
        <v>707</v>
      </c>
      <c r="B806" s="187" t="s">
        <v>1826</v>
      </c>
      <c r="J806" s="46"/>
      <c r="K806" s="159"/>
      <c r="L806" s="2748" t="s">
        <v>2118</v>
      </c>
      <c r="M806" s="2749"/>
      <c r="N806" s="2750"/>
      <c r="P806" s="259" t="s">
        <v>707</v>
      </c>
      <c r="Q806" s="241" t="s">
        <v>942</v>
      </c>
      <c r="R806" s="16"/>
      <c r="S806" s="16"/>
      <c r="T806" s="16"/>
      <c r="U806" s="16"/>
      <c r="V806" s="16"/>
      <c r="W806" s="16"/>
      <c r="X806" s="2739"/>
    </row>
    <row r="807" spans="1:24" ht="14.25">
      <c r="B807" s="33">
        <f>D738/F721</f>
        <v>17.618412291933417</v>
      </c>
      <c r="C807" s="206" t="s">
        <v>685</v>
      </c>
      <c r="D807" s="33">
        <f>D738*2</f>
        <v>157.42349999999996</v>
      </c>
      <c r="E807" s="206" t="s">
        <v>686</v>
      </c>
      <c r="F807" s="33">
        <f>D738*H631+F739*2-F804*2</f>
        <v>16.318916717495938</v>
      </c>
      <c r="G807" s="2051" t="s">
        <v>35</v>
      </c>
      <c r="H807" s="18">
        <v>0</v>
      </c>
      <c r="J807" s="46"/>
      <c r="K807" s="159"/>
      <c r="P807" s="2084"/>
      <c r="Q807" s="242">
        <f>D738/F721</f>
        <v>17.618412291933417</v>
      </c>
      <c r="R807" s="434" t="s">
        <v>685</v>
      </c>
      <c r="S807" s="242">
        <f>D738*2</f>
        <v>157.42349999999996</v>
      </c>
      <c r="T807" s="434" t="s">
        <v>686</v>
      </c>
      <c r="U807" s="242">
        <f>D738*H631+F739</f>
        <v>274.90744373860281</v>
      </c>
      <c r="V807" s="2737" t="s">
        <v>35</v>
      </c>
      <c r="W807" s="1048">
        <v>0</v>
      </c>
      <c r="X807" s="256" t="s">
        <v>491</v>
      </c>
    </row>
    <row r="808" spans="1:24">
      <c r="B808" s="33"/>
      <c r="C808" s="206"/>
      <c r="D808" s="33"/>
      <c r="E808" s="206"/>
      <c r="F808" s="33"/>
      <c r="G808" s="2051"/>
      <c r="H808" s="18"/>
      <c r="J808" s="46"/>
      <c r="K808" s="159"/>
      <c r="P808" s="2084"/>
      <c r="Q808" s="16"/>
      <c r="R808" s="16"/>
      <c r="S808" s="16"/>
      <c r="T808" s="16"/>
      <c r="U808" s="16"/>
      <c r="V808" s="16"/>
      <c r="W808" s="16"/>
      <c r="X808" s="316">
        <f>U810*10^6/($C$18*$C$22*H772)</f>
        <v>735.47683370153334</v>
      </c>
    </row>
    <row r="809" spans="1:24">
      <c r="B809" s="187" t="s">
        <v>691</v>
      </c>
      <c r="C809" s="1996">
        <f>(-(-D807)-SQRT(D807^2-4*B807*F807))/(2*B807)</f>
        <v>0.10489391619005332</v>
      </c>
      <c r="D809" s="187" t="s">
        <v>688</v>
      </c>
      <c r="G809" s="187" t="s">
        <v>1837</v>
      </c>
      <c r="J809" s="46"/>
      <c r="K809" s="159"/>
      <c r="P809" s="2084"/>
      <c r="Q809" s="241" t="s">
        <v>691</v>
      </c>
      <c r="R809" s="242">
        <f>(-(-S807)-SQRT(S807^2-4*Q807*U807))/(2*Q807)</f>
        <v>2.3805064289804405</v>
      </c>
      <c r="S809" s="241" t="s">
        <v>688</v>
      </c>
      <c r="T809" s="16"/>
      <c r="U809" s="16"/>
      <c r="V809" s="241" t="s">
        <v>690</v>
      </c>
      <c r="W809" s="16"/>
      <c r="X809" s="58"/>
    </row>
    <row r="810" spans="1:24" ht="14.25">
      <c r="B810" s="187" t="s">
        <v>687</v>
      </c>
      <c r="F810" s="33">
        <f>F739+C809^2*D738/(2*F721)-D738*(C809-H631/2)</f>
        <v>243.13446037985486</v>
      </c>
      <c r="G810" s="187" t="s">
        <v>620</v>
      </c>
      <c r="J810" s="46"/>
      <c r="K810" s="159"/>
      <c r="P810" s="2084"/>
      <c r="Q810" s="241" t="s">
        <v>687</v>
      </c>
      <c r="R810" s="16"/>
      <c r="S810" s="16"/>
      <c r="T810" s="16"/>
      <c r="U810" s="242">
        <f>F739+R809^2*D738/(2*F721)-D738*(R809-H631/2)</f>
        <v>113.84019686930139</v>
      </c>
      <c r="V810" s="241" t="s">
        <v>620</v>
      </c>
      <c r="W810" s="16"/>
      <c r="X810" s="58"/>
    </row>
    <row r="811" spans="1:24">
      <c r="B811" s="207" t="s">
        <v>2113</v>
      </c>
      <c r="C811" s="126"/>
      <c r="D811" s="126"/>
      <c r="E811" s="126"/>
      <c r="F811" s="246">
        <f>U$26</f>
        <v>75.468211932458757</v>
      </c>
      <c r="G811" s="207" t="s">
        <v>620</v>
      </c>
      <c r="K811" s="159"/>
      <c r="P811" s="2084"/>
      <c r="Q811" s="241" t="s">
        <v>692</v>
      </c>
      <c r="R811" s="16"/>
      <c r="S811" s="16"/>
      <c r="T811" s="16"/>
      <c r="U811" s="16"/>
      <c r="V811" s="16"/>
      <c r="W811" s="242">
        <f>R809+40*C797/1000</f>
        <v>3.1805064289804408</v>
      </c>
      <c r="X811" s="366" t="s">
        <v>5</v>
      </c>
    </row>
    <row r="812" spans="1:24">
      <c r="B812" s="187" t="s">
        <v>692</v>
      </c>
      <c r="H812" s="33">
        <f>IF(C809&lt;H631,H631,C809)+40*C797/1000</f>
        <v>1.4</v>
      </c>
      <c r="I812" s="187" t="s">
        <v>5</v>
      </c>
      <c r="J812" s="109"/>
      <c r="K812" s="159"/>
      <c r="P812" s="2085"/>
      <c r="Q812" s="59"/>
      <c r="R812" s="59"/>
      <c r="S812" s="59"/>
      <c r="T812" s="1497" t="s">
        <v>943</v>
      </c>
      <c r="U812" s="212">
        <f>+F739/2</f>
        <v>113.84019686930141</v>
      </c>
      <c r="V812" s="204" t="s">
        <v>620</v>
      </c>
      <c r="W812" s="1504" t="str">
        <f>IF(U810=U812,"O.k","Not O.k")</f>
        <v>O.k</v>
      </c>
      <c r="X812" s="60"/>
    </row>
    <row r="813" spans="1:24">
      <c r="B813" s="187"/>
      <c r="H813" s="33"/>
      <c r="I813" s="187"/>
      <c r="J813" s="109"/>
      <c r="K813" s="159"/>
      <c r="P813" s="17"/>
      <c r="Q813" s="33"/>
      <c r="R813" s="187"/>
      <c r="S813" s="187"/>
      <c r="T813" s="187"/>
      <c r="U813" s="187"/>
    </row>
    <row r="814" spans="1:24" ht="12.75" customHeight="1">
      <c r="A814" s="3085" t="s">
        <v>944</v>
      </c>
      <c r="B814" s="355" t="s">
        <v>1147</v>
      </c>
      <c r="C814" s="3138" t="s">
        <v>2115</v>
      </c>
      <c r="D814" s="3118" t="s">
        <v>946</v>
      </c>
      <c r="E814" s="3122" t="s">
        <v>937</v>
      </c>
      <c r="F814" s="3122" t="s">
        <v>938</v>
      </c>
      <c r="G814" s="3228" t="s">
        <v>947</v>
      </c>
      <c r="H814" s="3118" t="s">
        <v>2120</v>
      </c>
      <c r="I814" s="3213" t="s">
        <v>676</v>
      </c>
      <c r="J814" s="3214"/>
      <c r="K814" s="159"/>
    </row>
    <row r="815" spans="1:24">
      <c r="A815" s="3200"/>
      <c r="B815" s="365" t="s">
        <v>1149</v>
      </c>
      <c r="C815" s="3144"/>
      <c r="D815" s="3092"/>
      <c r="E815" s="3123"/>
      <c r="F815" s="3123"/>
      <c r="G815" s="3231"/>
      <c r="H815" s="3092"/>
      <c r="I815" s="960"/>
      <c r="J815" s="961"/>
      <c r="K815" s="159"/>
    </row>
    <row r="816" spans="1:24">
      <c r="A816" s="3086"/>
      <c r="B816" s="354" t="s">
        <v>1148</v>
      </c>
      <c r="C816" s="3144"/>
      <c r="D816" s="635"/>
      <c r="E816" s="360"/>
      <c r="F816" s="360"/>
      <c r="G816" s="3232"/>
      <c r="H816" s="3239"/>
      <c r="I816" s="959"/>
      <c r="J816" s="961"/>
      <c r="K816" s="159"/>
    </row>
    <row r="817" spans="1:15" ht="14.25">
      <c r="A817" s="2734" t="s">
        <v>5</v>
      </c>
      <c r="B817" s="256" t="s">
        <v>491</v>
      </c>
      <c r="C817" s="256" t="s">
        <v>491</v>
      </c>
      <c r="D817" s="256" t="s">
        <v>491</v>
      </c>
      <c r="E817" s="256" t="s">
        <v>491</v>
      </c>
      <c r="F817" s="629" t="s">
        <v>98</v>
      </c>
      <c r="G817" s="618" t="s">
        <v>5</v>
      </c>
      <c r="H817" s="629" t="s">
        <v>98</v>
      </c>
      <c r="I817" s="962"/>
      <c r="J817" s="963"/>
      <c r="K817" s="159"/>
      <c r="L817" s="187"/>
      <c r="N817" s="129"/>
      <c r="O817" s="385"/>
    </row>
    <row r="818" spans="1:15">
      <c r="A818" s="2740">
        <f>H812</f>
        <v>1.4</v>
      </c>
      <c r="B818" s="316">
        <f>0.5*PI()*(C797/2)^2*1000/E797</f>
        <v>1570.7963267948967</v>
      </c>
      <c r="C818" s="357">
        <f>F811*10^6/(fs*j*H772)</f>
        <v>487.57049867829926</v>
      </c>
      <c r="D818" s="316">
        <f>C790</f>
        <v>380</v>
      </c>
      <c r="E818" s="316">
        <f>MAX(B818:D818)</f>
        <v>1570.7963267948967</v>
      </c>
      <c r="F818" s="619">
        <f>PI()*(C797/2)^2*1000/E818</f>
        <v>200</v>
      </c>
      <c r="G818" s="620">
        <v>2</v>
      </c>
      <c r="H818" s="621">
        <f>E797*2</f>
        <v>200</v>
      </c>
      <c r="I818" s="3215" t="str">
        <f>IF(OR(A818&gt;F721-0.5,H818&gt;F818),"Do not curtail ","Do curtailment")</f>
        <v>Do curtailment</v>
      </c>
      <c r="J818" s="3216"/>
      <c r="K818" s="159"/>
      <c r="L818" s="1997" t="s">
        <v>645</v>
      </c>
      <c r="M818" s="1998">
        <f>F721</f>
        <v>4.4675847457627116</v>
      </c>
      <c r="N818" s="187" t="s">
        <v>5</v>
      </c>
      <c r="O818" s="385"/>
    </row>
    <row r="819" spans="1:15">
      <c r="J819" s="46"/>
      <c r="K819" s="159"/>
    </row>
    <row r="820" spans="1:15">
      <c r="B820" s="2183" t="s">
        <v>602</v>
      </c>
      <c r="C820" s="2184"/>
      <c r="D820" s="2185" t="s">
        <v>1869</v>
      </c>
      <c r="E820" s="2184"/>
      <c r="F820" s="2184"/>
      <c r="J820" s="46"/>
      <c r="K820" s="159"/>
    </row>
    <row r="821" spans="1:15">
      <c r="B821" s="187"/>
      <c r="G821" s="126" t="str">
        <f>IF(F831=0,"No curtailment needed ","For Curtailment follow the Remark")</f>
        <v>For Curtailment follow the Remark</v>
      </c>
      <c r="H821" s="126"/>
      <c r="I821" s="126"/>
      <c r="J821" s="126"/>
      <c r="K821" s="159"/>
    </row>
    <row r="822" spans="1:15">
      <c r="B822" s="1" t="s">
        <v>657</v>
      </c>
      <c r="C822" s="46"/>
      <c r="D822" s="46"/>
      <c r="F822" s="33"/>
      <c r="K822" s="159"/>
    </row>
    <row r="823" spans="1:15">
      <c r="B823" s="187" t="s">
        <v>1872</v>
      </c>
      <c r="C823" s="46"/>
      <c r="D823" s="46"/>
      <c r="F823" s="33">
        <f>IF(H740&lt;0,H740,0)</f>
        <v>0</v>
      </c>
      <c r="G823" s="187" t="s">
        <v>107</v>
      </c>
      <c r="K823" s="159"/>
    </row>
    <row r="824" spans="1:15">
      <c r="B824" s="187" t="s">
        <v>1873</v>
      </c>
      <c r="C824" s="46"/>
      <c r="D824" s="46"/>
      <c r="F824" s="33">
        <f>H740*0.5</f>
        <v>37.734105966229379</v>
      </c>
      <c r="G824" s="187" t="s">
        <v>107</v>
      </c>
      <c r="K824" s="159"/>
    </row>
    <row r="825" spans="1:15" ht="14.25">
      <c r="B825" s="187" t="s">
        <v>1826</v>
      </c>
      <c r="K825" s="159"/>
    </row>
    <row r="826" spans="1:15" ht="14.25">
      <c r="B826" s="33">
        <f>D738/F721</f>
        <v>17.618412291933417</v>
      </c>
      <c r="C826" s="206" t="s">
        <v>685</v>
      </c>
      <c r="D826" s="33">
        <f>D738*2</f>
        <v>157.42349999999996</v>
      </c>
      <c r="E826" s="206" t="s">
        <v>686</v>
      </c>
      <c r="F826" s="33">
        <f>D738*D631+F739*2-F824*2</f>
        <v>427.11962554474684</v>
      </c>
      <c r="G826" s="2762" t="s">
        <v>35</v>
      </c>
      <c r="H826" s="18">
        <v>0</v>
      </c>
      <c r="K826" s="159"/>
    </row>
    <row r="827" spans="1:15">
      <c r="B827" s="187" t="s">
        <v>691</v>
      </c>
      <c r="C827" s="1996" t="e">
        <f>(-(-D826)-SQRT(D826^2-4*B826*F826))/(2*B826)</f>
        <v>#NUM!</v>
      </c>
      <c r="D827" s="187" t="s">
        <v>688</v>
      </c>
      <c r="F827" s="187" t="s">
        <v>1827</v>
      </c>
      <c r="K827" s="159"/>
    </row>
    <row r="828" spans="1:15" ht="14.25">
      <c r="B828" s="187" t="s">
        <v>687</v>
      </c>
      <c r="F828" s="33" t="e">
        <f>F739+C827^2*D738/(2*F721)-D738*(C827-D631/2)</f>
        <v>#NUM!</v>
      </c>
      <c r="G828" s="187" t="s">
        <v>620</v>
      </c>
      <c r="K828" s="159"/>
    </row>
    <row r="829" spans="1:15">
      <c r="K829" s="159"/>
    </row>
    <row r="830" spans="1:15">
      <c r="B830" s="1" t="s">
        <v>661</v>
      </c>
      <c r="K830" s="159"/>
    </row>
    <row r="831" spans="1:15">
      <c r="B831" s="187" t="s">
        <v>1872</v>
      </c>
      <c r="F831" s="158">
        <f>IF(H760&lt;0,H760,0)</f>
        <v>-42.708754341387362</v>
      </c>
      <c r="G831" s="187" t="s">
        <v>107</v>
      </c>
      <c r="J831" s="46"/>
      <c r="K831" s="159"/>
    </row>
    <row r="832" spans="1:15">
      <c r="B832" s="187" t="s">
        <v>1873</v>
      </c>
      <c r="F832" s="33">
        <f>F831/2</f>
        <v>-21.354377170693681</v>
      </c>
      <c r="G832" s="187" t="s">
        <v>107</v>
      </c>
      <c r="J832" s="46"/>
      <c r="K832" s="159"/>
    </row>
    <row r="833" spans="1:11" ht="14.25">
      <c r="B833" s="187" t="s">
        <v>1823</v>
      </c>
      <c r="J833" s="46"/>
      <c r="K833" s="159"/>
    </row>
    <row r="834" spans="1:11" ht="14.25">
      <c r="A834" s="203" t="s">
        <v>707</v>
      </c>
      <c r="B834" s="187" t="s">
        <v>1826</v>
      </c>
      <c r="J834" s="46"/>
      <c r="K834" s="159"/>
    </row>
    <row r="835" spans="1:11" ht="14.25">
      <c r="B835" s="33">
        <f>D757/F721</f>
        <v>17.618412291933417</v>
      </c>
      <c r="C835" s="206" t="s">
        <v>685</v>
      </c>
      <c r="D835" s="33">
        <f>D757*2</f>
        <v>157.42349999999996</v>
      </c>
      <c r="E835" s="206" t="s">
        <v>686</v>
      </c>
      <c r="F835" s="33">
        <f>D757*H631+F759*2-F832*2</f>
        <v>308.94265927090066</v>
      </c>
      <c r="G835" s="2188" t="s">
        <v>35</v>
      </c>
      <c r="H835" s="18">
        <v>0</v>
      </c>
      <c r="J835" s="46"/>
      <c r="K835" s="159"/>
    </row>
    <row r="836" spans="1:11">
      <c r="B836" s="33"/>
      <c r="C836" s="206"/>
      <c r="D836" s="33"/>
      <c r="E836" s="206"/>
      <c r="F836" s="33"/>
      <c r="G836" s="2188"/>
      <c r="H836" s="18"/>
      <c r="J836" s="46"/>
      <c r="K836" s="159"/>
    </row>
    <row r="837" spans="1:11">
      <c r="B837" s="187" t="s">
        <v>691</v>
      </c>
      <c r="C837" s="1996">
        <f>(-(-D835)-SQRT(D835^2-4*B835*F835))/(2*B835)</f>
        <v>2.9106333038934995</v>
      </c>
      <c r="D837" s="187" t="s">
        <v>688</v>
      </c>
      <c r="G837" s="187" t="s">
        <v>1827</v>
      </c>
      <c r="J837" s="46"/>
      <c r="K837" s="159"/>
    </row>
    <row r="838" spans="1:11" ht="14.25">
      <c r="B838" s="187" t="s">
        <v>687</v>
      </c>
      <c r="F838" s="33">
        <f>F759+C837^2*D757/(2*F721)-D757*(C837-H631/2)</f>
        <v>-21.354377170693709</v>
      </c>
      <c r="G838" s="187" t="s">
        <v>620</v>
      </c>
      <c r="J838" s="46"/>
      <c r="K838" s="159"/>
    </row>
    <row r="839" spans="1:11">
      <c r="K839" s="159"/>
    </row>
    <row r="840" spans="1:11">
      <c r="B840" s="207" t="s">
        <v>2119</v>
      </c>
      <c r="C840" s="126"/>
      <c r="D840" s="126"/>
      <c r="E840" s="126"/>
      <c r="F840" s="126"/>
      <c r="G840" s="126"/>
      <c r="H840" s="246">
        <f>T$26</f>
        <v>66.748210776768758</v>
      </c>
      <c r="I840" s="207" t="s">
        <v>620</v>
      </c>
      <c r="K840" s="159"/>
    </row>
    <row r="841" spans="1:11">
      <c r="B841" t="s">
        <v>2127</v>
      </c>
      <c r="H841" s="33" t="e">
        <f>AD26</f>
        <v>#NUM!</v>
      </c>
      <c r="I841" s="187" t="s">
        <v>5</v>
      </c>
      <c r="K841" s="159"/>
    </row>
    <row r="842" spans="1:11">
      <c r="B842" s="187" t="s">
        <v>692</v>
      </c>
      <c r="H842" s="33" t="e">
        <f>H841-40*C794/1000</f>
        <v>#NUM!</v>
      </c>
      <c r="I842" s="187" t="s">
        <v>5</v>
      </c>
      <c r="J842" s="109"/>
      <c r="K842" s="159"/>
    </row>
    <row r="843" spans="1:11">
      <c r="B843" s="187" t="s">
        <v>1874</v>
      </c>
      <c r="H843" s="33" t="e">
        <f>IF(H842&lt;D631,0,H842-D631)</f>
        <v>#NUM!</v>
      </c>
      <c r="I843" s="187" t="s">
        <v>5</v>
      </c>
      <c r="J843" s="109"/>
      <c r="K843" s="159"/>
    </row>
    <row r="844" spans="1:11">
      <c r="B844" s="187" t="s">
        <v>2122</v>
      </c>
      <c r="H844" s="33">
        <f>F633</f>
        <v>8.9351694915254232</v>
      </c>
      <c r="I844" s="187" t="s">
        <v>5</v>
      </c>
      <c r="J844" s="109"/>
      <c r="K844" s="159"/>
    </row>
    <row r="845" spans="1:11">
      <c r="B845" s="187" t="s">
        <v>2121</v>
      </c>
      <c r="H845" s="33" t="str">
        <f>IF(G851="","",H844-G851*2)</f>
        <v/>
      </c>
      <c r="I845" s="187" t="s">
        <v>5</v>
      </c>
      <c r="J845" s="109"/>
      <c r="K845" s="159"/>
    </row>
    <row r="846" spans="1:11">
      <c r="J846" s="46"/>
      <c r="K846" s="159"/>
    </row>
    <row r="847" spans="1:11" ht="12.75" customHeight="1">
      <c r="A847" s="3085" t="s">
        <v>1875</v>
      </c>
      <c r="B847" s="3118" t="s">
        <v>945</v>
      </c>
      <c r="C847" s="355" t="s">
        <v>1147</v>
      </c>
      <c r="D847" s="3118" t="s">
        <v>946</v>
      </c>
      <c r="E847" s="3122" t="s">
        <v>937</v>
      </c>
      <c r="F847" s="3118" t="s">
        <v>1150</v>
      </c>
      <c r="G847" s="3228" t="s">
        <v>1877</v>
      </c>
      <c r="H847" s="3118" t="s">
        <v>2120</v>
      </c>
      <c r="I847" s="3213" t="s">
        <v>676</v>
      </c>
      <c r="J847" s="3214"/>
      <c r="K847" s="159"/>
    </row>
    <row r="848" spans="1:11">
      <c r="A848" s="3202"/>
      <c r="B848" s="3092"/>
      <c r="C848" s="365" t="s">
        <v>1149</v>
      </c>
      <c r="D848" s="3092"/>
      <c r="E848" s="3123"/>
      <c r="F848" s="3092"/>
      <c r="G848" s="3231"/>
      <c r="H848" s="3092"/>
      <c r="I848" s="960"/>
      <c r="J848" s="961"/>
      <c r="K848" s="159"/>
    </row>
    <row r="849" spans="1:13">
      <c r="A849" s="3203"/>
      <c r="B849" s="2192"/>
      <c r="C849" s="354" t="s">
        <v>1148</v>
      </c>
      <c r="D849" s="2190"/>
      <c r="E849" s="360"/>
      <c r="F849" s="3239"/>
      <c r="G849" s="3232"/>
      <c r="H849" s="3239"/>
      <c r="I849" s="959"/>
      <c r="J849" s="961"/>
      <c r="K849" s="159"/>
    </row>
    <row r="850" spans="1:13" ht="14.25">
      <c r="A850" s="2186" t="s">
        <v>5</v>
      </c>
      <c r="B850" s="256" t="s">
        <v>491</v>
      </c>
      <c r="C850" s="256" t="s">
        <v>491</v>
      </c>
      <c r="D850" s="256" t="s">
        <v>491</v>
      </c>
      <c r="E850" s="256" t="s">
        <v>491</v>
      </c>
      <c r="F850" s="2187" t="s">
        <v>98</v>
      </c>
      <c r="G850" s="618" t="s">
        <v>5</v>
      </c>
      <c r="H850" s="2187" t="s">
        <v>98</v>
      </c>
      <c r="I850" s="962"/>
      <c r="J850" s="963"/>
      <c r="K850" s="159"/>
    </row>
    <row r="851" spans="1:13">
      <c r="A851" s="455" t="e">
        <f>H843</f>
        <v>#NUM!</v>
      </c>
      <c r="B851" s="316">
        <f>0.5*ABS(H840)*10^6/($C$18*$C$22*H772)</f>
        <v>215.61699675248337</v>
      </c>
      <c r="C851" s="316">
        <f>0.5*PI()*(C794/2)^2*1000/E794</f>
        <v>502.65482457436684</v>
      </c>
      <c r="D851" s="316">
        <f>C787</f>
        <v>760</v>
      </c>
      <c r="E851" s="316">
        <f>MAX(B851:D851)</f>
        <v>760</v>
      </c>
      <c r="F851" s="619">
        <f>PI()*(C794/2)^2*1000/E851</f>
        <v>264.55517082861417</v>
      </c>
      <c r="G851" s="620"/>
      <c r="H851" s="621">
        <f>E794*2</f>
        <v>400</v>
      </c>
      <c r="I851" s="3215" t="str">
        <f>IF(OR(H851&gt;F851,H840=0),"No curtailment ","Do curtailment")</f>
        <v xml:space="preserve">No curtailment </v>
      </c>
      <c r="J851" s="3216"/>
      <c r="K851" s="159"/>
    </row>
    <row r="852" spans="1:13">
      <c r="J852" s="46"/>
      <c r="K852" s="159"/>
    </row>
    <row r="853" spans="1:13" ht="15">
      <c r="A853" s="2096" t="s">
        <v>1132</v>
      </c>
      <c r="B853" s="126"/>
      <c r="C853" s="2013" t="str">
        <f>G35&amp;"-"&amp;G35</f>
        <v>4-4</v>
      </c>
      <c r="D853" s="692" t="s">
        <v>949</v>
      </c>
      <c r="E853" s="10"/>
      <c r="J853" s="46"/>
      <c r="K853" s="159"/>
      <c r="L853" s="46"/>
      <c r="M853" s="46"/>
    </row>
    <row r="854" spans="1:13">
      <c r="J854" s="46"/>
      <c r="K854" s="159"/>
      <c r="L854" s="46"/>
      <c r="M854" s="46"/>
    </row>
    <row r="855" spans="1:13">
      <c r="B855" s="1" t="s">
        <v>1111</v>
      </c>
      <c r="J855" s="46"/>
      <c r="K855" s="159"/>
      <c r="L855" s="46"/>
      <c r="M855" s="46"/>
    </row>
    <row r="856" spans="1:13">
      <c r="B856" s="241" t="s">
        <v>1114</v>
      </c>
      <c r="D856" s="16"/>
      <c r="G856" s="241" t="s">
        <v>1113</v>
      </c>
      <c r="J856" s="46"/>
      <c r="K856" s="159"/>
      <c r="L856" s="46"/>
      <c r="M856" s="46"/>
    </row>
    <row r="857" spans="1:13" ht="14.25">
      <c r="B857" s="241" t="s">
        <v>111</v>
      </c>
      <c r="C857" s="16">
        <f>IF(I869&lt;=9,$G$99,$G$104)</f>
        <v>1E-3</v>
      </c>
      <c r="D857" s="241" t="s">
        <v>438</v>
      </c>
      <c r="G857" s="241" t="s">
        <v>111</v>
      </c>
      <c r="H857" s="16">
        <f>IF(I869&lt;=9,$G$100,$G$105)</f>
        <v>2E-3</v>
      </c>
      <c r="I857" s="241" t="s">
        <v>438</v>
      </c>
      <c r="K857" s="159"/>
      <c r="L857" s="46"/>
      <c r="M857" s="46"/>
    </row>
    <row r="858" spans="1:13" ht="14.25">
      <c r="B858" s="241" t="s">
        <v>110</v>
      </c>
      <c r="C858" s="16">
        <f>IF($E$26&lt;=9,$G$99,$G$104)</f>
        <v>1.5E-3</v>
      </c>
      <c r="D858" s="241" t="s">
        <v>438</v>
      </c>
      <c r="F858" s="16"/>
      <c r="G858" s="241" t="s">
        <v>110</v>
      </c>
      <c r="H858" s="16">
        <f>IF($E$26&lt;=9,$G$100,$G$105)</f>
        <v>2.5000000000000001E-3</v>
      </c>
      <c r="I858" s="241" t="s">
        <v>438</v>
      </c>
      <c r="K858" s="159"/>
      <c r="L858" s="46"/>
      <c r="M858" s="46"/>
    </row>
    <row r="859" spans="1:13">
      <c r="B859" s="187" t="s">
        <v>601</v>
      </c>
      <c r="E859" s="129">
        <f>1000*(H880+H862)/2</f>
        <v>375</v>
      </c>
      <c r="F859" s="187" t="s">
        <v>98</v>
      </c>
      <c r="J859" s="46"/>
      <c r="K859" s="159"/>
      <c r="L859" s="46"/>
      <c r="M859" s="46"/>
    </row>
    <row r="860" spans="1:13">
      <c r="J860" s="46"/>
      <c r="K860" s="159"/>
      <c r="L860" s="46"/>
      <c r="M860" s="46"/>
    </row>
    <row r="861" spans="1:13">
      <c r="J861" s="46"/>
      <c r="K861" s="159"/>
      <c r="L861" s="46"/>
      <c r="M861" s="46"/>
    </row>
    <row r="862" spans="1:13">
      <c r="C862" s="203" t="s">
        <v>149</v>
      </c>
      <c r="D862" s="36">
        <f>H40</f>
        <v>10</v>
      </c>
      <c r="H862" s="2550">
        <f>R66</f>
        <v>0.3</v>
      </c>
      <c r="I862" s="36"/>
      <c r="J862" s="489"/>
      <c r="K862" s="159"/>
      <c r="L862" s="46"/>
      <c r="M862" s="46"/>
    </row>
    <row r="863" spans="1:13">
      <c r="C863" s="187"/>
      <c r="D863" s="2"/>
      <c r="G863" s="79"/>
      <c r="J863" s="46"/>
      <c r="K863" s="159"/>
      <c r="L863" s="46"/>
      <c r="M863" s="46"/>
    </row>
    <row r="864" spans="1:13">
      <c r="C864" s="187"/>
      <c r="D864" s="18" t="s">
        <v>604</v>
      </c>
      <c r="E864" s="17"/>
      <c r="F864" s="36"/>
      <c r="J864" s="46"/>
      <c r="K864" s="159"/>
      <c r="L864" s="46"/>
      <c r="M864" s="46"/>
    </row>
    <row r="865" spans="1:13">
      <c r="C865" s="206">
        <f>IF(C868&gt;D862,0,D862-C868)</f>
        <v>0</v>
      </c>
      <c r="E865" s="40"/>
      <c r="G865" s="404"/>
      <c r="J865" s="46"/>
      <c r="K865" s="159"/>
      <c r="L865" s="46"/>
      <c r="M865" s="46"/>
    </row>
    <row r="866" spans="1:13">
      <c r="A866" s="17" t="s">
        <v>45</v>
      </c>
      <c r="C866" s="187"/>
      <c r="D866" s="54" t="s">
        <v>135</v>
      </c>
      <c r="E866" s="17"/>
      <c r="F866" s="36"/>
      <c r="G866" s="404"/>
      <c r="J866" s="46"/>
      <c r="K866" s="159"/>
      <c r="L866" s="46"/>
      <c r="M866" s="46"/>
    </row>
    <row r="867" spans="1:13">
      <c r="C867" s="187"/>
      <c r="D867" s="33"/>
      <c r="E867" s="84">
        <f>C872*(H880-H862)/I869</f>
        <v>0.15000000000000002</v>
      </c>
      <c r="G867" s="404"/>
      <c r="J867" s="46"/>
      <c r="K867" s="159"/>
      <c r="L867" s="46"/>
      <c r="M867" s="46"/>
    </row>
    <row r="868" spans="1:13">
      <c r="C868" s="54">
        <f>G44</f>
        <v>12.833738527886329</v>
      </c>
      <c r="D868" s="33"/>
      <c r="E868" s="17"/>
      <c r="F868" s="36"/>
      <c r="G868" s="404"/>
      <c r="J868" s="46"/>
      <c r="K868" s="159"/>
      <c r="L868" s="46"/>
      <c r="M868" s="46"/>
    </row>
    <row r="869" spans="1:13">
      <c r="C869" s="187"/>
      <c r="E869" s="40"/>
      <c r="H869" s="17" t="s">
        <v>600</v>
      </c>
      <c r="I869" s="10">
        <f>D862-G876</f>
        <v>3.9000000000000004</v>
      </c>
      <c r="J869" s="44"/>
      <c r="K869" s="159"/>
      <c r="L869" s="46"/>
    </row>
    <row r="870" spans="1:13">
      <c r="A870" s="17" t="s">
        <v>44</v>
      </c>
      <c r="C870" s="187"/>
      <c r="E870" s="40"/>
      <c r="F870" s="33">
        <f>E45</f>
        <v>13.9</v>
      </c>
      <c r="G870" s="18" t="s">
        <v>5</v>
      </c>
      <c r="J870" s="46"/>
      <c r="K870" s="159"/>
      <c r="L870" s="46"/>
      <c r="M870" s="46"/>
    </row>
    <row r="871" spans="1:13">
      <c r="C871" s="187"/>
      <c r="E871" s="88"/>
      <c r="G871" s="33"/>
      <c r="I871" s="10"/>
      <c r="J871" s="44"/>
      <c r="K871" s="159"/>
      <c r="L871" s="46"/>
      <c r="M871" s="46"/>
    </row>
    <row r="872" spans="1:13">
      <c r="C872" s="206">
        <f>IF(C868&gt;D862,I869,C868-G876)</f>
        <v>3.9000000000000004</v>
      </c>
      <c r="E872" s="53"/>
      <c r="G872" s="404" t="s">
        <v>607</v>
      </c>
      <c r="J872" s="46"/>
      <c r="K872" s="159"/>
      <c r="L872" s="46"/>
      <c r="M872" s="46"/>
    </row>
    <row r="873" spans="1:13">
      <c r="C873" s="187"/>
      <c r="E873" s="346"/>
      <c r="F873" s="54">
        <f>IF(F870&gt;D862,I869,IF(F870&lt;G876,0,F870-G876))</f>
        <v>3.9000000000000004</v>
      </c>
      <c r="G873" t="s">
        <v>5</v>
      </c>
      <c r="J873" s="46"/>
      <c r="K873" s="159"/>
      <c r="L873" s="46"/>
      <c r="M873" s="46"/>
    </row>
    <row r="874" spans="1:13">
      <c r="A874" s="2" t="s">
        <v>605</v>
      </c>
      <c r="C874" s="187"/>
      <c r="E874" s="17" t="s">
        <v>606</v>
      </c>
      <c r="F874" s="36"/>
      <c r="J874" s="46"/>
      <c r="K874" s="159"/>
      <c r="L874" s="46"/>
      <c r="M874" s="46"/>
    </row>
    <row r="875" spans="1:13">
      <c r="C875" s="187"/>
      <c r="E875" s="40"/>
      <c r="J875" s="46"/>
      <c r="K875" s="159"/>
      <c r="L875" s="46"/>
      <c r="M875" s="46"/>
    </row>
    <row r="876" spans="1:13">
      <c r="C876" s="187"/>
      <c r="E876" s="40"/>
      <c r="F876" s="17" t="s">
        <v>603</v>
      </c>
      <c r="G876" s="36">
        <f>F51</f>
        <v>6.1</v>
      </c>
      <c r="I876" s="10"/>
      <c r="J876" s="44"/>
      <c r="K876" s="159"/>
      <c r="L876" s="46"/>
      <c r="M876" s="46"/>
    </row>
    <row r="877" spans="1:13">
      <c r="C877" s="187"/>
      <c r="F877" s="53"/>
      <c r="H877" s="33"/>
      <c r="I877" s="3180">
        <f>I957</f>
        <v>0.8027777777777777</v>
      </c>
      <c r="J877" s="46"/>
      <c r="K877" s="159"/>
      <c r="L877" s="46"/>
      <c r="M877" s="46"/>
    </row>
    <row r="878" spans="1:13">
      <c r="C878" s="187"/>
      <c r="I878" s="3180"/>
      <c r="J878" s="44"/>
      <c r="K878" s="159"/>
      <c r="L878" s="46"/>
      <c r="M878" s="46"/>
    </row>
    <row r="879" spans="1:13">
      <c r="C879" s="187"/>
      <c r="G879" s="33"/>
      <c r="J879" s="46"/>
      <c r="K879" s="159"/>
      <c r="L879" s="46"/>
      <c r="M879" s="46"/>
    </row>
    <row r="880" spans="1:13">
      <c r="C880" s="187"/>
      <c r="D880" s="10">
        <f>H880</f>
        <v>0.45</v>
      </c>
      <c r="F880" s="33">
        <f>F82</f>
        <v>10.461864406779661</v>
      </c>
      <c r="G880" t="s">
        <v>5</v>
      </c>
      <c r="H880" s="2549">
        <f>S66</f>
        <v>0.45</v>
      </c>
      <c r="I880" s="440" t="str">
        <f>IF(AND(I909="ok",I910="ok"),"ok","Not ok")</f>
        <v>ok</v>
      </c>
      <c r="J880" s="46"/>
      <c r="K880" s="159"/>
      <c r="L880" s="46"/>
      <c r="M880" s="46"/>
    </row>
    <row r="881" spans="1:13">
      <c r="C881" s="187"/>
      <c r="J881" s="46"/>
      <c r="K881" s="159"/>
      <c r="L881" s="46"/>
      <c r="M881" s="46"/>
    </row>
    <row r="882" spans="1:13">
      <c r="C882" s="187"/>
      <c r="F882" s="33">
        <f>F880+H880+D880</f>
        <v>11.361864406779659</v>
      </c>
      <c r="G882" t="s">
        <v>5</v>
      </c>
      <c r="J882" s="46"/>
      <c r="K882" s="159"/>
      <c r="L882" s="46"/>
      <c r="M882" s="61"/>
    </row>
    <row r="883" spans="1:13">
      <c r="A883" s="187"/>
      <c r="B883" s="753" t="s">
        <v>1880</v>
      </c>
      <c r="C883" s="753"/>
      <c r="D883" s="753"/>
      <c r="E883" s="753"/>
      <c r="F883" s="753"/>
      <c r="G883" s="753"/>
      <c r="H883" s="753"/>
      <c r="I883" s="753"/>
      <c r="K883" s="159"/>
    </row>
    <row r="884" spans="1:13">
      <c r="A884" s="187"/>
      <c r="J884" s="46"/>
      <c r="K884" s="159"/>
    </row>
    <row r="885" spans="1:13">
      <c r="A885" s="187"/>
      <c r="B885" s="225" t="str">
        <f>"a) Design of Wall  : Sec "&amp;C853</f>
        <v>a) Design of Wall  : Sec 4-4</v>
      </c>
      <c r="C885" s="174"/>
      <c r="D885" s="174"/>
      <c r="J885" s="46"/>
      <c r="K885" s="159"/>
    </row>
    <row r="886" spans="1:13">
      <c r="B886" s="1" t="s">
        <v>612</v>
      </c>
      <c r="D886" s="2"/>
      <c r="E886" s="10"/>
      <c r="J886" s="46"/>
      <c r="K886" s="159"/>
    </row>
    <row r="887" spans="1:13">
      <c r="A887" s="187"/>
      <c r="B887" s="187" t="s">
        <v>611</v>
      </c>
      <c r="D887" s="2"/>
      <c r="E887" s="10"/>
      <c r="J887" s="46"/>
      <c r="K887" s="159"/>
    </row>
    <row r="888" spans="1:13">
      <c r="B888" s="2" t="s">
        <v>131</v>
      </c>
      <c r="D888" s="2" t="s">
        <v>35</v>
      </c>
      <c r="E888" s="10">
        <f>D862-G876</f>
        <v>3.9000000000000004</v>
      </c>
      <c r="F888" t="s">
        <v>5</v>
      </c>
      <c r="J888" s="46"/>
      <c r="K888" s="159"/>
      <c r="L888" s="46"/>
      <c r="M888" s="109"/>
    </row>
    <row r="889" spans="1:13" ht="15.75">
      <c r="A889" s="40"/>
      <c r="B889" s="187" t="s">
        <v>593</v>
      </c>
      <c r="D889" s="2" t="s">
        <v>35</v>
      </c>
      <c r="E889" s="10">
        <f>0.5*$I$8*$D$6*E888^2</f>
        <v>51.892967233869598</v>
      </c>
      <c r="F889" t="s">
        <v>21</v>
      </c>
      <c r="J889" s="46"/>
      <c r="K889" s="159"/>
      <c r="L889" s="46"/>
      <c r="M889" s="109"/>
    </row>
    <row r="890" spans="1:13" ht="20.25">
      <c r="A890" s="40"/>
      <c r="B890" s="38" t="s">
        <v>594</v>
      </c>
      <c r="D890" s="2" t="s">
        <v>35</v>
      </c>
      <c r="E890" s="10">
        <f>(1/6)*$I$8*$D$6*E888^3</f>
        <v>67.460857404030477</v>
      </c>
      <c r="F890" t="s">
        <v>107</v>
      </c>
      <c r="J890" s="46"/>
      <c r="K890" s="159"/>
      <c r="L890" s="46"/>
      <c r="M890" s="46"/>
    </row>
    <row r="891" spans="1:13" ht="15.75">
      <c r="J891" s="46"/>
      <c r="K891" s="159"/>
      <c r="L891" s="389"/>
      <c r="M891" s="388"/>
    </row>
    <row r="892" spans="1:13" ht="15.75">
      <c r="B892" s="1" t="s">
        <v>649</v>
      </c>
      <c r="J892" s="46"/>
      <c r="K892" s="159"/>
      <c r="L892" s="389"/>
      <c r="M892" s="388"/>
    </row>
    <row r="893" spans="1:13" ht="15.75">
      <c r="B893" s="1" t="s">
        <v>653</v>
      </c>
      <c r="E893" s="86"/>
      <c r="J893" s="46"/>
      <c r="K893" s="159"/>
      <c r="L893" s="389"/>
      <c r="M893" s="388"/>
    </row>
    <row r="894" spans="1:13" ht="15.75">
      <c r="B894" s="1"/>
      <c r="C894" s="187"/>
      <c r="E894" s="86"/>
      <c r="J894" s="46"/>
      <c r="K894" s="159"/>
      <c r="L894" s="389"/>
      <c r="M894" s="388"/>
    </row>
    <row r="895" spans="1:13" ht="15.75">
      <c r="B895" s="2" t="s">
        <v>132</v>
      </c>
      <c r="C895" s="2" t="s">
        <v>35</v>
      </c>
      <c r="D895" s="10">
        <f>C865</f>
        <v>0</v>
      </c>
      <c r="E895" t="s">
        <v>5</v>
      </c>
      <c r="J895" s="46"/>
      <c r="K895" s="159"/>
      <c r="L895" s="389"/>
      <c r="M895" s="388"/>
    </row>
    <row r="896" spans="1:13">
      <c r="B896" s="2" t="s">
        <v>133</v>
      </c>
      <c r="C896" s="2" t="s">
        <v>35</v>
      </c>
      <c r="D896" s="10">
        <f>C872</f>
        <v>3.9000000000000004</v>
      </c>
      <c r="E896" t="s">
        <v>5</v>
      </c>
      <c r="J896" s="46"/>
      <c r="K896" s="159"/>
      <c r="L896" s="46"/>
      <c r="M896" s="46"/>
    </row>
    <row r="897" spans="1:13">
      <c r="B897" s="2" t="s">
        <v>134</v>
      </c>
      <c r="C897" s="2" t="s">
        <v>35</v>
      </c>
      <c r="D897" s="10">
        <f>F873</f>
        <v>3.9000000000000004</v>
      </c>
      <c r="E897" t="s">
        <v>5</v>
      </c>
      <c r="J897" s="46"/>
      <c r="K897" s="159"/>
      <c r="L897" s="46"/>
      <c r="M897" s="46"/>
    </row>
    <row r="898" spans="1:13" ht="20.25">
      <c r="A898" s="38" t="s">
        <v>624</v>
      </c>
      <c r="C898" s="2"/>
      <c r="D898" s="54">
        <f>0.5*$I$8*$D$5*D895^2</f>
        <v>0</v>
      </c>
      <c r="E898" s="187" t="s">
        <v>341</v>
      </c>
      <c r="F898" s="38" t="s">
        <v>628</v>
      </c>
      <c r="I898" s="33">
        <f>D898*(D896+D895/3)</f>
        <v>0</v>
      </c>
      <c r="J898" s="224"/>
      <c r="K898" s="159"/>
      <c r="L898" s="46"/>
      <c r="M898" s="46"/>
    </row>
    <row r="899" spans="1:13" ht="18.75">
      <c r="A899" s="38" t="s">
        <v>625</v>
      </c>
      <c r="C899" s="2"/>
      <c r="D899" s="54">
        <f>$I$8*$D$5*D895*D896</f>
        <v>0</v>
      </c>
      <c r="E899" s="187" t="s">
        <v>341</v>
      </c>
      <c r="F899" s="38" t="s">
        <v>631</v>
      </c>
      <c r="I899" s="33">
        <f>D899*D896/2</f>
        <v>0</v>
      </c>
      <c r="J899" s="224"/>
      <c r="K899" s="159"/>
      <c r="L899" s="388"/>
      <c r="M899" s="389"/>
    </row>
    <row r="900" spans="1:13" ht="20.25">
      <c r="A900" s="38" t="s">
        <v>626</v>
      </c>
      <c r="C900" s="2"/>
      <c r="D900" s="54">
        <f>0.5*($I$8*($D$6-$D$7)+$D$7)*D896^2</f>
        <v>99.563096145813489</v>
      </c>
      <c r="E900" s="187" t="s">
        <v>341</v>
      </c>
      <c r="F900" s="38" t="s">
        <v>629</v>
      </c>
      <c r="I900" s="33">
        <f>D900*D896/3</f>
        <v>129.43202498955756</v>
      </c>
      <c r="J900" s="224"/>
      <c r="K900" s="159"/>
      <c r="L900" s="388"/>
      <c r="M900" s="224"/>
    </row>
    <row r="901" spans="1:13" ht="20.25">
      <c r="A901" s="38" t="s">
        <v>627</v>
      </c>
      <c r="C901" s="2"/>
      <c r="D901" s="211">
        <f>0.5*$D$7*D897^2</f>
        <v>74.60505000000002</v>
      </c>
      <c r="E901" s="187" t="s">
        <v>341</v>
      </c>
      <c r="F901" s="38" t="s">
        <v>630</v>
      </c>
      <c r="I901" s="212">
        <f>D901*D897/3</f>
        <v>96.986565000000041</v>
      </c>
      <c r="J901" s="785"/>
      <c r="K901" s="159"/>
      <c r="L901" s="388"/>
      <c r="M901" s="46"/>
    </row>
    <row r="902" spans="1:13" ht="15.75">
      <c r="C902" s="38" t="s">
        <v>632</v>
      </c>
      <c r="D902" s="54">
        <f>D898+D899+D900-D901</f>
        <v>24.958046145813469</v>
      </c>
      <c r="E902" s="187" t="s">
        <v>341</v>
      </c>
      <c r="F902" s="18"/>
      <c r="H902" s="187" t="s">
        <v>633</v>
      </c>
      <c r="I902" s="54">
        <f>D898*(D896+D895/3)+D899*0.5*D896+D900*D896/3-D901*D897/3</f>
        <v>32.44545998955752</v>
      </c>
      <c r="J902" s="162"/>
      <c r="K902" s="159"/>
      <c r="L902" s="388"/>
      <c r="M902" s="389"/>
    </row>
    <row r="903" spans="1:13">
      <c r="D903" s="2"/>
      <c r="E903" s="10"/>
      <c r="J903" s="46"/>
      <c r="K903" s="159"/>
      <c r="L903" s="388"/>
      <c r="M903" s="46"/>
    </row>
    <row r="904" spans="1:13">
      <c r="B904" t="s">
        <v>129</v>
      </c>
      <c r="C904" s="17"/>
      <c r="D904" s="2" t="s">
        <v>35</v>
      </c>
      <c r="E904" s="87">
        <f>MAX(E889,D902)</f>
        <v>51.892967233869598</v>
      </c>
      <c r="F904" s="10" t="s">
        <v>21</v>
      </c>
      <c r="J904" s="46"/>
      <c r="K904" s="159"/>
      <c r="L904" s="46"/>
      <c r="M904" s="46"/>
    </row>
    <row r="905" spans="1:13">
      <c r="B905" t="s">
        <v>130</v>
      </c>
      <c r="C905" s="17"/>
      <c r="D905" s="2" t="s">
        <v>35</v>
      </c>
      <c r="E905" s="87">
        <f>MAX(E890,I902)</f>
        <v>67.460857404030477</v>
      </c>
      <c r="F905" s="10" t="s">
        <v>107</v>
      </c>
      <c r="J905" s="46"/>
      <c r="K905" s="159"/>
      <c r="L905" s="46"/>
      <c r="M905" s="46"/>
    </row>
    <row r="906" spans="1:13">
      <c r="B906" s="187" t="s">
        <v>599</v>
      </c>
      <c r="E906" s="129">
        <f>H880*1000</f>
        <v>450</v>
      </c>
      <c r="F906" s="187" t="s">
        <v>98</v>
      </c>
      <c r="J906" s="46"/>
      <c r="K906" s="159"/>
      <c r="L906" s="46"/>
      <c r="M906" s="46"/>
    </row>
    <row r="907" spans="1:13">
      <c r="B907" s="187" t="s">
        <v>571</v>
      </c>
      <c r="E907" s="129">
        <f>E906-$I$13-C929/2</f>
        <v>382</v>
      </c>
      <c r="F907" s="187" t="s">
        <v>98</v>
      </c>
      <c r="J907" s="46"/>
      <c r="K907" s="159"/>
      <c r="L907" s="46"/>
      <c r="M907" s="46"/>
    </row>
    <row r="908" spans="1:13">
      <c r="J908" s="46"/>
      <c r="K908" s="159"/>
      <c r="L908" s="388"/>
      <c r="M908" s="46"/>
    </row>
    <row r="909" spans="1:13">
      <c r="A909" s="187" t="s">
        <v>578</v>
      </c>
      <c r="D909" s="2"/>
      <c r="G909" s="9">
        <f>(E904*10^3)/($C$24*1000)</f>
        <v>121.57821745141999</v>
      </c>
      <c r="H909" s="187" t="s">
        <v>98</v>
      </c>
      <c r="I909" s="126" t="str">
        <f>IF(G909&lt;=E907,"ok","Not ok")</f>
        <v>ok</v>
      </c>
      <c r="J909" s="46"/>
      <c r="K909" s="159"/>
      <c r="L909" s="289"/>
      <c r="M909" s="46"/>
    </row>
    <row r="910" spans="1:13">
      <c r="A910" s="187" t="s">
        <v>577</v>
      </c>
      <c r="C910" s="201"/>
      <c r="D910" s="2"/>
      <c r="G910" s="9">
        <f>((E905*10^6)/($C$23*1000))^0.5</f>
        <v>217.18673814132541</v>
      </c>
      <c r="H910" s="187" t="s">
        <v>98</v>
      </c>
      <c r="I910" s="126" t="str">
        <f>IF(G910&lt;=E907,"ok","Not ok")</f>
        <v>ok</v>
      </c>
      <c r="J910" s="46"/>
      <c r="K910" s="159"/>
      <c r="L910" s="388"/>
      <c r="M910" s="46"/>
    </row>
    <row r="911" spans="1:13">
      <c r="A911" s="187" t="s">
        <v>634</v>
      </c>
      <c r="E911" s="2"/>
      <c r="G911" s="9">
        <f>(E905*10^6)/($C$18*$C$22*E907)</f>
        <v>1062.6565071860221</v>
      </c>
      <c r="H911" s="187" t="s">
        <v>128</v>
      </c>
      <c r="J911" s="46"/>
      <c r="K911" s="159"/>
      <c r="L911" s="289"/>
      <c r="M911" s="46"/>
    </row>
    <row r="912" spans="1:13">
      <c r="J912" s="46"/>
      <c r="K912" s="159"/>
      <c r="L912" s="289"/>
      <c r="M912" s="46"/>
    </row>
    <row r="913" spans="1:16">
      <c r="A913" s="187" t="s">
        <v>1828</v>
      </c>
      <c r="E913" s="2"/>
      <c r="G913" s="2052">
        <f>IF(I902&lt;0,ABS(I902),0)</f>
        <v>0</v>
      </c>
      <c r="H913" s="36" t="s">
        <v>107</v>
      </c>
      <c r="J913" s="46"/>
      <c r="K913" s="159"/>
      <c r="L913" s="289"/>
      <c r="M913" s="46"/>
    </row>
    <row r="914" spans="1:16">
      <c r="A914" s="187" t="s">
        <v>1829</v>
      </c>
      <c r="E914" s="2"/>
      <c r="G914" s="9">
        <f>(G913*10^6)/($C$18*$C$22*E907)</f>
        <v>0</v>
      </c>
      <c r="H914" s="187" t="s">
        <v>128</v>
      </c>
      <c r="J914" s="46"/>
      <c r="K914" s="159"/>
      <c r="L914" s="289"/>
      <c r="M914" s="46"/>
    </row>
    <row r="915" spans="1:16">
      <c r="J915" s="46"/>
      <c r="K915" s="159"/>
      <c r="L915" s="46"/>
      <c r="M915" s="46"/>
    </row>
    <row r="916" spans="1:16">
      <c r="A916" s="936" t="str">
        <f>"Reinforcement Distribution of R/S Wing Wall for Sec :"&amp;C853</f>
        <v>Reinforcement Distribution of R/S Wing Wall for Sec :4-4</v>
      </c>
      <c r="G916" s="107"/>
      <c r="H916" s="107"/>
      <c r="J916" s="46"/>
      <c r="K916" s="159"/>
      <c r="L916" s="3219" t="s">
        <v>1940</v>
      </c>
      <c r="M916" s="3220"/>
      <c r="N916" s="3220"/>
      <c r="O916" s="3220"/>
      <c r="P916" s="3221"/>
    </row>
    <row r="917" spans="1:16">
      <c r="J917" s="46"/>
      <c r="K917" s="159"/>
      <c r="L917" s="2286" t="s">
        <v>876</v>
      </c>
      <c r="M917" s="3210" t="s">
        <v>492</v>
      </c>
      <c r="N917" s="3212"/>
      <c r="O917" s="3210" t="s">
        <v>493</v>
      </c>
      <c r="P917" s="3212"/>
    </row>
    <row r="918" spans="1:16">
      <c r="A918" s="3147" t="s">
        <v>486</v>
      </c>
      <c r="B918" s="3148" t="s">
        <v>487</v>
      </c>
      <c r="C918" s="3148" t="s">
        <v>488</v>
      </c>
      <c r="D918" s="3148" t="s">
        <v>489</v>
      </c>
      <c r="E918" s="3149" t="s">
        <v>490</v>
      </c>
      <c r="F918" s="3150"/>
      <c r="G918" s="3150"/>
      <c r="H918" s="3150"/>
      <c r="I918" s="3150"/>
      <c r="J918" s="330"/>
      <c r="K918" s="159"/>
      <c r="L918" s="2293"/>
      <c r="M918" s="2287" t="s">
        <v>709</v>
      </c>
      <c r="N918" s="1973" t="s">
        <v>710</v>
      </c>
      <c r="O918" s="1973" t="s">
        <v>709</v>
      </c>
      <c r="P918" s="2288" t="s">
        <v>710</v>
      </c>
    </row>
    <row r="919" spans="1:16">
      <c r="A919" s="3147"/>
      <c r="B919" s="3148"/>
      <c r="C919" s="3148"/>
      <c r="D919" s="3148"/>
      <c r="E919" s="94">
        <v>12</v>
      </c>
      <c r="F919" s="94">
        <v>16</v>
      </c>
      <c r="G919" s="94">
        <v>20</v>
      </c>
      <c r="H919" s="94">
        <v>22</v>
      </c>
      <c r="I919" s="94">
        <v>25</v>
      </c>
      <c r="J919" s="275"/>
      <c r="K919" s="159"/>
      <c r="L919" s="873" t="str">
        <f>L931</f>
        <v>1-1</v>
      </c>
      <c r="M919" s="875">
        <f t="shared" ref="M919:P923" si="24">M173</f>
        <v>25</v>
      </c>
      <c r="N919" s="880">
        <f t="shared" si="24"/>
        <v>100</v>
      </c>
      <c r="O919" s="875">
        <f t="shared" si="24"/>
        <v>16</v>
      </c>
      <c r="P919" s="881">
        <f t="shared" si="24"/>
        <v>200</v>
      </c>
    </row>
    <row r="920" spans="1:16" ht="14.25">
      <c r="A920" s="172"/>
      <c r="B920" s="256" t="s">
        <v>491</v>
      </c>
      <c r="C920" s="256" t="s">
        <v>491</v>
      </c>
      <c r="D920" s="256" t="s">
        <v>491</v>
      </c>
      <c r="E920" s="402" t="s">
        <v>98</v>
      </c>
      <c r="F920" s="402" t="s">
        <v>98</v>
      </c>
      <c r="G920" s="402" t="s">
        <v>98</v>
      </c>
      <c r="H920" s="402" t="s">
        <v>98</v>
      </c>
      <c r="I920" s="402" t="s">
        <v>98</v>
      </c>
      <c r="J920" s="759"/>
      <c r="K920" s="159"/>
      <c r="L920" s="860" t="str">
        <f>L932</f>
        <v>2-2</v>
      </c>
      <c r="M920" s="870">
        <f t="shared" si="24"/>
        <v>25</v>
      </c>
      <c r="N920" s="876">
        <f t="shared" si="24"/>
        <v>100</v>
      </c>
      <c r="O920" s="870">
        <f t="shared" si="24"/>
        <v>16</v>
      </c>
      <c r="P920" s="877">
        <f t="shared" si="24"/>
        <v>200</v>
      </c>
    </row>
    <row r="921" spans="1:16">
      <c r="A921" s="258" t="s">
        <v>492</v>
      </c>
      <c r="B921" s="55"/>
      <c r="C921" s="55"/>
      <c r="D921" s="55"/>
      <c r="E921" s="55"/>
      <c r="F921" s="55"/>
      <c r="G921" s="55"/>
      <c r="H921" s="55"/>
      <c r="I921" s="56"/>
      <c r="J921" s="386"/>
      <c r="K921" s="159"/>
      <c r="L921" s="860" t="str">
        <f>L933</f>
        <v>3-3</v>
      </c>
      <c r="M921" s="870">
        <f t="shared" si="24"/>
        <v>20</v>
      </c>
      <c r="N921" s="876">
        <f t="shared" si="24"/>
        <v>100</v>
      </c>
      <c r="O921" s="870">
        <f t="shared" si="24"/>
        <v>16</v>
      </c>
      <c r="P921" s="877">
        <f t="shared" si="24"/>
        <v>200</v>
      </c>
    </row>
    <row r="922" spans="1:16">
      <c r="A922" s="259" t="s">
        <v>111</v>
      </c>
      <c r="B922" s="318">
        <f>G911</f>
        <v>1062.6565071860221</v>
      </c>
      <c r="C922" s="318">
        <f>IF(E859&gt;380,C857*1000*380,C857*1000*E859)</f>
        <v>375</v>
      </c>
      <c r="D922" s="318">
        <f>MAX(B922:C922)</f>
        <v>1062.6565071860221</v>
      </c>
      <c r="E922" s="261">
        <f>PI()*(E919/2)^2*1000/$D922</f>
        <v>106.42887401943368</v>
      </c>
      <c r="F922" s="261">
        <f>PI()*(F919/2)^2*1000/$D922</f>
        <v>189.20688714565983</v>
      </c>
      <c r="G922" s="261">
        <f>PI()*(G919/2)^2*1000/$D922</f>
        <v>295.63576116509358</v>
      </c>
      <c r="H922" s="261">
        <f>PI()*(H919/2)^2*1000/$D922</f>
        <v>357.71927100976319</v>
      </c>
      <c r="I922" s="283">
        <f>PI()*(I919/2)^2*1000/$D922</f>
        <v>461.93087682045865</v>
      </c>
      <c r="J922" s="328"/>
      <c r="K922" s="159"/>
      <c r="L922" s="2021" t="str">
        <f>L934</f>
        <v>4-4</v>
      </c>
      <c r="M922" s="2018">
        <f t="shared" si="24"/>
        <v>16</v>
      </c>
      <c r="N922" s="2019">
        <f t="shared" si="24"/>
        <v>100</v>
      </c>
      <c r="O922" s="2018">
        <f t="shared" si="24"/>
        <v>16</v>
      </c>
      <c r="P922" s="2020">
        <f t="shared" si="24"/>
        <v>200</v>
      </c>
    </row>
    <row r="923" spans="1:16">
      <c r="A923" s="262" t="s">
        <v>110</v>
      </c>
      <c r="B923" s="319"/>
      <c r="C923" s="318">
        <f>IF(E859&gt;380,C858*1000*380,C858*1000*E859)</f>
        <v>562.5</v>
      </c>
      <c r="D923" s="319">
        <f>MAX(B923:C923)</f>
        <v>562.5</v>
      </c>
      <c r="E923" s="261">
        <f>PI()*(E919/2)^2*1000/$D923</f>
        <v>201.06192982974676</v>
      </c>
      <c r="F923" s="261">
        <f>PI()*(F919/2)^2*1000/$D923</f>
        <v>357.44343080843868</v>
      </c>
      <c r="G923" s="261">
        <f>PI()*(G919/2)^2*1000/$D923</f>
        <v>558.50536063818549</v>
      </c>
      <c r="H923" s="261">
        <f>PI()*(H919/2)^2*1000/$D923</f>
        <v>675.79148637220442</v>
      </c>
      <c r="I923" s="283">
        <f>PI()*(I919/2)^2*1000/$D923</f>
        <v>872.66462599716476</v>
      </c>
      <c r="J923" s="328"/>
      <c r="K923" s="159"/>
      <c r="L923" s="865" t="str">
        <f>L935</f>
        <v>5-5</v>
      </c>
      <c r="M923" s="872">
        <f t="shared" si="24"/>
        <v>16</v>
      </c>
      <c r="N923" s="878">
        <f t="shared" si="24"/>
        <v>100</v>
      </c>
      <c r="O923" s="872">
        <f t="shared" si="24"/>
        <v>16</v>
      </c>
      <c r="P923" s="879">
        <f t="shared" si="24"/>
        <v>200</v>
      </c>
    </row>
    <row r="924" spans="1:16">
      <c r="A924" s="264" t="s">
        <v>493</v>
      </c>
      <c r="B924" s="265"/>
      <c r="C924" s="322"/>
      <c r="D924" s="322"/>
      <c r="E924" s="266"/>
      <c r="F924" s="266"/>
      <c r="G924" s="266"/>
      <c r="H924" s="266"/>
      <c r="I924" s="267"/>
      <c r="J924" s="330"/>
      <c r="K924" s="159"/>
      <c r="L924" s="46"/>
      <c r="M924" s="405"/>
    </row>
    <row r="925" spans="1:16">
      <c r="A925" s="259" t="s">
        <v>111</v>
      </c>
      <c r="B925" s="318">
        <f>G914</f>
        <v>0</v>
      </c>
      <c r="C925" s="318">
        <f>IF(E859&gt;380,H857*1000*380,H857*1000*E859)</f>
        <v>750</v>
      </c>
      <c r="D925" s="318">
        <f>MAX(B925:C925)</f>
        <v>750</v>
      </c>
      <c r="E925" s="261">
        <f>PI()*(E919/2)^2*1000/$D925</f>
        <v>150.79644737231007</v>
      </c>
      <c r="F925" s="261">
        <f>PI()*(F919/2)^2*1000/$D925</f>
        <v>268.08257310632899</v>
      </c>
      <c r="G925" s="261">
        <f>PI()*(G919/2)^2*1000/$D925</f>
        <v>418.87902047863912</v>
      </c>
      <c r="H925" s="261">
        <f>PI()*(H919/2)^2*1000/$D925</f>
        <v>506.84361477915331</v>
      </c>
      <c r="I925" s="283">
        <f>PI()*(I919/2)^2*1000/$D925</f>
        <v>654.49846949787366</v>
      </c>
      <c r="J925" s="328"/>
      <c r="K925" s="159"/>
      <c r="L925" s="46"/>
      <c r="M925" s="405"/>
    </row>
    <row r="926" spans="1:16">
      <c r="A926" s="262" t="s">
        <v>110</v>
      </c>
      <c r="B926" s="263"/>
      <c r="C926" s="319">
        <f>IF(E859&gt;380,H858*1000*380,H858*1000*E859)</f>
        <v>937.5</v>
      </c>
      <c r="D926" s="319">
        <f>MAX(B926:C926)</f>
        <v>937.5</v>
      </c>
      <c r="E926" s="284">
        <f>PI()*(E919/2)^2*1000/$D926</f>
        <v>120.63715789784806</v>
      </c>
      <c r="F926" s="284">
        <f>PI()*(F919/2)^2*1000/$D926</f>
        <v>214.4660584850632</v>
      </c>
      <c r="G926" s="284">
        <f>PI()*(G919/2)^2*1000/$D926</f>
        <v>335.10321638291128</v>
      </c>
      <c r="H926" s="284">
        <f>PI()*(H919/2)^2*1000/$D926</f>
        <v>405.47489182332265</v>
      </c>
      <c r="I926" s="285">
        <f>PI()*(I919/2)^2*1000/$D926</f>
        <v>523.59877559829886</v>
      </c>
      <c r="J926" s="328"/>
      <c r="K926" s="159"/>
      <c r="L926" s="46"/>
      <c r="M926" s="405"/>
    </row>
    <row r="927" spans="1:16">
      <c r="J927" s="46"/>
      <c r="K927" s="159"/>
      <c r="L927" s="3219" t="s">
        <v>1139</v>
      </c>
      <c r="M927" s="3220"/>
      <c r="N927" s="3220"/>
      <c r="O927" s="3220"/>
      <c r="P927" s="3221"/>
    </row>
    <row r="928" spans="1:16">
      <c r="A928" s="258" t="s">
        <v>492</v>
      </c>
      <c r="B928" s="55"/>
      <c r="C928" s="252"/>
      <c r="D928" s="55"/>
      <c r="E928" s="55"/>
      <c r="F928" s="56"/>
      <c r="G928" s="2723" t="s">
        <v>2095</v>
      </c>
      <c r="H928" s="2672" t="s">
        <v>1358</v>
      </c>
      <c r="I928" s="1178" t="s">
        <v>2094</v>
      </c>
      <c r="J928" s="46"/>
      <c r="K928" s="159"/>
      <c r="L928" s="3208" t="s">
        <v>876</v>
      </c>
      <c r="M928" s="3210" t="s">
        <v>110</v>
      </c>
      <c r="N928" s="3211"/>
      <c r="O928" s="3211"/>
      <c r="P928" s="3212"/>
    </row>
    <row r="929" spans="1:17" ht="15.75">
      <c r="A929" s="259" t="s">
        <v>111</v>
      </c>
      <c r="B929" s="268" t="s">
        <v>136</v>
      </c>
      <c r="C929" s="269">
        <v>16</v>
      </c>
      <c r="D929" s="270" t="s">
        <v>481</v>
      </c>
      <c r="E929" s="271">
        <v>100</v>
      </c>
      <c r="F929" s="272" t="s">
        <v>482</v>
      </c>
      <c r="G929" s="3118" t="s">
        <v>2108</v>
      </c>
      <c r="H929" s="94" t="s">
        <v>1348</v>
      </c>
      <c r="I929" s="94" t="s">
        <v>107</v>
      </c>
      <c r="J929" s="3253" t="str">
        <f>IF(I930&gt;=V26,"o.k","Not o.k")</f>
        <v>o.k</v>
      </c>
      <c r="K929" s="159"/>
      <c r="L929" s="3209"/>
      <c r="M929" s="3210" t="s">
        <v>492</v>
      </c>
      <c r="N929" s="3212"/>
      <c r="O929" s="3210" t="s">
        <v>493</v>
      </c>
      <c r="P929" s="3212"/>
    </row>
    <row r="930" spans="1:17" ht="15.75">
      <c r="A930" s="262" t="s">
        <v>110</v>
      </c>
      <c r="B930" s="278" t="s">
        <v>136</v>
      </c>
      <c r="C930" s="279">
        <v>16</v>
      </c>
      <c r="D930" s="280" t="s">
        <v>481</v>
      </c>
      <c r="E930" s="281">
        <v>200</v>
      </c>
      <c r="F930" s="282" t="s">
        <v>482</v>
      </c>
      <c r="G930" s="3239"/>
      <c r="H930" s="316">
        <f>PI()*(C929/2)^2*1000/E929</f>
        <v>2010.6192982974674</v>
      </c>
      <c r="I930" s="2675">
        <f>H930*$C$18*$C$22*E907/10^6</f>
        <v>127.64058833593846</v>
      </c>
      <c r="J930" s="3253"/>
      <c r="K930" s="159"/>
      <c r="L930" s="3222"/>
      <c r="M930" s="857" t="s">
        <v>709</v>
      </c>
      <c r="N930" s="858" t="s">
        <v>710</v>
      </c>
      <c r="O930" s="858" t="s">
        <v>709</v>
      </c>
      <c r="P930" s="859" t="s">
        <v>710</v>
      </c>
    </row>
    <row r="931" spans="1:17" ht="15">
      <c r="A931" s="321" t="s">
        <v>493</v>
      </c>
      <c r="B931" s="273"/>
      <c r="C931" s="274"/>
      <c r="D931" s="275"/>
      <c r="E931" s="276"/>
      <c r="F931" s="277"/>
      <c r="J931" s="46"/>
      <c r="K931" s="159"/>
      <c r="L931" s="873" t="str">
        <f>L185</f>
        <v>1-1</v>
      </c>
      <c r="M931" s="874">
        <f t="shared" ref="M931:P931" si="25">M185</f>
        <v>16</v>
      </c>
      <c r="N931" s="874">
        <f t="shared" si="25"/>
        <v>200</v>
      </c>
      <c r="O931" s="874">
        <f t="shared" si="25"/>
        <v>16</v>
      </c>
      <c r="P931" s="875">
        <f t="shared" si="25"/>
        <v>200</v>
      </c>
    </row>
    <row r="932" spans="1:17" ht="15.75">
      <c r="A932" s="259" t="s">
        <v>111</v>
      </c>
      <c r="B932" s="268" t="s">
        <v>136</v>
      </c>
      <c r="C932" s="269">
        <v>16</v>
      </c>
      <c r="D932" s="270" t="s">
        <v>481</v>
      </c>
      <c r="E932" s="271">
        <v>200</v>
      </c>
      <c r="F932" s="272" t="s">
        <v>482</v>
      </c>
      <c r="J932" s="46"/>
      <c r="K932" s="159"/>
      <c r="L932" s="860" t="str">
        <f t="shared" ref="L932:P935" si="26">L186</f>
        <v>2-2</v>
      </c>
      <c r="M932" s="869">
        <f t="shared" si="26"/>
        <v>16</v>
      </c>
      <c r="N932" s="869">
        <f t="shared" si="26"/>
        <v>200</v>
      </c>
      <c r="O932" s="869">
        <f t="shared" si="26"/>
        <v>16</v>
      </c>
      <c r="P932" s="870">
        <f t="shared" si="26"/>
        <v>200</v>
      </c>
    </row>
    <row r="933" spans="1:17" ht="15.75">
      <c r="A933" s="262" t="s">
        <v>110</v>
      </c>
      <c r="B933" s="278" t="s">
        <v>136</v>
      </c>
      <c r="C933" s="279">
        <v>16</v>
      </c>
      <c r="D933" s="280" t="s">
        <v>481</v>
      </c>
      <c r="E933" s="281">
        <v>200</v>
      </c>
      <c r="F933" s="282" t="s">
        <v>482</v>
      </c>
      <c r="J933" s="46"/>
      <c r="K933" s="159"/>
      <c r="L933" s="860" t="str">
        <f t="shared" si="26"/>
        <v>3-3</v>
      </c>
      <c r="M933" s="869">
        <f t="shared" si="26"/>
        <v>16</v>
      </c>
      <c r="N933" s="869">
        <f t="shared" si="26"/>
        <v>200</v>
      </c>
      <c r="O933" s="869">
        <f t="shared" si="26"/>
        <v>16</v>
      </c>
      <c r="P933" s="870">
        <f t="shared" si="26"/>
        <v>200</v>
      </c>
    </row>
    <row r="934" spans="1:17">
      <c r="J934" s="46"/>
      <c r="K934" s="159"/>
      <c r="L934" s="860" t="str">
        <f t="shared" si="26"/>
        <v>4-4</v>
      </c>
      <c r="M934" s="869">
        <f t="shared" si="26"/>
        <v>16</v>
      </c>
      <c r="N934" s="869">
        <f t="shared" si="26"/>
        <v>200</v>
      </c>
      <c r="O934" s="869">
        <f t="shared" si="26"/>
        <v>16</v>
      </c>
      <c r="P934" s="870">
        <f t="shared" si="26"/>
        <v>200</v>
      </c>
    </row>
    <row r="935" spans="1:17">
      <c r="A935" s="41" t="s">
        <v>939</v>
      </c>
      <c r="J935" s="46"/>
      <c r="K935" s="159"/>
      <c r="L935" s="865" t="str">
        <f t="shared" si="26"/>
        <v>5-5</v>
      </c>
      <c r="M935" s="871">
        <f t="shared" si="26"/>
        <v>16</v>
      </c>
      <c r="N935" s="871">
        <f t="shared" si="26"/>
        <v>200</v>
      </c>
      <c r="O935" s="871">
        <f t="shared" si="26"/>
        <v>16</v>
      </c>
      <c r="P935" s="872">
        <f t="shared" si="26"/>
        <v>200</v>
      </c>
    </row>
    <row r="936" spans="1:17">
      <c r="A936" s="187" t="s">
        <v>651</v>
      </c>
      <c r="F936" s="33">
        <f>(6*E890/(2*$I$8*$D$6))^(1/3)</f>
        <v>3.0954320513379887</v>
      </c>
      <c r="G936" s="2874" t="s">
        <v>1003</v>
      </c>
      <c r="H936" s="2878"/>
      <c r="I936" s="187" t="str">
        <f>"= "&amp;FIXED(F936-H936,2)&amp;" m from top"</f>
        <v>= 3.10 m from top</v>
      </c>
      <c r="K936" s="159"/>
      <c r="L936" s="46"/>
      <c r="M936" s="46"/>
    </row>
    <row r="937" spans="1:17">
      <c r="A937" s="187" t="s">
        <v>652</v>
      </c>
      <c r="F937" s="33">
        <f>(6*E890/(4*$I$8*$D$6))^(1/3)</f>
        <v>2.4568460472950027</v>
      </c>
      <c r="G937" s="2874" t="s">
        <v>1003</v>
      </c>
      <c r="H937" s="2878"/>
      <c r="I937" s="187" t="str">
        <f>"= "&amp;FIXED(F937-H937,2)&amp;" m from top"</f>
        <v>= 2.46 m from top</v>
      </c>
      <c r="J937" s="187"/>
      <c r="K937" s="159"/>
      <c r="L937" s="386"/>
      <c r="M937" s="386"/>
      <c r="N937" s="613"/>
      <c r="O937" s="386"/>
      <c r="P937" s="386"/>
      <c r="Q937" s="386"/>
    </row>
    <row r="938" spans="1:17">
      <c r="E938" s="46"/>
      <c r="J938" s="46"/>
      <c r="K938" s="159"/>
      <c r="Q938" s="386"/>
    </row>
    <row r="939" spans="1:17">
      <c r="A939" s="248" t="s">
        <v>602</v>
      </c>
      <c r="B939" s="3085" t="s">
        <v>621</v>
      </c>
      <c r="C939" s="347" t="s">
        <v>614</v>
      </c>
      <c r="D939" s="355" t="s">
        <v>615</v>
      </c>
      <c r="E939" s="347" t="s">
        <v>619</v>
      </c>
      <c r="F939" s="355" t="s">
        <v>616</v>
      </c>
      <c r="G939" s="355" t="s">
        <v>676</v>
      </c>
      <c r="H939" s="3224" t="s">
        <v>487</v>
      </c>
      <c r="I939" s="3148" t="s">
        <v>488</v>
      </c>
      <c r="J939" s="611"/>
      <c r="K939" s="159"/>
      <c r="Q939" s="386"/>
    </row>
    <row r="940" spans="1:17">
      <c r="A940" s="156"/>
      <c r="B940" s="3086"/>
      <c r="C940" s="77"/>
      <c r="D940" s="104"/>
      <c r="E940" s="77"/>
      <c r="F940" s="104"/>
      <c r="G940" s="105"/>
      <c r="H940" s="3227"/>
      <c r="I940" s="3148"/>
      <c r="J940" s="611"/>
      <c r="K940" s="159"/>
      <c r="Q940" s="386"/>
    </row>
    <row r="941" spans="1:17" ht="14.25">
      <c r="A941" s="156"/>
      <c r="B941" s="354" t="s">
        <v>5</v>
      </c>
      <c r="C941" s="280" t="s">
        <v>620</v>
      </c>
      <c r="D941" s="354" t="s">
        <v>98</v>
      </c>
      <c r="E941" s="280" t="s">
        <v>98</v>
      </c>
      <c r="F941" s="354" t="s">
        <v>98</v>
      </c>
      <c r="G941" s="106"/>
      <c r="H941" s="401" t="s">
        <v>491</v>
      </c>
      <c r="I941" s="256" t="s">
        <v>491</v>
      </c>
      <c r="J941" s="408"/>
      <c r="K941" s="159"/>
      <c r="Q941" s="386"/>
    </row>
    <row r="942" spans="1:17">
      <c r="A942" s="348" t="s">
        <v>617</v>
      </c>
      <c r="B942" s="2706">
        <f>F936-H936</f>
        <v>3.0954320513379887</v>
      </c>
      <c r="C942" s="107">
        <f>$I$8*$D$6*B942^3/6</f>
        <v>33.730428702015224</v>
      </c>
      <c r="D942" s="356">
        <f>((C942*10^6)/($C$23*1000))^0.5</f>
        <v>153.57421532351816</v>
      </c>
      <c r="E942" s="349">
        <f>(H862+B942*(H880-H862)/I869)*1000</f>
        <v>419.05507889761498</v>
      </c>
      <c r="F942" s="356">
        <f>E942-$I$13-C929/2</f>
        <v>351.05507889761498</v>
      </c>
      <c r="G942" s="123" t="str">
        <f>IF(F942&gt;=D942,"O.k","Not O.k")</f>
        <v>O.k</v>
      </c>
      <c r="H942" s="349">
        <f>C942*10^6/($C$18*$C$22*F942)</f>
        <v>578.16395509755728</v>
      </c>
      <c r="I942" s="123">
        <f>IF(E942&gt;380,C857*1000*380,C857*1000*E942)</f>
        <v>380</v>
      </c>
      <c r="J942" s="275"/>
      <c r="K942" s="159"/>
      <c r="Q942" s="386"/>
    </row>
    <row r="943" spans="1:17">
      <c r="A943" s="351" t="s">
        <v>618</v>
      </c>
      <c r="B943" s="2708">
        <f>F937-H937</f>
        <v>2.4568460472950027</v>
      </c>
      <c r="C943" s="121">
        <f>$I$8*$D$6*B943^3/6</f>
        <v>16.865214351007619</v>
      </c>
      <c r="D943" s="357">
        <f>((C943*10^6)/($C$23*1000))^0.5</f>
        <v>108.5933690706627</v>
      </c>
      <c r="E943" s="310">
        <f>(H862+B943*(H880-H862)/I869)*1000</f>
        <v>394.49407874211551</v>
      </c>
      <c r="F943" s="357">
        <f>E943-$I$13-C929/2</f>
        <v>326.49407874211551</v>
      </c>
      <c r="G943" s="104" t="str">
        <f>IF(F943&gt;=D943,"O.k","Not O.k")</f>
        <v>O.k</v>
      </c>
      <c r="H943" s="310">
        <f>C943*10^6/($C$18*$C$22*F943)</f>
        <v>310.82859703689445</v>
      </c>
      <c r="I943" s="357">
        <f>IF(E943&gt;380,C857*1000*380,C857*1000*E943)</f>
        <v>380</v>
      </c>
      <c r="J943" s="275"/>
      <c r="K943" s="159"/>
      <c r="Q943" s="386"/>
    </row>
    <row r="944" spans="1:17">
      <c r="J944" s="46"/>
      <c r="K944" s="159"/>
      <c r="Q944" s="386"/>
    </row>
    <row r="945" spans="1:17" ht="12.75" customHeight="1">
      <c r="A945" s="3228" t="s">
        <v>613</v>
      </c>
      <c r="B945" s="3122" t="s">
        <v>937</v>
      </c>
      <c r="C945" s="3122" t="s">
        <v>938</v>
      </c>
      <c r="D945" s="3085" t="s">
        <v>623</v>
      </c>
      <c r="E945" s="3119" t="s">
        <v>622</v>
      </c>
      <c r="G945" s="3233" t="s">
        <v>2112</v>
      </c>
      <c r="H945" s="3234"/>
      <c r="I945" s="3235"/>
      <c r="J945" s="46"/>
      <c r="K945" s="159"/>
      <c r="Q945" s="386"/>
    </row>
    <row r="946" spans="1:17">
      <c r="A946" s="3229"/>
      <c r="B946" s="3123"/>
      <c r="C946" s="3123"/>
      <c r="D946" s="3200"/>
      <c r="E946" s="3120"/>
      <c r="G946" s="3122" t="s">
        <v>2110</v>
      </c>
      <c r="H946" s="3244" t="s">
        <v>2111</v>
      </c>
      <c r="I946" s="1541" t="s">
        <v>676</v>
      </c>
      <c r="J946" s="46"/>
      <c r="K946" s="159"/>
      <c r="Q946" s="386"/>
    </row>
    <row r="947" spans="1:17">
      <c r="A947" s="3230"/>
      <c r="B947" s="360"/>
      <c r="C947" s="360"/>
      <c r="D947" s="3086"/>
      <c r="E947" s="359"/>
      <c r="G947" s="3241"/>
      <c r="H947" s="3204"/>
      <c r="I947" s="1244"/>
      <c r="J947" s="46"/>
      <c r="K947" s="159"/>
      <c r="Q947" s="386"/>
    </row>
    <row r="948" spans="1:17" ht="14.25">
      <c r="A948" s="303" t="s">
        <v>5</v>
      </c>
      <c r="B948" s="256" t="s">
        <v>491</v>
      </c>
      <c r="C948" s="403" t="s">
        <v>98</v>
      </c>
      <c r="D948" s="403" t="s">
        <v>5</v>
      </c>
      <c r="E948" s="358" t="s">
        <v>98</v>
      </c>
      <c r="G948" s="2668" t="s">
        <v>491</v>
      </c>
      <c r="H948" s="94" t="s">
        <v>107</v>
      </c>
      <c r="I948" s="1289"/>
      <c r="J948" s="46"/>
      <c r="K948" s="159"/>
      <c r="Q948" s="386"/>
    </row>
    <row r="949" spans="1:17">
      <c r="A949" s="352">
        <f>(I869-B942)+40*C929/1000</f>
        <v>1.4445679486620118</v>
      </c>
      <c r="B949" s="356">
        <f>MAX(H942:I942)</f>
        <v>578.16395509755728</v>
      </c>
      <c r="C949" s="350">
        <f>PI()*(C929/2)^2*1000/B949</f>
        <v>347.75936489472139</v>
      </c>
      <c r="D949" s="591">
        <v>1.8</v>
      </c>
      <c r="E949" s="609">
        <f>IF(D949="","",E929*2)</f>
        <v>200</v>
      </c>
      <c r="G949" s="2725">
        <f>IF(D949="","",PI()*(C929/2)^2*1000/E949)</f>
        <v>1005.3096491487337</v>
      </c>
      <c r="H949" s="2676">
        <f>IF(D949="","",G949*$C$18*$C$22*F942/10^6)</f>
        <v>58.650362315197469</v>
      </c>
      <c r="I949" s="2729" t="str">
        <f>IF(D949="","",IF(AND(H949&gt;=C942),"o.k","Not o.k"))</f>
        <v>o.k</v>
      </c>
      <c r="J949" s="46"/>
      <c r="K949" s="159"/>
      <c r="Q949" s="386"/>
    </row>
    <row r="950" spans="1:17">
      <c r="A950" s="353">
        <f>(I869-B943)+40*C929/1000</f>
        <v>2.0831539527049978</v>
      </c>
      <c r="B950" s="357">
        <f>MAX(H943:I943)</f>
        <v>380</v>
      </c>
      <c r="C950" s="311">
        <f>PI()*(C929/2)^2*1000/B950</f>
        <v>529.11034165722833</v>
      </c>
      <c r="D950" s="592"/>
      <c r="E950" s="610" t="str">
        <f>IF(D950="","",E949*2)</f>
        <v/>
      </c>
      <c r="G950" s="2727" t="str">
        <f>IF(D950="","",PI()*(C929/2)^2*1000/E950)</f>
        <v/>
      </c>
      <c r="H950" s="2673" t="str">
        <f>IF(D950="","",G950*$C$18*$C$22*F943/10^6)</f>
        <v/>
      </c>
      <c r="I950" s="2730" t="str">
        <f>IF(D950="","",IF(AND(H950&gt;=C943),"o.k","Not o.k"))</f>
        <v/>
      </c>
      <c r="J950" s="46"/>
      <c r="K950" s="159"/>
      <c r="Q950" s="386"/>
    </row>
    <row r="951" spans="1:17">
      <c r="J951" s="46"/>
      <c r="K951" s="159"/>
      <c r="L951" s="386"/>
      <c r="M951" s="386"/>
      <c r="N951" s="386"/>
      <c r="O951" s="386"/>
      <c r="P951" s="386"/>
      <c r="Q951" s="386"/>
    </row>
    <row r="952" spans="1:17">
      <c r="B952" s="176" t="str">
        <f>"b) Design of Floor : Sec  "&amp;C853</f>
        <v>b) Design of Floor : Sec  4-4</v>
      </c>
      <c r="C952" s="392"/>
      <c r="D952" s="174"/>
      <c r="F952" s="134"/>
      <c r="G952" s="46"/>
      <c r="H952" s="46"/>
      <c r="J952" s="46"/>
      <c r="K952" s="159"/>
      <c r="L952" s="46"/>
      <c r="M952" s="46"/>
    </row>
    <row r="953" spans="1:17">
      <c r="J953" s="46"/>
      <c r="K953" s="159"/>
      <c r="L953" s="46"/>
      <c r="M953" s="46"/>
    </row>
    <row r="954" spans="1:17">
      <c r="A954" s="187" t="s">
        <v>1105</v>
      </c>
      <c r="I954" s="115">
        <f>Hydraulic!F959</f>
        <v>0.81448216688027963</v>
      </c>
      <c r="J954" t="s">
        <v>5</v>
      </c>
      <c r="K954" s="159"/>
      <c r="L954" s="46"/>
      <c r="M954" s="46"/>
    </row>
    <row r="955" spans="1:17">
      <c r="A955" s="187" t="str">
        <f>"Considering Wt of wall,  Floor thickness can be reduced  =2*0.5*("&amp;H862&amp;"+"&amp;H880&amp;")*"&amp;I869&amp;"/"&amp;FIXED(F882,2)&amp;"="</f>
        <v>Considering Wt of wall,  Floor thickness can be reduced  =2*0.5*(0.3+0.45)*3.9/11.36=</v>
      </c>
      <c r="B955" s="187"/>
      <c r="E955" s="33"/>
      <c r="I955" s="224">
        <f>2*0.5*(H862+H880)*I869/F882</f>
        <v>0.25744014320877162</v>
      </c>
      <c r="J955" t="s">
        <v>5</v>
      </c>
      <c r="K955" s="159"/>
      <c r="L955" s="46"/>
      <c r="M955" s="46"/>
    </row>
    <row r="956" spans="1:17">
      <c r="A956" s="187" t="s">
        <v>1106</v>
      </c>
      <c r="I956" s="33">
        <f>I954-I955</f>
        <v>0.55704202367150801</v>
      </c>
      <c r="J956" t="s">
        <v>5</v>
      </c>
      <c r="K956" s="159"/>
      <c r="L956" s="46"/>
      <c r="M956" s="46"/>
    </row>
    <row r="957" spans="1:17">
      <c r="A957" t="s">
        <v>684</v>
      </c>
      <c r="I957" s="334">
        <f>G69</f>
        <v>0.8027777777777777</v>
      </c>
      <c r="J957" t="s">
        <v>5</v>
      </c>
      <c r="K957" s="159"/>
      <c r="L957" s="46" t="s">
        <v>896</v>
      </c>
      <c r="M957" s="46"/>
    </row>
    <row r="958" spans="1:17">
      <c r="J958" s="46"/>
      <c r="K958" s="159"/>
      <c r="L958" s="46"/>
      <c r="M958" s="46"/>
    </row>
    <row r="959" spans="1:17">
      <c r="F959" s="187" t="s">
        <v>637</v>
      </c>
      <c r="H959" s="187" t="s">
        <v>636</v>
      </c>
      <c r="J959" s="46"/>
      <c r="K959" s="159"/>
      <c r="L959" s="46"/>
      <c r="M959" s="46"/>
    </row>
    <row r="960" spans="1:17">
      <c r="E960" s="191" t="s">
        <v>607</v>
      </c>
      <c r="J960" s="46"/>
      <c r="K960" s="159"/>
      <c r="L960" s="46"/>
    </row>
    <row r="961" spans="2:13">
      <c r="F961" s="17" t="s">
        <v>935</v>
      </c>
      <c r="G961" s="36">
        <f>F880/4</f>
        <v>2.6154661016949152</v>
      </c>
      <c r="J961" s="46"/>
      <c r="K961" s="159"/>
      <c r="L961" s="46"/>
      <c r="M961" s="46"/>
    </row>
    <row r="962" spans="2:13">
      <c r="C962" s="1" t="s">
        <v>658</v>
      </c>
      <c r="D962" s="36"/>
      <c r="F962" s="36"/>
      <c r="H962" s="191"/>
      <c r="I962" s="187" t="s">
        <v>659</v>
      </c>
      <c r="J962" s="109"/>
      <c r="K962" s="159"/>
      <c r="L962" s="46"/>
      <c r="M962" s="46"/>
    </row>
    <row r="963" spans="2:13">
      <c r="F963" s="203" t="s">
        <v>644</v>
      </c>
      <c r="G963" s="36">
        <f>(F882-H880)/2</f>
        <v>5.4559322033898301</v>
      </c>
      <c r="J963" s="46"/>
      <c r="K963" s="159"/>
      <c r="L963" s="46"/>
      <c r="M963" s="46"/>
    </row>
    <row r="964" spans="2:13">
      <c r="J964" s="46"/>
      <c r="K964" s="159"/>
      <c r="L964" s="46"/>
      <c r="M964" s="46"/>
    </row>
    <row r="965" spans="2:13">
      <c r="H965" s="33">
        <f>I957</f>
        <v>0.8027777777777777</v>
      </c>
      <c r="J965" s="46"/>
      <c r="K965" s="159"/>
      <c r="L965" s="46"/>
      <c r="M965" s="46"/>
    </row>
    <row r="966" spans="2:13">
      <c r="B966" s="187" t="s">
        <v>642</v>
      </c>
      <c r="I966" s="203" t="s">
        <v>646</v>
      </c>
      <c r="J966" s="288"/>
      <c r="K966" s="159"/>
      <c r="L966" s="46"/>
      <c r="M966" s="46"/>
    </row>
    <row r="967" spans="2:13">
      <c r="J967" s="46"/>
      <c r="K967" s="159"/>
      <c r="L967" s="46"/>
      <c r="M967" s="46"/>
    </row>
    <row r="968" spans="2:13">
      <c r="C968" s="191" t="s">
        <v>537</v>
      </c>
      <c r="F968" s="203" t="s">
        <v>643</v>
      </c>
      <c r="G968" s="36">
        <f>F882/4</f>
        <v>2.8404661016949149</v>
      </c>
      <c r="J968" s="46"/>
      <c r="K968" s="159"/>
      <c r="L968" s="46"/>
      <c r="M968" s="46"/>
    </row>
    <row r="969" spans="2:13">
      <c r="E969" s="404" t="s">
        <v>641</v>
      </c>
      <c r="F969" s="404"/>
      <c r="J969" s="46"/>
      <c r="K969" s="159"/>
      <c r="L969" s="46"/>
      <c r="M969" s="46"/>
    </row>
    <row r="970" spans="2:13">
      <c r="E970" s="203" t="s">
        <v>645</v>
      </c>
      <c r="F970" s="36">
        <f>F882/2</f>
        <v>5.6809322033898297</v>
      </c>
      <c r="J970" s="46"/>
      <c r="K970" s="159"/>
      <c r="L970" s="46"/>
      <c r="M970" s="46"/>
    </row>
    <row r="971" spans="2:13">
      <c r="J971" s="46"/>
      <c r="K971" s="159"/>
      <c r="L971" s="46"/>
      <c r="M971" s="46"/>
    </row>
    <row r="972" spans="2:13">
      <c r="B972" s="1" t="s">
        <v>654</v>
      </c>
      <c r="J972" s="46"/>
      <c r="K972" s="159"/>
      <c r="L972" s="46"/>
      <c r="M972" s="46"/>
    </row>
    <row r="973" spans="2:13">
      <c r="B973" s="187" t="s">
        <v>655</v>
      </c>
      <c r="J973" s="46"/>
      <c r="K973" s="159"/>
      <c r="L973" s="46"/>
      <c r="M973" s="46"/>
    </row>
    <row r="974" spans="2:13">
      <c r="J974" s="46"/>
      <c r="K974" s="159"/>
      <c r="L974" s="46"/>
      <c r="M974" s="46"/>
    </row>
    <row r="975" spans="2:13">
      <c r="B975" s="187" t="s">
        <v>639</v>
      </c>
      <c r="D975" s="33">
        <f>0.5*(H880+H862)*I869*$D$3</f>
        <v>34.515000000000008</v>
      </c>
      <c r="E975" s="187" t="s">
        <v>341</v>
      </c>
      <c r="J975" s="46"/>
      <c r="K975" s="159"/>
      <c r="L975" s="46"/>
      <c r="M975" s="46"/>
    </row>
    <row r="976" spans="2:13">
      <c r="B976" s="187" t="s">
        <v>656</v>
      </c>
      <c r="D976" s="33">
        <v>0</v>
      </c>
      <c r="E976" s="187" t="s">
        <v>341</v>
      </c>
      <c r="J976" s="46"/>
      <c r="K976" s="159"/>
      <c r="L976" s="46"/>
      <c r="M976" s="46"/>
    </row>
    <row r="977" spans="1:14">
      <c r="B977" s="187" t="s">
        <v>638</v>
      </c>
      <c r="D977" s="33">
        <f>+D975+D976</f>
        <v>34.515000000000008</v>
      </c>
      <c r="E977" s="187" t="s">
        <v>341</v>
      </c>
      <c r="J977" s="46"/>
      <c r="K977" s="159"/>
      <c r="L977" s="46"/>
      <c r="M977" s="46"/>
    </row>
    <row r="978" spans="1:14" ht="15.75">
      <c r="B978" s="187" t="s">
        <v>681</v>
      </c>
      <c r="D978" s="33"/>
      <c r="F978" s="33">
        <v>0</v>
      </c>
      <c r="J978" s="46"/>
      <c r="K978" s="159"/>
      <c r="L978" s="46"/>
      <c r="M978" s="46"/>
    </row>
    <row r="979" spans="1:14">
      <c r="B979" s="187" t="s">
        <v>678</v>
      </c>
      <c r="D979" s="33"/>
      <c r="H979" s="33">
        <f>F978+D977*G968-(D975+D976)*G963</f>
        <v>-90.272812500000015</v>
      </c>
      <c r="I979" s="187" t="s">
        <v>620</v>
      </c>
      <c r="J979" s="109"/>
      <c r="K979" s="159"/>
      <c r="L979" s="46">
        <f>+D1077*D1077</f>
        <v>6413.847482250002</v>
      </c>
      <c r="M979" s="46">
        <f>4*B1077*F1077</f>
        <v>5363.0000958425071</v>
      </c>
      <c r="N979">
        <f>+L979-M979</f>
        <v>1050.8473864074949</v>
      </c>
    </row>
    <row r="980" spans="1:14">
      <c r="B980" s="187"/>
      <c r="D980" s="33"/>
      <c r="H980" s="215" t="str">
        <f>IF(H979&gt;0,"(bottom tension)","(top tension)")</f>
        <v>(top tension)</v>
      </c>
      <c r="J980" s="46"/>
      <c r="K980" s="159"/>
      <c r="L980" s="46"/>
      <c r="M980" s="46"/>
    </row>
    <row r="981" spans="1:14">
      <c r="B981" s="1" t="s">
        <v>657</v>
      </c>
      <c r="J981" s="46"/>
      <c r="K981" s="159"/>
      <c r="L981" s="46"/>
      <c r="M981" s="46"/>
    </row>
    <row r="982" spans="1:14">
      <c r="B982" s="187" t="s">
        <v>611</v>
      </c>
      <c r="J982" s="46"/>
      <c r="K982" s="159"/>
      <c r="L982" s="46"/>
      <c r="M982" s="46"/>
    </row>
    <row r="983" spans="1:14">
      <c r="J983" s="46"/>
      <c r="K983" s="159"/>
    </row>
    <row r="984" spans="1:14">
      <c r="B984" s="187" t="s">
        <v>600</v>
      </c>
      <c r="D984" s="33">
        <f>I869</f>
        <v>3.9000000000000004</v>
      </c>
      <c r="E984" s="187" t="s">
        <v>5</v>
      </c>
      <c r="J984" s="46"/>
      <c r="K984" s="159"/>
    </row>
    <row r="985" spans="1:14">
      <c r="B985" s="187" t="s">
        <v>639</v>
      </c>
      <c r="D985" s="33">
        <f>D975</f>
        <v>34.515000000000008</v>
      </c>
      <c r="E985" s="187" t="s">
        <v>341</v>
      </c>
      <c r="J985" s="46"/>
      <c r="K985" s="159"/>
    </row>
    <row r="986" spans="1:14">
      <c r="B986" s="30" t="s">
        <v>640</v>
      </c>
      <c r="D986" s="33">
        <f>0.5*(H880-H862)*I869*$D$6</f>
        <v>5.5282500000000017</v>
      </c>
      <c r="E986" s="187" t="s">
        <v>341</v>
      </c>
      <c r="J986" s="46"/>
      <c r="K986" s="159"/>
    </row>
    <row r="987" spans="1:14">
      <c r="B987" s="187" t="s">
        <v>638</v>
      </c>
      <c r="D987" s="33">
        <f>D985+D986</f>
        <v>40.043250000000008</v>
      </c>
      <c r="E987" s="187" t="s">
        <v>341</v>
      </c>
      <c r="J987" s="46"/>
      <c r="K987" s="159"/>
    </row>
    <row r="988" spans="1:14" ht="15.75">
      <c r="A988" s="187"/>
      <c r="B988" s="187" t="s">
        <v>677</v>
      </c>
      <c r="F988" s="33">
        <f>$I$8*$D$6*D984^3/6</f>
        <v>67.460857404030492</v>
      </c>
      <c r="G988" s="187" t="s">
        <v>620</v>
      </c>
      <c r="H988" s="23" t="str">
        <f>IF(F988&gt;0,"(bottom tension)","(top tension)")</f>
        <v>(bottom tension)</v>
      </c>
      <c r="J988" s="46"/>
      <c r="K988" s="159"/>
    </row>
    <row r="989" spans="1:14">
      <c r="B989" s="187" t="s">
        <v>678</v>
      </c>
      <c r="H989" s="33">
        <f>F988+D987*G968-(D985+D986)*G963</f>
        <v>-37.270905572664446</v>
      </c>
      <c r="I989" s="187" t="s">
        <v>620</v>
      </c>
      <c r="J989" s="109"/>
      <c r="K989" s="159"/>
    </row>
    <row r="990" spans="1:14">
      <c r="B990" s="187"/>
      <c r="H990" s="215" t="str">
        <f>IF(H989&gt;0,"(bottom tension)","(top tension)")</f>
        <v>(top tension)</v>
      </c>
      <c r="J990" s="46"/>
      <c r="K990" s="159"/>
    </row>
    <row r="991" spans="1:14">
      <c r="B991" s="1" t="s">
        <v>660</v>
      </c>
      <c r="H991" s="33"/>
      <c r="J991" s="46"/>
      <c r="K991" s="159"/>
    </row>
    <row r="992" spans="1:14">
      <c r="B992" s="1" t="s">
        <v>653</v>
      </c>
      <c r="H992" s="33"/>
      <c r="J992" s="46"/>
      <c r="K992" s="159"/>
    </row>
    <row r="993" spans="1:13">
      <c r="B993" s="187"/>
      <c r="H993" s="33"/>
      <c r="J993" s="46"/>
      <c r="K993" s="159"/>
    </row>
    <row r="994" spans="1:13">
      <c r="B994" s="187" t="s">
        <v>639</v>
      </c>
      <c r="D994" s="33">
        <f>D985</f>
        <v>34.515000000000008</v>
      </c>
      <c r="E994" s="187" t="s">
        <v>341</v>
      </c>
      <c r="F994" s="187"/>
      <c r="H994" s="187"/>
      <c r="J994" s="46"/>
      <c r="K994" s="159"/>
    </row>
    <row r="995" spans="1:13">
      <c r="B995" s="30" t="s">
        <v>640</v>
      </c>
      <c r="D995" s="33">
        <f>0.5*C872*E867*$D$6+0.5*(H880-H862+E867)*C865*$D$5</f>
        <v>5.5282500000000017</v>
      </c>
      <c r="E995" s="187" t="s">
        <v>341</v>
      </c>
      <c r="H995" s="33"/>
      <c r="J995" s="46"/>
      <c r="K995" s="159"/>
    </row>
    <row r="996" spans="1:13">
      <c r="B996" s="187" t="s">
        <v>647</v>
      </c>
      <c r="D996" s="33">
        <f>F873*$D$7*F880/2</f>
        <v>200.13023516949156</v>
      </c>
      <c r="E996" s="187" t="s">
        <v>341</v>
      </c>
      <c r="H996" s="33"/>
      <c r="J996" s="46"/>
      <c r="K996" s="159"/>
    </row>
    <row r="997" spans="1:13">
      <c r="B997" s="187" t="s">
        <v>648</v>
      </c>
      <c r="D997" s="33">
        <f>D994+D995+D996</f>
        <v>240.17348516949156</v>
      </c>
      <c r="E997" s="187" t="s">
        <v>341</v>
      </c>
      <c r="H997" s="33"/>
      <c r="J997" s="46"/>
      <c r="K997" s="159"/>
    </row>
    <row r="998" spans="1:13">
      <c r="A998" s="187"/>
      <c r="B998" s="187" t="s">
        <v>682</v>
      </c>
      <c r="F998" s="33">
        <f>I902</f>
        <v>32.44545998955752</v>
      </c>
      <c r="G998" s="187" t="s">
        <v>107</v>
      </c>
      <c r="H998" s="23" t="str">
        <f>IF(F998&gt;0,"(bottom tension)","(top tension)")</f>
        <v>(bottom tension)</v>
      </c>
      <c r="I998" s="33"/>
      <c r="J998" s="224"/>
      <c r="K998" s="159"/>
    </row>
    <row r="999" spans="1:13">
      <c r="B999" s="187" t="s">
        <v>936</v>
      </c>
      <c r="H999" s="33">
        <f>F998+D997*G968-(D994+D995)*G963-D996*G961</f>
        <v>-27.257000074001894</v>
      </c>
      <c r="I999" s="187" t="s">
        <v>620</v>
      </c>
      <c r="J999" s="109"/>
      <c r="K999" s="159"/>
    </row>
    <row r="1000" spans="1:13">
      <c r="B1000" s="187"/>
      <c r="H1000" s="215" t="str">
        <f>IF(H999&gt;0,"(bottom tension)","(top tension)")</f>
        <v>(top tension)</v>
      </c>
      <c r="J1000" s="46"/>
      <c r="K1000" s="159"/>
    </row>
    <row r="1001" spans="1:13">
      <c r="B1001" s="1" t="s">
        <v>661</v>
      </c>
      <c r="H1001" s="33"/>
      <c r="J1001" s="46"/>
      <c r="K1001" s="159"/>
      <c r="L1001" s="46"/>
      <c r="M1001" s="46"/>
    </row>
    <row r="1002" spans="1:13">
      <c r="B1002" s="187" t="s">
        <v>662</v>
      </c>
      <c r="G1002" s="2203" t="s">
        <v>1878</v>
      </c>
      <c r="H1002" s="2204"/>
      <c r="I1002" s="2203"/>
      <c r="J1002" s="2203"/>
      <c r="K1002" s="159"/>
      <c r="L1002" s="46"/>
      <c r="M1002" s="46"/>
    </row>
    <row r="1003" spans="1:13">
      <c r="B1003" s="187"/>
      <c r="H1003" s="33"/>
      <c r="J1003" s="46"/>
      <c r="K1003" s="159"/>
    </row>
    <row r="1004" spans="1:13">
      <c r="B1004" s="187" t="s">
        <v>639</v>
      </c>
      <c r="D1004" s="33">
        <f>D994</f>
        <v>34.515000000000008</v>
      </c>
      <c r="E1004" s="187" t="s">
        <v>341</v>
      </c>
      <c r="F1004" s="187"/>
      <c r="H1004" s="187"/>
      <c r="J1004" s="46"/>
      <c r="K1004" s="159"/>
    </row>
    <row r="1005" spans="1:13">
      <c r="B1005" s="30" t="s">
        <v>640</v>
      </c>
      <c r="D1005" s="33">
        <f>D995</f>
        <v>5.5282500000000017</v>
      </c>
      <c r="E1005" s="187" t="s">
        <v>341</v>
      </c>
      <c r="H1005" s="33"/>
      <c r="J1005" s="46"/>
      <c r="K1005" s="159"/>
    </row>
    <row r="1006" spans="1:13">
      <c r="B1006" s="187" t="s">
        <v>663</v>
      </c>
      <c r="D1006" s="33">
        <f>D1004+D1005</f>
        <v>40.043250000000008</v>
      </c>
      <c r="E1006" s="187" t="s">
        <v>341</v>
      </c>
      <c r="H1006" s="33"/>
      <c r="J1006" s="46"/>
      <c r="K1006" s="159"/>
    </row>
    <row r="1007" spans="1:13">
      <c r="B1007" s="187" t="s">
        <v>647</v>
      </c>
      <c r="D1007" s="33">
        <f>IF($F$4=1,0,D996)</f>
        <v>200.13023516949156</v>
      </c>
      <c r="E1007" s="187" t="s">
        <v>341</v>
      </c>
      <c r="H1007" s="187" t="s">
        <v>1879</v>
      </c>
      <c r="J1007" s="46"/>
      <c r="K1007" s="159"/>
    </row>
    <row r="1008" spans="1:13">
      <c r="B1008" s="187" t="s">
        <v>679</v>
      </c>
      <c r="F1008" s="33">
        <f>F998</f>
        <v>32.44545998955752</v>
      </c>
      <c r="G1008" s="187" t="s">
        <v>107</v>
      </c>
      <c r="H1008" s="23" t="str">
        <f>IF(F1008&gt;0,"(bottom tension)","(top tension)")</f>
        <v>(bottom tension)</v>
      </c>
      <c r="I1008" s="33"/>
      <c r="J1008" s="224"/>
      <c r="K1008" s="159"/>
    </row>
    <row r="1009" spans="1:13">
      <c r="B1009" s="187" t="s">
        <v>680</v>
      </c>
      <c r="H1009" s="33">
        <f>F1008+D1006*G968-(D1004+D1005)*G963</f>
        <v>-72.286302987137418</v>
      </c>
      <c r="I1009" s="187" t="s">
        <v>341</v>
      </c>
      <c r="J1009" s="109"/>
      <c r="K1009" s="159"/>
      <c r="L1009" s="46"/>
      <c r="M1009" s="46"/>
    </row>
    <row r="1010" spans="1:13">
      <c r="A1010" s="187"/>
      <c r="B1010" s="187"/>
      <c r="H1010" s="215" t="str">
        <f>IF(H1009&gt;0,"(bottom tension)","(top tension)")</f>
        <v>(top tension)</v>
      </c>
      <c r="J1010" s="46"/>
      <c r="K1010" s="159"/>
      <c r="L1010" s="46"/>
      <c r="M1010" s="46"/>
    </row>
    <row r="1011" spans="1:13">
      <c r="B1011" s="41" t="s">
        <v>664</v>
      </c>
      <c r="H1011" s="215"/>
      <c r="J1011" s="46"/>
      <c r="K1011" s="159"/>
      <c r="L1011" s="46"/>
      <c r="M1011" s="90"/>
    </row>
    <row r="1012" spans="1:13">
      <c r="B1012" s="187"/>
      <c r="H1012" s="215"/>
      <c r="J1012" s="46"/>
      <c r="K1012" s="159"/>
      <c r="L1012" s="46"/>
      <c r="M1012" s="46"/>
    </row>
    <row r="1013" spans="1:13">
      <c r="B1013" s="374" t="s">
        <v>673</v>
      </c>
      <c r="C1013" s="3118" t="s">
        <v>675</v>
      </c>
      <c r="D1013" s="3070" t="s">
        <v>674</v>
      </c>
      <c r="E1013" s="3068"/>
      <c r="F1013" s="374" t="s">
        <v>615</v>
      </c>
      <c r="G1013" s="355" t="s">
        <v>619</v>
      </c>
      <c r="H1013" s="355" t="s">
        <v>616</v>
      </c>
      <c r="I1013" s="382" t="s">
        <v>676</v>
      </c>
      <c r="J1013" s="562"/>
      <c r="K1013" s="159"/>
      <c r="L1013" s="46"/>
      <c r="M1013" s="46"/>
    </row>
    <row r="1014" spans="1:13">
      <c r="B1014" s="348"/>
      <c r="C1014" s="3092"/>
      <c r="D1014" s="3121" t="s">
        <v>665</v>
      </c>
      <c r="E1014" s="3118" t="s">
        <v>672</v>
      </c>
      <c r="F1014" s="16"/>
      <c r="G1014" s="104"/>
      <c r="H1014" s="105"/>
      <c r="I1014" s="366"/>
      <c r="J1014" s="385"/>
      <c r="K1014" s="159"/>
      <c r="L1014" s="46"/>
      <c r="M1014" s="46"/>
    </row>
    <row r="1015" spans="1:13">
      <c r="B1015" s="367"/>
      <c r="C1015" s="365"/>
      <c r="D1015" s="3121"/>
      <c r="E1015" s="3092"/>
      <c r="F1015" s="16"/>
      <c r="G1015" s="105"/>
      <c r="H1015" s="365"/>
      <c r="I1015" s="380"/>
      <c r="J1015" s="408"/>
      <c r="K1015" s="159"/>
      <c r="L1015" s="46"/>
      <c r="M1015" s="46"/>
    </row>
    <row r="1016" spans="1:13">
      <c r="B1016" s="92"/>
      <c r="C1016" s="94" t="s">
        <v>107</v>
      </c>
      <c r="D1016" s="128" t="s">
        <v>107</v>
      </c>
      <c r="E1016" s="94" t="s">
        <v>107</v>
      </c>
      <c r="F1016" s="401" t="s">
        <v>98</v>
      </c>
      <c r="G1016" s="256" t="s">
        <v>98</v>
      </c>
      <c r="H1016" s="256" t="s">
        <v>98</v>
      </c>
      <c r="I1016" s="250"/>
      <c r="J1016" s="408"/>
      <c r="K1016" s="159"/>
      <c r="L1016" s="46"/>
      <c r="M1016" s="46"/>
    </row>
    <row r="1017" spans="1:13">
      <c r="B1017" s="374" t="s">
        <v>666</v>
      </c>
      <c r="C1017" s="376">
        <f>F978</f>
        <v>0</v>
      </c>
      <c r="D1017" s="251">
        <f>IF(J9="y",0,IF(H979&lt;0,ABS(H979),0))</f>
        <v>0</v>
      </c>
      <c r="E1017" s="379">
        <f>IF(H979&gt;0,H979,0)</f>
        <v>0</v>
      </c>
      <c r="F1017" s="55"/>
      <c r="G1017" s="105"/>
      <c r="H1017" s="381"/>
      <c r="I1017" s="375"/>
      <c r="J1017" s="275"/>
      <c r="K1017" s="159"/>
      <c r="L1017" s="46"/>
      <c r="M1017" s="46"/>
    </row>
    <row r="1018" spans="1:13">
      <c r="B1018" s="348" t="s">
        <v>667</v>
      </c>
      <c r="C1018" s="377">
        <f>F988</f>
        <v>67.460857404030492</v>
      </c>
      <c r="D1018" s="107">
        <f>IF(H989&lt;0,ABS(H989),0)</f>
        <v>37.270905572664446</v>
      </c>
      <c r="E1018" s="103">
        <f>IF(H989&gt;0,H989,0)</f>
        <v>0</v>
      </c>
      <c r="F1018" s="16"/>
      <c r="G1018" s="105"/>
      <c r="H1018" s="105"/>
      <c r="I1018" s="58"/>
      <c r="J1018" s="386"/>
      <c r="K1018" s="159"/>
      <c r="L1018" s="46"/>
      <c r="M1018" s="46"/>
    </row>
    <row r="1019" spans="1:13">
      <c r="B1019" s="348" t="s">
        <v>668</v>
      </c>
      <c r="C1019" s="377">
        <f>F998</f>
        <v>32.44545998955752</v>
      </c>
      <c r="D1019" s="107">
        <f>IF(H999&lt;0,ABS(H999),0)</f>
        <v>27.257000074001894</v>
      </c>
      <c r="E1019" s="103">
        <f>IF(H999&gt;0,H999,0)</f>
        <v>0</v>
      </c>
      <c r="F1019" s="16"/>
      <c r="G1019" s="105"/>
      <c r="H1019" s="356"/>
      <c r="I1019" s="350"/>
      <c r="J1019" s="612"/>
      <c r="K1019" s="159"/>
      <c r="L1019" s="46"/>
      <c r="M1019" s="46"/>
    </row>
    <row r="1020" spans="1:13">
      <c r="B1020" s="348" t="s">
        <v>669</v>
      </c>
      <c r="C1020" s="377">
        <f>F1008</f>
        <v>32.44545998955752</v>
      </c>
      <c r="D1020" s="107">
        <f>IF(H1009&lt;0,ABS(H1009),0)</f>
        <v>72.286302987137418</v>
      </c>
      <c r="E1020" s="103">
        <f>IF(H1009&gt;0,H1009,0)</f>
        <v>0</v>
      </c>
      <c r="F1020" s="16"/>
      <c r="G1020" s="105"/>
      <c r="H1020" s="105"/>
      <c r="I1020" s="350"/>
      <c r="J1020" s="612"/>
      <c r="K1020" s="159"/>
      <c r="L1020" s="46"/>
      <c r="M1020" s="46"/>
    </row>
    <row r="1021" spans="1:13">
      <c r="B1021" s="303" t="s">
        <v>671</v>
      </c>
      <c r="C1021" s="393">
        <f>MAX(C1017:C1020)</f>
        <v>67.460857404030492</v>
      </c>
      <c r="D1021" s="394">
        <f>MAX(D1017:D1020)</f>
        <v>72.286302987137418</v>
      </c>
      <c r="E1021" s="393">
        <f>MAX(E1017:E1020)</f>
        <v>0</v>
      </c>
      <c r="F1021" s="395">
        <f>((MAX(C1021,D1021,E1021)*10^6)/($C$23*1000))^0.5</f>
        <v>224.82022669567806</v>
      </c>
      <c r="G1021" s="316">
        <f>I957*1000</f>
        <v>802.77777777777771</v>
      </c>
      <c r="H1021" s="396">
        <f>G1021-$I$13-C1047/2</f>
        <v>734.77777777777771</v>
      </c>
      <c r="I1021" s="1976" t="str">
        <f>IF(H1021&gt;=F1021,"o.k","Not o.k")</f>
        <v>o.k</v>
      </c>
      <c r="J1021" s="386"/>
      <c r="K1021" s="159"/>
      <c r="L1021" s="46"/>
      <c r="M1021" s="46"/>
    </row>
    <row r="1022" spans="1:13">
      <c r="B1022" s="369"/>
      <c r="C1022" s="377"/>
      <c r="D1022" s="368"/>
      <c r="E1022" s="377"/>
      <c r="F1022" s="16"/>
      <c r="G1022" s="105"/>
      <c r="H1022" s="356">
        <f>H1021-$I$15</f>
        <v>734.77777777777771</v>
      </c>
      <c r="I1022" s="370" t="s">
        <v>2138</v>
      </c>
      <c r="J1022" s="786"/>
      <c r="K1022" s="159"/>
      <c r="L1022" s="46"/>
      <c r="M1022" s="46"/>
    </row>
    <row r="1023" spans="1:13">
      <c r="B1023" s="371" t="s">
        <v>670</v>
      </c>
      <c r="C1023" s="378">
        <f>(C1021*10^6)/($C$18*$C$22*H1021)</f>
        <v>552.45925778096841</v>
      </c>
      <c r="D1023" s="372">
        <f>(D1021*10^6)/($C$18*$C$22*H1021)</f>
        <v>591.97642651986496</v>
      </c>
      <c r="E1023" s="378">
        <f>(E1021*10^6)/($C$18*$C$22*H1022)</f>
        <v>0</v>
      </c>
      <c r="F1023" s="59"/>
      <c r="G1023" s="106"/>
      <c r="H1023" s="357"/>
      <c r="I1023" s="373"/>
      <c r="J1023" s="786"/>
      <c r="K1023" s="159"/>
      <c r="L1023" s="46"/>
      <c r="M1023" s="46"/>
    </row>
    <row r="1024" spans="1:13">
      <c r="A1024" s="187"/>
      <c r="B1024" s="223"/>
      <c r="C1024" s="223"/>
      <c r="D1024" s="2"/>
      <c r="E1024" s="223"/>
      <c r="G1024" s="349"/>
      <c r="H1024" s="294"/>
      <c r="I1024" s="16"/>
      <c r="J1024" s="386"/>
      <c r="K1024" s="159"/>
      <c r="L1024" s="46"/>
      <c r="M1024" s="46"/>
    </row>
    <row r="1025" spans="1:13">
      <c r="A1025" s="187"/>
      <c r="B1025" s="383" t="s">
        <v>1115</v>
      </c>
      <c r="C1025" s="223"/>
      <c r="D1025" s="2"/>
      <c r="E1025" s="223"/>
      <c r="G1025" s="349"/>
      <c r="H1025" s="294"/>
      <c r="I1025" s="16"/>
      <c r="J1025" s="386"/>
      <c r="K1025" s="159"/>
      <c r="L1025" s="46"/>
      <c r="M1025" s="46"/>
    </row>
    <row r="1026" spans="1:13">
      <c r="A1026" s="187"/>
      <c r="B1026" s="385" t="s">
        <v>440</v>
      </c>
      <c r="D1026" s="386"/>
      <c r="G1026" s="385" t="s">
        <v>443</v>
      </c>
      <c r="H1026" s="294"/>
      <c r="I1026" s="16"/>
      <c r="J1026" s="386"/>
      <c r="K1026" s="159"/>
      <c r="L1026" s="46"/>
      <c r="M1026" s="46"/>
    </row>
    <row r="1027" spans="1:13" ht="14.25">
      <c r="A1027" s="187"/>
      <c r="B1027" s="385" t="s">
        <v>441</v>
      </c>
      <c r="C1027" s="386">
        <f>IF(F882&lt;=9,$G$100,$G$105)</f>
        <v>2.5000000000000001E-3</v>
      </c>
      <c r="D1027" s="385" t="s">
        <v>438</v>
      </c>
      <c r="G1027" s="385" t="s">
        <v>441</v>
      </c>
      <c r="H1027" s="386">
        <f>IF(F882&lt;=9,$G$99,$G$104)</f>
        <v>1.5E-3</v>
      </c>
      <c r="I1027" s="385" t="s">
        <v>438</v>
      </c>
      <c r="J1027" s="386"/>
      <c r="K1027" s="159"/>
      <c r="L1027" s="46"/>
      <c r="M1027" s="46"/>
    </row>
    <row r="1028" spans="1:13" ht="14.25">
      <c r="A1028" s="187"/>
      <c r="B1028" s="385" t="s">
        <v>442</v>
      </c>
      <c r="C1028" s="386">
        <f>IF(E60&lt;=9,$G$100,$G$105)</f>
        <v>2.5000000000000001E-3</v>
      </c>
      <c r="D1028" s="385" t="s">
        <v>438</v>
      </c>
      <c r="E1028" s="386"/>
      <c r="F1028" s="386"/>
      <c r="G1028" s="385" t="s">
        <v>442</v>
      </c>
      <c r="H1028" s="386">
        <f>IF(E60&lt;=9,$G$99,$G$104)</f>
        <v>1.5E-3</v>
      </c>
      <c r="I1028" s="385" t="s">
        <v>438</v>
      </c>
      <c r="J1028" s="386"/>
      <c r="K1028" s="159"/>
      <c r="L1028" s="46"/>
      <c r="M1028" s="46"/>
    </row>
    <row r="1029" spans="1:13">
      <c r="J1029" s="46"/>
      <c r="K1029" s="159"/>
      <c r="L1029" s="46"/>
      <c r="M1029" s="46"/>
    </row>
    <row r="1030" spans="1:13">
      <c r="A1030" s="936" t="str">
        <f>"Reinforcement Distribution of R/S Floor  for Sec : "&amp;C853</f>
        <v>Reinforcement Distribution of R/S Floor  for Sec : 4-4</v>
      </c>
      <c r="G1030" s="107"/>
      <c r="H1030" s="107"/>
      <c r="J1030" s="46"/>
      <c r="K1030" s="159"/>
      <c r="L1030" s="46"/>
      <c r="M1030" s="46"/>
    </row>
    <row r="1031" spans="1:13">
      <c r="J1031" s="46"/>
      <c r="K1031" s="159"/>
      <c r="L1031" s="46"/>
      <c r="M1031" s="46"/>
    </row>
    <row r="1032" spans="1:13">
      <c r="A1032" s="3147" t="s">
        <v>486</v>
      </c>
      <c r="B1032" s="3148" t="s">
        <v>487</v>
      </c>
      <c r="C1032" s="3148" t="s">
        <v>488</v>
      </c>
      <c r="D1032" s="3148" t="s">
        <v>489</v>
      </c>
      <c r="E1032" s="3149" t="s">
        <v>490</v>
      </c>
      <c r="F1032" s="3150"/>
      <c r="G1032" s="3150"/>
      <c r="H1032" s="3150"/>
      <c r="I1032" s="3150"/>
      <c r="J1032" s="330"/>
      <c r="K1032" s="159"/>
      <c r="L1032" s="329"/>
      <c r="M1032" s="46"/>
    </row>
    <row r="1033" spans="1:13">
      <c r="A1033" s="3147"/>
      <c r="B1033" s="3148"/>
      <c r="C1033" s="3148"/>
      <c r="D1033" s="3148"/>
      <c r="E1033" s="94">
        <v>12</v>
      </c>
      <c r="F1033" s="94">
        <v>16</v>
      </c>
      <c r="G1033" s="94">
        <v>20</v>
      </c>
      <c r="H1033" s="94">
        <v>22</v>
      </c>
      <c r="I1033" s="94">
        <v>25</v>
      </c>
      <c r="J1033" s="275"/>
      <c r="K1033" s="159"/>
    </row>
    <row r="1034" spans="1:13" ht="14.25">
      <c r="A1034" s="172"/>
      <c r="B1034" s="256" t="s">
        <v>491</v>
      </c>
      <c r="C1034" s="256" t="s">
        <v>491</v>
      </c>
      <c r="D1034" s="256" t="s">
        <v>491</v>
      </c>
      <c r="E1034" s="402" t="s">
        <v>98</v>
      </c>
      <c r="F1034" s="402" t="s">
        <v>98</v>
      </c>
      <c r="G1034" s="402" t="s">
        <v>98</v>
      </c>
      <c r="H1034" s="402" t="s">
        <v>98</v>
      </c>
      <c r="I1034" s="402" t="s">
        <v>98</v>
      </c>
      <c r="J1034" s="759"/>
      <c r="K1034" s="159"/>
    </row>
    <row r="1035" spans="1:13">
      <c r="A1035" s="264" t="s">
        <v>440</v>
      </c>
      <c r="B1035" s="55"/>
      <c r="C1035" s="55"/>
      <c r="D1035" s="55"/>
      <c r="E1035" s="55"/>
      <c r="F1035" s="55"/>
      <c r="G1035" s="55"/>
      <c r="H1035" s="55"/>
      <c r="I1035" s="56"/>
      <c r="J1035" s="386"/>
      <c r="K1035" s="159"/>
    </row>
    <row r="1036" spans="1:13">
      <c r="A1036" s="363" t="s">
        <v>441</v>
      </c>
      <c r="B1036" s="318">
        <f>D1023</f>
        <v>591.97642651986496</v>
      </c>
      <c r="C1036" s="318">
        <f>IF(G1021&gt;380,C1027*1000*380,C1027*1000*G1021)</f>
        <v>950</v>
      </c>
      <c r="D1036" s="318">
        <f>MAX(B1036:C1036)</f>
        <v>950</v>
      </c>
      <c r="E1036" s="261">
        <f>PI()*(E1033/2)^2*1000/$D1036</f>
        <v>119.04982687287638</v>
      </c>
      <c r="F1036" s="261">
        <f>PI()*(F1033/2)^2*1000/$D1036</f>
        <v>211.6441366628913</v>
      </c>
      <c r="G1036" s="261">
        <f>PI()*(G1033/2)^2*1000/$D1036</f>
        <v>330.69396353576775</v>
      </c>
      <c r="H1036" s="261">
        <f>PI()*(H1033/2)^2*1000/$D1036</f>
        <v>400.13969587827893</v>
      </c>
      <c r="I1036" s="283">
        <f>PI()*(I1033/2)^2*1000/$D1036</f>
        <v>516.70931802463701</v>
      </c>
      <c r="J1036" s="328"/>
      <c r="K1036" s="159"/>
    </row>
    <row r="1037" spans="1:13">
      <c r="A1037" s="364" t="s">
        <v>442</v>
      </c>
      <c r="B1037" s="319"/>
      <c r="C1037" s="318">
        <f>IF(G1021&gt;380,C1028*1000*380,C1028*1000*G1021)</f>
        <v>950</v>
      </c>
      <c r="D1037" s="319">
        <f>MAX(B1037:C1037)</f>
        <v>950</v>
      </c>
      <c r="E1037" s="261">
        <f>PI()*(E1033/2)^2*1000/$D1037</f>
        <v>119.04982687287638</v>
      </c>
      <c r="F1037" s="261">
        <f>PI()*(F1033/2)^2*1000/$D1037</f>
        <v>211.6441366628913</v>
      </c>
      <c r="G1037" s="261">
        <f>PI()*(G1033/2)^2*1000/$D1037</f>
        <v>330.69396353576775</v>
      </c>
      <c r="H1037" s="261">
        <f>PI()*(H1033/2)^2*1000/$D1037</f>
        <v>400.13969587827893</v>
      </c>
      <c r="I1037" s="283">
        <f>PI()*(I1033/2)^2*1000/$D1037</f>
        <v>516.70931802463701</v>
      </c>
      <c r="J1037" s="328"/>
      <c r="K1037" s="159"/>
    </row>
    <row r="1038" spans="1:13">
      <c r="A1038" s="258" t="s">
        <v>443</v>
      </c>
      <c r="B1038" s="265"/>
      <c r="C1038" s="322"/>
      <c r="D1038" s="322"/>
      <c r="E1038" s="266"/>
      <c r="F1038" s="266"/>
      <c r="G1038" s="266"/>
      <c r="H1038" s="266"/>
      <c r="I1038" s="267"/>
      <c r="J1038" s="330"/>
      <c r="K1038" s="159"/>
    </row>
    <row r="1039" spans="1:13">
      <c r="A1039" s="363" t="s">
        <v>441</v>
      </c>
      <c r="B1039" s="318">
        <f>C1023</f>
        <v>552.45925778096841</v>
      </c>
      <c r="C1039" s="318">
        <f>IF(G1021&gt;380,H1027*1000*380,H1027*1000*G1021)</f>
        <v>570</v>
      </c>
      <c r="D1039" s="318">
        <f>MAX(B1039:C1039)</f>
        <v>570</v>
      </c>
      <c r="E1039" s="261">
        <f>PI()*(E1033/2)^2*1000/$D1039</f>
        <v>198.41637812146064</v>
      </c>
      <c r="F1039" s="261">
        <f>PI()*(F1033/2)^2*1000/$D1039</f>
        <v>352.74022777148554</v>
      </c>
      <c r="G1039" s="261">
        <f>PI()*(G1033/2)^2*1000/$D1039</f>
        <v>551.15660589294623</v>
      </c>
      <c r="H1039" s="261">
        <f>PI()*(H1033/2)^2*1000/$D1039</f>
        <v>666.89949313046486</v>
      </c>
      <c r="I1039" s="283">
        <f>PI()*(I1033/2)^2*1000/$D1039</f>
        <v>861.18219670772839</v>
      </c>
      <c r="J1039" s="328"/>
      <c r="K1039" s="159"/>
    </row>
    <row r="1040" spans="1:13">
      <c r="A1040" s="364" t="s">
        <v>442</v>
      </c>
      <c r="B1040" s="263"/>
      <c r="C1040" s="319">
        <f>IF(G1021&gt;380,H1028*1000*380,H1028*1000*G1021)</f>
        <v>570</v>
      </c>
      <c r="D1040" s="319">
        <f>MAX(B1040:C1040)</f>
        <v>570</v>
      </c>
      <c r="E1040" s="284">
        <f>PI()*(E1033/2)^2*1000/$D1040</f>
        <v>198.41637812146064</v>
      </c>
      <c r="F1040" s="284">
        <f>PI()*(F1033/2)^2*1000/$D1040</f>
        <v>352.74022777148554</v>
      </c>
      <c r="G1040" s="284">
        <f>PI()*(G1033/2)^2*1000/$D1040</f>
        <v>551.15660589294623</v>
      </c>
      <c r="H1040" s="284">
        <f>PI()*(H1033/2)^2*1000/$D1040</f>
        <v>666.89949313046486</v>
      </c>
      <c r="I1040" s="285">
        <f>PI()*(I1033/2)^2*1000/$D1040</f>
        <v>861.18219670772839</v>
      </c>
      <c r="J1040" s="328"/>
      <c r="K1040" s="159"/>
    </row>
    <row r="1041" spans="1:23" ht="15">
      <c r="A1041" s="29"/>
      <c r="J1041" s="46"/>
      <c r="K1041" s="159"/>
      <c r="L1041" s="3173" t="s">
        <v>1140</v>
      </c>
      <c r="M1041" s="3174"/>
      <c r="N1041" s="3174"/>
      <c r="O1041" s="3174"/>
      <c r="P1041" s="3175"/>
    </row>
    <row r="1042" spans="1:23" ht="15">
      <c r="A1042" s="29"/>
      <c r="J1042" s="46"/>
      <c r="K1042" s="159"/>
      <c r="L1042" s="3205" t="s">
        <v>876</v>
      </c>
      <c r="M1042" s="3171" t="s">
        <v>442</v>
      </c>
      <c r="N1042" s="3176"/>
      <c r="O1042" s="3176"/>
      <c r="P1042" s="3172"/>
      <c r="R1042" s="3127" t="s">
        <v>441</v>
      </c>
      <c r="S1042" s="3129"/>
    </row>
    <row r="1043" spans="1:23">
      <c r="A1043" s="264" t="s">
        <v>440</v>
      </c>
      <c r="B1043" s="55"/>
      <c r="C1043" s="252"/>
      <c r="D1043" s="55"/>
      <c r="E1043" s="55"/>
      <c r="F1043" s="56"/>
      <c r="G1043" s="2723" t="s">
        <v>2095</v>
      </c>
      <c r="H1043" s="2672" t="s">
        <v>1358</v>
      </c>
      <c r="I1043" s="1178" t="s">
        <v>2109</v>
      </c>
      <c r="J1043" s="46"/>
      <c r="K1043" s="159"/>
      <c r="L1043" s="3206"/>
      <c r="M1043" s="3171" t="s">
        <v>440</v>
      </c>
      <c r="N1043" s="3172"/>
      <c r="O1043" s="3171" t="s">
        <v>443</v>
      </c>
      <c r="P1043" s="3172"/>
      <c r="R1043" s="3171" t="s">
        <v>440</v>
      </c>
      <c r="S1043" s="3172"/>
    </row>
    <row r="1044" spans="1:23" ht="15.75">
      <c r="A1044" s="363" t="s">
        <v>441</v>
      </c>
      <c r="B1044" s="268" t="s">
        <v>136</v>
      </c>
      <c r="C1044" s="269">
        <v>16</v>
      </c>
      <c r="D1044" s="270" t="s">
        <v>481</v>
      </c>
      <c r="E1044" s="271">
        <v>100</v>
      </c>
      <c r="F1044" s="272" t="s">
        <v>482</v>
      </c>
      <c r="G1044" s="2014" t="s">
        <v>2096</v>
      </c>
      <c r="H1044" s="94" t="s">
        <v>1348</v>
      </c>
      <c r="I1044" s="2667" t="s">
        <v>107</v>
      </c>
      <c r="J1044" s="3245" t="str">
        <f>IF(I1045&gt;=W26,"o.k","Not o.k")</f>
        <v>o.k</v>
      </c>
      <c r="K1044" s="159"/>
      <c r="L1044" s="3207"/>
      <c r="M1044" s="882" t="s">
        <v>709</v>
      </c>
      <c r="N1044" s="902" t="s">
        <v>710</v>
      </c>
      <c r="O1044" s="902" t="s">
        <v>709</v>
      </c>
      <c r="P1044" s="884" t="s">
        <v>710</v>
      </c>
      <c r="R1044" s="926" t="s">
        <v>709</v>
      </c>
      <c r="S1044" s="894" t="s">
        <v>710</v>
      </c>
    </row>
    <row r="1045" spans="1:23" ht="15.75">
      <c r="A1045" s="364" t="s">
        <v>442</v>
      </c>
      <c r="B1045" s="278" t="s">
        <v>136</v>
      </c>
      <c r="C1045" s="279">
        <v>16</v>
      </c>
      <c r="D1045" s="280" t="s">
        <v>481</v>
      </c>
      <c r="E1045" s="281">
        <v>200</v>
      </c>
      <c r="F1045" s="282" t="s">
        <v>482</v>
      </c>
      <c r="G1045" s="2670"/>
      <c r="H1045" s="316">
        <f>PI()*(C1044/2)^2*1000/E1044</f>
        <v>2010.6192982974674</v>
      </c>
      <c r="I1045" s="2674">
        <f>H1045*$C$18*$C$22*H1021/10^6</f>
        <v>245.51693154902875</v>
      </c>
      <c r="J1045" s="3246"/>
      <c r="K1045" s="159"/>
      <c r="L1045" s="896" t="str">
        <f>L299</f>
        <v>1-1</v>
      </c>
      <c r="M1045" s="898">
        <f t="shared" ref="M1045:P1045" si="27">M299</f>
        <v>16</v>
      </c>
      <c r="N1045" s="907">
        <f t="shared" si="27"/>
        <v>200</v>
      </c>
      <c r="O1045" s="898">
        <f t="shared" si="27"/>
        <v>16</v>
      </c>
      <c r="P1045" s="908">
        <f t="shared" si="27"/>
        <v>250</v>
      </c>
      <c r="R1045" s="926">
        <f>R299</f>
        <v>16</v>
      </c>
      <c r="S1045" s="894">
        <f>S299</f>
        <v>200</v>
      </c>
    </row>
    <row r="1046" spans="1:23" ht="15">
      <c r="A1046" s="258" t="s">
        <v>443</v>
      </c>
      <c r="B1046" s="273"/>
      <c r="C1046" s="274"/>
      <c r="D1046" s="275"/>
      <c r="E1046" s="276"/>
      <c r="F1046" s="277"/>
      <c r="G1046" s="2670"/>
      <c r="H1046" s="16"/>
      <c r="I1046" s="16"/>
      <c r="J1046" s="2724"/>
      <c r="K1046" s="159"/>
      <c r="L1046" s="885" t="str">
        <f t="shared" ref="L1046:P1049" si="28">L300</f>
        <v>2-2</v>
      </c>
      <c r="M1046" s="899">
        <f t="shared" si="28"/>
        <v>16</v>
      </c>
      <c r="N1046" s="903">
        <f t="shared" si="28"/>
        <v>200</v>
      </c>
      <c r="O1046" s="899">
        <f t="shared" si="28"/>
        <v>16</v>
      </c>
      <c r="P1046" s="904">
        <f t="shared" si="28"/>
        <v>250</v>
      </c>
      <c r="R1046" s="2334">
        <f t="shared" ref="R1046:S1046" si="29">R300</f>
        <v>16</v>
      </c>
      <c r="S1046" s="892">
        <f t="shared" si="29"/>
        <v>200</v>
      </c>
    </row>
    <row r="1047" spans="1:23" ht="15.75">
      <c r="A1047" s="363" t="s">
        <v>441</v>
      </c>
      <c r="B1047" s="268" t="s">
        <v>136</v>
      </c>
      <c r="C1047" s="397">
        <f>C929</f>
        <v>16</v>
      </c>
      <c r="D1047" s="270" t="s">
        <v>481</v>
      </c>
      <c r="E1047" s="398">
        <f>E929</f>
        <v>100</v>
      </c>
      <c r="F1047" s="272" t="s">
        <v>482</v>
      </c>
      <c r="G1047" s="2124" t="s">
        <v>2097</v>
      </c>
      <c r="H1047" s="316">
        <f>PI()*(C1047/2)^2*1000/$E1047</f>
        <v>2010.6192982974674</v>
      </c>
      <c r="I1047" s="2674">
        <f>H1047*$C$18*$C$22*H1021/10^6</f>
        <v>245.51693154902875</v>
      </c>
      <c r="J1047" s="3254" t="str">
        <f>IF(I1047&gt;=V26,"o.k","Not o.k")</f>
        <v>o.k</v>
      </c>
      <c r="K1047" s="159"/>
      <c r="L1047" s="885" t="str">
        <f t="shared" si="28"/>
        <v>3-3</v>
      </c>
      <c r="M1047" s="899">
        <f t="shared" si="28"/>
        <v>16</v>
      </c>
      <c r="N1047" s="903">
        <f t="shared" si="28"/>
        <v>200</v>
      </c>
      <c r="O1047" s="899">
        <f t="shared" si="28"/>
        <v>16</v>
      </c>
      <c r="P1047" s="904">
        <f t="shared" si="28"/>
        <v>250</v>
      </c>
      <c r="R1047" s="2334">
        <f t="shared" ref="R1047:S1047" si="30">R301</f>
        <v>16</v>
      </c>
      <c r="S1047" s="892">
        <f t="shared" si="30"/>
        <v>200</v>
      </c>
    </row>
    <row r="1048" spans="1:23" ht="15.75">
      <c r="A1048" s="364" t="s">
        <v>442</v>
      </c>
      <c r="B1048" s="278" t="s">
        <v>136</v>
      </c>
      <c r="C1048" s="279">
        <v>16</v>
      </c>
      <c r="D1048" s="280" t="s">
        <v>481</v>
      </c>
      <c r="E1048" s="281">
        <v>250</v>
      </c>
      <c r="F1048" s="282" t="s">
        <v>482</v>
      </c>
      <c r="G1048" s="2671"/>
      <c r="H1048" s="59"/>
      <c r="I1048" s="59"/>
      <c r="J1048" s="3255"/>
      <c r="K1048" s="159"/>
      <c r="L1048" s="2021" t="str">
        <f t="shared" si="28"/>
        <v>4-4</v>
      </c>
      <c r="M1048" s="2018">
        <f t="shared" si="28"/>
        <v>16</v>
      </c>
      <c r="N1048" s="2019">
        <f t="shared" si="28"/>
        <v>200</v>
      </c>
      <c r="O1048" s="2018">
        <f t="shared" si="28"/>
        <v>16</v>
      </c>
      <c r="P1048" s="2020">
        <f t="shared" si="28"/>
        <v>250</v>
      </c>
      <c r="R1048" s="2335">
        <f t="shared" ref="R1048:S1048" si="31">R302</f>
        <v>16</v>
      </c>
      <c r="S1048" s="2337">
        <f t="shared" si="31"/>
        <v>100</v>
      </c>
    </row>
    <row r="1049" spans="1:23" ht="15">
      <c r="A1049" s="29"/>
      <c r="J1049" s="46"/>
      <c r="K1049" s="159"/>
      <c r="L1049" s="890" t="str">
        <f t="shared" si="28"/>
        <v>5-5</v>
      </c>
      <c r="M1049" s="901">
        <f t="shared" si="28"/>
        <v>16</v>
      </c>
      <c r="N1049" s="905">
        <f t="shared" si="28"/>
        <v>200</v>
      </c>
      <c r="O1049" s="901">
        <f t="shared" si="28"/>
        <v>16</v>
      </c>
      <c r="P1049" s="906">
        <f t="shared" si="28"/>
        <v>250</v>
      </c>
      <c r="R1049" s="2336">
        <f t="shared" ref="R1049:S1049" si="32">R303</f>
        <v>16</v>
      </c>
      <c r="S1049" s="893">
        <f t="shared" si="32"/>
        <v>200</v>
      </c>
    </row>
    <row r="1050" spans="1:23">
      <c r="J1050" s="46"/>
      <c r="K1050" s="159"/>
    </row>
    <row r="1051" spans="1:23">
      <c r="B1051" s="2193" t="s">
        <v>602</v>
      </c>
      <c r="C1051" s="2194"/>
      <c r="D1051" s="2195" t="s">
        <v>1868</v>
      </c>
      <c r="E1051" s="2194"/>
      <c r="F1051" s="2194"/>
      <c r="J1051" s="46"/>
      <c r="K1051" s="159"/>
    </row>
    <row r="1052" spans="1:23" ht="12.75" customHeight="1">
      <c r="B1052" s="187" t="s">
        <v>940</v>
      </c>
      <c r="G1052" s="126" t="str">
        <f>IF(AND(H989&lt;=F988/2,H999&lt;=F998/2,H1009&lt;=F1008/2),"For Curtailment follow the Remark","Curtailment not possible")</f>
        <v>For Curtailment follow the Remark</v>
      </c>
      <c r="H1052" s="126"/>
      <c r="I1052" s="126"/>
      <c r="J1052" s="126"/>
      <c r="K1052" s="159"/>
      <c r="O1052" s="423"/>
      <c r="P1052" s="406" t="s">
        <v>689</v>
      </c>
      <c r="Q1052" s="55"/>
      <c r="R1052" s="55"/>
      <c r="S1052" s="55"/>
      <c r="T1052" s="55"/>
      <c r="U1052" s="55"/>
      <c r="V1052" s="55"/>
      <c r="W1052" s="2736" t="s">
        <v>945</v>
      </c>
    </row>
    <row r="1053" spans="1:23">
      <c r="B1053" s="187"/>
      <c r="K1053" s="159"/>
      <c r="O1053" s="2191"/>
      <c r="P1053" s="241"/>
      <c r="Q1053" s="16"/>
      <c r="R1053" s="16"/>
      <c r="S1053" s="16"/>
      <c r="T1053" s="16"/>
      <c r="U1053" s="16"/>
      <c r="V1053" s="16"/>
      <c r="W1053" s="2735"/>
    </row>
    <row r="1054" spans="1:23" ht="14.25">
      <c r="B1054" s="187" t="s">
        <v>1822</v>
      </c>
      <c r="F1054" s="1995">
        <f>0.5*PI()*(C1047/2)^2*1000/E1047</f>
        <v>1005.3096491487337</v>
      </c>
      <c r="G1054" s="187" t="s">
        <v>1348</v>
      </c>
      <c r="J1054" s="46"/>
      <c r="K1054" s="159"/>
      <c r="O1054" s="2084"/>
      <c r="P1054" s="241" t="s">
        <v>941</v>
      </c>
      <c r="Q1054" s="16"/>
      <c r="R1054" s="16"/>
      <c r="S1054" s="16"/>
      <c r="T1054" s="16"/>
      <c r="U1054" s="16"/>
      <c r="V1054" s="16"/>
      <c r="W1054" s="2735"/>
    </row>
    <row r="1055" spans="1:23" ht="14.25">
      <c r="B1055" s="385" t="s">
        <v>1825</v>
      </c>
      <c r="F1055" s="33">
        <f>F1054*$C$18*$C$22*H1021/10^6</f>
        <v>122.75846577451438</v>
      </c>
      <c r="G1055" s="187" t="s">
        <v>107</v>
      </c>
      <c r="H1055" s="2751" t="str">
        <f>IF(F1055&gt;V$26,"&gt; Max End Me="&amp;FIXED(V$26,2)&amp;" kn-m","&lt; Max End Me="&amp;FIXED(V$26,2)&amp;" kn-m")</f>
        <v>&gt; Max End Me=67.46 kn-m</v>
      </c>
      <c r="I1055" s="2751"/>
      <c r="J1055" s="2751"/>
      <c r="K1055" s="159"/>
      <c r="L1055" s="2742" t="s">
        <v>2116</v>
      </c>
      <c r="M1055" s="2743"/>
      <c r="N1055" s="2744"/>
      <c r="O1055" s="259" t="s">
        <v>707</v>
      </c>
      <c r="P1055" s="241" t="s">
        <v>942</v>
      </c>
      <c r="Q1055" s="16"/>
      <c r="R1055" s="16"/>
      <c r="S1055" s="16"/>
      <c r="T1055" s="16"/>
      <c r="U1055" s="16"/>
      <c r="V1055" s="16"/>
      <c r="W1055" s="2739"/>
    </row>
    <row r="1056" spans="1:23" ht="14.25">
      <c r="B1056" s="187" t="s">
        <v>1823</v>
      </c>
      <c r="J1056" s="46"/>
      <c r="K1056" s="159"/>
      <c r="L1056" s="2745" t="s">
        <v>2117</v>
      </c>
      <c r="M1056" s="2746"/>
      <c r="N1056" s="2747"/>
      <c r="O1056" s="2084"/>
      <c r="P1056" s="242">
        <f>D987/F970</f>
        <v>7.0487111210561668</v>
      </c>
      <c r="Q1056" s="434" t="s">
        <v>685</v>
      </c>
      <c r="R1056" s="242">
        <f>D987*2</f>
        <v>80.086500000000015</v>
      </c>
      <c r="S1056" s="434" t="s">
        <v>686</v>
      </c>
      <c r="T1056" s="242">
        <f>D987*H880+F988</f>
        <v>85.480319904030495</v>
      </c>
      <c r="U1056" s="2737" t="s">
        <v>35</v>
      </c>
      <c r="V1056" s="1048">
        <v>0</v>
      </c>
      <c r="W1056" s="256" t="s">
        <v>491</v>
      </c>
    </row>
    <row r="1057" spans="1:23" ht="14.25">
      <c r="A1057" s="203" t="s">
        <v>707</v>
      </c>
      <c r="B1057" s="187" t="s">
        <v>1826</v>
      </c>
      <c r="J1057" s="46"/>
      <c r="K1057" s="159"/>
      <c r="L1057" s="2748" t="s">
        <v>2118</v>
      </c>
      <c r="M1057" s="2749"/>
      <c r="N1057" s="2750"/>
      <c r="O1057" s="2084"/>
      <c r="P1057" s="16"/>
      <c r="Q1057" s="16"/>
      <c r="R1057" s="16"/>
      <c r="S1057" s="16"/>
      <c r="T1057" s="16"/>
      <c r="U1057" s="16"/>
      <c r="V1057" s="16"/>
      <c r="W1057" s="316">
        <f>T1059*10^6/($C$18*$C$22*H1021)</f>
        <v>276.22962889048415</v>
      </c>
    </row>
    <row r="1058" spans="1:23" ht="14.25">
      <c r="B1058" s="33">
        <f>D987/F970</f>
        <v>7.0487111210561668</v>
      </c>
      <c r="C1058" s="206" t="s">
        <v>685</v>
      </c>
      <c r="D1058" s="33">
        <f>D987*2</f>
        <v>80.086500000000015</v>
      </c>
      <c r="E1058" s="206" t="s">
        <v>686</v>
      </c>
      <c r="F1058" s="33">
        <f>D987*H880+F988*2-F1055*2</f>
        <v>-92.575754240967768</v>
      </c>
      <c r="G1058" s="2051" t="s">
        <v>35</v>
      </c>
      <c r="H1058" s="18">
        <v>0</v>
      </c>
      <c r="J1058" s="46"/>
      <c r="K1058" s="159"/>
      <c r="O1058" s="2084"/>
      <c r="P1058" s="241" t="s">
        <v>691</v>
      </c>
      <c r="Q1058" s="242">
        <f>(-(-R1056)-SQRT(R1056^2-4*P1056*T1056))/(2*P1056)</f>
        <v>1.1925131545654821</v>
      </c>
      <c r="R1058" s="241" t="s">
        <v>688</v>
      </c>
      <c r="S1058" s="16"/>
      <c r="T1058" s="16"/>
      <c r="U1058" s="241" t="s">
        <v>690</v>
      </c>
      <c r="V1058" s="16"/>
      <c r="W1058" s="58"/>
    </row>
    <row r="1059" spans="1:23" ht="14.25">
      <c r="B1059" s="33"/>
      <c r="C1059" s="206"/>
      <c r="D1059" s="33"/>
      <c r="E1059" s="206"/>
      <c r="F1059" s="33"/>
      <c r="G1059" s="2051"/>
      <c r="H1059" s="18"/>
      <c r="J1059" s="46"/>
      <c r="K1059" s="159"/>
      <c r="O1059" s="2084"/>
      <c r="P1059" s="241" t="s">
        <v>687</v>
      </c>
      <c r="Q1059" s="16"/>
      <c r="R1059" s="16"/>
      <c r="S1059" s="16"/>
      <c r="T1059" s="242">
        <f>F988+Q1058^2*D987/(2*F970)-D987*(Q1058-H880/2)</f>
        <v>33.730428702015239</v>
      </c>
      <c r="U1059" s="241" t="s">
        <v>620</v>
      </c>
      <c r="V1059" s="16"/>
      <c r="W1059" s="58"/>
    </row>
    <row r="1060" spans="1:23">
      <c r="B1060" s="187" t="s">
        <v>691</v>
      </c>
      <c r="C1060" s="1996">
        <f>(-(-D1058)-SQRT(D1058^2-4*B1058*F1058))/(2*B1058)</f>
        <v>-1.0575175040372438</v>
      </c>
      <c r="D1060" s="187" t="s">
        <v>688</v>
      </c>
      <c r="G1060" s="187" t="s">
        <v>1837</v>
      </c>
      <c r="J1060" s="46"/>
      <c r="K1060" s="159"/>
      <c r="O1060" s="2084"/>
      <c r="P1060" s="241" t="s">
        <v>692</v>
      </c>
      <c r="Q1060" s="16"/>
      <c r="R1060" s="16"/>
      <c r="S1060" s="16"/>
      <c r="T1060" s="16"/>
      <c r="U1060" s="16"/>
      <c r="V1060" s="242">
        <f>Q1058+40*C1047/1000</f>
        <v>1.8325131545654822</v>
      </c>
      <c r="W1060" s="366" t="s">
        <v>5</v>
      </c>
    </row>
    <row r="1061" spans="1:23" ht="14.25">
      <c r="B1061" s="187" t="s">
        <v>687</v>
      </c>
      <c r="F1061" s="33">
        <f>F988+C1060^2*D987/(2*F970)-D987*(C1060-H880/2)</f>
        <v>122.75846577451435</v>
      </c>
      <c r="G1061" s="187" t="s">
        <v>620</v>
      </c>
      <c r="J1061" s="46"/>
      <c r="K1061" s="159"/>
      <c r="O1061" s="2085"/>
      <c r="P1061" s="59"/>
      <c r="Q1061" s="59"/>
      <c r="R1061" s="1497" t="s">
        <v>943</v>
      </c>
      <c r="S1061" s="212">
        <f>+F988/2</f>
        <v>33.730428702015246</v>
      </c>
      <c r="T1061" s="204" t="s">
        <v>620</v>
      </c>
      <c r="U1061" s="1504" t="str">
        <f>IF(T1059=S1061,"O.k","Not O.k")</f>
        <v>O.k</v>
      </c>
      <c r="V1061" s="59"/>
      <c r="W1061" s="60"/>
    </row>
    <row r="1062" spans="1:23">
      <c r="B1062" s="207" t="s">
        <v>2113</v>
      </c>
      <c r="C1062" s="126"/>
      <c r="D1062" s="126"/>
      <c r="E1062" s="126"/>
      <c r="F1062" s="246">
        <f>X$26</f>
        <v>0</v>
      </c>
      <c r="G1062" s="207" t="s">
        <v>620</v>
      </c>
      <c r="K1062" s="159"/>
    </row>
    <row r="1063" spans="1:23">
      <c r="B1063" s="187" t="s">
        <v>692</v>
      </c>
      <c r="H1063" s="33">
        <f>IF(C1060&lt;H880,H880,C1060)+40*C1047/1000</f>
        <v>1.0900000000000001</v>
      </c>
      <c r="I1063" s="187" t="s">
        <v>5</v>
      </c>
      <c r="J1063" s="109"/>
      <c r="K1063" s="159"/>
    </row>
    <row r="1064" spans="1:23">
      <c r="H1064" s="624"/>
      <c r="I1064" s="46"/>
      <c r="J1064" s="46"/>
      <c r="K1064" s="159"/>
      <c r="L1064" s="187"/>
      <c r="N1064" s="129"/>
      <c r="O1064" s="385"/>
    </row>
    <row r="1065" spans="1:23" ht="12.75" customHeight="1">
      <c r="A1065" s="3085" t="s">
        <v>944</v>
      </c>
      <c r="B1065" s="355" t="s">
        <v>1147</v>
      </c>
      <c r="C1065" s="3138" t="s">
        <v>2115</v>
      </c>
      <c r="D1065" s="3118" t="s">
        <v>946</v>
      </c>
      <c r="E1065" s="3122" t="s">
        <v>937</v>
      </c>
      <c r="F1065" s="3122" t="s">
        <v>938</v>
      </c>
      <c r="G1065" s="3228" t="s">
        <v>947</v>
      </c>
      <c r="H1065" s="3118" t="s">
        <v>2120</v>
      </c>
      <c r="I1065" s="3213" t="s">
        <v>676</v>
      </c>
      <c r="J1065" s="3214"/>
      <c r="K1065" s="159"/>
    </row>
    <row r="1066" spans="1:23">
      <c r="A1066" s="3200"/>
      <c r="B1066" s="365" t="s">
        <v>1149</v>
      </c>
      <c r="C1066" s="3144"/>
      <c r="D1066" s="3092"/>
      <c r="E1066" s="3123"/>
      <c r="F1066" s="3123"/>
      <c r="G1066" s="3231"/>
      <c r="H1066" s="3092"/>
      <c r="I1066" s="960"/>
      <c r="J1066" s="961"/>
      <c r="K1066" s="159"/>
      <c r="L1066" s="187"/>
      <c r="N1066" s="129"/>
      <c r="O1066" s="385"/>
    </row>
    <row r="1067" spans="1:23">
      <c r="A1067" s="3086"/>
      <c r="B1067" s="354" t="s">
        <v>1148</v>
      </c>
      <c r="C1067" s="3144"/>
      <c r="D1067" s="623"/>
      <c r="E1067" s="360"/>
      <c r="F1067" s="360"/>
      <c r="G1067" s="3232"/>
      <c r="H1067" s="3239"/>
      <c r="I1067" s="959"/>
      <c r="J1067" s="961"/>
      <c r="K1067" s="159"/>
      <c r="L1067" s="187"/>
      <c r="N1067" s="129"/>
      <c r="O1067" s="385"/>
    </row>
    <row r="1068" spans="1:23" ht="14.25">
      <c r="A1068" s="2734" t="s">
        <v>5</v>
      </c>
      <c r="B1068" s="256" t="s">
        <v>491</v>
      </c>
      <c r="C1068" s="256" t="s">
        <v>491</v>
      </c>
      <c r="D1068" s="256" t="s">
        <v>491</v>
      </c>
      <c r="E1068" s="256" t="s">
        <v>491</v>
      </c>
      <c r="F1068" s="622" t="s">
        <v>98</v>
      </c>
      <c r="G1068" s="618" t="s">
        <v>5</v>
      </c>
      <c r="H1068" s="622" t="s">
        <v>98</v>
      </c>
      <c r="I1068" s="962"/>
      <c r="J1068" s="963"/>
      <c r="K1068" s="159"/>
      <c r="L1068" s="187"/>
      <c r="N1068" s="129"/>
      <c r="O1068" s="385"/>
    </row>
    <row r="1069" spans="1:23">
      <c r="A1069" s="2740">
        <f>H1063</f>
        <v>1.0900000000000001</v>
      </c>
      <c r="B1069" s="316">
        <f>0.5*PI()*(C1047/2)^2*1000/E1047</f>
        <v>1005.3096491487337</v>
      </c>
      <c r="C1069" s="357">
        <f>F1062*10^6/(fs*j*H1021)</f>
        <v>0</v>
      </c>
      <c r="D1069" s="316">
        <f>C1039</f>
        <v>570</v>
      </c>
      <c r="E1069" s="316">
        <f>MAX(B1069:D1069)</f>
        <v>1005.3096491487337</v>
      </c>
      <c r="F1069" s="619">
        <f>PI()*(C1047/2)^2*1000/E1069</f>
        <v>200</v>
      </c>
      <c r="G1069" s="620">
        <v>2.5</v>
      </c>
      <c r="H1069" s="621">
        <f>E1047*2</f>
        <v>200</v>
      </c>
      <c r="I1069" s="3215" t="str">
        <f>IF(OR(A1069&gt;F970-0.5,H1069&gt;F1069),"Do not curtail ","Do curtailment")</f>
        <v>Do curtailment</v>
      </c>
      <c r="J1069" s="3216"/>
      <c r="K1069" s="159"/>
      <c r="L1069" s="1997" t="s">
        <v>645</v>
      </c>
      <c r="M1069" s="1998">
        <f>F970</f>
        <v>5.6809322033898297</v>
      </c>
      <c r="N1069" s="187" t="s">
        <v>5</v>
      </c>
      <c r="O1069" s="385"/>
    </row>
    <row r="1070" spans="1:23">
      <c r="J1070" s="46"/>
      <c r="K1070" s="159"/>
      <c r="L1070" s="187"/>
      <c r="N1070" s="129"/>
      <c r="O1070" s="385"/>
    </row>
    <row r="1071" spans="1:23">
      <c r="B1071" s="2183" t="s">
        <v>602</v>
      </c>
      <c r="C1071" s="2184"/>
      <c r="D1071" s="2185" t="s">
        <v>1869</v>
      </c>
      <c r="E1071" s="2184"/>
      <c r="F1071" s="2184"/>
      <c r="J1071" s="46"/>
      <c r="K1071" s="159"/>
      <c r="L1071" s="187"/>
      <c r="N1071" s="129"/>
      <c r="O1071" s="385"/>
    </row>
    <row r="1072" spans="1:23">
      <c r="B1072" s="187"/>
      <c r="G1072" s="126" t="str">
        <f>IF(F1082=0,"No curtailment needed ","For Curtailment follow the Remark")</f>
        <v>For Curtailment follow the Remark</v>
      </c>
      <c r="H1072" s="126"/>
      <c r="I1072" s="126"/>
      <c r="J1072" s="126"/>
      <c r="K1072" s="159"/>
      <c r="L1072" s="187"/>
      <c r="N1072" s="129"/>
      <c r="O1072" s="385"/>
    </row>
    <row r="1073" spans="1:15">
      <c r="B1073" s="1" t="s">
        <v>657</v>
      </c>
      <c r="C1073" s="46"/>
      <c r="K1073" s="159"/>
      <c r="L1073" s="187"/>
      <c r="N1073" s="129"/>
      <c r="O1073" s="385"/>
    </row>
    <row r="1074" spans="1:15">
      <c r="B1074" s="187" t="s">
        <v>1872</v>
      </c>
      <c r="C1074" s="46"/>
      <c r="F1074" s="33">
        <f>IF(H989&lt;0,H989,0)</f>
        <v>-37.270905572664446</v>
      </c>
      <c r="G1074" s="187" t="s">
        <v>107</v>
      </c>
      <c r="K1074" s="159"/>
      <c r="L1074" s="187"/>
      <c r="N1074" s="129"/>
      <c r="O1074" s="385"/>
    </row>
    <row r="1075" spans="1:15">
      <c r="B1075" s="187" t="s">
        <v>1873</v>
      </c>
      <c r="C1075" s="46"/>
      <c r="D1075" s="46"/>
      <c r="F1075" s="33">
        <f>F1074*0.5</f>
        <v>-18.635452786332223</v>
      </c>
      <c r="G1075" s="187" t="s">
        <v>107</v>
      </c>
      <c r="K1075" s="159"/>
      <c r="L1075" s="187"/>
      <c r="N1075" s="129"/>
      <c r="O1075" s="385"/>
    </row>
    <row r="1076" spans="1:15" ht="14.25">
      <c r="B1076" s="187" t="s">
        <v>1826</v>
      </c>
      <c r="K1076" s="159"/>
      <c r="L1076" s="187"/>
      <c r="N1076" s="129"/>
      <c r="O1076" s="385"/>
    </row>
    <row r="1077" spans="1:15" ht="14.25">
      <c r="B1077" s="33">
        <f>D987/F970</f>
        <v>7.0487111210561668</v>
      </c>
      <c r="C1077" s="206" t="s">
        <v>685</v>
      </c>
      <c r="D1077" s="33">
        <f>D987*2</f>
        <v>80.086500000000015</v>
      </c>
      <c r="E1077" s="206" t="s">
        <v>686</v>
      </c>
      <c r="F1077" s="33">
        <f>D987*D880+F988*2-F1075*2</f>
        <v>190.21208288072543</v>
      </c>
      <c r="G1077" s="2762" t="s">
        <v>35</v>
      </c>
      <c r="H1077" s="18">
        <v>0</v>
      </c>
      <c r="K1077" s="159"/>
      <c r="L1077" s="187"/>
      <c r="N1077" s="129"/>
      <c r="O1077" s="385"/>
    </row>
    <row r="1078" spans="1:15">
      <c r="B1078" s="187" t="s">
        <v>691</v>
      </c>
      <c r="C1078" s="1996">
        <f>(-(-D1077)-SQRT(D1077^2-4*B1077*F1077))/(2*B1077)</f>
        <v>3.3814496629350961</v>
      </c>
      <c r="D1078" s="187" t="s">
        <v>688</v>
      </c>
      <c r="F1078" s="187" t="s">
        <v>1827</v>
      </c>
      <c r="K1078" s="159"/>
      <c r="L1078" s="187"/>
      <c r="N1078" s="129"/>
      <c r="O1078" s="385"/>
    </row>
    <row r="1079" spans="1:15" ht="14.25">
      <c r="B1079" s="187" t="s">
        <v>687</v>
      </c>
      <c r="F1079" s="33">
        <f>F988+C1078^2*D987/(2*F970)-D987*(C1078-D880/2)</f>
        <v>-18.635452786332237</v>
      </c>
      <c r="G1079" s="187" t="s">
        <v>620</v>
      </c>
      <c r="K1079" s="159"/>
      <c r="L1079" s="187"/>
      <c r="N1079" s="129"/>
      <c r="O1079" s="385"/>
    </row>
    <row r="1080" spans="1:15">
      <c r="B1080" s="187"/>
      <c r="K1080" s="159"/>
      <c r="L1080" s="187"/>
      <c r="N1080" s="129"/>
      <c r="O1080" s="385"/>
    </row>
    <row r="1081" spans="1:15">
      <c r="B1081" s="1" t="s">
        <v>661</v>
      </c>
      <c r="K1081" s="159"/>
      <c r="L1081" s="187"/>
      <c r="N1081" s="129"/>
      <c r="O1081" s="385"/>
    </row>
    <row r="1082" spans="1:15">
      <c r="B1082" s="187" t="s">
        <v>1872</v>
      </c>
      <c r="F1082" s="158">
        <f>IF(H1009&lt;0,H1009,0)</f>
        <v>-72.286302987137418</v>
      </c>
      <c r="G1082" s="187" t="s">
        <v>107</v>
      </c>
      <c r="J1082" s="46"/>
      <c r="K1082" s="159"/>
      <c r="L1082" s="187"/>
      <c r="N1082" s="129"/>
      <c r="O1082" s="385"/>
    </row>
    <row r="1083" spans="1:15">
      <c r="B1083" s="187" t="s">
        <v>1873</v>
      </c>
      <c r="F1083" s="33">
        <f>F1082/2</f>
        <v>-36.143151493568709</v>
      </c>
      <c r="G1083" s="187" t="s">
        <v>107</v>
      </c>
      <c r="J1083" s="46"/>
      <c r="K1083" s="159"/>
      <c r="L1083" s="187"/>
      <c r="N1083" s="129"/>
      <c r="O1083" s="385"/>
    </row>
    <row r="1084" spans="1:15" ht="14.25">
      <c r="B1084" s="187" t="s">
        <v>1823</v>
      </c>
      <c r="J1084" s="46"/>
      <c r="K1084" s="159"/>
      <c r="L1084" s="187"/>
      <c r="N1084" s="129"/>
      <c r="O1084" s="385"/>
    </row>
    <row r="1085" spans="1:15" ht="14.25">
      <c r="A1085" s="203" t="s">
        <v>707</v>
      </c>
      <c r="B1085" s="187" t="s">
        <v>1826</v>
      </c>
      <c r="J1085" s="46"/>
      <c r="K1085" s="159"/>
      <c r="L1085" s="187"/>
      <c r="N1085" s="129"/>
      <c r="O1085" s="385"/>
    </row>
    <row r="1086" spans="1:15" ht="14.25">
      <c r="B1086" s="33">
        <f>D1006/F970</f>
        <v>7.0487111210561668</v>
      </c>
      <c r="C1086" s="206" t="s">
        <v>685</v>
      </c>
      <c r="D1086" s="33">
        <f>D1006*2</f>
        <v>80.086500000000015</v>
      </c>
      <c r="E1086" s="206" t="s">
        <v>686</v>
      </c>
      <c r="F1086" s="33">
        <f>D1006*H880+F1008*2-F1083*2</f>
        <v>155.19668546625246</v>
      </c>
      <c r="G1086" s="2188" t="s">
        <v>35</v>
      </c>
      <c r="H1086" s="18">
        <v>0</v>
      </c>
      <c r="J1086" s="46"/>
      <c r="K1086" s="159"/>
      <c r="L1086" s="187"/>
      <c r="N1086" s="129"/>
      <c r="O1086" s="385"/>
    </row>
    <row r="1087" spans="1:15">
      <c r="B1087" s="33"/>
      <c r="C1087" s="206"/>
      <c r="D1087" s="33"/>
      <c r="E1087" s="206"/>
      <c r="F1087" s="33"/>
      <c r="G1087" s="2188"/>
      <c r="H1087" s="18"/>
      <c r="J1087" s="46"/>
      <c r="K1087" s="159"/>
      <c r="L1087" s="187"/>
      <c r="N1087" s="129"/>
      <c r="O1087" s="385"/>
    </row>
    <row r="1088" spans="1:15">
      <c r="B1088" s="187" t="s">
        <v>691</v>
      </c>
      <c r="C1088" s="1996">
        <f>(-(-D1086)-SQRT(D1086^2-4*B1086*F1086))/(2*B1086)</f>
        <v>2.4785500943559051</v>
      </c>
      <c r="D1088" s="187" t="s">
        <v>688</v>
      </c>
      <c r="G1088" s="187" t="s">
        <v>1827</v>
      </c>
      <c r="J1088" s="46"/>
      <c r="K1088" s="159"/>
      <c r="L1088" s="187"/>
      <c r="N1088" s="129"/>
      <c r="O1088" s="385"/>
    </row>
    <row r="1089" spans="1:15" ht="14.25">
      <c r="B1089" s="187" t="s">
        <v>687</v>
      </c>
      <c r="F1089" s="33">
        <f>F1008+C1088^2*D1006/(2*F970)-D1006*(C1088-H880/2)</f>
        <v>-36.143151493568723</v>
      </c>
      <c r="G1089" s="187" t="s">
        <v>620</v>
      </c>
      <c r="J1089" s="46"/>
      <c r="K1089" s="159"/>
      <c r="L1089" s="187"/>
      <c r="N1089" s="129"/>
      <c r="O1089" s="385"/>
    </row>
    <row r="1090" spans="1:15">
      <c r="K1090" s="159"/>
      <c r="L1090" s="187"/>
      <c r="N1090" s="129"/>
      <c r="O1090" s="385"/>
    </row>
    <row r="1091" spans="1:15">
      <c r="B1091" s="207" t="s">
        <v>2119</v>
      </c>
      <c r="C1091" s="126"/>
      <c r="D1091" s="126"/>
      <c r="E1091" s="126"/>
      <c r="F1091" s="126"/>
      <c r="G1091" s="126"/>
      <c r="H1091" s="246">
        <f>W$26</f>
        <v>72.286302987137418</v>
      </c>
      <c r="I1091" s="207" t="s">
        <v>620</v>
      </c>
      <c r="K1091" s="159"/>
      <c r="L1091" s="187"/>
      <c r="N1091" s="129"/>
      <c r="O1091" s="385"/>
    </row>
    <row r="1092" spans="1:15">
      <c r="B1092" s="187" t="s">
        <v>692</v>
      </c>
      <c r="H1092" s="33">
        <f>C1088-40*C1044/1000</f>
        <v>1.838550094355905</v>
      </c>
      <c r="I1092" s="187" t="s">
        <v>5</v>
      </c>
      <c r="J1092" s="109"/>
      <c r="K1092" s="159"/>
    </row>
    <row r="1093" spans="1:15">
      <c r="B1093" s="187" t="s">
        <v>1874</v>
      </c>
      <c r="H1093" s="33">
        <f>IF(H1092&lt;D880,0,H1092-D880)</f>
        <v>1.388550094355905</v>
      </c>
      <c r="I1093" s="187" t="s">
        <v>5</v>
      </c>
      <c r="J1093" s="109"/>
      <c r="K1093" s="159"/>
    </row>
    <row r="1094" spans="1:15">
      <c r="B1094" s="187" t="s">
        <v>2122</v>
      </c>
      <c r="H1094" s="33">
        <f>F880</f>
        <v>10.461864406779661</v>
      </c>
      <c r="I1094" s="187" t="s">
        <v>5</v>
      </c>
      <c r="J1094" s="109"/>
      <c r="K1094" s="159"/>
    </row>
    <row r="1095" spans="1:15">
      <c r="B1095" s="187" t="s">
        <v>2121</v>
      </c>
      <c r="H1095" s="33">
        <f>IF(G1101="","",H1094-G1101*2)</f>
        <v>9.0618644067796605</v>
      </c>
      <c r="I1095" s="187" t="s">
        <v>5</v>
      </c>
      <c r="J1095" s="109"/>
      <c r="K1095" s="159"/>
    </row>
    <row r="1096" spans="1:15">
      <c r="J1096" s="46"/>
      <c r="K1096" s="159"/>
    </row>
    <row r="1097" spans="1:15">
      <c r="A1097" s="3085" t="s">
        <v>1875</v>
      </c>
      <c r="B1097" s="3118" t="s">
        <v>945</v>
      </c>
      <c r="C1097" s="355" t="s">
        <v>1147</v>
      </c>
      <c r="D1097" s="3118" t="s">
        <v>946</v>
      </c>
      <c r="E1097" s="3122" t="s">
        <v>937</v>
      </c>
      <c r="F1097" s="3122" t="s">
        <v>938</v>
      </c>
      <c r="G1097" s="3228" t="s">
        <v>947</v>
      </c>
      <c r="H1097" s="3118" t="s">
        <v>622</v>
      </c>
      <c r="I1097" s="3213" t="s">
        <v>676</v>
      </c>
      <c r="J1097" s="3214"/>
      <c r="K1097" s="159"/>
      <c r="L1097" s="187"/>
      <c r="N1097" s="129"/>
      <c r="O1097" s="385"/>
    </row>
    <row r="1098" spans="1:15">
      <c r="A1098" s="3202"/>
      <c r="B1098" s="3092"/>
      <c r="C1098" s="365" t="s">
        <v>1149</v>
      </c>
      <c r="D1098" s="3092"/>
      <c r="E1098" s="3123"/>
      <c r="F1098" s="3123"/>
      <c r="G1098" s="3231"/>
      <c r="H1098" s="3092"/>
      <c r="I1098" s="960"/>
      <c r="J1098" s="961"/>
      <c r="K1098" s="159"/>
      <c r="L1098" s="187"/>
      <c r="M1098" s="33"/>
      <c r="N1098" s="129"/>
      <c r="O1098" s="385"/>
    </row>
    <row r="1099" spans="1:15">
      <c r="A1099" s="3203"/>
      <c r="B1099" s="2192"/>
      <c r="C1099" s="354" t="s">
        <v>1148</v>
      </c>
      <c r="D1099" s="2190"/>
      <c r="E1099" s="360"/>
      <c r="F1099" s="360"/>
      <c r="G1099" s="3232"/>
      <c r="H1099" s="2192"/>
      <c r="I1099" s="959"/>
      <c r="J1099" s="961"/>
      <c r="K1099" s="159"/>
      <c r="L1099" s="187"/>
      <c r="N1099" s="129"/>
      <c r="O1099" s="385"/>
    </row>
    <row r="1100" spans="1:15" ht="14.25">
      <c r="A1100" s="2186" t="s">
        <v>5</v>
      </c>
      <c r="B1100" s="256" t="s">
        <v>491</v>
      </c>
      <c r="C1100" s="256" t="s">
        <v>491</v>
      </c>
      <c r="D1100" s="256" t="s">
        <v>491</v>
      </c>
      <c r="E1100" s="256" t="s">
        <v>491</v>
      </c>
      <c r="F1100" s="2187" t="s">
        <v>98</v>
      </c>
      <c r="G1100" s="618" t="s">
        <v>5</v>
      </c>
      <c r="H1100" s="2187" t="s">
        <v>98</v>
      </c>
      <c r="I1100" s="962"/>
      <c r="J1100" s="963"/>
      <c r="K1100" s="159"/>
      <c r="L1100" s="187"/>
      <c r="N1100" s="129"/>
      <c r="O1100" s="385"/>
    </row>
    <row r="1101" spans="1:15">
      <c r="A1101" s="455">
        <f>H1093</f>
        <v>1.388550094355905</v>
      </c>
      <c r="B1101" s="316">
        <f>0.5*ABS(H1091)*10^6/($C$18*$C$22*H1021)</f>
        <v>295.98821325993248</v>
      </c>
      <c r="C1101" s="316">
        <f>0.5*PI()*(C1044/2)^2*1000/E1044</f>
        <v>1005.3096491487337</v>
      </c>
      <c r="D1101" s="316">
        <f>C1036</f>
        <v>950</v>
      </c>
      <c r="E1101" s="316">
        <f>MAX(B1101:D1101)</f>
        <v>1005.3096491487337</v>
      </c>
      <c r="F1101" s="619">
        <f>PI()*(C1044/2)^2*1000/E1101</f>
        <v>200</v>
      </c>
      <c r="G1101" s="620">
        <v>0.7</v>
      </c>
      <c r="H1101" s="621">
        <f>E1044*2</f>
        <v>200</v>
      </c>
      <c r="I1101" s="3215" t="str">
        <f>IF(OR(H1101&gt;F1101,H1091=0),"No curtailment ","Do curtailment")</f>
        <v>Do curtailment</v>
      </c>
      <c r="J1101" s="3216"/>
      <c r="K1101" s="159"/>
      <c r="L1101" s="187"/>
      <c r="N1101" s="129"/>
      <c r="O1101" s="385"/>
    </row>
    <row r="1102" spans="1:15">
      <c r="J1102" s="46"/>
      <c r="K1102" s="159"/>
      <c r="L1102" s="187"/>
      <c r="N1102" s="129"/>
      <c r="O1102" s="385"/>
    </row>
    <row r="1103" spans="1:15" ht="14.25">
      <c r="A1103" s="399" t="s">
        <v>2074</v>
      </c>
      <c r="B1103" s="126"/>
      <c r="C1103" s="938" t="str">
        <f>I38&amp;"-"&amp;I38</f>
        <v>5-5</v>
      </c>
      <c r="D1103" s="126" t="s">
        <v>949</v>
      </c>
      <c r="E1103" s="10"/>
      <c r="J1103" s="46"/>
      <c r="K1103" s="159"/>
      <c r="L1103" s="46"/>
    </row>
    <row r="1104" spans="1:15">
      <c r="J1104" s="46"/>
      <c r="K1104" s="159"/>
      <c r="L1104" s="46"/>
    </row>
    <row r="1105" spans="1:12">
      <c r="B1105" s="1" t="s">
        <v>1116</v>
      </c>
      <c r="J1105" s="46"/>
      <c r="K1105" s="159"/>
      <c r="L1105" s="46"/>
    </row>
    <row r="1106" spans="1:12">
      <c r="B1106" s="241" t="s">
        <v>1114</v>
      </c>
      <c r="D1106" s="16"/>
      <c r="G1106" s="241" t="s">
        <v>1113</v>
      </c>
      <c r="J1106" s="46"/>
      <c r="K1106" s="159"/>
      <c r="L1106" s="46"/>
    </row>
    <row r="1107" spans="1:12" ht="14.25">
      <c r="B1107" s="241" t="s">
        <v>111</v>
      </c>
      <c r="C1107" s="16">
        <f>IF(I1118&lt;=9,$G$99,$G$104)</f>
        <v>1E-3</v>
      </c>
      <c r="D1107" s="241" t="s">
        <v>438</v>
      </c>
      <c r="G1107" s="241" t="s">
        <v>111</v>
      </c>
      <c r="H1107" s="16">
        <f>IF(I1118&lt;=9,$G$100,$G$105)</f>
        <v>2E-3</v>
      </c>
      <c r="I1107" s="241" t="s">
        <v>438</v>
      </c>
      <c r="J1107" s="46"/>
      <c r="K1107" s="159"/>
      <c r="L1107" s="46"/>
    </row>
    <row r="1108" spans="1:12" ht="14.25">
      <c r="B1108" s="241" t="s">
        <v>110</v>
      </c>
      <c r="C1108" s="16">
        <f>IF($E$26&lt;=9,$G$99,$G$104)</f>
        <v>1.5E-3</v>
      </c>
      <c r="D1108" s="241" t="s">
        <v>438</v>
      </c>
      <c r="E1108" s="16"/>
      <c r="F1108" s="16"/>
      <c r="G1108" s="241" t="s">
        <v>110</v>
      </c>
      <c r="H1108" s="16">
        <f>IF($E$26&lt;=9,$G$100,$G$105)</f>
        <v>2.5000000000000001E-3</v>
      </c>
      <c r="I1108" s="241" t="s">
        <v>438</v>
      </c>
      <c r="J1108" s="46"/>
      <c r="K1108" s="159"/>
      <c r="L1108" s="46"/>
    </row>
    <row r="1109" spans="1:12">
      <c r="B1109" s="187" t="s">
        <v>601</v>
      </c>
      <c r="E1109" s="129">
        <f>1000*(H1129+H1111)/2</f>
        <v>375</v>
      </c>
      <c r="F1109" s="187" t="s">
        <v>98</v>
      </c>
      <c r="J1109" s="46"/>
      <c r="K1109" s="159"/>
      <c r="L1109" s="46"/>
    </row>
    <row r="1110" spans="1:12">
      <c r="J1110" s="46"/>
      <c r="K1110" s="159"/>
      <c r="L1110" s="46"/>
    </row>
    <row r="1111" spans="1:12">
      <c r="C1111" s="203" t="s">
        <v>149</v>
      </c>
      <c r="D1111" s="36">
        <f>H40</f>
        <v>10</v>
      </c>
      <c r="H1111" s="2550">
        <f>R67</f>
        <v>0.3</v>
      </c>
      <c r="I1111" s="36"/>
      <c r="J1111" s="489"/>
      <c r="K1111" s="159"/>
      <c r="L1111" s="46"/>
    </row>
    <row r="1112" spans="1:12">
      <c r="C1112" s="187"/>
      <c r="D1112" s="2"/>
      <c r="G1112" s="79"/>
      <c r="J1112" s="46"/>
      <c r="K1112" s="159"/>
      <c r="L1112" s="46"/>
    </row>
    <row r="1113" spans="1:12">
      <c r="C1113" s="187"/>
      <c r="D1113" s="18" t="s">
        <v>604</v>
      </c>
      <c r="E1113" s="17"/>
      <c r="F1113" s="36"/>
      <c r="J1113" s="46"/>
      <c r="K1113" s="159"/>
      <c r="L1113" s="46"/>
    </row>
    <row r="1114" spans="1:12">
      <c r="C1114" s="206">
        <f>IF(C1117&gt;D1111,0,D1111-C1117)</f>
        <v>0</v>
      </c>
      <c r="E1114" s="40"/>
      <c r="G1114" s="404"/>
      <c r="J1114" s="46"/>
      <c r="K1114" s="159"/>
      <c r="L1114" s="46"/>
    </row>
    <row r="1115" spans="1:12">
      <c r="A1115" s="17" t="s">
        <v>45</v>
      </c>
      <c r="C1115" s="187"/>
      <c r="D1115" s="54" t="s">
        <v>135</v>
      </c>
      <c r="E1115" s="17"/>
      <c r="F1115" s="36"/>
      <c r="G1115" s="404"/>
      <c r="J1115" s="46"/>
      <c r="K1115" s="159"/>
      <c r="L1115" s="46"/>
    </row>
    <row r="1116" spans="1:12">
      <c r="C1116" s="187"/>
      <c r="D1116" s="33"/>
      <c r="E1116" s="84">
        <f>C1121*(H1129-H1111)/I1118</f>
        <v>0.15000000000000002</v>
      </c>
      <c r="G1116" s="404"/>
      <c r="J1116" s="46"/>
      <c r="K1116" s="159"/>
      <c r="L1116" s="46"/>
    </row>
    <row r="1117" spans="1:12">
      <c r="C1117" s="54">
        <f>I46</f>
        <v>12.971301600623351</v>
      </c>
      <c r="D1117" s="33"/>
      <c r="E1117" s="17"/>
      <c r="F1117" s="36"/>
      <c r="G1117" s="404"/>
      <c r="J1117" s="46"/>
      <c r="K1117" s="159"/>
      <c r="L1117" s="46"/>
    </row>
    <row r="1118" spans="1:12">
      <c r="C1118" s="187"/>
      <c r="E1118" s="40"/>
      <c r="H1118" s="17" t="s">
        <v>600</v>
      </c>
      <c r="I1118" s="10">
        <f>D1111-G1125</f>
        <v>3.9000000000000004</v>
      </c>
      <c r="J1118" s="44"/>
      <c r="K1118" s="159"/>
      <c r="L1118" s="46"/>
    </row>
    <row r="1119" spans="1:12">
      <c r="A1119" s="17" t="s">
        <v>44</v>
      </c>
      <c r="C1119" s="187"/>
      <c r="E1119" s="40"/>
      <c r="F1119" s="33">
        <f>E45</f>
        <v>13.9</v>
      </c>
      <c r="G1119" s="18" t="s">
        <v>5</v>
      </c>
      <c r="J1119" s="46"/>
      <c r="K1119" s="159"/>
      <c r="L1119" s="46"/>
    </row>
    <row r="1120" spans="1:12">
      <c r="C1120" s="187"/>
      <c r="E1120" s="88"/>
      <c r="G1120" s="33"/>
      <c r="I1120" s="10"/>
      <c r="J1120" s="44"/>
      <c r="K1120" s="159"/>
      <c r="L1120" s="46"/>
    </row>
    <row r="1121" spans="1:12">
      <c r="C1121" s="206">
        <f>IF(C1117&gt;D1111,I1118,C1117-G1125)</f>
        <v>3.9000000000000004</v>
      </c>
      <c r="E1121" s="53"/>
      <c r="G1121" s="404" t="s">
        <v>607</v>
      </c>
      <c r="J1121" s="46"/>
      <c r="K1121" s="159"/>
      <c r="L1121" s="46"/>
    </row>
    <row r="1122" spans="1:12">
      <c r="C1122" s="187"/>
      <c r="E1122" s="346"/>
      <c r="F1122" s="54">
        <f>IF(F1119&gt;D1111,I1118,IF(F1119&lt;G1125,0,F1119-G1125))</f>
        <v>3.9000000000000004</v>
      </c>
      <c r="G1122" t="s">
        <v>5</v>
      </c>
      <c r="J1122" s="46"/>
      <c r="K1122" s="159"/>
      <c r="L1122" s="46"/>
    </row>
    <row r="1123" spans="1:12">
      <c r="A1123" s="2" t="s">
        <v>605</v>
      </c>
      <c r="C1123" s="187"/>
      <c r="E1123" s="17" t="s">
        <v>606</v>
      </c>
      <c r="F1123" s="36"/>
      <c r="J1123" s="46"/>
      <c r="K1123" s="159"/>
      <c r="L1123" s="46"/>
    </row>
    <row r="1124" spans="1:12">
      <c r="C1124" s="187"/>
      <c r="E1124" s="40"/>
      <c r="J1124" s="46"/>
      <c r="K1124" s="159"/>
      <c r="L1124" s="46"/>
    </row>
    <row r="1125" spans="1:12">
      <c r="C1125" s="187"/>
      <c r="E1125" s="40"/>
      <c r="F1125" s="17" t="s">
        <v>603</v>
      </c>
      <c r="G1125" s="36">
        <f>F51</f>
        <v>6.1</v>
      </c>
      <c r="I1125" s="10"/>
      <c r="J1125" s="44"/>
      <c r="K1125" s="159"/>
      <c r="L1125" s="46"/>
    </row>
    <row r="1126" spans="1:12">
      <c r="C1126" s="187"/>
      <c r="F1126" s="53"/>
      <c r="H1126" s="33"/>
      <c r="I1126" s="3223">
        <f>I1206</f>
        <v>0.65</v>
      </c>
      <c r="J1126" s="46"/>
      <c r="K1126" s="159"/>
      <c r="L1126" s="46"/>
    </row>
    <row r="1127" spans="1:12">
      <c r="C1127" s="187"/>
      <c r="I1127" s="3223"/>
      <c r="J1127" s="44"/>
      <c r="K1127" s="159"/>
      <c r="L1127" s="46"/>
    </row>
    <row r="1128" spans="1:12">
      <c r="C1128" s="187"/>
      <c r="G1128" s="33"/>
      <c r="J1128" s="46"/>
      <c r="K1128" s="159"/>
      <c r="L1128" s="46"/>
    </row>
    <row r="1129" spans="1:12">
      <c r="C1129" s="187"/>
      <c r="D1129" s="10">
        <f>H1129</f>
        <v>0.45</v>
      </c>
      <c r="F1129" s="33">
        <f>I82</f>
        <v>12</v>
      </c>
      <c r="G1129" t="s">
        <v>5</v>
      </c>
      <c r="H1129" s="2549">
        <f>S67</f>
        <v>0.45</v>
      </c>
      <c r="I1129" s="440" t="str">
        <f>IF(AND(I1158="ok",I1159="ok"),"ok","Not ok")</f>
        <v>ok</v>
      </c>
      <c r="J1129" s="46"/>
      <c r="K1129" s="159"/>
      <c r="L1129" s="46"/>
    </row>
    <row r="1130" spans="1:12">
      <c r="C1130" s="187"/>
      <c r="J1130" s="46"/>
      <c r="K1130" s="159"/>
      <c r="L1130" s="46"/>
    </row>
    <row r="1131" spans="1:12">
      <c r="C1131" s="187"/>
      <c r="F1131" s="33">
        <f>F1129+H1129+D1129</f>
        <v>12.899999999999999</v>
      </c>
      <c r="G1131" t="s">
        <v>5</v>
      </c>
      <c r="J1131" s="46"/>
      <c r="K1131" s="159"/>
      <c r="L1131" s="46"/>
    </row>
    <row r="1132" spans="1:12">
      <c r="B1132" s="753" t="s">
        <v>1880</v>
      </c>
      <c r="C1132" s="753"/>
      <c r="D1132" s="753"/>
      <c r="E1132" s="753"/>
      <c r="F1132" s="753"/>
      <c r="G1132" s="753"/>
      <c r="H1132" s="753"/>
      <c r="I1132" s="753"/>
      <c r="J1132" s="46"/>
      <c r="K1132" s="159"/>
      <c r="L1132" s="46"/>
    </row>
    <row r="1133" spans="1:12">
      <c r="A1133" s="187"/>
      <c r="J1133" s="46"/>
      <c r="K1133" s="159"/>
      <c r="L1133" s="109"/>
    </row>
    <row r="1134" spans="1:12">
      <c r="A1134" s="187"/>
      <c r="B1134" s="225" t="str">
        <f>"a) Design of Wall  : Sec "&amp;C1103</f>
        <v>a) Design of Wall  : Sec 5-5</v>
      </c>
      <c r="C1134" s="174"/>
      <c r="D1134" s="174"/>
      <c r="J1134" s="46"/>
      <c r="K1134" s="159"/>
    </row>
    <row r="1135" spans="1:12">
      <c r="B1135" s="1" t="s">
        <v>612</v>
      </c>
      <c r="D1135" s="2"/>
      <c r="E1135" s="10"/>
      <c r="J1135" s="46"/>
      <c r="K1135" s="159"/>
      <c r="L1135" s="46"/>
    </row>
    <row r="1136" spans="1:12">
      <c r="A1136" s="187"/>
      <c r="B1136" s="187" t="s">
        <v>611</v>
      </c>
      <c r="D1136" s="2"/>
      <c r="E1136" s="10"/>
      <c r="J1136" s="46"/>
      <c r="K1136" s="159"/>
      <c r="L1136" s="46"/>
    </row>
    <row r="1137" spans="1:12">
      <c r="B1137" s="2" t="s">
        <v>131</v>
      </c>
      <c r="D1137" s="2" t="s">
        <v>35</v>
      </c>
      <c r="E1137" s="10">
        <f>D1111-G1125</f>
        <v>3.9000000000000004</v>
      </c>
      <c r="F1137" t="s">
        <v>5</v>
      </c>
      <c r="J1137" s="46"/>
      <c r="K1137" s="159"/>
      <c r="L1137" s="46"/>
    </row>
    <row r="1138" spans="1:12" ht="15.75">
      <c r="A1138" s="40"/>
      <c r="B1138" s="187" t="s">
        <v>593</v>
      </c>
      <c r="D1138" s="2" t="s">
        <v>35</v>
      </c>
      <c r="E1138" s="10">
        <f>0.5*$I$8*$D$6*E1137^2</f>
        <v>51.892967233869598</v>
      </c>
      <c r="F1138" t="s">
        <v>21</v>
      </c>
      <c r="J1138" s="46"/>
      <c r="K1138" s="159"/>
      <c r="L1138" s="46"/>
    </row>
    <row r="1139" spans="1:12" ht="20.25">
      <c r="A1139" s="40"/>
      <c r="B1139" s="38" t="s">
        <v>594</v>
      </c>
      <c r="D1139" s="2" t="s">
        <v>35</v>
      </c>
      <c r="E1139" s="10">
        <f>(1/6)*$I$8*$D$6*E1137^3</f>
        <v>67.460857404030477</v>
      </c>
      <c r="F1139" t="s">
        <v>107</v>
      </c>
      <c r="J1139" s="46"/>
      <c r="K1139" s="159"/>
      <c r="L1139" s="46"/>
    </row>
    <row r="1140" spans="1:12" ht="15.75">
      <c r="J1140" s="46"/>
      <c r="K1140" s="159"/>
      <c r="L1140" s="389"/>
    </row>
    <row r="1141" spans="1:12" ht="15.75">
      <c r="B1141" s="1" t="s">
        <v>649</v>
      </c>
      <c r="J1141" s="46"/>
      <c r="K1141" s="159"/>
      <c r="L1141" s="389"/>
    </row>
    <row r="1142" spans="1:12" ht="15.75">
      <c r="B1142" s="1" t="s">
        <v>653</v>
      </c>
      <c r="E1142" s="86"/>
      <c r="J1142" s="46"/>
      <c r="K1142" s="159"/>
      <c r="L1142" s="389"/>
    </row>
    <row r="1143" spans="1:12" ht="15.75">
      <c r="B1143" s="1"/>
      <c r="C1143" s="187"/>
      <c r="E1143" s="86"/>
      <c r="J1143" s="46"/>
      <c r="K1143" s="159"/>
      <c r="L1143" s="389"/>
    </row>
    <row r="1144" spans="1:12" ht="15.75">
      <c r="B1144" s="2" t="s">
        <v>132</v>
      </c>
      <c r="C1144" s="2" t="s">
        <v>35</v>
      </c>
      <c r="D1144" s="10">
        <f>C1114</f>
        <v>0</v>
      </c>
      <c r="E1144" t="s">
        <v>5</v>
      </c>
      <c r="J1144" s="46"/>
      <c r="K1144" s="159"/>
      <c r="L1144" s="389"/>
    </row>
    <row r="1145" spans="1:12">
      <c r="B1145" s="2" t="s">
        <v>133</v>
      </c>
      <c r="C1145" s="2" t="s">
        <v>35</v>
      </c>
      <c r="D1145" s="10">
        <f>C1121</f>
        <v>3.9000000000000004</v>
      </c>
      <c r="E1145" t="s">
        <v>5</v>
      </c>
      <c r="J1145" s="46"/>
      <c r="K1145" s="159"/>
      <c r="L1145" s="46"/>
    </row>
    <row r="1146" spans="1:12">
      <c r="B1146" s="2" t="s">
        <v>134</v>
      </c>
      <c r="C1146" s="2" t="s">
        <v>35</v>
      </c>
      <c r="D1146" s="10">
        <f>F1122</f>
        <v>3.9000000000000004</v>
      </c>
      <c r="E1146" t="s">
        <v>5</v>
      </c>
      <c r="J1146" s="46"/>
      <c r="K1146" s="159"/>
      <c r="L1146" s="46"/>
    </row>
    <row r="1147" spans="1:12" ht="20.25">
      <c r="A1147" s="38" t="s">
        <v>624</v>
      </c>
      <c r="C1147" s="2"/>
      <c r="D1147" s="54">
        <f>0.5*$I$8*$D$5*D1144^2</f>
        <v>0</v>
      </c>
      <c r="E1147" s="187" t="s">
        <v>341</v>
      </c>
      <c r="F1147" s="38" t="s">
        <v>628</v>
      </c>
      <c r="I1147" s="33">
        <f>D1147*(D1145+D1144/3)</f>
        <v>0</v>
      </c>
      <c r="J1147" t="s">
        <v>107</v>
      </c>
      <c r="K1147" s="159"/>
      <c r="L1147" s="46"/>
    </row>
    <row r="1148" spans="1:12" ht="18.75">
      <c r="A1148" s="38" t="s">
        <v>625</v>
      </c>
      <c r="C1148" s="2"/>
      <c r="D1148" s="54">
        <f>$I$8*$D$5*D1144*D1145</f>
        <v>0</v>
      </c>
      <c r="E1148" s="187" t="s">
        <v>341</v>
      </c>
      <c r="F1148" s="38" t="s">
        <v>631</v>
      </c>
      <c r="I1148" s="33">
        <f>D1148*D1145/2</f>
        <v>0</v>
      </c>
      <c r="J1148" t="s">
        <v>107</v>
      </c>
      <c r="K1148" s="159"/>
      <c r="L1148" s="388"/>
    </row>
    <row r="1149" spans="1:12" ht="20.25">
      <c r="A1149" s="38" t="s">
        <v>626</v>
      </c>
      <c r="C1149" s="2"/>
      <c r="D1149" s="54">
        <f>0.5*($I$8*($D$6-$D$7)+$D$7)*D1145^2</f>
        <v>99.563096145813489</v>
      </c>
      <c r="E1149" s="187" t="s">
        <v>341</v>
      </c>
      <c r="F1149" s="38" t="s">
        <v>629</v>
      </c>
      <c r="I1149" s="33">
        <f>D1149*D1145/3</f>
        <v>129.43202498955756</v>
      </c>
      <c r="J1149" t="s">
        <v>107</v>
      </c>
      <c r="K1149" s="159"/>
      <c r="L1149" s="388"/>
    </row>
    <row r="1150" spans="1:12" ht="20.25">
      <c r="A1150" s="38" t="s">
        <v>627</v>
      </c>
      <c r="C1150" s="2"/>
      <c r="D1150" s="211">
        <f>0.5*$D$7*D1146^2</f>
        <v>74.60505000000002</v>
      </c>
      <c r="E1150" s="187" t="s">
        <v>341</v>
      </c>
      <c r="F1150" s="38" t="s">
        <v>630</v>
      </c>
      <c r="I1150" s="212">
        <f>D1150*D1146/3</f>
        <v>96.986565000000041</v>
      </c>
      <c r="J1150" t="s">
        <v>107</v>
      </c>
      <c r="K1150" s="159"/>
      <c r="L1150" s="388"/>
    </row>
    <row r="1151" spans="1:12" ht="15.75">
      <c r="C1151" s="38" t="s">
        <v>632</v>
      </c>
      <c r="D1151" s="54">
        <f>D1147+D1148+D1149-D1150</f>
        <v>24.958046145813469</v>
      </c>
      <c r="E1151" s="187" t="s">
        <v>341</v>
      </c>
      <c r="F1151" s="18"/>
      <c r="H1151" s="187" t="s">
        <v>633</v>
      </c>
      <c r="I1151" s="54">
        <f>D1147*(D1145+D1144/3)+D1148*0.5*D1145+D1149*D1145/3-D1150*D1146/3</f>
        <v>32.44545998955752</v>
      </c>
      <c r="J1151" t="s">
        <v>107</v>
      </c>
      <c r="K1151" s="159"/>
      <c r="L1151" s="388"/>
    </row>
    <row r="1152" spans="1:12">
      <c r="D1152" s="2"/>
      <c r="E1152" s="10"/>
      <c r="J1152" s="46"/>
      <c r="K1152" s="159"/>
      <c r="L1152" s="388"/>
    </row>
    <row r="1153" spans="1:16">
      <c r="B1153" t="s">
        <v>129</v>
      </c>
      <c r="C1153" s="17"/>
      <c r="D1153" s="2" t="s">
        <v>35</v>
      </c>
      <c r="E1153" s="87">
        <f>MAX(E1138,D1151)</f>
        <v>51.892967233869598</v>
      </c>
      <c r="F1153" s="10" t="s">
        <v>21</v>
      </c>
      <c r="J1153" s="46"/>
      <c r="K1153" s="159"/>
      <c r="L1153" s="46"/>
    </row>
    <row r="1154" spans="1:16">
      <c r="B1154" t="s">
        <v>130</v>
      </c>
      <c r="C1154" s="17"/>
      <c r="D1154" s="2" t="s">
        <v>35</v>
      </c>
      <c r="E1154" s="87">
        <f>MAX(E1139,I1151)</f>
        <v>67.460857404030477</v>
      </c>
      <c r="F1154" s="10" t="s">
        <v>107</v>
      </c>
      <c r="J1154" s="46"/>
      <c r="K1154" s="159"/>
      <c r="L1154" s="46"/>
    </row>
    <row r="1155" spans="1:16">
      <c r="B1155" s="187" t="s">
        <v>599</v>
      </c>
      <c r="E1155" s="129">
        <f>H1129*1000</f>
        <v>450</v>
      </c>
      <c r="F1155" s="187" t="s">
        <v>98</v>
      </c>
      <c r="J1155" s="46"/>
      <c r="K1155" s="159"/>
      <c r="L1155" s="46"/>
    </row>
    <row r="1156" spans="1:16">
      <c r="B1156" s="187" t="s">
        <v>571</v>
      </c>
      <c r="E1156" s="129">
        <f>E1155-$I$13-C1178/2</f>
        <v>382</v>
      </c>
      <c r="F1156" s="187" t="s">
        <v>98</v>
      </c>
      <c r="J1156" s="46"/>
      <c r="K1156" s="159"/>
      <c r="L1156" s="46"/>
    </row>
    <row r="1157" spans="1:16">
      <c r="J1157" s="46"/>
      <c r="K1157" s="159"/>
      <c r="L1157" s="388"/>
    </row>
    <row r="1158" spans="1:16">
      <c r="A1158" s="187" t="s">
        <v>578</v>
      </c>
      <c r="D1158" s="2"/>
      <c r="G1158" s="9">
        <f>(E1153*10^3)/($C$24*1000)</f>
        <v>121.57821745141999</v>
      </c>
      <c r="H1158" s="187" t="s">
        <v>98</v>
      </c>
      <c r="I1158" s="126" t="str">
        <f>IF(G1158&lt;=E1156,"ok","Not ok")</f>
        <v>ok</v>
      </c>
      <c r="J1158" s="46"/>
      <c r="K1158" s="159"/>
      <c r="L1158" s="289"/>
    </row>
    <row r="1159" spans="1:16">
      <c r="A1159" s="187" t="s">
        <v>577</v>
      </c>
      <c r="C1159" s="201"/>
      <c r="D1159" s="2"/>
      <c r="G1159" s="9">
        <f>((E1154*10^6)/($C$23*1000))^0.5</f>
        <v>217.18673814132541</v>
      </c>
      <c r="H1159" s="187" t="s">
        <v>98</v>
      </c>
      <c r="I1159" s="126" t="str">
        <f>IF(G1159&lt;=E1156,"ok","Not ok")</f>
        <v>ok</v>
      </c>
      <c r="J1159" s="46"/>
      <c r="K1159" s="159"/>
      <c r="L1159" s="388"/>
    </row>
    <row r="1160" spans="1:16">
      <c r="A1160" s="187" t="s">
        <v>634</v>
      </c>
      <c r="E1160" s="2"/>
      <c r="G1160" s="9">
        <f>(E1154*10^6)/($C$18*$C$22*E1156)</f>
        <v>1062.6565071860221</v>
      </c>
      <c r="H1160" s="187" t="s">
        <v>128</v>
      </c>
      <c r="J1160" s="46"/>
      <c r="K1160" s="159"/>
      <c r="L1160" s="289"/>
    </row>
    <row r="1161" spans="1:16">
      <c r="A1161" s="187"/>
      <c r="E1161" s="2"/>
      <c r="G1161" s="9"/>
      <c r="H1161" s="187"/>
      <c r="J1161" s="46"/>
      <c r="K1161" s="159"/>
      <c r="L1161" s="289"/>
    </row>
    <row r="1162" spans="1:16">
      <c r="A1162" s="187" t="s">
        <v>1828</v>
      </c>
      <c r="E1162" s="2"/>
      <c r="G1162" s="2052">
        <f>IF(I1151&lt;0,ABS(I1151),0)</f>
        <v>0</v>
      </c>
      <c r="H1162" s="36" t="s">
        <v>107</v>
      </c>
      <c r="J1162" s="46"/>
      <c r="K1162" s="159"/>
      <c r="L1162" s="289"/>
    </row>
    <row r="1163" spans="1:16">
      <c r="A1163" s="187" t="s">
        <v>1829</v>
      </c>
      <c r="E1163" s="2"/>
      <c r="G1163" s="9">
        <f>(G1162*10^6)/($C$18*$C$22*E1156)</f>
        <v>0</v>
      </c>
      <c r="H1163" s="187" t="s">
        <v>128</v>
      </c>
      <c r="J1163" s="46"/>
      <c r="K1163" s="159"/>
      <c r="L1163" s="289"/>
    </row>
    <row r="1164" spans="1:16">
      <c r="J1164" s="46"/>
      <c r="K1164" s="159"/>
      <c r="L1164" s="3219" t="s">
        <v>1940</v>
      </c>
      <c r="M1164" s="3220"/>
      <c r="N1164" s="3220"/>
      <c r="O1164" s="3220"/>
      <c r="P1164" s="3221"/>
    </row>
    <row r="1165" spans="1:16">
      <c r="A1165" s="936" t="str">
        <f>"Reinforcement Distribution of R/S Wing Wall for Sec  "&amp;C1103</f>
        <v>Reinforcement Distribution of R/S Wing Wall for Sec  5-5</v>
      </c>
      <c r="G1165" s="107"/>
      <c r="H1165" s="107"/>
      <c r="J1165" s="46"/>
      <c r="K1165" s="159"/>
      <c r="L1165" s="2286" t="s">
        <v>876</v>
      </c>
      <c r="M1165" s="3210" t="s">
        <v>492</v>
      </c>
      <c r="N1165" s="3212"/>
      <c r="O1165" s="3210" t="s">
        <v>493</v>
      </c>
      <c r="P1165" s="3212"/>
    </row>
    <row r="1166" spans="1:16">
      <c r="J1166" s="46"/>
      <c r="K1166" s="159"/>
      <c r="L1166" s="2293"/>
      <c r="M1166" s="2287" t="s">
        <v>709</v>
      </c>
      <c r="N1166" s="1973" t="s">
        <v>710</v>
      </c>
      <c r="O1166" s="1973" t="s">
        <v>709</v>
      </c>
      <c r="P1166" s="2288" t="s">
        <v>710</v>
      </c>
    </row>
    <row r="1167" spans="1:16">
      <c r="A1167" s="3147" t="s">
        <v>486</v>
      </c>
      <c r="B1167" s="3148" t="s">
        <v>487</v>
      </c>
      <c r="C1167" s="3148" t="s">
        <v>488</v>
      </c>
      <c r="D1167" s="3148" t="s">
        <v>489</v>
      </c>
      <c r="E1167" s="3149" t="s">
        <v>490</v>
      </c>
      <c r="F1167" s="3150"/>
      <c r="G1167" s="3150"/>
      <c r="H1167" s="3150"/>
      <c r="I1167" s="3150"/>
      <c r="J1167" s="330"/>
      <c r="K1167" s="159"/>
      <c r="L1167" s="873" t="str">
        <f>L1179</f>
        <v>1-1</v>
      </c>
      <c r="M1167" s="875">
        <f t="shared" ref="M1167:P1171" si="33">M173</f>
        <v>25</v>
      </c>
      <c r="N1167" s="880">
        <f t="shared" si="33"/>
        <v>100</v>
      </c>
      <c r="O1167" s="875">
        <f t="shared" si="33"/>
        <v>16</v>
      </c>
      <c r="P1167" s="881">
        <f t="shared" si="33"/>
        <v>200</v>
      </c>
    </row>
    <row r="1168" spans="1:16">
      <c r="A1168" s="3147"/>
      <c r="B1168" s="3148"/>
      <c r="C1168" s="3148"/>
      <c r="D1168" s="3148"/>
      <c r="E1168" s="94">
        <v>12</v>
      </c>
      <c r="F1168" s="94">
        <v>16</v>
      </c>
      <c r="G1168" s="94">
        <v>20</v>
      </c>
      <c r="H1168" s="94">
        <v>22</v>
      </c>
      <c r="I1168" s="94">
        <v>25</v>
      </c>
      <c r="J1168" s="275"/>
      <c r="K1168" s="159"/>
      <c r="L1168" s="860" t="str">
        <f>L1180</f>
        <v>2-2</v>
      </c>
      <c r="M1168" s="870">
        <f t="shared" si="33"/>
        <v>25</v>
      </c>
      <c r="N1168" s="876">
        <f t="shared" si="33"/>
        <v>100</v>
      </c>
      <c r="O1168" s="870">
        <f t="shared" si="33"/>
        <v>16</v>
      </c>
      <c r="P1168" s="877">
        <f t="shared" si="33"/>
        <v>200</v>
      </c>
    </row>
    <row r="1169" spans="1:16" ht="14.25">
      <c r="A1169" s="172"/>
      <c r="B1169" s="256" t="s">
        <v>491</v>
      </c>
      <c r="C1169" s="256" t="s">
        <v>491</v>
      </c>
      <c r="D1169" s="256" t="s">
        <v>491</v>
      </c>
      <c r="E1169" s="402" t="s">
        <v>98</v>
      </c>
      <c r="F1169" s="402" t="s">
        <v>98</v>
      </c>
      <c r="G1169" s="402" t="s">
        <v>98</v>
      </c>
      <c r="H1169" s="402" t="s">
        <v>98</v>
      </c>
      <c r="I1169" s="402" t="s">
        <v>98</v>
      </c>
      <c r="J1169" s="759"/>
      <c r="K1169" s="159"/>
      <c r="L1169" s="860" t="str">
        <f>L1181</f>
        <v>3-3</v>
      </c>
      <c r="M1169" s="870">
        <f t="shared" si="33"/>
        <v>20</v>
      </c>
      <c r="N1169" s="876">
        <f t="shared" si="33"/>
        <v>100</v>
      </c>
      <c r="O1169" s="870">
        <f t="shared" si="33"/>
        <v>16</v>
      </c>
      <c r="P1169" s="877">
        <f t="shared" si="33"/>
        <v>200</v>
      </c>
    </row>
    <row r="1170" spans="1:16">
      <c r="A1170" s="258" t="s">
        <v>492</v>
      </c>
      <c r="B1170" s="55"/>
      <c r="C1170" s="55"/>
      <c r="D1170" s="55"/>
      <c r="E1170" s="55"/>
      <c r="F1170" s="55"/>
      <c r="G1170" s="55"/>
      <c r="H1170" s="55"/>
      <c r="I1170" s="56"/>
      <c r="J1170" s="386"/>
      <c r="K1170" s="159"/>
      <c r="L1170" s="860" t="str">
        <f>L1182</f>
        <v>4-4</v>
      </c>
      <c r="M1170" s="870">
        <f t="shared" si="33"/>
        <v>16</v>
      </c>
      <c r="N1170" s="876">
        <f t="shared" si="33"/>
        <v>100</v>
      </c>
      <c r="O1170" s="870">
        <f t="shared" si="33"/>
        <v>16</v>
      </c>
      <c r="P1170" s="877">
        <f t="shared" si="33"/>
        <v>200</v>
      </c>
    </row>
    <row r="1171" spans="1:16">
      <c r="A1171" s="259" t="s">
        <v>111</v>
      </c>
      <c r="B1171" s="318">
        <f>G1160</f>
        <v>1062.6565071860221</v>
      </c>
      <c r="C1171" s="318">
        <f>IF(E1109&gt;380,C1107*1000*380,C1107*1000*E1109)</f>
        <v>375</v>
      </c>
      <c r="D1171" s="318">
        <f>MAX(B1171:C1171)</f>
        <v>1062.6565071860221</v>
      </c>
      <c r="E1171" s="261">
        <f>PI()*(E1168/2)^2*1000/$D1171</f>
        <v>106.42887401943368</v>
      </c>
      <c r="F1171" s="261">
        <f>PI()*(F1168/2)^2*1000/$D1171</f>
        <v>189.20688714565983</v>
      </c>
      <c r="G1171" s="261">
        <f>PI()*(G1168/2)^2*1000/$D1171</f>
        <v>295.63576116509358</v>
      </c>
      <c r="H1171" s="261">
        <f>PI()*(H1168/2)^2*1000/$D1171</f>
        <v>357.71927100976319</v>
      </c>
      <c r="I1171" s="283">
        <f>PI()*(I1168/2)^2*1000/$D1171</f>
        <v>461.93087682045865</v>
      </c>
      <c r="J1171" s="328"/>
      <c r="K1171" s="159"/>
      <c r="L1171" s="2294" t="str">
        <f>L1183</f>
        <v>5-5</v>
      </c>
      <c r="M1171" s="2032">
        <f t="shared" si="33"/>
        <v>16</v>
      </c>
      <c r="N1171" s="2033">
        <f t="shared" si="33"/>
        <v>100</v>
      </c>
      <c r="O1171" s="2032">
        <f t="shared" si="33"/>
        <v>16</v>
      </c>
      <c r="P1171" s="2034">
        <f t="shared" si="33"/>
        <v>200</v>
      </c>
    </row>
    <row r="1172" spans="1:16">
      <c r="A1172" s="262" t="s">
        <v>110</v>
      </c>
      <c r="B1172" s="319"/>
      <c r="C1172" s="318">
        <f>IF(E1109&gt;380,C1108*1000*380,C1108*1000*E1109)</f>
        <v>562.5</v>
      </c>
      <c r="D1172" s="319">
        <f>MAX(B1172:C1172)</f>
        <v>562.5</v>
      </c>
      <c r="E1172" s="261">
        <f>PI()*(E1168/2)^2*1000/$D1172</f>
        <v>201.06192982974676</v>
      </c>
      <c r="F1172" s="261">
        <f>PI()*(F1168/2)^2*1000/$D1172</f>
        <v>357.44343080843868</v>
      </c>
      <c r="G1172" s="261">
        <f>PI()*(G1168/2)^2*1000/$D1172</f>
        <v>558.50536063818549</v>
      </c>
      <c r="H1172" s="261">
        <f>PI()*(H1168/2)^2*1000/$D1172</f>
        <v>675.79148637220442</v>
      </c>
      <c r="I1172" s="283">
        <f>PI()*(I1168/2)^2*1000/$D1172</f>
        <v>872.66462599716476</v>
      </c>
      <c r="J1172" s="328"/>
      <c r="K1172" s="159"/>
    </row>
    <row r="1173" spans="1:16">
      <c r="A1173" s="264" t="s">
        <v>493</v>
      </c>
      <c r="B1173" s="265"/>
      <c r="C1173" s="322"/>
      <c r="D1173" s="322"/>
      <c r="E1173" s="266"/>
      <c r="F1173" s="266"/>
      <c r="G1173" s="266"/>
      <c r="H1173" s="266"/>
      <c r="I1173" s="267"/>
      <c r="J1173" s="330"/>
      <c r="K1173" s="159"/>
    </row>
    <row r="1174" spans="1:16">
      <c r="A1174" s="259" t="s">
        <v>111</v>
      </c>
      <c r="B1174" s="318">
        <f>G1163</f>
        <v>0</v>
      </c>
      <c r="C1174" s="318">
        <f>IF(E1109&gt;380,H1107*1000*380,H1107*1000*E1109)</f>
        <v>750</v>
      </c>
      <c r="D1174" s="318">
        <f>MAX(B1174:C1174)</f>
        <v>750</v>
      </c>
      <c r="E1174" s="261">
        <f>PI()*(E1168/2)^2*1000/$D1174</f>
        <v>150.79644737231007</v>
      </c>
      <c r="F1174" s="261">
        <f>PI()*(F1168/2)^2*1000/$D1174</f>
        <v>268.08257310632899</v>
      </c>
      <c r="G1174" s="261">
        <f>PI()*(G1168/2)^2*1000/$D1174</f>
        <v>418.87902047863912</v>
      </c>
      <c r="H1174" s="261">
        <f>PI()*(H1168/2)^2*1000/$D1174</f>
        <v>506.84361477915331</v>
      </c>
      <c r="I1174" s="283">
        <f>PI()*(I1168/2)^2*1000/$D1174</f>
        <v>654.49846949787366</v>
      </c>
      <c r="J1174" s="328"/>
      <c r="K1174" s="159"/>
    </row>
    <row r="1175" spans="1:16">
      <c r="A1175" s="262" t="s">
        <v>110</v>
      </c>
      <c r="B1175" s="263"/>
      <c r="C1175" s="319">
        <f>IF(E1109&gt;380,H1108*1000*380,H1108*1000*E1109)</f>
        <v>937.5</v>
      </c>
      <c r="D1175" s="319">
        <f>MAX(B1175:C1175)</f>
        <v>937.5</v>
      </c>
      <c r="E1175" s="284">
        <f>PI()*(E1168/2)^2*1000/$D1175</f>
        <v>120.63715789784806</v>
      </c>
      <c r="F1175" s="284">
        <f>PI()*(F1168/2)^2*1000/$D1175</f>
        <v>214.4660584850632</v>
      </c>
      <c r="G1175" s="284">
        <f>PI()*(G1168/2)^2*1000/$D1175</f>
        <v>335.10321638291128</v>
      </c>
      <c r="H1175" s="284">
        <f>PI()*(H1168/2)^2*1000/$D1175</f>
        <v>405.47489182332265</v>
      </c>
      <c r="I1175" s="285">
        <f>PI()*(I1168/2)^2*1000/$D1175</f>
        <v>523.59877559829886</v>
      </c>
      <c r="J1175" s="328"/>
      <c r="K1175" s="159"/>
      <c r="L1175" s="3219" t="s">
        <v>1139</v>
      </c>
      <c r="M1175" s="3220"/>
      <c r="N1175" s="3220"/>
      <c r="O1175" s="3220"/>
      <c r="P1175" s="3221"/>
    </row>
    <row r="1176" spans="1:16">
      <c r="J1176" s="46"/>
      <c r="K1176" s="159"/>
      <c r="L1176" s="3208" t="s">
        <v>876</v>
      </c>
      <c r="M1176" s="3210" t="s">
        <v>110</v>
      </c>
      <c r="N1176" s="3211"/>
      <c r="O1176" s="3211"/>
      <c r="P1176" s="3212"/>
    </row>
    <row r="1177" spans="1:16">
      <c r="A1177" s="258" t="s">
        <v>492</v>
      </c>
      <c r="B1177" s="55"/>
      <c r="C1177" s="252"/>
      <c r="D1177" s="55"/>
      <c r="E1177" s="55"/>
      <c r="F1177" s="56"/>
      <c r="G1177" s="2723" t="s">
        <v>2095</v>
      </c>
      <c r="H1177" s="2672" t="s">
        <v>1358</v>
      </c>
      <c r="I1177" s="1178" t="s">
        <v>2094</v>
      </c>
      <c r="J1177" s="46"/>
      <c r="K1177" s="159"/>
      <c r="L1177" s="3209"/>
      <c r="M1177" s="3210" t="s">
        <v>492</v>
      </c>
      <c r="N1177" s="3212"/>
      <c r="O1177" s="3210" t="s">
        <v>493</v>
      </c>
      <c r="P1177" s="3212"/>
    </row>
    <row r="1178" spans="1:16" ht="15.75">
      <c r="A1178" s="259" t="s">
        <v>111</v>
      </c>
      <c r="B1178" s="268" t="s">
        <v>136</v>
      </c>
      <c r="C1178" s="614">
        <v>16</v>
      </c>
      <c r="D1178" s="270" t="s">
        <v>481</v>
      </c>
      <c r="E1178" s="616">
        <v>100</v>
      </c>
      <c r="F1178" s="272" t="s">
        <v>482</v>
      </c>
      <c r="G1178" s="3118" t="s">
        <v>2108</v>
      </c>
      <c r="H1178" s="94" t="s">
        <v>1348</v>
      </c>
      <c r="I1178" s="94" t="s">
        <v>107</v>
      </c>
      <c r="J1178" s="3253" t="str">
        <f>IF(I1179&gt;=Y26,"o.k","Not o.k")</f>
        <v>o.k</v>
      </c>
      <c r="K1178" s="159"/>
      <c r="L1178" s="3222"/>
      <c r="M1178" s="857" t="s">
        <v>709</v>
      </c>
      <c r="N1178" s="858" t="s">
        <v>710</v>
      </c>
      <c r="O1178" s="858" t="s">
        <v>709</v>
      </c>
      <c r="P1178" s="859" t="s">
        <v>710</v>
      </c>
    </row>
    <row r="1179" spans="1:16" ht="15.75">
      <c r="A1179" s="262" t="s">
        <v>110</v>
      </c>
      <c r="B1179" s="278" t="s">
        <v>136</v>
      </c>
      <c r="C1179" s="615">
        <v>16</v>
      </c>
      <c r="D1179" s="280" t="s">
        <v>481</v>
      </c>
      <c r="E1179" s="617">
        <v>200</v>
      </c>
      <c r="F1179" s="282" t="s">
        <v>482</v>
      </c>
      <c r="G1179" s="3239"/>
      <c r="H1179" s="316">
        <f>PI()*(C1178/2)^2*1000/E1178</f>
        <v>2010.6192982974674</v>
      </c>
      <c r="I1179" s="2675">
        <f>H1179*$C$18*$C$22*E1156/10^6</f>
        <v>127.64058833593846</v>
      </c>
      <c r="J1179" s="3253"/>
      <c r="K1179" s="159"/>
      <c r="L1179" s="873" t="str">
        <f>L185</f>
        <v>1-1</v>
      </c>
      <c r="M1179" s="875">
        <f t="shared" ref="M1179:P1179" si="34">M185</f>
        <v>16</v>
      </c>
      <c r="N1179" s="880">
        <f t="shared" si="34"/>
        <v>200</v>
      </c>
      <c r="O1179" s="875">
        <f t="shared" si="34"/>
        <v>16</v>
      </c>
      <c r="P1179" s="881">
        <f t="shared" si="34"/>
        <v>200</v>
      </c>
    </row>
    <row r="1180" spans="1:16" ht="15">
      <c r="A1180" s="321" t="s">
        <v>493</v>
      </c>
      <c r="B1180" s="273"/>
      <c r="C1180" s="274"/>
      <c r="D1180" s="275"/>
      <c r="E1180" s="276"/>
      <c r="F1180" s="277"/>
      <c r="J1180" s="46"/>
      <c r="K1180" s="159"/>
      <c r="L1180" s="860" t="str">
        <f t="shared" ref="L1180:P1183" si="35">L186</f>
        <v>2-2</v>
      </c>
      <c r="M1180" s="870">
        <f t="shared" si="35"/>
        <v>16</v>
      </c>
      <c r="N1180" s="876">
        <f t="shared" si="35"/>
        <v>200</v>
      </c>
      <c r="O1180" s="870">
        <f t="shared" si="35"/>
        <v>16</v>
      </c>
      <c r="P1180" s="877">
        <f t="shared" si="35"/>
        <v>200</v>
      </c>
    </row>
    <row r="1181" spans="1:16" ht="15.75">
      <c r="A1181" s="259" t="s">
        <v>111</v>
      </c>
      <c r="B1181" s="268" t="s">
        <v>136</v>
      </c>
      <c r="C1181" s="614">
        <v>16</v>
      </c>
      <c r="D1181" s="270" t="s">
        <v>481</v>
      </c>
      <c r="E1181" s="616">
        <v>200</v>
      </c>
      <c r="F1181" s="272" t="s">
        <v>482</v>
      </c>
      <c r="J1181" s="46"/>
      <c r="K1181" s="159"/>
      <c r="L1181" s="860" t="str">
        <f t="shared" si="35"/>
        <v>3-3</v>
      </c>
      <c r="M1181" s="870">
        <f t="shared" si="35"/>
        <v>16</v>
      </c>
      <c r="N1181" s="876">
        <f t="shared" si="35"/>
        <v>200</v>
      </c>
      <c r="O1181" s="870">
        <f t="shared" si="35"/>
        <v>16</v>
      </c>
      <c r="P1181" s="877">
        <f t="shared" si="35"/>
        <v>200</v>
      </c>
    </row>
    <row r="1182" spans="1:16" ht="15.75">
      <c r="A1182" s="262" t="s">
        <v>110</v>
      </c>
      <c r="B1182" s="278" t="s">
        <v>136</v>
      </c>
      <c r="C1182" s="615">
        <v>16</v>
      </c>
      <c r="D1182" s="280" t="s">
        <v>481</v>
      </c>
      <c r="E1182" s="617">
        <v>200</v>
      </c>
      <c r="F1182" s="282" t="s">
        <v>482</v>
      </c>
      <c r="J1182" s="46"/>
      <c r="K1182" s="159"/>
      <c r="L1182" s="860" t="str">
        <f t="shared" si="35"/>
        <v>4-4</v>
      </c>
      <c r="M1182" s="870">
        <f t="shared" si="35"/>
        <v>16</v>
      </c>
      <c r="N1182" s="876">
        <f t="shared" si="35"/>
        <v>200</v>
      </c>
      <c r="O1182" s="870">
        <f t="shared" si="35"/>
        <v>16</v>
      </c>
      <c r="P1182" s="877">
        <f t="shared" si="35"/>
        <v>200</v>
      </c>
    </row>
    <row r="1183" spans="1:16">
      <c r="J1183" s="46"/>
      <c r="K1183" s="159"/>
      <c r="L1183" s="865" t="str">
        <f t="shared" si="35"/>
        <v>5-5</v>
      </c>
      <c r="M1183" s="872">
        <f t="shared" si="35"/>
        <v>16</v>
      </c>
      <c r="N1183" s="878">
        <f t="shared" si="35"/>
        <v>200</v>
      </c>
      <c r="O1183" s="872">
        <f t="shared" si="35"/>
        <v>16</v>
      </c>
      <c r="P1183" s="879">
        <f t="shared" si="35"/>
        <v>200</v>
      </c>
    </row>
    <row r="1184" spans="1:16">
      <c r="A1184" s="41" t="s">
        <v>939</v>
      </c>
      <c r="J1184" s="46"/>
      <c r="K1184" s="159"/>
      <c r="L1184" s="386"/>
      <c r="M1184" s="16"/>
      <c r="N1184" s="16"/>
      <c r="O1184" s="16"/>
      <c r="P1184" s="16"/>
    </row>
    <row r="1185" spans="1:16" ht="12.75" customHeight="1">
      <c r="A1185" s="187" t="s">
        <v>651</v>
      </c>
      <c r="F1185" s="33">
        <f>(6*E1139/(2*$I$8*$D$6))^(1/3)</f>
        <v>3.0954320513379887</v>
      </c>
      <c r="G1185" s="2874" t="s">
        <v>1003</v>
      </c>
      <c r="H1185" s="2878"/>
      <c r="I1185" s="187" t="str">
        <f>"= "&amp;FIXED(F1185-H1185,2)&amp;" m from top"</f>
        <v>= 3.10 m from top</v>
      </c>
      <c r="K1185" s="159"/>
      <c r="L1185" s="386"/>
      <c r="M1185" s="613"/>
      <c r="N1185" s="386"/>
      <c r="O1185" s="386"/>
      <c r="P1185" s="386"/>
    </row>
    <row r="1186" spans="1:16">
      <c r="A1186" s="187" t="s">
        <v>652</v>
      </c>
      <c r="F1186" s="33">
        <f>(6*E1139/(4*$I$8*$D$6))^(1/3)</f>
        <v>2.4568460472950027</v>
      </c>
      <c r="G1186" s="2874" t="s">
        <v>1003</v>
      </c>
      <c r="H1186" s="2878"/>
      <c r="I1186" s="187" t="str">
        <f>"= "&amp;FIXED(F1186-H1186,2)&amp;" m from top"</f>
        <v>= 2.46 m from top</v>
      </c>
      <c r="J1186" s="187"/>
      <c r="K1186" s="159"/>
    </row>
    <row r="1187" spans="1:16">
      <c r="E1187" s="46"/>
      <c r="J1187" s="46"/>
      <c r="K1187" s="159"/>
    </row>
    <row r="1188" spans="1:16" ht="16.5" customHeight="1">
      <c r="A1188" s="3250" t="s">
        <v>602</v>
      </c>
      <c r="B1188" s="3085" t="s">
        <v>621</v>
      </c>
      <c r="C1188" s="347" t="s">
        <v>614</v>
      </c>
      <c r="D1188" s="355" t="s">
        <v>615</v>
      </c>
      <c r="E1188" s="347" t="s">
        <v>619</v>
      </c>
      <c r="F1188" s="355" t="s">
        <v>616</v>
      </c>
      <c r="G1188" s="355" t="s">
        <v>676</v>
      </c>
      <c r="H1188" s="3224" t="s">
        <v>487</v>
      </c>
      <c r="I1188" s="3148" t="s">
        <v>488</v>
      </c>
      <c r="J1188" s="611"/>
      <c r="K1188" s="159"/>
    </row>
    <row r="1189" spans="1:16">
      <c r="A1189" s="3251"/>
      <c r="B1189" s="3086"/>
      <c r="C1189" s="77"/>
      <c r="D1189" s="104"/>
      <c r="E1189" s="77"/>
      <c r="F1189" s="104"/>
      <c r="G1189" s="105"/>
      <c r="H1189" s="3227"/>
      <c r="I1189" s="3148"/>
      <c r="J1189" s="611"/>
      <c r="K1189" s="159"/>
    </row>
    <row r="1190" spans="1:16" ht="14.25">
      <c r="A1190" s="156"/>
      <c r="B1190" s="354" t="s">
        <v>5</v>
      </c>
      <c r="C1190" s="280" t="s">
        <v>620</v>
      </c>
      <c r="D1190" s="354" t="s">
        <v>98</v>
      </c>
      <c r="E1190" s="280" t="s">
        <v>98</v>
      </c>
      <c r="F1190" s="354" t="s">
        <v>98</v>
      </c>
      <c r="G1190" s="106"/>
      <c r="H1190" s="401" t="s">
        <v>491</v>
      </c>
      <c r="I1190" s="256" t="s">
        <v>491</v>
      </c>
      <c r="J1190" s="408"/>
      <c r="K1190" s="159"/>
    </row>
    <row r="1191" spans="1:16">
      <c r="A1191" s="348" t="s">
        <v>617</v>
      </c>
      <c r="B1191" s="2706">
        <f>F1185-H1185</f>
        <v>3.0954320513379887</v>
      </c>
      <c r="C1191" s="107">
        <f>$I$8*$D$6*B1191^3/6</f>
        <v>33.730428702015224</v>
      </c>
      <c r="D1191" s="356">
        <f>((C1191*10^6)/($C$23*1000))^0.5</f>
        <v>153.57421532351816</v>
      </c>
      <c r="E1191" s="349">
        <f>(H1111+B1191*(H1129-H1111)/I1118)*1000</f>
        <v>419.05507889761498</v>
      </c>
      <c r="F1191" s="356">
        <f>E1191-$I$13-C1178/2</f>
        <v>351.05507889761498</v>
      </c>
      <c r="G1191" s="123" t="str">
        <f>IF(F1191&gt;=D1191,"O.k","Not O.k")</f>
        <v>O.k</v>
      </c>
      <c r="H1191" s="349">
        <f>C1191*10^6/($C$18*$C$22*F1191)</f>
        <v>578.16395509755728</v>
      </c>
      <c r="I1191" s="123">
        <f>IF(E1191&gt;380,C1107*1000*380,C1107*1000*E1191)</f>
        <v>380</v>
      </c>
      <c r="J1191" s="275"/>
      <c r="K1191" s="159"/>
    </row>
    <row r="1192" spans="1:16">
      <c r="A1192" s="351" t="s">
        <v>618</v>
      </c>
      <c r="B1192" s="2708">
        <f>F1186-H1186</f>
        <v>2.4568460472950027</v>
      </c>
      <c r="C1192" s="121">
        <f>$I$8*$D$6*B1192^3/6</f>
        <v>16.865214351007619</v>
      </c>
      <c r="D1192" s="357">
        <f>((C1192*10^6)/($C$23*1000))^0.5</f>
        <v>108.5933690706627</v>
      </c>
      <c r="E1192" s="310">
        <f>(H1111+B1192*(H1129-H1111)/I1118)*1000</f>
        <v>394.49407874211551</v>
      </c>
      <c r="F1192" s="357">
        <f>E1192-$I$13-C1178/2</f>
        <v>326.49407874211551</v>
      </c>
      <c r="G1192" s="104" t="str">
        <f>IF(F1192&gt;=D1192,"O.k","Not O.k")</f>
        <v>O.k</v>
      </c>
      <c r="H1192" s="310">
        <f>C1192*10^6/($C$18*$C$22*F1192)</f>
        <v>310.82859703689445</v>
      </c>
      <c r="I1192" s="104">
        <f>IF(E1192&gt;380,C1107*1000*380,C1107*1000*E1192)</f>
        <v>380</v>
      </c>
      <c r="J1192" s="275"/>
      <c r="K1192" s="159"/>
    </row>
    <row r="1193" spans="1:16">
      <c r="J1193" s="46"/>
      <c r="K1193" s="159"/>
    </row>
    <row r="1194" spans="1:16" ht="12.75" customHeight="1">
      <c r="A1194" s="3228" t="s">
        <v>613</v>
      </c>
      <c r="B1194" s="3122" t="s">
        <v>937</v>
      </c>
      <c r="C1194" s="3122" t="s">
        <v>938</v>
      </c>
      <c r="D1194" s="3085" t="s">
        <v>623</v>
      </c>
      <c r="E1194" s="3119" t="s">
        <v>622</v>
      </c>
      <c r="G1194" s="3233" t="s">
        <v>2112</v>
      </c>
      <c r="H1194" s="3234"/>
      <c r="I1194" s="3235"/>
      <c r="J1194" s="46"/>
      <c r="K1194" s="159"/>
    </row>
    <row r="1195" spans="1:16">
      <c r="A1195" s="3229"/>
      <c r="B1195" s="3123"/>
      <c r="C1195" s="3123"/>
      <c r="D1195" s="3200"/>
      <c r="E1195" s="3120"/>
      <c r="G1195" s="3122" t="s">
        <v>2110</v>
      </c>
      <c r="H1195" s="3244" t="s">
        <v>2111</v>
      </c>
      <c r="I1195" s="1541" t="s">
        <v>676</v>
      </c>
      <c r="J1195" s="46"/>
      <c r="K1195" s="159"/>
    </row>
    <row r="1196" spans="1:16">
      <c r="A1196" s="3230"/>
      <c r="B1196" s="360"/>
      <c r="C1196" s="360"/>
      <c r="D1196" s="3086"/>
      <c r="E1196" s="359"/>
      <c r="G1196" s="3241"/>
      <c r="H1196" s="3204"/>
      <c r="I1196" s="1244"/>
      <c r="J1196" s="46"/>
      <c r="K1196" s="159"/>
    </row>
    <row r="1197" spans="1:16" ht="14.25">
      <c r="A1197" s="606" t="s">
        <v>5</v>
      </c>
      <c r="B1197" s="256" t="s">
        <v>491</v>
      </c>
      <c r="C1197" s="605" t="s">
        <v>98</v>
      </c>
      <c r="D1197" s="605" t="s">
        <v>5</v>
      </c>
      <c r="E1197" s="358" t="s">
        <v>98</v>
      </c>
      <c r="G1197" s="2668" t="s">
        <v>491</v>
      </c>
      <c r="H1197" s="94" t="s">
        <v>107</v>
      </c>
      <c r="I1197" s="1289"/>
      <c r="J1197" s="46"/>
      <c r="K1197" s="159"/>
    </row>
    <row r="1198" spans="1:16">
      <c r="A1198" s="352">
        <f>(I1118-B1191)+40*C1178/1000</f>
        <v>1.4445679486620118</v>
      </c>
      <c r="B1198" s="356">
        <f>MAX(H1191:I1191)</f>
        <v>578.16395509755728</v>
      </c>
      <c r="C1198" s="350">
        <f>PI()*(C1178/2)^2*1000/B1198</f>
        <v>347.75936489472139</v>
      </c>
      <c r="D1198" s="591">
        <v>1.8</v>
      </c>
      <c r="E1198" s="609">
        <f>IF(D1198="","",E1178*2)</f>
        <v>200</v>
      </c>
      <c r="G1198" s="2725">
        <f>IF(D1198="","",PI()*(C1178/2)^2*1000/E1198)</f>
        <v>1005.3096491487337</v>
      </c>
      <c r="H1198" s="2676">
        <f>IF(D1198="","",G1198*$C$18*$C$22*F1191/10^6)</f>
        <v>58.650362315197469</v>
      </c>
      <c r="I1198" s="2729" t="str">
        <f>IF(D1198="","",IF(AND(H1198&gt;=C1191),"o.k","Not o.k"))</f>
        <v>o.k</v>
      </c>
      <c r="J1198" s="46"/>
      <c r="K1198" s="159"/>
    </row>
    <row r="1199" spans="1:16">
      <c r="A1199" s="353">
        <f>(I1118-B1192)+40*C1178/1000</f>
        <v>2.0831539527049978</v>
      </c>
      <c r="B1199" s="357">
        <f>MAX(H1192:I1192)</f>
        <v>380</v>
      </c>
      <c r="C1199" s="311">
        <f>PI()*(C1178/2)^2*1000/B1199</f>
        <v>529.11034165722833</v>
      </c>
      <c r="D1199" s="592"/>
      <c r="E1199" s="610" t="str">
        <f>IF(D1199="","",E1198*2)</f>
        <v/>
      </c>
      <c r="G1199" s="2727" t="str">
        <f>IF(D1199="","",PI()*(C1178/2)^2*1000/E1199)</f>
        <v/>
      </c>
      <c r="H1199" s="2673" t="str">
        <f>IF(D1199="","",G1199*$C$18*$C$22*F1192/10^6)</f>
        <v/>
      </c>
      <c r="I1199" s="2730" t="str">
        <f>IF(D1199="","",IF(AND(H1199&gt;=C1192),"o.k","Not o.k"))</f>
        <v/>
      </c>
      <c r="J1199" s="46"/>
      <c r="K1199" s="159"/>
    </row>
    <row r="1200" spans="1:16">
      <c r="J1200" s="46"/>
      <c r="K1200" s="159"/>
      <c r="L1200" s="386"/>
      <c r="M1200" s="386"/>
      <c r="N1200" s="386"/>
      <c r="O1200" s="386"/>
      <c r="P1200" s="386"/>
    </row>
    <row r="1201" spans="1:16">
      <c r="B1201" s="176" t="str">
        <f>"b) Design of Floor  : Sec "&amp;C1103</f>
        <v>b) Design of Floor  : Sec 5-5</v>
      </c>
      <c r="C1201" s="392"/>
      <c r="D1201" s="174"/>
      <c r="J1201" s="46"/>
      <c r="K1201" s="159"/>
      <c r="L1201" s="386"/>
      <c r="M1201" s="386"/>
      <c r="N1201" s="386"/>
      <c r="O1201" s="386"/>
      <c r="P1201" s="386"/>
    </row>
    <row r="1202" spans="1:16">
      <c r="J1202" s="46"/>
      <c r="K1202" s="159"/>
      <c r="L1202" s="46"/>
    </row>
    <row r="1203" spans="1:16">
      <c r="A1203" s="187" t="s">
        <v>1105</v>
      </c>
      <c r="B1203" s="187"/>
      <c r="I1203" s="115">
        <f>Hydraulic!G960</f>
        <v>0.71104007569446948</v>
      </c>
      <c r="J1203" t="s">
        <v>5</v>
      </c>
      <c r="K1203" s="159"/>
      <c r="L1203" s="46"/>
    </row>
    <row r="1204" spans="1:16">
      <c r="A1204" s="187" t="str">
        <f>"Considering Wt of wall,  Floor thickness can be reduced  =2*0.5*("&amp;H1111&amp;"+"&amp;H1129&amp;")*"&amp;I1118&amp;"/"&amp;FIXED(F1131,2)&amp;"="</f>
        <v>Considering Wt of wall,  Floor thickness can be reduced  =2*0.5*(0.3+0.45)*3.9/12.90=</v>
      </c>
      <c r="B1204" s="187"/>
      <c r="E1204" s="33"/>
      <c r="I1204" s="334">
        <f>2*0.5*(H1111+H1129)*I1118/F1131</f>
        <v>0.22674418604651167</v>
      </c>
      <c r="J1204" t="s">
        <v>5</v>
      </c>
      <c r="K1204" s="159"/>
      <c r="L1204" s="46"/>
    </row>
    <row r="1205" spans="1:16">
      <c r="A1205" s="187" t="s">
        <v>1106</v>
      </c>
      <c r="B1205" s="187"/>
      <c r="I1205" s="115">
        <f>I1203-I1204</f>
        <v>0.48429588964795778</v>
      </c>
      <c r="J1205" t="s">
        <v>5</v>
      </c>
      <c r="K1205" s="159"/>
      <c r="L1205" s="46"/>
    </row>
    <row r="1206" spans="1:16">
      <c r="A1206" t="s">
        <v>684</v>
      </c>
      <c r="I1206" s="742">
        <f>O67</f>
        <v>0.65</v>
      </c>
      <c r="J1206" t="s">
        <v>5</v>
      </c>
      <c r="K1206" s="159"/>
      <c r="L1206" s="46"/>
    </row>
    <row r="1207" spans="1:16">
      <c r="J1207" s="46"/>
      <c r="K1207" s="159"/>
      <c r="L1207" s="46"/>
    </row>
    <row r="1208" spans="1:16">
      <c r="F1208" s="187" t="s">
        <v>637</v>
      </c>
      <c r="H1208" s="187" t="s">
        <v>636</v>
      </c>
      <c r="J1208" s="46"/>
      <c r="K1208" s="159"/>
      <c r="L1208" s="46"/>
    </row>
    <row r="1209" spans="1:16">
      <c r="E1209" s="191" t="s">
        <v>607</v>
      </c>
      <c r="J1209" s="46"/>
      <c r="K1209" s="159"/>
      <c r="L1209" s="46"/>
    </row>
    <row r="1210" spans="1:16">
      <c r="F1210" s="17" t="s">
        <v>935</v>
      </c>
      <c r="G1210" s="36">
        <f>F1129/4</f>
        <v>3</v>
      </c>
      <c r="J1210" s="46"/>
      <c r="K1210" s="159"/>
      <c r="L1210" s="46"/>
    </row>
    <row r="1211" spans="1:16">
      <c r="C1211" s="1" t="s">
        <v>658</v>
      </c>
      <c r="D1211" s="36"/>
      <c r="F1211" s="36"/>
      <c r="H1211" s="191"/>
      <c r="I1211" s="187" t="s">
        <v>659</v>
      </c>
      <c r="J1211" s="109"/>
      <c r="K1211" s="159"/>
      <c r="L1211" s="46"/>
    </row>
    <row r="1212" spans="1:16">
      <c r="F1212" s="203" t="s">
        <v>644</v>
      </c>
      <c r="G1212" s="36">
        <f>(F1131-H1129)/2</f>
        <v>6.2249999999999996</v>
      </c>
      <c r="J1212" s="46"/>
      <c r="K1212" s="159"/>
      <c r="L1212" s="46"/>
    </row>
    <row r="1213" spans="1:16">
      <c r="J1213" s="46"/>
      <c r="K1213" s="159"/>
      <c r="L1213" s="46"/>
    </row>
    <row r="1214" spans="1:16">
      <c r="C1214" s="2008"/>
      <c r="D1214" s="2008"/>
      <c r="E1214" s="2008"/>
      <c r="F1214" s="2008"/>
      <c r="G1214" s="2008"/>
      <c r="H1214" s="3060">
        <f>I1206</f>
        <v>0.65</v>
      </c>
      <c r="J1214" s="46"/>
      <c r="K1214" s="159"/>
      <c r="L1214" s="46"/>
    </row>
    <row r="1215" spans="1:16">
      <c r="B1215" s="187" t="s">
        <v>642</v>
      </c>
      <c r="C1215" s="2008"/>
      <c r="D1215" s="2008"/>
      <c r="E1215" s="2008"/>
      <c r="F1215" s="2008"/>
      <c r="G1215" s="2008"/>
      <c r="H1215" s="3060"/>
      <c r="I1215" s="203" t="s">
        <v>646</v>
      </c>
      <c r="J1215" s="288"/>
      <c r="K1215" s="159"/>
      <c r="L1215" s="46"/>
    </row>
    <row r="1216" spans="1:16">
      <c r="J1216" s="46"/>
      <c r="K1216" s="159"/>
      <c r="L1216" s="46"/>
    </row>
    <row r="1217" spans="2:12">
      <c r="C1217" s="191" t="s">
        <v>537</v>
      </c>
      <c r="F1217" s="203" t="s">
        <v>643</v>
      </c>
      <c r="G1217" s="36">
        <f>F1131/4</f>
        <v>3.2249999999999996</v>
      </c>
      <c r="J1217" s="46"/>
      <c r="K1217" s="159"/>
      <c r="L1217" s="46"/>
    </row>
    <row r="1218" spans="2:12">
      <c r="E1218" s="404" t="s">
        <v>641</v>
      </c>
      <c r="F1218" s="404"/>
      <c r="J1218" s="46"/>
      <c r="K1218" s="159"/>
      <c r="L1218" s="46"/>
    </row>
    <row r="1219" spans="2:12">
      <c r="E1219" s="203" t="s">
        <v>645</v>
      </c>
      <c r="F1219" s="36">
        <f>F1131/2</f>
        <v>6.4499999999999993</v>
      </c>
      <c r="J1219" s="46"/>
      <c r="K1219" s="159"/>
      <c r="L1219" s="46"/>
    </row>
    <row r="1220" spans="2:12">
      <c r="J1220" s="46"/>
      <c r="K1220" s="159"/>
      <c r="L1220" s="46"/>
    </row>
    <row r="1221" spans="2:12">
      <c r="B1221" s="1" t="s">
        <v>654</v>
      </c>
      <c r="J1221" s="46"/>
      <c r="K1221" s="159"/>
      <c r="L1221" s="46"/>
    </row>
    <row r="1222" spans="2:12">
      <c r="B1222" s="187" t="s">
        <v>655</v>
      </c>
      <c r="J1222" s="46"/>
      <c r="K1222" s="159"/>
      <c r="L1222" s="46"/>
    </row>
    <row r="1223" spans="2:12">
      <c r="J1223" s="46"/>
      <c r="K1223" s="159"/>
      <c r="L1223" s="46"/>
    </row>
    <row r="1224" spans="2:12">
      <c r="B1224" s="187" t="s">
        <v>639</v>
      </c>
      <c r="D1224" s="33">
        <f>0.5*(H1129+H1111)*I1118*$D$3</f>
        <v>34.515000000000008</v>
      </c>
      <c r="E1224" s="187" t="s">
        <v>341</v>
      </c>
      <c r="J1224" s="46"/>
      <c r="K1224" s="159"/>
      <c r="L1224" s="46"/>
    </row>
    <row r="1225" spans="2:12">
      <c r="B1225" s="187" t="s">
        <v>656</v>
      </c>
      <c r="D1225" s="33">
        <v>0</v>
      </c>
      <c r="E1225" s="187" t="s">
        <v>341</v>
      </c>
      <c r="J1225" s="46"/>
      <c r="K1225" s="159"/>
      <c r="L1225" s="46"/>
    </row>
    <row r="1226" spans="2:12">
      <c r="B1226" s="187" t="s">
        <v>638</v>
      </c>
      <c r="D1226" s="33">
        <f>+D1224+D1225</f>
        <v>34.515000000000008</v>
      </c>
      <c r="E1226" s="187" t="s">
        <v>341</v>
      </c>
      <c r="J1226" s="46"/>
      <c r="K1226" s="159"/>
      <c r="L1226" s="46"/>
    </row>
    <row r="1227" spans="2:12" ht="15.75">
      <c r="B1227" s="187" t="s">
        <v>681</v>
      </c>
      <c r="D1227" s="33"/>
      <c r="F1227" s="33">
        <v>0</v>
      </c>
      <c r="J1227" s="46"/>
      <c r="K1227" s="159"/>
      <c r="L1227" s="46"/>
    </row>
    <row r="1228" spans="2:12">
      <c r="B1228" s="187" t="s">
        <v>678</v>
      </c>
      <c r="D1228" s="33"/>
      <c r="H1228" s="33">
        <f>F1227+D1226*G1217-(D1224+D1225)*G1212</f>
        <v>-103.54500000000002</v>
      </c>
      <c r="I1228" s="187" t="s">
        <v>620</v>
      </c>
      <c r="J1228" s="109"/>
      <c r="K1228" s="159"/>
      <c r="L1228" s="46"/>
    </row>
    <row r="1229" spans="2:12">
      <c r="B1229" s="187"/>
      <c r="D1229" s="33"/>
      <c r="H1229" s="215" t="str">
        <f>IF(H1228&gt;0,"(bottom tension)","(top tension)")</f>
        <v>(top tension)</v>
      </c>
      <c r="J1229" s="46"/>
      <c r="K1229" s="159"/>
      <c r="L1229" s="46"/>
    </row>
    <row r="1230" spans="2:12">
      <c r="B1230" s="1" t="s">
        <v>657</v>
      </c>
      <c r="J1230" s="46"/>
      <c r="K1230" s="159"/>
      <c r="L1230" s="46"/>
    </row>
    <row r="1231" spans="2:12">
      <c r="B1231" s="187" t="s">
        <v>611</v>
      </c>
      <c r="J1231" s="46"/>
      <c r="K1231" s="159"/>
      <c r="L1231" s="46"/>
    </row>
    <row r="1232" spans="2:12">
      <c r="J1232" s="46"/>
      <c r="K1232" s="159"/>
    </row>
    <row r="1233" spans="1:11">
      <c r="B1233" s="187" t="s">
        <v>600</v>
      </c>
      <c r="D1233" s="33">
        <f>I1118</f>
        <v>3.9000000000000004</v>
      </c>
      <c r="E1233" s="187" t="s">
        <v>5</v>
      </c>
      <c r="J1233" s="46"/>
      <c r="K1233" s="159"/>
    </row>
    <row r="1234" spans="1:11">
      <c r="B1234" s="187" t="s">
        <v>639</v>
      </c>
      <c r="D1234" s="33">
        <f>D1224</f>
        <v>34.515000000000008</v>
      </c>
      <c r="E1234" s="187" t="s">
        <v>341</v>
      </c>
      <c r="J1234" s="46"/>
      <c r="K1234" s="159"/>
    </row>
    <row r="1235" spans="1:11">
      <c r="B1235" s="30" t="s">
        <v>640</v>
      </c>
      <c r="D1235" s="33">
        <f>0.5*(H1129-H1111)*I1118*$D$6</f>
        <v>5.5282500000000017</v>
      </c>
      <c r="E1235" s="187" t="s">
        <v>341</v>
      </c>
      <c r="J1235" s="46"/>
      <c r="K1235" s="159"/>
    </row>
    <row r="1236" spans="1:11">
      <c r="B1236" s="187" t="s">
        <v>638</v>
      </c>
      <c r="D1236" s="33">
        <f>D1234+D1235</f>
        <v>40.043250000000008</v>
      </c>
      <c r="E1236" s="187" t="s">
        <v>341</v>
      </c>
      <c r="J1236" s="46"/>
      <c r="K1236" s="159"/>
    </row>
    <row r="1237" spans="1:11" ht="15.75">
      <c r="A1237" s="187"/>
      <c r="B1237" s="187" t="s">
        <v>677</v>
      </c>
      <c r="F1237" s="33">
        <f>$I$8*$D$6*D1233^3/6</f>
        <v>67.460857404030492</v>
      </c>
      <c r="G1237" s="187" t="s">
        <v>620</v>
      </c>
      <c r="H1237" s="23" t="str">
        <f>IF(F1237&gt;0,"(bottom tension)","(top tension)")</f>
        <v>(bottom tension)</v>
      </c>
      <c r="J1237" s="46"/>
      <c r="K1237" s="159"/>
    </row>
    <row r="1238" spans="1:11">
      <c r="B1238" s="187" t="s">
        <v>678</v>
      </c>
      <c r="H1238" s="33">
        <f>F1237+D1236*G1217-(D1234+D1235)*G1212</f>
        <v>-52.668892595969538</v>
      </c>
      <c r="I1238" s="187" t="s">
        <v>620</v>
      </c>
      <c r="J1238" s="109"/>
      <c r="K1238" s="159"/>
    </row>
    <row r="1239" spans="1:11">
      <c r="B1239" s="187"/>
      <c r="H1239" s="215" t="str">
        <f>IF(H1238&gt;0,"(bottom tension)","(top tension)")</f>
        <v>(top tension)</v>
      </c>
      <c r="J1239" s="46"/>
      <c r="K1239" s="159"/>
    </row>
    <row r="1240" spans="1:11">
      <c r="B1240" s="1" t="s">
        <v>660</v>
      </c>
      <c r="H1240" s="33"/>
      <c r="J1240" s="46"/>
      <c r="K1240" s="159"/>
    </row>
    <row r="1241" spans="1:11">
      <c r="B1241" s="1" t="s">
        <v>653</v>
      </c>
      <c r="H1241" s="33"/>
      <c r="J1241" s="46"/>
      <c r="K1241" s="159"/>
    </row>
    <row r="1242" spans="1:11">
      <c r="B1242" s="187"/>
      <c r="H1242" s="33"/>
      <c r="J1242" s="46"/>
      <c r="K1242" s="159"/>
    </row>
    <row r="1243" spans="1:11">
      <c r="B1243" s="187" t="s">
        <v>639</v>
      </c>
      <c r="D1243" s="33">
        <f>D1234</f>
        <v>34.515000000000008</v>
      </c>
      <c r="E1243" s="187" t="s">
        <v>341</v>
      </c>
      <c r="F1243" s="187"/>
      <c r="H1243" s="187"/>
      <c r="J1243" s="46"/>
      <c r="K1243" s="159"/>
    </row>
    <row r="1244" spans="1:11">
      <c r="B1244" s="30" t="s">
        <v>640</v>
      </c>
      <c r="D1244" s="33">
        <f>0.5*C1121*E1116*$D$6+0.5*(H1129-H1111+E1116)*C1114*$D$5</f>
        <v>5.5282500000000017</v>
      </c>
      <c r="E1244" s="187" t="s">
        <v>341</v>
      </c>
      <c r="H1244" s="33"/>
      <c r="J1244" s="46"/>
      <c r="K1244" s="159"/>
    </row>
    <row r="1245" spans="1:11">
      <c r="B1245" s="187" t="s">
        <v>647</v>
      </c>
      <c r="D1245" s="33">
        <f>F1122*$D$7*F1129/2</f>
        <v>229.55400000000003</v>
      </c>
      <c r="E1245" s="187" t="s">
        <v>341</v>
      </c>
      <c r="H1245" s="33"/>
      <c r="J1245" s="46"/>
      <c r="K1245" s="159"/>
    </row>
    <row r="1246" spans="1:11">
      <c r="B1246" s="187" t="s">
        <v>648</v>
      </c>
      <c r="D1246" s="33">
        <f>D1243+D1244+D1245</f>
        <v>269.59725000000003</v>
      </c>
      <c r="E1246" s="187" t="s">
        <v>341</v>
      </c>
      <c r="H1246" s="33"/>
      <c r="J1246" s="46"/>
      <c r="K1246" s="159"/>
    </row>
    <row r="1247" spans="1:11">
      <c r="A1247" s="187"/>
      <c r="B1247" s="187" t="s">
        <v>682</v>
      </c>
      <c r="F1247" s="33">
        <f>I1151</f>
        <v>32.44545998955752</v>
      </c>
      <c r="G1247" s="187" t="s">
        <v>107</v>
      </c>
      <c r="H1247" s="23" t="str">
        <f>IF(F1247&gt;0,"(bottom tension)","(top tension)")</f>
        <v>(bottom tension)</v>
      </c>
      <c r="I1247" s="33"/>
      <c r="J1247" s="224"/>
      <c r="K1247" s="159"/>
    </row>
    <row r="1248" spans="1:11">
      <c r="B1248" s="187" t="s">
        <v>936</v>
      </c>
      <c r="H1248" s="33">
        <f>F1247+D1246*G1217-(D1243+D1244)*G1212-D1245*G1210</f>
        <v>-36.034640010442558</v>
      </c>
      <c r="I1248" s="187" t="s">
        <v>620</v>
      </c>
      <c r="J1248" s="109"/>
      <c r="K1248" s="159"/>
    </row>
    <row r="1249" spans="1:12">
      <c r="B1249" s="187"/>
      <c r="H1249" s="215" t="str">
        <f>IF(H1248&gt;0,"(bottom tension)","(top tension)")</f>
        <v>(top tension)</v>
      </c>
      <c r="J1249" s="46"/>
      <c r="K1249" s="159"/>
    </row>
    <row r="1250" spans="1:12">
      <c r="B1250" s="1" t="s">
        <v>661</v>
      </c>
      <c r="H1250" s="33"/>
      <c r="J1250" s="46"/>
      <c r="K1250" s="159"/>
      <c r="L1250" s="46"/>
    </row>
    <row r="1251" spans="1:12">
      <c r="B1251" s="187" t="s">
        <v>662</v>
      </c>
      <c r="G1251" s="2203" t="s">
        <v>1878</v>
      </c>
      <c r="H1251" s="2204"/>
      <c r="I1251" s="2203"/>
      <c r="J1251" s="2203"/>
      <c r="K1251" s="159"/>
      <c r="L1251" s="46"/>
    </row>
    <row r="1252" spans="1:12">
      <c r="B1252" s="187"/>
      <c r="H1252" s="33"/>
      <c r="J1252" s="46"/>
      <c r="K1252" s="159"/>
      <c r="L1252" s="46"/>
    </row>
    <row r="1253" spans="1:12">
      <c r="B1253" s="187" t="s">
        <v>639</v>
      </c>
      <c r="D1253" s="33">
        <f>D1243</f>
        <v>34.515000000000008</v>
      </c>
      <c r="E1253" s="187" t="s">
        <v>341</v>
      </c>
      <c r="F1253" s="187"/>
      <c r="H1253" s="187"/>
      <c r="J1253" s="46"/>
      <c r="K1253" s="159"/>
    </row>
    <row r="1254" spans="1:12">
      <c r="B1254" s="30" t="s">
        <v>640</v>
      </c>
      <c r="D1254" s="33">
        <f>D1244</f>
        <v>5.5282500000000017</v>
      </c>
      <c r="E1254" s="187" t="s">
        <v>341</v>
      </c>
      <c r="H1254" s="33"/>
      <c r="J1254" s="46"/>
      <c r="K1254" s="159"/>
    </row>
    <row r="1255" spans="1:12">
      <c r="B1255" s="187" t="s">
        <v>663</v>
      </c>
      <c r="D1255" s="33">
        <f>D1253+D1254</f>
        <v>40.043250000000008</v>
      </c>
      <c r="E1255" s="187" t="s">
        <v>341</v>
      </c>
      <c r="H1255" s="33"/>
      <c r="J1255" s="46"/>
      <c r="K1255" s="159"/>
    </row>
    <row r="1256" spans="1:12">
      <c r="B1256" s="187" t="s">
        <v>647</v>
      </c>
      <c r="D1256" s="33">
        <f>IF($F$4=1,0,D1245)</f>
        <v>229.55400000000003</v>
      </c>
      <c r="E1256" s="187" t="s">
        <v>341</v>
      </c>
      <c r="H1256" s="187" t="s">
        <v>1879</v>
      </c>
      <c r="J1256" s="46"/>
      <c r="K1256" s="159"/>
    </row>
    <row r="1257" spans="1:12">
      <c r="B1257" s="187" t="s">
        <v>679</v>
      </c>
      <c r="F1257" s="33">
        <f>F1247</f>
        <v>32.44545998955752</v>
      </c>
      <c r="G1257" s="187" t="s">
        <v>107</v>
      </c>
      <c r="H1257" s="23" t="str">
        <f>IF(F1257&gt;0,"(bottom tension)","(top tension)")</f>
        <v>(bottom tension)</v>
      </c>
      <c r="I1257" s="33"/>
      <c r="J1257" s="224"/>
      <c r="K1257" s="159"/>
    </row>
    <row r="1258" spans="1:12">
      <c r="B1258" s="187" t="s">
        <v>680</v>
      </c>
      <c r="H1258" s="33">
        <f>F1257+D1255*G1217-(D1253+D1254)*G1212</f>
        <v>-87.68429001044251</v>
      </c>
      <c r="I1258" s="187" t="s">
        <v>341</v>
      </c>
      <c r="J1258" s="109"/>
      <c r="K1258" s="159"/>
      <c r="L1258" s="46"/>
    </row>
    <row r="1259" spans="1:12">
      <c r="A1259" s="187"/>
      <c r="B1259" s="187"/>
      <c r="H1259" s="215" t="str">
        <f>IF(H1258&gt;0,"(bottom tension)","(top tension)")</f>
        <v>(top tension)</v>
      </c>
      <c r="J1259" s="46"/>
      <c r="K1259" s="159"/>
      <c r="L1259" s="46"/>
    </row>
    <row r="1260" spans="1:12">
      <c r="B1260" s="41" t="s">
        <v>664</v>
      </c>
      <c r="H1260" s="215"/>
      <c r="J1260" s="46"/>
      <c r="K1260" s="159"/>
      <c r="L1260" s="46"/>
    </row>
    <row r="1261" spans="1:12">
      <c r="B1261" s="187"/>
      <c r="H1261" s="215"/>
      <c r="J1261" s="46"/>
      <c r="K1261" s="159"/>
      <c r="L1261" s="46"/>
    </row>
    <row r="1262" spans="1:12">
      <c r="B1262" s="374" t="s">
        <v>673</v>
      </c>
      <c r="C1262" s="3118" t="s">
        <v>675</v>
      </c>
      <c r="D1262" s="3070" t="s">
        <v>674</v>
      </c>
      <c r="E1262" s="3068"/>
      <c r="F1262" s="374" t="s">
        <v>615</v>
      </c>
      <c r="G1262" s="355" t="s">
        <v>619</v>
      </c>
      <c r="H1262" s="355" t="s">
        <v>616</v>
      </c>
      <c r="I1262" s="382" t="s">
        <v>676</v>
      </c>
      <c r="J1262" s="562"/>
      <c r="K1262" s="159"/>
      <c r="L1262" s="46"/>
    </row>
    <row r="1263" spans="1:12">
      <c r="B1263" s="348"/>
      <c r="C1263" s="3092"/>
      <c r="D1263" s="3121" t="s">
        <v>665</v>
      </c>
      <c r="E1263" s="3118" t="s">
        <v>672</v>
      </c>
      <c r="F1263" s="16"/>
      <c r="G1263" s="104"/>
      <c r="H1263" s="105"/>
      <c r="I1263" s="366"/>
      <c r="J1263" s="385"/>
      <c r="K1263" s="159"/>
      <c r="L1263" s="46"/>
    </row>
    <row r="1264" spans="1:12">
      <c r="B1264" s="367"/>
      <c r="C1264" s="365"/>
      <c r="D1264" s="3121"/>
      <c r="E1264" s="3092"/>
      <c r="F1264" s="16"/>
      <c r="G1264" s="105"/>
      <c r="H1264" s="365"/>
      <c r="I1264" s="380"/>
      <c r="J1264" s="408"/>
      <c r="K1264" s="159"/>
      <c r="L1264" s="46"/>
    </row>
    <row r="1265" spans="1:12">
      <c r="B1265" s="92"/>
      <c r="C1265" s="94" t="s">
        <v>107</v>
      </c>
      <c r="D1265" s="128" t="s">
        <v>107</v>
      </c>
      <c r="E1265" s="94" t="s">
        <v>107</v>
      </c>
      <c r="F1265" s="401" t="s">
        <v>98</v>
      </c>
      <c r="G1265" s="256" t="s">
        <v>98</v>
      </c>
      <c r="H1265" s="256" t="s">
        <v>98</v>
      </c>
      <c r="I1265" s="250"/>
      <c r="J1265" s="408"/>
      <c r="K1265" s="159"/>
      <c r="L1265" s="46"/>
    </row>
    <row r="1266" spans="1:12">
      <c r="B1266" s="374" t="s">
        <v>666</v>
      </c>
      <c r="C1266" s="376">
        <f>F1227</f>
        <v>0</v>
      </c>
      <c r="D1266" s="251">
        <f>IF(J9="y",0,IF(H1228&lt;0,ABS(H1228),0))</f>
        <v>0</v>
      </c>
      <c r="E1266" s="379">
        <f>IF(H1228&gt;0,H1228,0)</f>
        <v>0</v>
      </c>
      <c r="F1266" s="55"/>
      <c r="G1266" s="105"/>
      <c r="H1266" s="381"/>
      <c r="I1266" s="375"/>
      <c r="J1266" s="275"/>
      <c r="K1266" s="159"/>
      <c r="L1266" s="46"/>
    </row>
    <row r="1267" spans="1:12">
      <c r="B1267" s="348" t="s">
        <v>667</v>
      </c>
      <c r="C1267" s="377">
        <f>F1237</f>
        <v>67.460857404030492</v>
      </c>
      <c r="D1267" s="107">
        <f>IF(H1238&lt;0,ABS(H1238),0)</f>
        <v>52.668892595969538</v>
      </c>
      <c r="E1267" s="103">
        <f>IF(H1238&gt;0,H1238,0)</f>
        <v>0</v>
      </c>
      <c r="F1267" s="16"/>
      <c r="G1267" s="105"/>
      <c r="H1267" s="105"/>
      <c r="I1267" s="58"/>
      <c r="J1267" s="386"/>
      <c r="K1267" s="159"/>
      <c r="L1267" s="46"/>
    </row>
    <row r="1268" spans="1:12">
      <c r="B1268" s="348" t="s">
        <v>668</v>
      </c>
      <c r="C1268" s="377">
        <f>F1247</f>
        <v>32.44545998955752</v>
      </c>
      <c r="D1268" s="107">
        <f>IF(H1248&lt;0,ABS(H1248),0)</f>
        <v>36.034640010442558</v>
      </c>
      <c r="E1268" s="103">
        <f>IF(H1248&gt;0,H1248,0)</f>
        <v>0</v>
      </c>
      <c r="F1268" s="16"/>
      <c r="G1268" s="105"/>
      <c r="H1268" s="356"/>
      <c r="I1268" s="350"/>
      <c r="J1268" s="612"/>
      <c r="K1268" s="159"/>
      <c r="L1268" s="46"/>
    </row>
    <row r="1269" spans="1:12">
      <c r="B1269" s="348" t="s">
        <v>669</v>
      </c>
      <c r="C1269" s="377">
        <f>F1257</f>
        <v>32.44545998955752</v>
      </c>
      <c r="D1269" s="107">
        <f>IF(H1258&lt;0,ABS(H1258),0)</f>
        <v>87.68429001044251</v>
      </c>
      <c r="E1269" s="103">
        <f>IF(H1258&gt;0,H1258,0)</f>
        <v>0</v>
      </c>
      <c r="F1269" s="16"/>
      <c r="G1269" s="105"/>
      <c r="H1269" s="105"/>
      <c r="I1269" s="350"/>
      <c r="J1269" s="612"/>
      <c r="K1269" s="159"/>
      <c r="L1269" s="46"/>
    </row>
    <row r="1270" spans="1:12">
      <c r="B1270" s="303" t="s">
        <v>671</v>
      </c>
      <c r="C1270" s="393">
        <f>MAX(C1266:C1269)</f>
        <v>67.460857404030492</v>
      </c>
      <c r="D1270" s="394">
        <f>MAX(D1266:D1269)</f>
        <v>87.68429001044251</v>
      </c>
      <c r="E1270" s="393">
        <f>MAX(E1266:E1269)</f>
        <v>0</v>
      </c>
      <c r="F1270" s="395">
        <f>((MAX(C1270,D1270,E1270)*10^6)/($C$23*1000))^0.5</f>
        <v>247.61005089253348</v>
      </c>
      <c r="G1270" s="316">
        <f>I1206*1000</f>
        <v>650</v>
      </c>
      <c r="H1270" s="396">
        <f>G1270-$I$13-C1295/2</f>
        <v>582</v>
      </c>
      <c r="I1270" s="1976" t="str">
        <f>IF(H1270&gt;=F1270,"o.k","Not o.k")</f>
        <v>o.k</v>
      </c>
      <c r="J1270" s="386"/>
      <c r="K1270" s="159"/>
      <c r="L1270" s="46"/>
    </row>
    <row r="1271" spans="1:12">
      <c r="B1271" s="369"/>
      <c r="C1271" s="377"/>
      <c r="D1271" s="368"/>
      <c r="E1271" s="377"/>
      <c r="F1271" s="16"/>
      <c r="G1271" s="105"/>
      <c r="H1271" s="356">
        <f>H1270-$I$15</f>
        <v>582</v>
      </c>
      <c r="I1271" s="370" t="s">
        <v>2138</v>
      </c>
      <c r="J1271" s="786"/>
      <c r="K1271" s="159"/>
      <c r="L1271" s="46"/>
    </row>
    <row r="1272" spans="1:12">
      <c r="B1272" s="371" t="s">
        <v>670</v>
      </c>
      <c r="C1272" s="378">
        <f>(C1270*10^6)/($C$18*$C$22*H1270)</f>
        <v>697.48244973378087</v>
      </c>
      <c r="D1272" s="372">
        <f>(D1270*10^6)/($C$18*$C$22*H1270)</f>
        <v>906.57391194077525</v>
      </c>
      <c r="E1272" s="378">
        <f>(E1270*10^6)/($C$18*$C$22*H1271)</f>
        <v>0</v>
      </c>
      <c r="F1272" s="59"/>
      <c r="G1272" s="106"/>
      <c r="H1272" s="357"/>
      <c r="I1272" s="373"/>
      <c r="J1272" s="786"/>
      <c r="K1272" s="159"/>
      <c r="L1272" s="46"/>
    </row>
    <row r="1273" spans="1:12">
      <c r="A1273" s="187"/>
      <c r="B1273" s="223"/>
      <c r="C1273" s="223"/>
      <c r="D1273" s="2"/>
      <c r="E1273" s="223"/>
      <c r="G1273" s="349"/>
      <c r="H1273" s="294"/>
      <c r="I1273" s="16"/>
      <c r="J1273" s="386"/>
      <c r="K1273" s="159"/>
      <c r="L1273" s="46"/>
    </row>
    <row r="1274" spans="1:12">
      <c r="A1274" s="187"/>
      <c r="B1274" s="383" t="s">
        <v>1115</v>
      </c>
      <c r="C1274" s="223"/>
      <c r="D1274" s="2"/>
      <c r="E1274" s="223"/>
      <c r="G1274" s="349"/>
      <c r="H1274" s="294"/>
      <c r="I1274" s="16"/>
      <c r="J1274" s="386"/>
      <c r="K1274" s="159"/>
      <c r="L1274" s="46"/>
    </row>
    <row r="1275" spans="1:12">
      <c r="A1275" s="187"/>
      <c r="B1275" s="385" t="s">
        <v>440</v>
      </c>
      <c r="D1275" s="386"/>
      <c r="G1275" s="385" t="s">
        <v>443</v>
      </c>
      <c r="H1275" s="294"/>
      <c r="I1275" s="16"/>
      <c r="J1275" s="386"/>
      <c r="K1275" s="159"/>
      <c r="L1275" s="46"/>
    </row>
    <row r="1276" spans="1:12" ht="14.25">
      <c r="A1276" s="187"/>
      <c r="B1276" s="385" t="s">
        <v>441</v>
      </c>
      <c r="C1276" s="386">
        <f>IF(F1131&lt;=9,$G$100,$G$105)</f>
        <v>2.5000000000000001E-3</v>
      </c>
      <c r="D1276" s="385" t="s">
        <v>438</v>
      </c>
      <c r="G1276" s="385" t="s">
        <v>441</v>
      </c>
      <c r="H1276" s="386">
        <f>IF(F1131&lt;=9,$G$99,$G$104)</f>
        <v>1.5E-3</v>
      </c>
      <c r="I1276" s="385" t="s">
        <v>438</v>
      </c>
      <c r="J1276" s="386"/>
      <c r="K1276" s="159"/>
      <c r="L1276" s="46"/>
    </row>
    <row r="1277" spans="1:12" ht="14.25">
      <c r="A1277" s="187"/>
      <c r="B1277" s="385" t="s">
        <v>442</v>
      </c>
      <c r="C1277" s="386">
        <f>IF(E60&lt;=9,$G$100,$G$105)</f>
        <v>2.5000000000000001E-3</v>
      </c>
      <c r="D1277" s="385" t="s">
        <v>438</v>
      </c>
      <c r="E1277" s="386"/>
      <c r="F1277" s="386"/>
      <c r="G1277" s="385" t="s">
        <v>442</v>
      </c>
      <c r="H1277" s="386">
        <f>IF(E60&lt;=9,$G$99,$G$104)</f>
        <v>1.5E-3</v>
      </c>
      <c r="I1277" s="385" t="s">
        <v>438</v>
      </c>
      <c r="J1277" s="386"/>
      <c r="K1277" s="159"/>
      <c r="L1277" s="46"/>
    </row>
    <row r="1278" spans="1:12">
      <c r="A1278" s="187"/>
      <c r="B1278" s="386"/>
      <c r="D1278" s="386"/>
      <c r="H1278" s="294"/>
      <c r="I1278" s="16"/>
      <c r="J1278" s="386"/>
      <c r="K1278" s="159"/>
      <c r="L1278" s="46"/>
    </row>
    <row r="1279" spans="1:12">
      <c r="A1279" s="936" t="str">
        <f>"Reinforcement Distribution of R/S Floor  for Sec  :"&amp;C1103</f>
        <v>Reinforcement Distribution of R/S Floor  for Sec  :5-5</v>
      </c>
      <c r="G1279" s="107"/>
      <c r="H1279" s="107"/>
      <c r="J1279" s="46"/>
      <c r="K1279" s="159"/>
      <c r="L1279" s="46"/>
    </row>
    <row r="1280" spans="1:12">
      <c r="J1280" s="46"/>
      <c r="K1280" s="159"/>
      <c r="L1280" s="46"/>
    </row>
    <row r="1281" spans="1:19">
      <c r="A1281" s="3147" t="s">
        <v>486</v>
      </c>
      <c r="B1281" s="3148" t="s">
        <v>487</v>
      </c>
      <c r="C1281" s="3148" t="s">
        <v>488</v>
      </c>
      <c r="D1281" s="3148" t="s">
        <v>489</v>
      </c>
      <c r="E1281" s="3149" t="s">
        <v>490</v>
      </c>
      <c r="F1281" s="3150"/>
      <c r="G1281" s="3150"/>
      <c r="H1281" s="3150"/>
      <c r="I1281" s="3150"/>
      <c r="J1281" s="330"/>
      <c r="K1281" s="159"/>
      <c r="L1281" s="329"/>
    </row>
    <row r="1282" spans="1:19">
      <c r="A1282" s="3147"/>
      <c r="B1282" s="3148"/>
      <c r="C1282" s="3148"/>
      <c r="D1282" s="3148"/>
      <c r="E1282" s="94">
        <v>12</v>
      </c>
      <c r="F1282" s="94">
        <v>16</v>
      </c>
      <c r="G1282" s="94">
        <v>20</v>
      </c>
      <c r="H1282" s="94">
        <v>22</v>
      </c>
      <c r="I1282" s="94">
        <v>25</v>
      </c>
      <c r="J1282" s="275"/>
      <c r="K1282" s="159"/>
      <c r="L1282" s="46"/>
    </row>
    <row r="1283" spans="1:19" ht="14.25">
      <c r="A1283" s="172"/>
      <c r="B1283" s="256" t="s">
        <v>491</v>
      </c>
      <c r="C1283" s="256" t="s">
        <v>491</v>
      </c>
      <c r="D1283" s="256" t="s">
        <v>491</v>
      </c>
      <c r="E1283" s="402" t="s">
        <v>98</v>
      </c>
      <c r="F1283" s="402" t="s">
        <v>98</v>
      </c>
      <c r="G1283" s="402" t="s">
        <v>98</v>
      </c>
      <c r="H1283" s="402" t="s">
        <v>98</v>
      </c>
      <c r="I1283" s="402" t="s">
        <v>98</v>
      </c>
      <c r="J1283" s="759"/>
      <c r="K1283" s="159"/>
      <c r="L1283" s="46"/>
    </row>
    <row r="1284" spans="1:19">
      <c r="A1284" s="264" t="s">
        <v>440</v>
      </c>
      <c r="B1284" s="55"/>
      <c r="C1284" s="55"/>
      <c r="D1284" s="55"/>
      <c r="E1284" s="55"/>
      <c r="F1284" s="55"/>
      <c r="G1284" s="55"/>
      <c r="H1284" s="55"/>
      <c r="I1284" s="56"/>
      <c r="J1284" s="386"/>
      <c r="K1284" s="159"/>
      <c r="L1284" s="46"/>
    </row>
    <row r="1285" spans="1:19">
      <c r="A1285" s="363" t="s">
        <v>441</v>
      </c>
      <c r="B1285" s="318">
        <f>D1272</f>
        <v>906.57391194077525</v>
      </c>
      <c r="C1285" s="318">
        <f>IF(G1270&gt;380,C1276*1000*380,C1276*1000*G1270)</f>
        <v>950</v>
      </c>
      <c r="D1285" s="318">
        <f>MAX(B1285:C1285)</f>
        <v>950</v>
      </c>
      <c r="E1285" s="261">
        <f>PI()*(E1282/2)^2*1000/$D1285</f>
        <v>119.04982687287638</v>
      </c>
      <c r="F1285" s="261">
        <f>PI()*(F1282/2)^2*1000/$D1285</f>
        <v>211.6441366628913</v>
      </c>
      <c r="G1285" s="261">
        <f>PI()*(G1282/2)^2*1000/$D1285</f>
        <v>330.69396353576775</v>
      </c>
      <c r="H1285" s="261">
        <f>PI()*(H1282/2)^2*1000/$D1285</f>
        <v>400.13969587827893</v>
      </c>
      <c r="I1285" s="283">
        <f>PI()*(I1282/2)^2*1000/$D1285</f>
        <v>516.70931802463701</v>
      </c>
      <c r="J1285" s="328"/>
      <c r="K1285" s="159"/>
      <c r="L1285" s="46"/>
    </row>
    <row r="1286" spans="1:19">
      <c r="A1286" s="364" t="s">
        <v>442</v>
      </c>
      <c r="B1286" s="319"/>
      <c r="C1286" s="318">
        <f>IF(G1270&gt;380,C1277*1000*380,C1277*1000*G1270)</f>
        <v>950</v>
      </c>
      <c r="D1286" s="319">
        <f>MAX(B1286:C1286)</f>
        <v>950</v>
      </c>
      <c r="E1286" s="261">
        <f>PI()*(E1282/2)^2*1000/$D1286</f>
        <v>119.04982687287638</v>
      </c>
      <c r="F1286" s="261">
        <f>PI()*(F1282/2)^2*1000/$D1286</f>
        <v>211.6441366628913</v>
      </c>
      <c r="G1286" s="261">
        <f>PI()*(G1282/2)^2*1000/$D1286</f>
        <v>330.69396353576775</v>
      </c>
      <c r="H1286" s="261">
        <f>PI()*(H1282/2)^2*1000/$D1286</f>
        <v>400.13969587827893</v>
      </c>
      <c r="I1286" s="283">
        <f>PI()*(I1282/2)^2*1000/$D1286</f>
        <v>516.70931802463701</v>
      </c>
      <c r="J1286" s="328"/>
      <c r="K1286" s="159"/>
      <c r="L1286" s="46"/>
    </row>
    <row r="1287" spans="1:19">
      <c r="A1287" s="258" t="s">
        <v>443</v>
      </c>
      <c r="B1287" s="265"/>
      <c r="C1287" s="322"/>
      <c r="D1287" s="322"/>
      <c r="E1287" s="266"/>
      <c r="F1287" s="266"/>
      <c r="G1287" s="266"/>
      <c r="H1287" s="266"/>
      <c r="I1287" s="267"/>
      <c r="J1287" s="330"/>
      <c r="K1287" s="159"/>
      <c r="L1287" s="46"/>
    </row>
    <row r="1288" spans="1:19">
      <c r="A1288" s="363" t="s">
        <v>441</v>
      </c>
      <c r="B1288" s="318">
        <f>C1272</f>
        <v>697.48244973378087</v>
      </c>
      <c r="C1288" s="318">
        <f>IF(G1270&gt;380,H1276*1000*380,H1276*1000*G1270)</f>
        <v>570</v>
      </c>
      <c r="D1288" s="318">
        <f>MAX(B1288:C1288)</f>
        <v>697.48244973378087</v>
      </c>
      <c r="E1288" s="261">
        <f>PI()*(E1282/2)^2*1000/$D1288</f>
        <v>162.15079758981778</v>
      </c>
      <c r="F1288" s="261">
        <f>PI()*(F1282/2)^2*1000/$D1288</f>
        <v>288.26808460412047</v>
      </c>
      <c r="G1288" s="261">
        <f>PI()*(G1282/2)^2*1000/$D1288</f>
        <v>450.41888219393832</v>
      </c>
      <c r="H1288" s="261">
        <f>PI()*(H1282/2)^2*1000/$D1288</f>
        <v>545.00684745466526</v>
      </c>
      <c r="I1288" s="283">
        <f>PI()*(I1282/2)^2*1000/$D1288</f>
        <v>703.77950342802853</v>
      </c>
      <c r="J1288" s="328"/>
      <c r="K1288" s="159"/>
      <c r="L1288" s="46"/>
    </row>
    <row r="1289" spans="1:19">
      <c r="A1289" s="364" t="s">
        <v>442</v>
      </c>
      <c r="B1289" s="263"/>
      <c r="C1289" s="319">
        <f>IF(G1270&gt;380,H1277*1000*380,H1277*1000*G1270)</f>
        <v>570</v>
      </c>
      <c r="D1289" s="319">
        <f>MAX(B1289:C1289)</f>
        <v>570</v>
      </c>
      <c r="E1289" s="284">
        <f>PI()*(E1282/2)^2*1000/$D1289</f>
        <v>198.41637812146064</v>
      </c>
      <c r="F1289" s="284">
        <f>PI()*(F1282/2)^2*1000/$D1289</f>
        <v>352.74022777148554</v>
      </c>
      <c r="G1289" s="284">
        <f>PI()*(G1282/2)^2*1000/$D1289</f>
        <v>551.15660589294623</v>
      </c>
      <c r="H1289" s="284">
        <f>PI()*(H1282/2)^2*1000/$D1289</f>
        <v>666.89949313046486</v>
      </c>
      <c r="I1289" s="285">
        <f>PI()*(I1282/2)^2*1000/$D1289</f>
        <v>861.18219670772839</v>
      </c>
      <c r="J1289" s="328"/>
      <c r="K1289" s="159"/>
      <c r="L1289" s="3173" t="s">
        <v>1140</v>
      </c>
      <c r="M1289" s="3174"/>
      <c r="N1289" s="3174"/>
      <c r="O1289" s="3174"/>
      <c r="P1289" s="3175"/>
    </row>
    <row r="1290" spans="1:19" ht="15">
      <c r="A1290" s="29"/>
      <c r="J1290" s="46"/>
      <c r="K1290" s="159"/>
      <c r="L1290" s="3205" t="s">
        <v>876</v>
      </c>
      <c r="M1290" s="3171" t="s">
        <v>442</v>
      </c>
      <c r="N1290" s="3176"/>
      <c r="O1290" s="3176"/>
      <c r="P1290" s="3172"/>
      <c r="R1290" s="3127" t="s">
        <v>441</v>
      </c>
      <c r="S1290" s="3129"/>
    </row>
    <row r="1291" spans="1:19">
      <c r="A1291" s="264" t="s">
        <v>440</v>
      </c>
      <c r="B1291" s="406"/>
      <c r="C1291" s="347"/>
      <c r="D1291" s="406"/>
      <c r="E1291" s="406"/>
      <c r="F1291" s="407"/>
      <c r="G1291" s="2723" t="s">
        <v>2095</v>
      </c>
      <c r="H1291" s="2672" t="s">
        <v>1358</v>
      </c>
      <c r="I1291" s="1178" t="s">
        <v>2109</v>
      </c>
      <c r="J1291" s="46"/>
      <c r="K1291" s="159"/>
      <c r="L1291" s="3206"/>
      <c r="M1291" s="3171" t="s">
        <v>440</v>
      </c>
      <c r="N1291" s="3172"/>
      <c r="O1291" s="3171" t="s">
        <v>443</v>
      </c>
      <c r="P1291" s="3172"/>
      <c r="R1291" s="3171" t="s">
        <v>440</v>
      </c>
      <c r="S1291" s="3172"/>
    </row>
    <row r="1292" spans="1:19">
      <c r="A1292" s="363" t="s">
        <v>441</v>
      </c>
      <c r="B1292" s="268" t="s">
        <v>136</v>
      </c>
      <c r="C1292" s="409">
        <v>16</v>
      </c>
      <c r="D1292" s="270" t="s">
        <v>481</v>
      </c>
      <c r="E1292" s="271">
        <v>200</v>
      </c>
      <c r="F1292" s="272" t="s">
        <v>482</v>
      </c>
      <c r="G1292" s="2014" t="s">
        <v>2096</v>
      </c>
      <c r="H1292" s="94" t="s">
        <v>1348</v>
      </c>
      <c r="I1292" s="2667" t="s">
        <v>107</v>
      </c>
      <c r="J1292" s="3245" t="str">
        <f>IF(I1293&gt;=Z26,"o.k","Not o.k")</f>
        <v>o.k</v>
      </c>
      <c r="K1292" s="159"/>
      <c r="L1292" s="3207"/>
      <c r="M1292" s="882" t="s">
        <v>709</v>
      </c>
      <c r="N1292" s="902" t="s">
        <v>710</v>
      </c>
      <c r="O1292" s="902" t="s">
        <v>709</v>
      </c>
      <c r="P1292" s="884" t="s">
        <v>710</v>
      </c>
      <c r="R1292" s="926" t="s">
        <v>709</v>
      </c>
      <c r="S1292" s="894" t="s">
        <v>710</v>
      </c>
    </row>
    <row r="1293" spans="1:19">
      <c r="A1293" s="364" t="s">
        <v>442</v>
      </c>
      <c r="B1293" s="278" t="s">
        <v>136</v>
      </c>
      <c r="C1293" s="410">
        <v>16</v>
      </c>
      <c r="D1293" s="280" t="s">
        <v>481</v>
      </c>
      <c r="E1293" s="281">
        <v>200</v>
      </c>
      <c r="F1293" s="282" t="s">
        <v>482</v>
      </c>
      <c r="G1293" s="2670"/>
      <c r="H1293" s="316">
        <f>PI()*(C1292/2)^2*1000/E1292</f>
        <v>1005.3096491487337</v>
      </c>
      <c r="I1293" s="2674">
        <f>H1293*$C$18*$C$22*H1270/10^6</f>
        <v>97.234060748057829</v>
      </c>
      <c r="J1293" s="3246"/>
      <c r="K1293" s="159"/>
      <c r="L1293" s="896" t="str">
        <f>L299</f>
        <v>1-1</v>
      </c>
      <c r="M1293" s="898">
        <f t="shared" ref="M1293:P1293" si="36">M299</f>
        <v>16</v>
      </c>
      <c r="N1293" s="907">
        <f t="shared" si="36"/>
        <v>200</v>
      </c>
      <c r="O1293" s="898">
        <f t="shared" si="36"/>
        <v>16</v>
      </c>
      <c r="P1293" s="908">
        <f t="shared" si="36"/>
        <v>250</v>
      </c>
      <c r="R1293" s="926">
        <f>R299</f>
        <v>16</v>
      </c>
      <c r="S1293" s="894">
        <f>S299</f>
        <v>200</v>
      </c>
    </row>
    <row r="1294" spans="1:19">
      <c r="A1294" s="258" t="s">
        <v>443</v>
      </c>
      <c r="B1294" s="385"/>
      <c r="C1294" s="274"/>
      <c r="D1294" s="408"/>
      <c r="E1294" s="276"/>
      <c r="F1294" s="277"/>
      <c r="G1294" s="2670"/>
      <c r="H1294" s="16"/>
      <c r="I1294" s="16"/>
      <c r="J1294" s="2724"/>
      <c r="K1294" s="159"/>
      <c r="L1294" s="885" t="str">
        <f t="shared" ref="L1294:P1297" si="37">L300</f>
        <v>2-2</v>
      </c>
      <c r="M1294" s="899">
        <f t="shared" si="37"/>
        <v>16</v>
      </c>
      <c r="N1294" s="903">
        <f t="shared" si="37"/>
        <v>200</v>
      </c>
      <c r="O1294" s="899">
        <f t="shared" si="37"/>
        <v>16</v>
      </c>
      <c r="P1294" s="904">
        <f t="shared" si="37"/>
        <v>250</v>
      </c>
      <c r="R1294" s="2334">
        <f t="shared" ref="R1294:S1294" si="38">R300</f>
        <v>16</v>
      </c>
      <c r="S1294" s="892">
        <f t="shared" si="38"/>
        <v>200</v>
      </c>
    </row>
    <row r="1295" spans="1:19">
      <c r="A1295" s="363" t="s">
        <v>441</v>
      </c>
      <c r="B1295" s="268" t="s">
        <v>136</v>
      </c>
      <c r="C1295" s="411">
        <f>C1178</f>
        <v>16</v>
      </c>
      <c r="D1295" s="270" t="s">
        <v>481</v>
      </c>
      <c r="E1295" s="398">
        <f>E1178</f>
        <v>100</v>
      </c>
      <c r="F1295" s="272" t="s">
        <v>482</v>
      </c>
      <c r="G1295" s="2124" t="s">
        <v>2097</v>
      </c>
      <c r="H1295" s="316">
        <f>PI()*(C1295/2)^2*1000/$E1295</f>
        <v>2010.6192982974674</v>
      </c>
      <c r="I1295" s="2674">
        <f>H1295*$C$18*$C$22*H1270/10^6</f>
        <v>194.46812149611566</v>
      </c>
      <c r="J1295" s="3254" t="str">
        <f>IF(I1295&gt;=Y26,"o.k","Not o.k")</f>
        <v>o.k</v>
      </c>
      <c r="K1295" s="159"/>
      <c r="L1295" s="885" t="str">
        <f t="shared" si="37"/>
        <v>3-3</v>
      </c>
      <c r="M1295" s="899">
        <f t="shared" si="37"/>
        <v>16</v>
      </c>
      <c r="N1295" s="903">
        <f t="shared" si="37"/>
        <v>200</v>
      </c>
      <c r="O1295" s="899">
        <f t="shared" si="37"/>
        <v>16</v>
      </c>
      <c r="P1295" s="904">
        <f t="shared" si="37"/>
        <v>250</v>
      </c>
      <c r="R1295" s="2334">
        <f t="shared" ref="R1295:S1295" si="39">R301</f>
        <v>16</v>
      </c>
      <c r="S1295" s="892">
        <f t="shared" si="39"/>
        <v>200</v>
      </c>
    </row>
    <row r="1296" spans="1:19">
      <c r="A1296" s="364" t="s">
        <v>442</v>
      </c>
      <c r="B1296" s="278" t="s">
        <v>136</v>
      </c>
      <c r="C1296" s="410">
        <v>16</v>
      </c>
      <c r="D1296" s="280" t="s">
        <v>481</v>
      </c>
      <c r="E1296" s="281">
        <v>250</v>
      </c>
      <c r="F1296" s="282" t="s">
        <v>482</v>
      </c>
      <c r="G1296" s="2671"/>
      <c r="H1296" s="59"/>
      <c r="I1296" s="59"/>
      <c r="J1296" s="3255"/>
      <c r="K1296" s="159"/>
      <c r="L1296" s="885" t="str">
        <f t="shared" si="37"/>
        <v>4-4</v>
      </c>
      <c r="M1296" s="899">
        <f t="shared" si="37"/>
        <v>16</v>
      </c>
      <c r="N1296" s="903">
        <f t="shared" si="37"/>
        <v>200</v>
      </c>
      <c r="O1296" s="899">
        <f t="shared" si="37"/>
        <v>16</v>
      </c>
      <c r="P1296" s="904">
        <f t="shared" si="37"/>
        <v>250</v>
      </c>
      <c r="R1296" s="2334">
        <f t="shared" ref="R1296:S1296" si="40">R302</f>
        <v>16</v>
      </c>
      <c r="S1296" s="892">
        <f t="shared" si="40"/>
        <v>100</v>
      </c>
    </row>
    <row r="1297" spans="1:24">
      <c r="J1297" s="46"/>
      <c r="K1297" s="159"/>
      <c r="L1297" s="2294" t="str">
        <f t="shared" si="37"/>
        <v>5-5</v>
      </c>
      <c r="M1297" s="2032">
        <f t="shared" si="37"/>
        <v>16</v>
      </c>
      <c r="N1297" s="2033">
        <f t="shared" si="37"/>
        <v>200</v>
      </c>
      <c r="O1297" s="2032">
        <f t="shared" si="37"/>
        <v>16</v>
      </c>
      <c r="P1297" s="2034">
        <f t="shared" si="37"/>
        <v>250</v>
      </c>
      <c r="R1297" s="2338">
        <f t="shared" ref="R1297:S1297" si="41">R303</f>
        <v>16</v>
      </c>
      <c r="S1297" s="2339">
        <f t="shared" si="41"/>
        <v>200</v>
      </c>
    </row>
    <row r="1298" spans="1:24">
      <c r="B1298" s="2193" t="s">
        <v>602</v>
      </c>
      <c r="C1298" s="2194"/>
      <c r="D1298" s="2195" t="s">
        <v>1868</v>
      </c>
      <c r="E1298" s="2194"/>
      <c r="F1298" s="2194"/>
      <c r="J1298" s="46"/>
      <c r="K1298" s="159"/>
    </row>
    <row r="1299" spans="1:24">
      <c r="B1299" s="187" t="s">
        <v>940</v>
      </c>
      <c r="G1299" s="126" t="str">
        <f>IF(AND(H1238&lt;=F1237/2,H1248&lt;=F1247/2,H1258&lt;=F1257/2),"For Curtailment follow the Remark","Curtailment not possible")</f>
        <v>For Curtailment follow the Remark</v>
      </c>
      <c r="H1299" s="126"/>
      <c r="I1299" s="126"/>
      <c r="J1299" s="126"/>
      <c r="K1299" s="159"/>
    </row>
    <row r="1300" spans="1:24">
      <c r="B1300" s="187"/>
      <c r="K1300" s="159"/>
    </row>
    <row r="1301" spans="1:24" ht="12.75" customHeight="1">
      <c r="B1301" s="187" t="s">
        <v>1822</v>
      </c>
      <c r="F1301" s="1995">
        <f>0.5*PI()*(C1295/2)^2*1000/E1295</f>
        <v>1005.3096491487337</v>
      </c>
      <c r="G1301" s="187" t="s">
        <v>1348</v>
      </c>
      <c r="J1301" s="46"/>
      <c r="K1301" s="159"/>
      <c r="P1301" s="423"/>
      <c r="Q1301" s="406" t="s">
        <v>689</v>
      </c>
      <c r="R1301" s="55"/>
      <c r="S1301" s="55"/>
      <c r="T1301" s="55"/>
      <c r="U1301" s="55"/>
      <c r="V1301" s="55"/>
      <c r="W1301" s="55"/>
      <c r="X1301" s="2736" t="s">
        <v>945</v>
      </c>
    </row>
    <row r="1302" spans="1:24" ht="14.25">
      <c r="B1302" s="385" t="s">
        <v>1825</v>
      </c>
      <c r="F1302" s="33">
        <f>F1301*$C$18*$C$22*H1270/10^6</f>
        <v>97.234060748057829</v>
      </c>
      <c r="G1302" s="187" t="s">
        <v>107</v>
      </c>
      <c r="H1302" s="2751" t="str">
        <f>IF(F1302&gt;Y$26,"&gt; Max End Me="&amp;FIXED(Y$26,2)&amp;" kn-m","&lt; Max End Me="&amp;FIXED(Y$26,2)&amp;" kn-m")</f>
        <v>&gt; Max End Me=67.46 kn-m</v>
      </c>
      <c r="I1302" s="2751"/>
      <c r="J1302" s="2751"/>
      <c r="K1302" s="159"/>
      <c r="L1302" s="2742" t="s">
        <v>2116</v>
      </c>
      <c r="M1302" s="2743"/>
      <c r="N1302" s="2744"/>
      <c r="P1302" s="2084"/>
      <c r="Q1302" s="241" t="s">
        <v>941</v>
      </c>
      <c r="R1302" s="16"/>
      <c r="S1302" s="16"/>
      <c r="T1302" s="16"/>
      <c r="U1302" s="16"/>
      <c r="V1302" s="16"/>
      <c r="W1302" s="16"/>
      <c r="X1302" s="2735"/>
    </row>
    <row r="1303" spans="1:24" ht="14.25">
      <c r="B1303" s="187" t="s">
        <v>1823</v>
      </c>
      <c r="J1303" s="46"/>
      <c r="K1303" s="159"/>
      <c r="L1303" s="2745" t="s">
        <v>2117</v>
      </c>
      <c r="M1303" s="2746"/>
      <c r="N1303" s="2747"/>
      <c r="P1303" s="259" t="s">
        <v>707</v>
      </c>
      <c r="Q1303" s="241" t="s">
        <v>942</v>
      </c>
      <c r="R1303" s="16"/>
      <c r="S1303" s="16"/>
      <c r="T1303" s="16"/>
      <c r="U1303" s="16"/>
      <c r="V1303" s="16"/>
      <c r="W1303" s="16"/>
      <c r="X1303" s="2739"/>
    </row>
    <row r="1304" spans="1:24" ht="14.25">
      <c r="A1304" s="203" t="s">
        <v>707</v>
      </c>
      <c r="B1304" s="187" t="s">
        <v>1826</v>
      </c>
      <c r="J1304" s="46"/>
      <c r="K1304" s="159"/>
      <c r="L1304" s="2748" t="s">
        <v>2118</v>
      </c>
      <c r="M1304" s="2749"/>
      <c r="N1304" s="2750"/>
      <c r="P1304" s="2084"/>
      <c r="Q1304" s="242">
        <f>D1236/F1219</f>
        <v>6.2082558139534898</v>
      </c>
      <c r="R1304" s="434" t="s">
        <v>685</v>
      </c>
      <c r="S1304" s="242">
        <f>D1236*2</f>
        <v>80.086500000000015</v>
      </c>
      <c r="T1304" s="434" t="s">
        <v>686</v>
      </c>
      <c r="U1304" s="242">
        <f>D1236*H1129+F1237</f>
        <v>85.480319904030495</v>
      </c>
      <c r="V1304" s="2737" t="s">
        <v>35</v>
      </c>
      <c r="W1304" s="1048">
        <v>0</v>
      </c>
      <c r="X1304" s="256" t="s">
        <v>491</v>
      </c>
    </row>
    <row r="1305" spans="1:24" ht="14.25">
      <c r="B1305" s="33">
        <f>D1236/F1219</f>
        <v>6.2082558139534898</v>
      </c>
      <c r="C1305" s="206" t="s">
        <v>685</v>
      </c>
      <c r="D1305" s="33">
        <f>D1236*2</f>
        <v>80.086500000000015</v>
      </c>
      <c r="E1305" s="206" t="s">
        <v>686</v>
      </c>
      <c r="F1305" s="33">
        <f>D1236*H1129+F1237*2-F1302*2</f>
        <v>-41.526944188054671</v>
      </c>
      <c r="G1305" s="2051" t="s">
        <v>35</v>
      </c>
      <c r="H1305" s="18">
        <v>0</v>
      </c>
      <c r="J1305" s="46"/>
      <c r="K1305" s="159"/>
      <c r="P1305" s="2084"/>
      <c r="Q1305" s="16"/>
      <c r="R1305" s="16"/>
      <c r="S1305" s="16"/>
      <c r="T1305" s="16"/>
      <c r="U1305" s="16"/>
      <c r="V1305" s="16"/>
      <c r="W1305" s="16"/>
      <c r="X1305" s="316">
        <f>F1308*10^6/($C$18*$C$22*H1270)</f>
        <v>1005.3096491487337</v>
      </c>
    </row>
    <row r="1306" spans="1:24">
      <c r="B1306" s="33"/>
      <c r="C1306" s="206"/>
      <c r="D1306" s="33"/>
      <c r="E1306" s="206"/>
      <c r="F1306" s="33"/>
      <c r="G1306" s="2051"/>
      <c r="H1306" s="18"/>
      <c r="J1306" s="46"/>
      <c r="K1306" s="159"/>
      <c r="P1306" s="2084"/>
      <c r="Q1306" s="241" t="s">
        <v>691</v>
      </c>
      <c r="R1306" s="242">
        <f>(-(-S1304)-SQRT(S1304^2-4*Q1304*U1304))/(2*Q1304)</f>
        <v>1.1742359846491122</v>
      </c>
      <c r="S1306" s="241" t="s">
        <v>688</v>
      </c>
      <c r="T1306" s="16"/>
      <c r="U1306" s="16"/>
      <c r="V1306" s="241" t="s">
        <v>690</v>
      </c>
      <c r="W1306" s="16"/>
      <c r="X1306" s="58"/>
    </row>
    <row r="1307" spans="1:24" ht="14.25">
      <c r="B1307" s="187" t="s">
        <v>691</v>
      </c>
      <c r="C1307" s="1996">
        <f>(-(-D1305)-SQRT(D1305^2-4*B1305*F1305))/(2*B1305)</f>
        <v>-0.49920767302462038</v>
      </c>
      <c r="D1307" s="187" t="s">
        <v>688</v>
      </c>
      <c r="G1307" s="187" t="s">
        <v>1837</v>
      </c>
      <c r="J1307" s="46"/>
      <c r="K1307" s="159"/>
      <c r="P1307" s="2084"/>
      <c r="Q1307" s="241" t="s">
        <v>687</v>
      </c>
      <c r="R1307" s="16"/>
      <c r="S1307" s="16"/>
      <c r="T1307" s="16"/>
      <c r="U1307" s="242">
        <f>F1237+R1306^2*D1236/(2*F1219)-D1236*(R1306-H1129/2)</f>
        <v>33.730428702015224</v>
      </c>
      <c r="V1307" s="241" t="s">
        <v>620</v>
      </c>
      <c r="W1307" s="16"/>
      <c r="X1307" s="58"/>
    </row>
    <row r="1308" spans="1:24" ht="14.25">
      <c r="B1308" s="187" t="s">
        <v>687</v>
      </c>
      <c r="F1308" s="33">
        <f>F1237+C1307^2*D1236/(2*F1219)-D1236*(C1307-H1129/2)</f>
        <v>97.234060748057829</v>
      </c>
      <c r="G1308" s="187" t="s">
        <v>620</v>
      </c>
      <c r="J1308" s="46"/>
      <c r="K1308" s="159"/>
      <c r="P1308" s="2084"/>
      <c r="Q1308" s="241" t="s">
        <v>692</v>
      </c>
      <c r="R1308" s="16"/>
      <c r="S1308" s="16"/>
      <c r="T1308" s="16"/>
      <c r="U1308" s="16"/>
      <c r="V1308" s="16"/>
      <c r="W1308" s="242">
        <f>R1306+40*C1295/1000</f>
        <v>1.8142359846491121</v>
      </c>
      <c r="X1308" s="366" t="s">
        <v>5</v>
      </c>
    </row>
    <row r="1309" spans="1:24">
      <c r="B1309" s="207" t="s">
        <v>2113</v>
      </c>
      <c r="C1309" s="126"/>
      <c r="D1309" s="126"/>
      <c r="E1309" s="126"/>
      <c r="F1309" s="246">
        <f>AA$26</f>
        <v>0</v>
      </c>
      <c r="G1309" s="207" t="s">
        <v>620</v>
      </c>
      <c r="K1309" s="159"/>
      <c r="P1309" s="2085"/>
      <c r="Q1309" s="59"/>
      <c r="R1309" s="59"/>
      <c r="S1309" s="1497" t="s">
        <v>943</v>
      </c>
      <c r="T1309" s="212">
        <f>+F1237/2</f>
        <v>33.730428702015246</v>
      </c>
      <c r="U1309" s="204" t="s">
        <v>620</v>
      </c>
      <c r="V1309" s="1504" t="str">
        <f>IF(U1307=T1309,"O.k","Not O.k")</f>
        <v>O.k</v>
      </c>
      <c r="W1309" s="59"/>
      <c r="X1309" s="60"/>
    </row>
    <row r="1310" spans="1:24">
      <c r="B1310" s="187" t="s">
        <v>692</v>
      </c>
      <c r="H1310" s="33">
        <f>IF(C1307&lt;H1129,H1129,C1307)+40*C1295/1000</f>
        <v>1.0900000000000001</v>
      </c>
      <c r="I1310" s="187" t="s">
        <v>5</v>
      </c>
      <c r="J1310" s="109"/>
      <c r="K1310" s="159"/>
    </row>
    <row r="1311" spans="1:24">
      <c r="H1311" s="624"/>
      <c r="I1311" s="46"/>
      <c r="J1311" s="46"/>
      <c r="K1311" s="159"/>
      <c r="L1311" s="187"/>
      <c r="N1311" s="129"/>
      <c r="O1311" s="385"/>
    </row>
    <row r="1312" spans="1:24" ht="12.75" customHeight="1">
      <c r="A1312" s="3085" t="s">
        <v>944</v>
      </c>
      <c r="B1312" s="355" t="s">
        <v>1147</v>
      </c>
      <c r="C1312" s="3138" t="s">
        <v>2115</v>
      </c>
      <c r="D1312" s="3118" t="s">
        <v>946</v>
      </c>
      <c r="E1312" s="3122" t="s">
        <v>937</v>
      </c>
      <c r="F1312" s="3122" t="s">
        <v>938</v>
      </c>
      <c r="G1312" s="3228" t="s">
        <v>947</v>
      </c>
      <c r="H1312" s="3118" t="s">
        <v>2120</v>
      </c>
      <c r="I1312" s="3213" t="s">
        <v>676</v>
      </c>
      <c r="J1312" s="3214"/>
      <c r="K1312" s="159"/>
    </row>
    <row r="1313" spans="1:14">
      <c r="A1313" s="3200"/>
      <c r="B1313" s="365" t="s">
        <v>1149</v>
      </c>
      <c r="C1313" s="3144"/>
      <c r="D1313" s="3092"/>
      <c r="E1313" s="3123"/>
      <c r="F1313" s="3123"/>
      <c r="G1313" s="3231"/>
      <c r="H1313" s="3092"/>
      <c r="I1313" s="960"/>
      <c r="J1313" s="961"/>
      <c r="K1313" s="159"/>
    </row>
    <row r="1314" spans="1:14">
      <c r="A1314" s="3086"/>
      <c r="B1314" s="354" t="s">
        <v>1148</v>
      </c>
      <c r="C1314" s="3144"/>
      <c r="D1314" s="623"/>
      <c r="E1314" s="360"/>
      <c r="F1314" s="360"/>
      <c r="G1314" s="3232"/>
      <c r="H1314" s="3239"/>
      <c r="I1314" s="959"/>
      <c r="J1314" s="961"/>
      <c r="K1314" s="159"/>
    </row>
    <row r="1315" spans="1:14" ht="14.25">
      <c r="A1315" s="2734" t="s">
        <v>5</v>
      </c>
      <c r="B1315" s="256" t="s">
        <v>491</v>
      </c>
      <c r="C1315" s="256" t="s">
        <v>491</v>
      </c>
      <c r="D1315" s="256" t="s">
        <v>491</v>
      </c>
      <c r="E1315" s="256" t="s">
        <v>491</v>
      </c>
      <c r="F1315" s="622" t="s">
        <v>98</v>
      </c>
      <c r="G1315" s="618" t="s">
        <v>5</v>
      </c>
      <c r="H1315" s="622" t="s">
        <v>98</v>
      </c>
      <c r="I1315" s="962"/>
      <c r="J1315" s="963"/>
      <c r="K1315" s="159"/>
    </row>
    <row r="1316" spans="1:14">
      <c r="A1316" s="2740">
        <f>H1310</f>
        <v>1.0900000000000001</v>
      </c>
      <c r="B1316" s="316">
        <f>0.5*PI()*(C1295/2)^2*1000/E1295</f>
        <v>1005.3096491487337</v>
      </c>
      <c r="C1316" s="357">
        <f>F1309*10^6/(fs*j*H1270)</f>
        <v>0</v>
      </c>
      <c r="D1316" s="316">
        <f>C1288</f>
        <v>570</v>
      </c>
      <c r="E1316" s="316">
        <f>MAX(B1316:D1316)</f>
        <v>1005.3096491487337</v>
      </c>
      <c r="F1316" s="619">
        <f>PI()*(C1295/2)^2*1000/E1316</f>
        <v>200</v>
      </c>
      <c r="G1316" s="620">
        <v>2.5</v>
      </c>
      <c r="H1316" s="621">
        <f>E1295*2</f>
        <v>200</v>
      </c>
      <c r="I1316" s="3215" t="str">
        <f>IF(OR(A1316&gt;F1219-0.5,H1316&gt;F1316),"Do not curtail ","Do curtailment")</f>
        <v>Do curtailment</v>
      </c>
      <c r="J1316" s="3216"/>
      <c r="K1316" s="159"/>
      <c r="L1316" s="1997" t="s">
        <v>645</v>
      </c>
      <c r="M1316" s="1998">
        <f>F1219</f>
        <v>6.4499999999999993</v>
      </c>
      <c r="N1316" s="187" t="s">
        <v>5</v>
      </c>
    </row>
    <row r="1317" spans="1:14">
      <c r="I1317" s="46"/>
      <c r="J1317" s="46"/>
      <c r="K1317" s="159"/>
    </row>
    <row r="1318" spans="1:14">
      <c r="B1318" s="2183" t="s">
        <v>602</v>
      </c>
      <c r="C1318" s="2184"/>
      <c r="D1318" s="2185" t="s">
        <v>1869</v>
      </c>
      <c r="E1318" s="2184"/>
      <c r="F1318" s="2184"/>
      <c r="J1318" s="46"/>
      <c r="K1318" s="159"/>
    </row>
    <row r="1319" spans="1:14">
      <c r="B1319" s="187"/>
      <c r="G1319" s="126" t="str">
        <f>IF(F1329=0,"No curtailment needed ","For Curtailment follow the Remark")</f>
        <v>For Curtailment follow the Remark</v>
      </c>
      <c r="H1319" s="126"/>
      <c r="I1319" s="126"/>
      <c r="J1319" s="126"/>
      <c r="K1319" s="159"/>
    </row>
    <row r="1320" spans="1:14">
      <c r="B1320" s="1" t="s">
        <v>657</v>
      </c>
      <c r="K1320" s="159"/>
    </row>
    <row r="1321" spans="1:14">
      <c r="B1321" s="187" t="s">
        <v>1872</v>
      </c>
      <c r="F1321" s="33">
        <f>IF(H1238&lt;0,H1238,0)</f>
        <v>-52.668892595969538</v>
      </c>
      <c r="G1321" s="187" t="s">
        <v>107</v>
      </c>
      <c r="K1321" s="159"/>
    </row>
    <row r="1322" spans="1:14">
      <c r="B1322" s="187" t="s">
        <v>1873</v>
      </c>
      <c r="C1322" s="46"/>
      <c r="D1322" s="46"/>
      <c r="F1322" s="33">
        <f>F1321*0.5</f>
        <v>-26.334446297984769</v>
      </c>
      <c r="G1322" s="187" t="s">
        <v>107</v>
      </c>
      <c r="K1322" s="159"/>
    </row>
    <row r="1323" spans="1:14" ht="14.25">
      <c r="B1323" s="187" t="s">
        <v>1826</v>
      </c>
      <c r="K1323" s="159"/>
    </row>
    <row r="1324" spans="1:14" ht="14.25">
      <c r="B1324" s="33">
        <f>D1236/F1219</f>
        <v>6.2082558139534898</v>
      </c>
      <c r="C1324" s="206" t="s">
        <v>685</v>
      </c>
      <c r="D1324" s="33">
        <f>D1236*2</f>
        <v>80.086500000000015</v>
      </c>
      <c r="E1324" s="206" t="s">
        <v>686</v>
      </c>
      <c r="F1324" s="33">
        <f>D1236*D1129+F1237*2-F1322*2</f>
        <v>205.61006990403052</v>
      </c>
      <c r="G1324" s="2762" t="s">
        <v>35</v>
      </c>
      <c r="H1324" s="18">
        <v>0</v>
      </c>
      <c r="K1324" s="159"/>
    </row>
    <row r="1325" spans="1:14">
      <c r="B1325" s="187" t="s">
        <v>691</v>
      </c>
      <c r="C1325" s="1996">
        <f>(-(-D1324)-SQRT(D1324^2-4*B1324*F1324))/(2*B1324)</f>
        <v>3.537323233575115</v>
      </c>
      <c r="D1325" s="187" t="s">
        <v>688</v>
      </c>
      <c r="F1325" s="187" t="s">
        <v>1827</v>
      </c>
      <c r="K1325" s="159"/>
    </row>
    <row r="1326" spans="1:14" ht="14.25">
      <c r="B1326" s="187" t="s">
        <v>687</v>
      </c>
      <c r="F1326" s="33">
        <f>F1237+C1325^2*D1236/(2*F1219)-D1236*(C1325-D1129/2)</f>
        <v>-26.334446297984783</v>
      </c>
      <c r="G1326" s="187" t="s">
        <v>620</v>
      </c>
      <c r="K1326" s="159"/>
    </row>
    <row r="1327" spans="1:14">
      <c r="K1327" s="159"/>
    </row>
    <row r="1328" spans="1:14">
      <c r="B1328" s="1" t="s">
        <v>661</v>
      </c>
      <c r="K1328" s="159"/>
    </row>
    <row r="1329" spans="1:11">
      <c r="B1329" s="187" t="s">
        <v>1872</v>
      </c>
      <c r="F1329" s="158">
        <f>IF(H1258&lt;0,H1258,0)</f>
        <v>-87.68429001044251</v>
      </c>
      <c r="G1329" s="187" t="s">
        <v>107</v>
      </c>
      <c r="J1329" s="46"/>
      <c r="K1329" s="159"/>
    </row>
    <row r="1330" spans="1:11">
      <c r="B1330" s="187" t="s">
        <v>1873</v>
      </c>
      <c r="F1330" s="33">
        <f>F1329/2</f>
        <v>-43.842145005221255</v>
      </c>
      <c r="G1330" s="187" t="s">
        <v>107</v>
      </c>
      <c r="J1330" s="46"/>
      <c r="K1330" s="159"/>
    </row>
    <row r="1331" spans="1:11" ht="14.25">
      <c r="B1331" s="187" t="s">
        <v>1823</v>
      </c>
      <c r="J1331" s="46"/>
      <c r="K1331" s="159"/>
    </row>
    <row r="1332" spans="1:11" ht="14.25">
      <c r="A1332" s="203" t="s">
        <v>707</v>
      </c>
      <c r="B1332" s="187" t="s">
        <v>1826</v>
      </c>
      <c r="J1332" s="46"/>
      <c r="K1332" s="159"/>
    </row>
    <row r="1333" spans="1:11" ht="14.25">
      <c r="B1333" s="33">
        <f>D1255/F1219</f>
        <v>6.2082558139534898</v>
      </c>
      <c r="C1333" s="206" t="s">
        <v>685</v>
      </c>
      <c r="D1333" s="33">
        <f>D1255*2</f>
        <v>80.086500000000015</v>
      </c>
      <c r="E1333" s="206" t="s">
        <v>686</v>
      </c>
      <c r="F1333" s="33">
        <f>D1255*H1129+F1257*2-F1330*2</f>
        <v>170.59467248955755</v>
      </c>
      <c r="G1333" s="2188" t="s">
        <v>35</v>
      </c>
      <c r="H1333" s="18">
        <v>0</v>
      </c>
      <c r="J1333" s="46"/>
      <c r="K1333" s="159"/>
    </row>
    <row r="1334" spans="1:11">
      <c r="B1334" s="33"/>
      <c r="C1334" s="206"/>
      <c r="D1334" s="33"/>
      <c r="E1334" s="206"/>
      <c r="F1334" s="33"/>
      <c r="G1334" s="2188"/>
      <c r="H1334" s="18"/>
      <c r="J1334" s="46"/>
      <c r="K1334" s="159"/>
    </row>
    <row r="1335" spans="1:11">
      <c r="B1335" s="187" t="s">
        <v>691</v>
      </c>
      <c r="C1335" s="1996">
        <f>(-(-D1333)-SQRT(D1333^2-4*B1333*F1333))/(2*B1333)</f>
        <v>2.6918328425422189</v>
      </c>
      <c r="D1335" s="187" t="s">
        <v>688</v>
      </c>
      <c r="G1335" s="187" t="s">
        <v>1827</v>
      </c>
      <c r="J1335" s="46"/>
      <c r="K1335" s="159"/>
    </row>
    <row r="1336" spans="1:11" ht="14.25">
      <c r="B1336" s="187" t="s">
        <v>687</v>
      </c>
      <c r="F1336" s="33">
        <f>F1257+C1335^2*D1255/(2*F1219)-D1255*(C1335-H1129/2)</f>
        <v>-43.842145005221269</v>
      </c>
      <c r="G1336" s="187" t="s">
        <v>620</v>
      </c>
      <c r="J1336" s="46"/>
      <c r="K1336" s="159"/>
    </row>
    <row r="1337" spans="1:11">
      <c r="K1337" s="159"/>
    </row>
    <row r="1338" spans="1:11">
      <c r="B1338" s="207" t="s">
        <v>2119</v>
      </c>
      <c r="C1338" s="126"/>
      <c r="D1338" s="126"/>
      <c r="E1338" s="126"/>
      <c r="F1338" s="126"/>
      <c r="G1338" s="126"/>
      <c r="H1338" s="246">
        <f>Z$26</f>
        <v>87.68429001044251</v>
      </c>
      <c r="I1338" s="207" t="s">
        <v>620</v>
      </c>
      <c r="K1338" s="159"/>
    </row>
    <row r="1339" spans="1:11">
      <c r="B1339" t="s">
        <v>2127</v>
      </c>
      <c r="H1339" s="33">
        <f>AF26</f>
        <v>2.6918328425422189</v>
      </c>
      <c r="I1339" s="187" t="s">
        <v>5</v>
      </c>
      <c r="K1339" s="159"/>
    </row>
    <row r="1340" spans="1:11">
      <c r="B1340" s="187" t="s">
        <v>692</v>
      </c>
      <c r="H1340" s="33">
        <f>H1339-40*C1292/1000</f>
        <v>2.0518328425422188</v>
      </c>
      <c r="I1340" s="187" t="s">
        <v>5</v>
      </c>
      <c r="J1340" s="109"/>
      <c r="K1340" s="159"/>
    </row>
    <row r="1341" spans="1:11">
      <c r="B1341" s="187" t="s">
        <v>1874</v>
      </c>
      <c r="H1341" s="33">
        <f>IF(H1340&lt;D1129,0,H1340-D1129)</f>
        <v>1.6018328425422188</v>
      </c>
      <c r="I1341" s="187" t="s">
        <v>5</v>
      </c>
      <c r="J1341" s="109"/>
      <c r="K1341" s="159"/>
    </row>
    <row r="1342" spans="1:11">
      <c r="B1342" s="187" t="s">
        <v>2122</v>
      </c>
      <c r="H1342" s="33">
        <f>F1129</f>
        <v>12</v>
      </c>
      <c r="I1342" s="187" t="s">
        <v>5</v>
      </c>
      <c r="J1342" s="46"/>
      <c r="K1342" s="159"/>
    </row>
    <row r="1343" spans="1:11">
      <c r="B1343" s="187" t="s">
        <v>2121</v>
      </c>
      <c r="H1343" s="33">
        <f>F1129-G1349*2</f>
        <v>7</v>
      </c>
      <c r="I1343" s="187" t="s">
        <v>5</v>
      </c>
      <c r="J1343" s="46"/>
      <c r="K1343" s="159"/>
    </row>
    <row r="1344" spans="1:11">
      <c r="J1344" s="46"/>
      <c r="K1344" s="159"/>
    </row>
    <row r="1345" spans="1:13">
      <c r="A1345" s="3085" t="s">
        <v>1875</v>
      </c>
      <c r="B1345" s="3118" t="s">
        <v>945</v>
      </c>
      <c r="C1345" s="355" t="s">
        <v>1147</v>
      </c>
      <c r="D1345" s="3118" t="s">
        <v>946</v>
      </c>
      <c r="E1345" s="3122" t="s">
        <v>937</v>
      </c>
      <c r="F1345" s="3122" t="s">
        <v>938</v>
      </c>
      <c r="G1345" s="3228" t="s">
        <v>947</v>
      </c>
      <c r="H1345" s="3118" t="s">
        <v>622</v>
      </c>
      <c r="I1345" s="3213" t="s">
        <v>676</v>
      </c>
      <c r="J1345" s="3214"/>
      <c r="K1345" s="159"/>
    </row>
    <row r="1346" spans="1:13">
      <c r="A1346" s="3202"/>
      <c r="B1346" s="3092"/>
      <c r="C1346" s="365" t="s">
        <v>1149</v>
      </c>
      <c r="D1346" s="3092"/>
      <c r="E1346" s="3123"/>
      <c r="F1346" s="3123"/>
      <c r="G1346" s="3231"/>
      <c r="H1346" s="3092"/>
      <c r="I1346" s="960"/>
      <c r="J1346" s="961"/>
      <c r="K1346" s="159"/>
    </row>
    <row r="1347" spans="1:13">
      <c r="A1347" s="3203"/>
      <c r="B1347" s="2192"/>
      <c r="C1347" s="354" t="s">
        <v>1148</v>
      </c>
      <c r="D1347" s="2190"/>
      <c r="E1347" s="360"/>
      <c r="F1347" s="360"/>
      <c r="G1347" s="3232"/>
      <c r="H1347" s="2192"/>
      <c r="I1347" s="959"/>
      <c r="J1347" s="961"/>
      <c r="K1347" s="159"/>
    </row>
    <row r="1348" spans="1:13" ht="14.25">
      <c r="A1348" s="2186" t="s">
        <v>5</v>
      </c>
      <c r="B1348" s="256" t="s">
        <v>491</v>
      </c>
      <c r="C1348" s="256" t="s">
        <v>491</v>
      </c>
      <c r="D1348" s="256" t="s">
        <v>491</v>
      </c>
      <c r="E1348" s="256" t="s">
        <v>491</v>
      </c>
      <c r="F1348" s="2187" t="s">
        <v>98</v>
      </c>
      <c r="G1348" s="618" t="s">
        <v>5</v>
      </c>
      <c r="H1348" s="2187" t="s">
        <v>98</v>
      </c>
      <c r="I1348" s="962"/>
      <c r="J1348" s="963"/>
      <c r="K1348" s="159"/>
    </row>
    <row r="1349" spans="1:13">
      <c r="A1349" s="455">
        <f>H1341</f>
        <v>1.6018328425422188</v>
      </c>
      <c r="B1349" s="316">
        <f>0.5*ABS(H1338)*10^6/($C$18*$C$22*H1270)</f>
        <v>453.28695597038762</v>
      </c>
      <c r="C1349" s="316">
        <f>0.5*PI()*(C1292/2)^2*1000/E1292</f>
        <v>502.65482457436684</v>
      </c>
      <c r="D1349" s="316">
        <f>C1285</f>
        <v>950</v>
      </c>
      <c r="E1349" s="316">
        <f>MAX(B1349:D1349)</f>
        <v>950</v>
      </c>
      <c r="F1349" s="619">
        <f>PI()*(C1292/2)^2*1000/E1349</f>
        <v>211.6441366628913</v>
      </c>
      <c r="G1349" s="620">
        <v>2.5</v>
      </c>
      <c r="H1349" s="621">
        <f>E1292*2</f>
        <v>400</v>
      </c>
      <c r="I1349" s="3215" t="str">
        <f>IF(OR(H1349&gt;F1349,H1338=0),"No curtailment ","Do curtailment")</f>
        <v xml:space="preserve">No curtailment </v>
      </c>
      <c r="J1349" s="3216"/>
      <c r="K1349" s="159"/>
      <c r="L1349" s="33"/>
      <c r="M1349" s="33"/>
    </row>
    <row r="1350" spans="1:13">
      <c r="J1350" s="46"/>
      <c r="K1350" s="159"/>
    </row>
    <row r="1351" spans="1:13">
      <c r="A1351" s="159"/>
      <c r="B1351" s="159"/>
      <c r="C1351" s="159"/>
      <c r="D1351" s="159"/>
      <c r="E1351" s="159"/>
      <c r="F1351" s="159"/>
      <c r="G1351" s="159"/>
      <c r="H1351" s="159"/>
      <c r="I1351" s="159"/>
      <c r="J1351" s="159"/>
      <c r="K1351" s="159"/>
    </row>
    <row r="1352" spans="1:13">
      <c r="B1352" s="937" t="s">
        <v>711</v>
      </c>
      <c r="C1352" s="159"/>
      <c r="D1352" s="159"/>
      <c r="E1352" s="159"/>
      <c r="J1352" s="46"/>
      <c r="K1352" s="159"/>
    </row>
    <row r="1353" spans="1:13">
      <c r="J1353" s="46"/>
      <c r="K1353" s="159"/>
    </row>
    <row r="1354" spans="1:13">
      <c r="A1354" s="413"/>
      <c r="B1354" s="643" t="s">
        <v>876</v>
      </c>
      <c r="C1354" s="644" t="str">
        <f>C109</f>
        <v>1-1</v>
      </c>
      <c r="D1354" s="643" t="s">
        <v>876</v>
      </c>
      <c r="E1354" s="650" t="str">
        <f>C357</f>
        <v>2-2</v>
      </c>
      <c r="F1354" s="643" t="s">
        <v>876</v>
      </c>
      <c r="G1354" s="645" t="str">
        <f>C605</f>
        <v>3-3</v>
      </c>
      <c r="H1354" s="643" t="s">
        <v>876</v>
      </c>
      <c r="I1354" s="645" t="str">
        <f>C853</f>
        <v>4-4</v>
      </c>
      <c r="J1354" s="787"/>
      <c r="K1354" s="159"/>
      <c r="L1354" s="643" t="s">
        <v>950</v>
      </c>
      <c r="M1354" s="641" t="str">
        <f>C1103</f>
        <v>5-5</v>
      </c>
    </row>
    <row r="1355" spans="1:13">
      <c r="A1355" s="1292" t="s">
        <v>1884</v>
      </c>
      <c r="B1355" s="2226">
        <f>B28</f>
        <v>2.7</v>
      </c>
      <c r="C1355" s="2227" t="s">
        <v>5</v>
      </c>
      <c r="D1355" s="268">
        <f>D31</f>
        <v>5.8500000000000005</v>
      </c>
      <c r="E1355" s="1102" t="s">
        <v>5</v>
      </c>
      <c r="F1355" s="2226">
        <f>F63</f>
        <v>5.8500000000000005</v>
      </c>
      <c r="G1355" s="2227" t="s">
        <v>5</v>
      </c>
      <c r="H1355" s="2226">
        <f>H63</f>
        <v>3.2999999999999972</v>
      </c>
      <c r="I1355" s="2227" t="s">
        <v>5</v>
      </c>
      <c r="J1355" s="408"/>
      <c r="K1355" s="159"/>
      <c r="L1355" s="348"/>
      <c r="M1355" s="380"/>
    </row>
    <row r="1356" spans="1:13">
      <c r="A1356" s="412" t="s">
        <v>492</v>
      </c>
      <c r="B1356" s="256" t="s">
        <v>709</v>
      </c>
      <c r="C1356" s="256" t="s">
        <v>710</v>
      </c>
      <c r="D1356" s="256" t="s">
        <v>709</v>
      </c>
      <c r="E1356" s="256" t="s">
        <v>710</v>
      </c>
      <c r="F1356" s="256" t="s">
        <v>709</v>
      </c>
      <c r="G1356" s="256" t="s">
        <v>710</v>
      </c>
      <c r="H1356" s="256" t="s">
        <v>709</v>
      </c>
      <c r="I1356" s="256" t="s">
        <v>710</v>
      </c>
      <c r="J1356" s="408"/>
      <c r="K1356" s="159"/>
      <c r="L1356" s="256" t="s">
        <v>709</v>
      </c>
      <c r="M1356" s="639" t="s">
        <v>710</v>
      </c>
    </row>
    <row r="1357" spans="1:13">
      <c r="A1357" s="259" t="s">
        <v>111</v>
      </c>
      <c r="B1357" s="564">
        <f>C184</f>
        <v>25</v>
      </c>
      <c r="C1357" s="593">
        <f>E184</f>
        <v>100</v>
      </c>
      <c r="D1357" s="270">
        <f>C432</f>
        <v>25</v>
      </c>
      <c r="E1357" s="270">
        <f>E432</f>
        <v>100</v>
      </c>
      <c r="F1357" s="367">
        <f>C680</f>
        <v>20</v>
      </c>
      <c r="G1357" s="350">
        <f>E680</f>
        <v>100</v>
      </c>
      <c r="H1357" s="367">
        <f>C929</f>
        <v>16</v>
      </c>
      <c r="I1357" s="147">
        <f>E929</f>
        <v>100</v>
      </c>
      <c r="J1357" s="275"/>
      <c r="K1357" s="159"/>
      <c r="L1357" s="367">
        <f>C1178</f>
        <v>16</v>
      </c>
      <c r="M1357" s="350">
        <f>E1178</f>
        <v>100</v>
      </c>
    </row>
    <row r="1358" spans="1:13">
      <c r="A1358" s="262" t="s">
        <v>110</v>
      </c>
      <c r="B1358" s="564">
        <f>C185</f>
        <v>16</v>
      </c>
      <c r="C1358" s="593">
        <f>E185</f>
        <v>200</v>
      </c>
      <c r="D1358" s="270">
        <f>C433</f>
        <v>16</v>
      </c>
      <c r="E1358" s="270">
        <f>E433</f>
        <v>200</v>
      </c>
      <c r="F1358" s="367">
        <f>C681</f>
        <v>16</v>
      </c>
      <c r="G1358" s="350">
        <f>E681</f>
        <v>200</v>
      </c>
      <c r="H1358" s="367">
        <f>C930</f>
        <v>16</v>
      </c>
      <c r="I1358" s="147">
        <f>E930</f>
        <v>200</v>
      </c>
      <c r="J1358" s="275"/>
      <c r="K1358" s="159"/>
      <c r="L1358" s="367">
        <f>C1179</f>
        <v>16</v>
      </c>
      <c r="M1358" s="350">
        <f>E1179</f>
        <v>200</v>
      </c>
    </row>
    <row r="1359" spans="1:13" ht="15">
      <c r="A1359" s="321" t="s">
        <v>493</v>
      </c>
      <c r="B1359" s="415"/>
      <c r="C1359" s="416"/>
      <c r="D1359" s="270"/>
      <c r="E1359" s="270"/>
      <c r="F1359" s="640"/>
      <c r="G1359" s="58"/>
      <c r="H1359" s="367"/>
      <c r="I1359" s="147"/>
      <c r="J1359" s="275"/>
      <c r="K1359" s="159"/>
      <c r="L1359" s="367"/>
      <c r="M1359" s="350"/>
    </row>
    <row r="1360" spans="1:13">
      <c r="A1360" s="259" t="s">
        <v>111</v>
      </c>
      <c r="B1360" s="564">
        <f>C187</f>
        <v>16</v>
      </c>
      <c r="C1360" s="414">
        <v>200</v>
      </c>
      <c r="D1360" s="270">
        <f>C435</f>
        <v>16</v>
      </c>
      <c r="E1360" s="270">
        <f>E435</f>
        <v>200</v>
      </c>
      <c r="F1360" s="367">
        <f>C683</f>
        <v>16</v>
      </c>
      <c r="G1360" s="350">
        <f>E683</f>
        <v>200</v>
      </c>
      <c r="H1360" s="367">
        <f>C932</f>
        <v>16</v>
      </c>
      <c r="I1360" s="147">
        <f>E932</f>
        <v>200</v>
      </c>
      <c r="J1360" s="275"/>
      <c r="K1360" s="159"/>
      <c r="L1360" s="367">
        <f>C1181</f>
        <v>16</v>
      </c>
      <c r="M1360" s="350">
        <f>E1181</f>
        <v>200</v>
      </c>
    </row>
    <row r="1361" spans="1:13">
      <c r="A1361" s="262" t="s">
        <v>110</v>
      </c>
      <c r="B1361" s="569">
        <f>C188</f>
        <v>16</v>
      </c>
      <c r="C1361" s="417">
        <v>200</v>
      </c>
      <c r="D1361" s="280">
        <f>C436</f>
        <v>16</v>
      </c>
      <c r="E1361" s="280">
        <f>E436</f>
        <v>200</v>
      </c>
      <c r="F1361" s="367">
        <f>C684</f>
        <v>16</v>
      </c>
      <c r="G1361" s="350">
        <f>E684</f>
        <v>200</v>
      </c>
      <c r="H1361" s="156">
        <f>C933</f>
        <v>16</v>
      </c>
      <c r="I1361" s="95">
        <f>E933</f>
        <v>200</v>
      </c>
      <c r="J1361" s="275"/>
      <c r="K1361" s="159"/>
      <c r="L1361" s="156">
        <f>C1182</f>
        <v>16</v>
      </c>
      <c r="M1361" s="311">
        <f>E1182</f>
        <v>200</v>
      </c>
    </row>
    <row r="1362" spans="1:13">
      <c r="A1362" s="419"/>
      <c r="B1362" s="426"/>
      <c r="C1362" s="427"/>
      <c r="D1362" s="347"/>
      <c r="E1362" s="347"/>
      <c r="F1362" s="423"/>
      <c r="G1362" s="56"/>
      <c r="H1362" s="248"/>
      <c r="I1362" s="375"/>
      <c r="J1362" s="275"/>
      <c r="K1362" s="159"/>
      <c r="L1362" s="248"/>
      <c r="M1362" s="420"/>
    </row>
    <row r="1363" spans="1:13">
      <c r="A1363" s="421" t="s">
        <v>715</v>
      </c>
      <c r="B1363" s="640"/>
      <c r="C1363" s="58"/>
      <c r="D1363" s="16"/>
      <c r="E1363" s="16"/>
      <c r="F1363" s="640"/>
      <c r="G1363" s="58"/>
      <c r="H1363" s="367"/>
      <c r="I1363" s="147"/>
      <c r="J1363" s="275"/>
      <c r="K1363" s="159"/>
      <c r="L1363" s="367"/>
      <c r="M1363" s="147"/>
    </row>
    <row r="1364" spans="1:13">
      <c r="A1364" s="421" t="s">
        <v>713</v>
      </c>
      <c r="B1364" s="424">
        <f>D204</f>
        <v>3</v>
      </c>
      <c r="C1364" s="58" t="s">
        <v>5</v>
      </c>
      <c r="D1364" s="242">
        <f>D452</f>
        <v>3</v>
      </c>
      <c r="E1364" s="16" t="s">
        <v>5</v>
      </c>
      <c r="F1364" s="424">
        <f>D700</f>
        <v>3</v>
      </c>
      <c r="G1364" s="58" t="s">
        <v>5</v>
      </c>
      <c r="H1364" s="653">
        <f>D949</f>
        <v>1.8</v>
      </c>
      <c r="I1364" s="428" t="s">
        <v>5</v>
      </c>
      <c r="J1364" s="788"/>
      <c r="K1364" s="159"/>
      <c r="L1364" s="653">
        <f>D1198</f>
        <v>1.8</v>
      </c>
      <c r="M1364" s="428" t="s">
        <v>5</v>
      </c>
    </row>
    <row r="1365" spans="1:13">
      <c r="A1365" s="422" t="s">
        <v>714</v>
      </c>
      <c r="B1365" s="425">
        <f>D205</f>
        <v>4.5</v>
      </c>
      <c r="C1365" s="60" t="s">
        <v>5</v>
      </c>
      <c r="D1365" s="212">
        <f>D453</f>
        <v>5</v>
      </c>
      <c r="E1365" s="59" t="s">
        <v>5</v>
      </c>
      <c r="F1365" s="425">
        <f>D701</f>
        <v>4.5</v>
      </c>
      <c r="G1365" s="60" t="s">
        <v>5</v>
      </c>
      <c r="H1365" s="654">
        <f>D950</f>
        <v>0</v>
      </c>
      <c r="I1365" s="655" t="s">
        <v>5</v>
      </c>
      <c r="J1365" s="788"/>
      <c r="K1365" s="159"/>
      <c r="L1365" s="654">
        <f>D1199</f>
        <v>0</v>
      </c>
      <c r="M1365" s="655" t="s">
        <v>5</v>
      </c>
    </row>
    <row r="1366" spans="1:13">
      <c r="A1366" s="418"/>
      <c r="B1366" s="33"/>
      <c r="D1366" s="33"/>
      <c r="H1366" s="10"/>
      <c r="I1366" s="2"/>
      <c r="J1366" s="90"/>
      <c r="K1366" s="159"/>
      <c r="L1366" s="10"/>
      <c r="M1366" s="2"/>
    </row>
    <row r="1367" spans="1:13">
      <c r="B1367" s="937" t="s">
        <v>712</v>
      </c>
      <c r="C1367" s="159"/>
      <c r="D1367" s="159"/>
      <c r="E1367" s="159"/>
      <c r="H1367" s="2"/>
      <c r="I1367" s="2"/>
      <c r="J1367" s="90"/>
      <c r="K1367" s="159"/>
      <c r="L1367" s="2"/>
      <c r="M1367" s="2"/>
    </row>
    <row r="1368" spans="1:13">
      <c r="J1368" s="46"/>
      <c r="K1368" s="159"/>
    </row>
    <row r="1369" spans="1:13">
      <c r="A1369" s="413"/>
      <c r="B1369" s="643" t="str">
        <f>+B1354</f>
        <v>Sec</v>
      </c>
      <c r="C1369" s="646" t="str">
        <f t="shared" ref="C1369:E1369" si="42">+C1354</f>
        <v>1-1</v>
      </c>
      <c r="D1369" s="652" t="str">
        <f t="shared" si="42"/>
        <v>Sec</v>
      </c>
      <c r="E1369" s="651" t="str">
        <f t="shared" si="42"/>
        <v>2-2</v>
      </c>
      <c r="F1369" s="652" t="str">
        <f t="shared" ref="F1369:G1369" si="43">+F1354</f>
        <v>Sec</v>
      </c>
      <c r="G1369" s="651" t="str">
        <f t="shared" si="43"/>
        <v>3-3</v>
      </c>
      <c r="H1369" s="652" t="str">
        <f>+H1354</f>
        <v>Sec</v>
      </c>
      <c r="I1369" s="651" t="str">
        <f>+I1354</f>
        <v>4-4</v>
      </c>
      <c r="J1369" s="789"/>
      <c r="K1369" s="159"/>
      <c r="L1369" s="652" t="str">
        <f>+L1354</f>
        <v>Sec :</v>
      </c>
      <c r="M1369" s="651" t="str">
        <f>+M1354</f>
        <v>5-5</v>
      </c>
    </row>
    <row r="1370" spans="1:13">
      <c r="A1370" s="264" t="s">
        <v>440</v>
      </c>
      <c r="B1370" s="256" t="s">
        <v>709</v>
      </c>
      <c r="C1370" s="256" t="s">
        <v>710</v>
      </c>
      <c r="D1370" s="256" t="s">
        <v>709</v>
      </c>
      <c r="E1370" s="256" t="s">
        <v>710</v>
      </c>
      <c r="F1370" s="256" t="s">
        <v>709</v>
      </c>
      <c r="G1370" s="256" t="s">
        <v>710</v>
      </c>
      <c r="H1370" s="256" t="s">
        <v>709</v>
      </c>
      <c r="I1370" s="256" t="s">
        <v>710</v>
      </c>
      <c r="J1370" s="408"/>
      <c r="K1370" s="159"/>
      <c r="L1370" s="256" t="s">
        <v>709</v>
      </c>
      <c r="M1370" s="639" t="s">
        <v>710</v>
      </c>
    </row>
    <row r="1371" spans="1:13">
      <c r="A1371" s="363" t="s">
        <v>441</v>
      </c>
      <c r="B1371" s="367">
        <f>C298</f>
        <v>16</v>
      </c>
      <c r="C1371" s="147">
        <f>E298</f>
        <v>200</v>
      </c>
      <c r="D1371" s="75">
        <f>C546</f>
        <v>16</v>
      </c>
      <c r="E1371" s="75">
        <f>E546</f>
        <v>200</v>
      </c>
      <c r="F1371" s="248">
        <f>C794</f>
        <v>16</v>
      </c>
      <c r="G1371" s="420">
        <f>E794</f>
        <v>200</v>
      </c>
      <c r="H1371" s="367">
        <f>C1044</f>
        <v>16</v>
      </c>
      <c r="I1371" s="147">
        <f>E1044</f>
        <v>100</v>
      </c>
      <c r="J1371" s="275"/>
      <c r="K1371" s="159"/>
      <c r="L1371" s="367">
        <f>C1292</f>
        <v>16</v>
      </c>
      <c r="M1371" s="350">
        <f>E1292</f>
        <v>200</v>
      </c>
    </row>
    <row r="1372" spans="1:13">
      <c r="A1372" s="364" t="s">
        <v>442</v>
      </c>
      <c r="B1372" s="367">
        <f>C299</f>
        <v>16</v>
      </c>
      <c r="C1372" s="147">
        <f>E299</f>
        <v>200</v>
      </c>
      <c r="D1372" s="75">
        <f>C547</f>
        <v>16</v>
      </c>
      <c r="E1372" s="75">
        <f>E547</f>
        <v>200</v>
      </c>
      <c r="F1372" s="367">
        <f>C795</f>
        <v>16</v>
      </c>
      <c r="G1372" s="350">
        <f>E795</f>
        <v>200</v>
      </c>
      <c r="H1372" s="367">
        <f>C1045</f>
        <v>16</v>
      </c>
      <c r="I1372" s="147">
        <f>E1045</f>
        <v>200</v>
      </c>
      <c r="J1372" s="275"/>
      <c r="K1372" s="159"/>
      <c r="L1372" s="367">
        <f>C1293</f>
        <v>16</v>
      </c>
      <c r="M1372" s="350">
        <f>E1293</f>
        <v>200</v>
      </c>
    </row>
    <row r="1373" spans="1:13">
      <c r="A1373" s="258" t="s">
        <v>443</v>
      </c>
      <c r="B1373" s="367"/>
      <c r="C1373" s="147"/>
      <c r="D1373" s="75"/>
      <c r="E1373" s="75"/>
      <c r="F1373" s="367"/>
      <c r="G1373" s="147"/>
      <c r="H1373" s="367"/>
      <c r="I1373" s="147"/>
      <c r="J1373" s="275"/>
      <c r="K1373" s="159"/>
      <c r="L1373" s="367"/>
      <c r="M1373" s="350"/>
    </row>
    <row r="1374" spans="1:13">
      <c r="A1374" s="363" t="s">
        <v>441</v>
      </c>
      <c r="B1374" s="367">
        <f>C301</f>
        <v>25</v>
      </c>
      <c r="C1374" s="147">
        <f>E301</f>
        <v>100</v>
      </c>
      <c r="D1374" s="75">
        <f>C549</f>
        <v>25</v>
      </c>
      <c r="E1374" s="75">
        <f>E549</f>
        <v>100</v>
      </c>
      <c r="F1374" s="367">
        <f>C797</f>
        <v>20</v>
      </c>
      <c r="G1374" s="350">
        <f>E797</f>
        <v>100</v>
      </c>
      <c r="H1374" s="367">
        <f>C1047</f>
        <v>16</v>
      </c>
      <c r="I1374" s="147">
        <f>E1047</f>
        <v>100</v>
      </c>
      <c r="J1374" s="275"/>
      <c r="K1374" s="159"/>
      <c r="L1374" s="367">
        <f>C1295</f>
        <v>16</v>
      </c>
      <c r="M1374" s="350">
        <f>E1295</f>
        <v>100</v>
      </c>
    </row>
    <row r="1375" spans="1:13">
      <c r="A1375" s="364" t="s">
        <v>442</v>
      </c>
      <c r="B1375" s="156">
        <f>C302</f>
        <v>16</v>
      </c>
      <c r="C1375" s="95">
        <f>E302</f>
        <v>250</v>
      </c>
      <c r="D1375" s="77">
        <f>C550</f>
        <v>16</v>
      </c>
      <c r="E1375" s="77">
        <f>E550</f>
        <v>250</v>
      </c>
      <c r="F1375" s="156">
        <f>C798</f>
        <v>16</v>
      </c>
      <c r="G1375" s="311">
        <f>E798</f>
        <v>250</v>
      </c>
      <c r="H1375" s="156">
        <f>C1048</f>
        <v>16</v>
      </c>
      <c r="I1375" s="95">
        <f>E1048</f>
        <v>250</v>
      </c>
      <c r="J1375" s="275"/>
      <c r="K1375" s="159"/>
      <c r="L1375" s="156">
        <f>C1296</f>
        <v>16</v>
      </c>
      <c r="M1375" s="311">
        <f>E1296</f>
        <v>250</v>
      </c>
    </row>
    <row r="1376" spans="1:13">
      <c r="A1376" s="423" t="s">
        <v>951</v>
      </c>
      <c r="B1376" s="423"/>
      <c r="C1376" s="56"/>
      <c r="D1376" s="55"/>
      <c r="E1376" s="55"/>
      <c r="F1376" s="423"/>
      <c r="G1376" s="56"/>
      <c r="H1376" s="423"/>
      <c r="I1376" s="56"/>
      <c r="J1376" s="386"/>
      <c r="K1376" s="159"/>
      <c r="L1376" s="423"/>
      <c r="M1376" s="56"/>
    </row>
    <row r="1377" spans="1:13">
      <c r="A1377" s="2624" t="s">
        <v>1885</v>
      </c>
      <c r="B1377" s="424" t="str">
        <f>FIXED(G322,2)&amp;" m from end"</f>
        <v>0.00 m from end</v>
      </c>
      <c r="C1377" s="58"/>
      <c r="D1377" s="424" t="str">
        <f>FIXED(G570,2)&amp;" m from end"</f>
        <v>3.00 m from end</v>
      </c>
      <c r="E1377" s="16"/>
      <c r="F1377" s="424" t="str">
        <f>FIXED(G818,2)&amp;" m from end"</f>
        <v>2.00 m from end</v>
      </c>
      <c r="G1377" s="58"/>
      <c r="H1377" s="424" t="str">
        <f>FIXED(G1069,2)&amp;" m from end"</f>
        <v>2.50 m from end</v>
      </c>
      <c r="I1377" s="58"/>
      <c r="J1377" s="386"/>
      <c r="K1377" s="159"/>
      <c r="L1377" s="424" t="str">
        <f>FIXED(G1316,2)&amp;" m from end"</f>
        <v>2.50 m from end</v>
      </c>
      <c r="M1377" s="58"/>
    </row>
    <row r="1378" spans="1:13">
      <c r="A1378" s="2625" t="s">
        <v>1886</v>
      </c>
      <c r="B1378" s="425">
        <f>G355</f>
        <v>0</v>
      </c>
      <c r="C1378" s="518" t="s">
        <v>5</v>
      </c>
      <c r="D1378" s="212">
        <f>G603</f>
        <v>0</v>
      </c>
      <c r="E1378" s="204" t="s">
        <v>5</v>
      </c>
      <c r="F1378" s="425">
        <f>G851</f>
        <v>0</v>
      </c>
      <c r="G1378" s="518" t="s">
        <v>5</v>
      </c>
      <c r="H1378" s="425">
        <f>G1101</f>
        <v>0.7</v>
      </c>
      <c r="I1378" s="518" t="s">
        <v>5</v>
      </c>
      <c r="J1378" s="386"/>
      <c r="K1378" s="159"/>
      <c r="L1378" s="425">
        <f>G1349</f>
        <v>2.5</v>
      </c>
      <c r="M1378" s="518" t="s">
        <v>5</v>
      </c>
    </row>
    <row r="1379" spans="1:13">
      <c r="J1379" s="46"/>
      <c r="K1379" s="159"/>
    </row>
    <row r="1380" spans="1:13">
      <c r="J1380" s="46"/>
      <c r="K1380" s="159"/>
    </row>
    <row r="1381" spans="1:13">
      <c r="J1381" s="46"/>
      <c r="K1381" s="159"/>
    </row>
    <row r="1382" spans="1:13">
      <c r="J1382" s="46"/>
      <c r="K1382" s="159"/>
    </row>
    <row r="1383" spans="1:13">
      <c r="A1383" s="159"/>
      <c r="B1383" s="159"/>
      <c r="C1383" s="159"/>
      <c r="D1383" s="159"/>
      <c r="E1383" s="159"/>
      <c r="F1383" s="159"/>
      <c r="G1383" s="159"/>
      <c r="H1383" s="159"/>
      <c r="I1383" s="159"/>
      <c r="J1383" s="159"/>
      <c r="K1383" s="159"/>
    </row>
  </sheetData>
  <sheetProtection selectLockedCells="1"/>
  <mergeCells count="378">
    <mergeCell ref="G1178:G1179"/>
    <mergeCell ref="J1178:J1179"/>
    <mergeCell ref="J298:J299"/>
    <mergeCell ref="J301:J302"/>
    <mergeCell ref="J546:J547"/>
    <mergeCell ref="J549:J550"/>
    <mergeCell ref="J794:J795"/>
    <mergeCell ref="J797:J798"/>
    <mergeCell ref="J1044:J1045"/>
    <mergeCell ref="J1047:J1048"/>
    <mergeCell ref="G448:I448"/>
    <mergeCell ref="G449:G450"/>
    <mergeCell ref="H449:H450"/>
    <mergeCell ref="H318:H320"/>
    <mergeCell ref="G351:G353"/>
    <mergeCell ref="I351:J351"/>
    <mergeCell ref="E1167:I1167"/>
    <mergeCell ref="H468:H469"/>
    <mergeCell ref="F814:F815"/>
    <mergeCell ref="F599:F601"/>
    <mergeCell ref="H599:H601"/>
    <mergeCell ref="G680:G681"/>
    <mergeCell ref="E1097:E1098"/>
    <mergeCell ref="I1097:J1097"/>
    <mergeCell ref="O929:P929"/>
    <mergeCell ref="I566:J566"/>
    <mergeCell ref="I603:J603"/>
    <mergeCell ref="L678:L680"/>
    <mergeCell ref="M678:P678"/>
    <mergeCell ref="M679:N679"/>
    <mergeCell ref="H697:H698"/>
    <mergeCell ref="I814:J814"/>
    <mergeCell ref="I570:J570"/>
    <mergeCell ref="L666:P666"/>
    <mergeCell ref="M667:N667"/>
    <mergeCell ref="O667:P667"/>
    <mergeCell ref="O679:P679"/>
    <mergeCell ref="J929:J930"/>
    <mergeCell ref="I599:J599"/>
    <mergeCell ref="J680:J681"/>
    <mergeCell ref="M929:N929"/>
    <mergeCell ref="R296:S296"/>
    <mergeCell ref="R544:S544"/>
    <mergeCell ref="R545:S545"/>
    <mergeCell ref="R793:S793"/>
    <mergeCell ref="R794:S794"/>
    <mergeCell ref="R1042:S1042"/>
    <mergeCell ref="R1043:S1043"/>
    <mergeCell ref="R1290:S1290"/>
    <mergeCell ref="S15:U15"/>
    <mergeCell ref="R297:S297"/>
    <mergeCell ref="V15:X15"/>
    <mergeCell ref="Y15:AA15"/>
    <mergeCell ref="M16:M17"/>
    <mergeCell ref="N16:O16"/>
    <mergeCell ref="P16:P17"/>
    <mergeCell ref="Q16:R16"/>
    <mergeCell ref="S16:S17"/>
    <mergeCell ref="T16:U16"/>
    <mergeCell ref="V16:V17"/>
    <mergeCell ref="W16:X16"/>
    <mergeCell ref="Y16:Y17"/>
    <mergeCell ref="Z16:AA16"/>
    <mergeCell ref="N17:N18"/>
    <mergeCell ref="O17:O18"/>
    <mergeCell ref="Q17:Q18"/>
    <mergeCell ref="R17:R18"/>
    <mergeCell ref="T17:T18"/>
    <mergeCell ref="U17:U18"/>
    <mergeCell ref="W17:W18"/>
    <mergeCell ref="X17:X18"/>
    <mergeCell ref="Z17:Z18"/>
    <mergeCell ref="AA17:AA18"/>
    <mergeCell ref="M15:O15"/>
    <mergeCell ref="I1349:J1349"/>
    <mergeCell ref="S3:U3"/>
    <mergeCell ref="V3:X3"/>
    <mergeCell ref="Y3:AA3"/>
    <mergeCell ref="M4:M5"/>
    <mergeCell ref="N4:O4"/>
    <mergeCell ref="P4:P5"/>
    <mergeCell ref="Q4:R4"/>
    <mergeCell ref="S4:S5"/>
    <mergeCell ref="T4:U4"/>
    <mergeCell ref="V4:V5"/>
    <mergeCell ref="W4:X4"/>
    <mergeCell ref="Y4:Y5"/>
    <mergeCell ref="Z4:AA4"/>
    <mergeCell ref="N5:N6"/>
    <mergeCell ref="O5:O6"/>
    <mergeCell ref="Q5:Q6"/>
    <mergeCell ref="R5:R6"/>
    <mergeCell ref="T5:T6"/>
    <mergeCell ref="U5:U6"/>
    <mergeCell ref="W5:W6"/>
    <mergeCell ref="X5:X6"/>
    <mergeCell ref="Z5:Z6"/>
    <mergeCell ref="AA5:AA6"/>
    <mergeCell ref="A1345:A1347"/>
    <mergeCell ref="B1345:B1346"/>
    <mergeCell ref="D1345:D1346"/>
    <mergeCell ref="E1345:E1346"/>
    <mergeCell ref="F1345:F1346"/>
    <mergeCell ref="G1345:G1347"/>
    <mergeCell ref="H1345:H1346"/>
    <mergeCell ref="I1345:J1345"/>
    <mergeCell ref="H814:H816"/>
    <mergeCell ref="H1065:H1067"/>
    <mergeCell ref="H1312:H1314"/>
    <mergeCell ref="I1316:J1316"/>
    <mergeCell ref="I877:I878"/>
    <mergeCell ref="I1126:I1127"/>
    <mergeCell ref="A847:A849"/>
    <mergeCell ref="B847:B848"/>
    <mergeCell ref="D847:D848"/>
    <mergeCell ref="E847:E848"/>
    <mergeCell ref="G847:G849"/>
    <mergeCell ref="J1292:J1293"/>
    <mergeCell ref="J1295:J1296"/>
    <mergeCell ref="G1194:I1194"/>
    <mergeCell ref="G1195:G1196"/>
    <mergeCell ref="G929:G930"/>
    <mergeCell ref="B535:B536"/>
    <mergeCell ref="E517:E518"/>
    <mergeCell ref="A351:A353"/>
    <mergeCell ref="A535:A536"/>
    <mergeCell ref="B442:B443"/>
    <mergeCell ref="C448:C449"/>
    <mergeCell ref="B448:B449"/>
    <mergeCell ref="D448:D450"/>
    <mergeCell ref="D517:D518"/>
    <mergeCell ref="E448:E449"/>
    <mergeCell ref="A448:A450"/>
    <mergeCell ref="E421:I421"/>
    <mergeCell ref="I442:I443"/>
    <mergeCell ref="H442:H443"/>
    <mergeCell ref="G432:G433"/>
    <mergeCell ref="D516:E516"/>
    <mergeCell ref="C516:C517"/>
    <mergeCell ref="I355:J355"/>
    <mergeCell ref="H351:H353"/>
    <mergeCell ref="F351:F353"/>
    <mergeCell ref="J432:J433"/>
    <mergeCell ref="C268:C269"/>
    <mergeCell ref="D421:D422"/>
    <mergeCell ref="D351:D352"/>
    <mergeCell ref="B351:B352"/>
    <mergeCell ref="E318:E319"/>
    <mergeCell ref="F318:F319"/>
    <mergeCell ref="L421:P421"/>
    <mergeCell ref="M422:N422"/>
    <mergeCell ref="O422:P422"/>
    <mergeCell ref="E351:E352"/>
    <mergeCell ref="G318:G320"/>
    <mergeCell ref="D269:D270"/>
    <mergeCell ref="D268:E268"/>
    <mergeCell ref="H1195:H1196"/>
    <mergeCell ref="A1281:A1282"/>
    <mergeCell ref="B1281:B1282"/>
    <mergeCell ref="C1281:C1282"/>
    <mergeCell ref="D1281:D1282"/>
    <mergeCell ref="E1281:I1281"/>
    <mergeCell ref="A1194:A1196"/>
    <mergeCell ref="B1194:B1195"/>
    <mergeCell ref="C1194:C1195"/>
    <mergeCell ref="E1194:E1195"/>
    <mergeCell ref="C1262:C1263"/>
    <mergeCell ref="D1262:E1262"/>
    <mergeCell ref="D1263:D1264"/>
    <mergeCell ref="E1263:E1264"/>
    <mergeCell ref="H1214:H1215"/>
    <mergeCell ref="R1291:S1291"/>
    <mergeCell ref="F1097:F1098"/>
    <mergeCell ref="G1097:G1099"/>
    <mergeCell ref="H1097:H1098"/>
    <mergeCell ref="F1065:F1066"/>
    <mergeCell ref="L1164:P1164"/>
    <mergeCell ref="M1165:N1165"/>
    <mergeCell ref="O1165:P1165"/>
    <mergeCell ref="B696:B697"/>
    <mergeCell ref="L792:P792"/>
    <mergeCell ref="E696:E697"/>
    <mergeCell ref="C696:C697"/>
    <mergeCell ref="L927:P927"/>
    <mergeCell ref="I818:J818"/>
    <mergeCell ref="I1101:J1101"/>
    <mergeCell ref="I851:J851"/>
    <mergeCell ref="L916:P916"/>
    <mergeCell ref="M917:N917"/>
    <mergeCell ref="O917:P917"/>
    <mergeCell ref="I847:J847"/>
    <mergeCell ref="G945:I945"/>
    <mergeCell ref="G946:G947"/>
    <mergeCell ref="H946:H947"/>
    <mergeCell ref="D1194:D1196"/>
    <mergeCell ref="D1312:D1313"/>
    <mergeCell ref="E1312:E1313"/>
    <mergeCell ref="F1312:F1313"/>
    <mergeCell ref="G1312:G1314"/>
    <mergeCell ref="I1312:J1312"/>
    <mergeCell ref="L1289:P1289"/>
    <mergeCell ref="L1290:L1292"/>
    <mergeCell ref="M1290:P1290"/>
    <mergeCell ref="M1291:N1291"/>
    <mergeCell ref="O1291:P1291"/>
    <mergeCell ref="B1188:B1189"/>
    <mergeCell ref="I1188:I1189"/>
    <mergeCell ref="H1188:H1189"/>
    <mergeCell ref="L1176:L1178"/>
    <mergeCell ref="M1176:P1176"/>
    <mergeCell ref="M1177:N1177"/>
    <mergeCell ref="O1177:P1177"/>
    <mergeCell ref="L1175:P1175"/>
    <mergeCell ref="D535:D536"/>
    <mergeCell ref="I628:I629"/>
    <mergeCell ref="E535:I535"/>
    <mergeCell ref="G566:G568"/>
    <mergeCell ref="L1042:L1044"/>
    <mergeCell ref="M1042:P1042"/>
    <mergeCell ref="M1043:N1043"/>
    <mergeCell ref="O1043:P1043"/>
    <mergeCell ref="L1041:P1041"/>
    <mergeCell ref="L677:P677"/>
    <mergeCell ref="L793:L795"/>
    <mergeCell ref="M793:P793"/>
    <mergeCell ref="M794:N794"/>
    <mergeCell ref="O794:P794"/>
    <mergeCell ref="L928:L930"/>
    <mergeCell ref="M928:P928"/>
    <mergeCell ref="A1167:A1168"/>
    <mergeCell ref="B1167:B1168"/>
    <mergeCell ref="C1167:C1168"/>
    <mergeCell ref="D1167:D1168"/>
    <mergeCell ref="A1097:A1099"/>
    <mergeCell ref="B1097:B1098"/>
    <mergeCell ref="D1097:D1098"/>
    <mergeCell ref="A696:A698"/>
    <mergeCell ref="B939:B940"/>
    <mergeCell ref="D1013:E1013"/>
    <mergeCell ref="C1013:C1014"/>
    <mergeCell ref="D945:D947"/>
    <mergeCell ref="E918:I918"/>
    <mergeCell ref="E945:E946"/>
    <mergeCell ref="G696:I696"/>
    <mergeCell ref="G697:G698"/>
    <mergeCell ref="E783:I783"/>
    <mergeCell ref="D918:D919"/>
    <mergeCell ref="C918:C919"/>
    <mergeCell ref="B918:B919"/>
    <mergeCell ref="D814:D815"/>
    <mergeCell ref="E814:E815"/>
    <mergeCell ref="G814:G816"/>
    <mergeCell ref="F847:F849"/>
    <mergeCell ref="A918:A919"/>
    <mergeCell ref="A599:A601"/>
    <mergeCell ref="D599:D600"/>
    <mergeCell ref="E599:E600"/>
    <mergeCell ref="G599:G601"/>
    <mergeCell ref="B599:B600"/>
    <mergeCell ref="D1014:D1015"/>
    <mergeCell ref="A783:A784"/>
    <mergeCell ref="B783:B784"/>
    <mergeCell ref="C783:C784"/>
    <mergeCell ref="D783:D784"/>
    <mergeCell ref="A669:A670"/>
    <mergeCell ref="C669:C670"/>
    <mergeCell ref="D696:D698"/>
    <mergeCell ref="B669:B670"/>
    <mergeCell ref="D669:D670"/>
    <mergeCell ref="E669:I669"/>
    <mergeCell ref="B690:B691"/>
    <mergeCell ref="H690:H691"/>
    <mergeCell ref="I690:I691"/>
    <mergeCell ref="A173:A174"/>
    <mergeCell ref="B173:B174"/>
    <mergeCell ref="C173:C174"/>
    <mergeCell ref="D173:D174"/>
    <mergeCell ref="E173:I173"/>
    <mergeCell ref="D566:D567"/>
    <mergeCell ref="E566:E567"/>
    <mergeCell ref="D318:D319"/>
    <mergeCell ref="A287:A288"/>
    <mergeCell ref="B287:B288"/>
    <mergeCell ref="C287:C288"/>
    <mergeCell ref="D287:D288"/>
    <mergeCell ref="E287:I287"/>
    <mergeCell ref="A421:A422"/>
    <mergeCell ref="F566:F567"/>
    <mergeCell ref="B194:B195"/>
    <mergeCell ref="I318:J318"/>
    <mergeCell ref="I322:J322"/>
    <mergeCell ref="C421:C422"/>
    <mergeCell ref="B421:B422"/>
    <mergeCell ref="E269:E270"/>
    <mergeCell ref="A200:A202"/>
    <mergeCell ref="B200:B201"/>
    <mergeCell ref="C200:C201"/>
    <mergeCell ref="G1065:G1067"/>
    <mergeCell ref="I1065:J1065"/>
    <mergeCell ref="I1069:J1069"/>
    <mergeCell ref="D765:D766"/>
    <mergeCell ref="E765:E766"/>
    <mergeCell ref="C764:C765"/>
    <mergeCell ref="D764:E764"/>
    <mergeCell ref="D1065:D1066"/>
    <mergeCell ref="E1032:I1032"/>
    <mergeCell ref="D1032:D1033"/>
    <mergeCell ref="E1014:E1015"/>
    <mergeCell ref="I939:I940"/>
    <mergeCell ref="H847:H849"/>
    <mergeCell ref="E1065:E1066"/>
    <mergeCell ref="C945:C946"/>
    <mergeCell ref="L59:P59"/>
    <mergeCell ref="I132:I133"/>
    <mergeCell ref="O183:P183"/>
    <mergeCell ref="J184:J185"/>
    <mergeCell ref="G184:G185"/>
    <mergeCell ref="L543:P543"/>
    <mergeCell ref="L544:L546"/>
    <mergeCell ref="L434:L436"/>
    <mergeCell ref="M434:P434"/>
    <mergeCell ref="M435:N435"/>
    <mergeCell ref="O435:P435"/>
    <mergeCell ref="G200:I200"/>
    <mergeCell ref="G201:G202"/>
    <mergeCell ref="H201:H202"/>
    <mergeCell ref="L433:P433"/>
    <mergeCell ref="I194:I195"/>
    <mergeCell ref="H194:H195"/>
    <mergeCell ref="M183:N183"/>
    <mergeCell ref="D200:D202"/>
    <mergeCell ref="E200:E201"/>
    <mergeCell ref="I381:I382"/>
    <mergeCell ref="H3:I3"/>
    <mergeCell ref="M61:M62"/>
    <mergeCell ref="P3:R3"/>
    <mergeCell ref="P15:R15"/>
    <mergeCell ref="L181:P181"/>
    <mergeCell ref="L295:P295"/>
    <mergeCell ref="L296:L298"/>
    <mergeCell ref="M296:P296"/>
    <mergeCell ref="M297:N297"/>
    <mergeCell ref="O297:P297"/>
    <mergeCell ref="L182:L184"/>
    <mergeCell ref="M182:P182"/>
    <mergeCell ref="M3:O3"/>
    <mergeCell ref="Q59:T59"/>
    <mergeCell ref="L170:P170"/>
    <mergeCell ref="M171:N171"/>
    <mergeCell ref="O171:P171"/>
    <mergeCell ref="Q46:Q47"/>
    <mergeCell ref="Q48:Q49"/>
    <mergeCell ref="H220:H221"/>
    <mergeCell ref="J66:J67"/>
    <mergeCell ref="AB6:AF6"/>
    <mergeCell ref="AB18:AF18"/>
    <mergeCell ref="A1312:A1314"/>
    <mergeCell ref="A1065:A1067"/>
    <mergeCell ref="A814:A816"/>
    <mergeCell ref="A566:A568"/>
    <mergeCell ref="A318:A320"/>
    <mergeCell ref="C318:C320"/>
    <mergeCell ref="C566:C568"/>
    <mergeCell ref="C814:C816"/>
    <mergeCell ref="C1065:C1067"/>
    <mergeCell ref="C1312:C1314"/>
    <mergeCell ref="A1188:A1189"/>
    <mergeCell ref="A945:A947"/>
    <mergeCell ref="A1032:A1033"/>
    <mergeCell ref="B1032:B1033"/>
    <mergeCell ref="B945:B946"/>
    <mergeCell ref="C1032:C1033"/>
    <mergeCell ref="M544:P544"/>
    <mergeCell ref="M545:N545"/>
    <mergeCell ref="O545:P545"/>
    <mergeCell ref="H566:H568"/>
    <mergeCell ref="H939:H940"/>
    <mergeCell ref="C535:C536"/>
  </mergeCells>
  <printOptions horizontalCentered="1"/>
  <pageMargins left="0.7" right="0.7" top="0.75" bottom="0.75" header="0.3" footer="0.3"/>
  <pageSetup paperSize="9" orientation="portrait" horizontalDpi="300" verticalDpi="300" r:id="rId1"/>
  <headerFooter>
    <oddFooter>&amp;C&amp;F       &amp;A     &amp;P  of &amp;N</oddFooter>
  </headerFooter>
  <rowBreaks count="5" manualBreakCount="5">
    <brk id="62" max="9" man="1"/>
    <brk id="116" max="9" man="1"/>
    <brk id="527" max="9" man="1"/>
    <brk id="1024" max="9" man="1"/>
    <brk id="1366" max="9" man="1"/>
  </rowBreaks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6"/>
  <dimension ref="A1:T627"/>
  <sheetViews>
    <sheetView workbookViewId="0">
      <selection activeCell="E13" sqref="E13"/>
    </sheetView>
  </sheetViews>
  <sheetFormatPr defaultRowHeight="12.75"/>
  <cols>
    <col min="10" max="10" width="5.140625" customWidth="1"/>
    <col min="11" max="11" width="3.140625" customWidth="1"/>
  </cols>
  <sheetData>
    <row r="1" spans="1:20" ht="15.75">
      <c r="A1" s="964" t="str">
        <f>"H. DESIGN OF RETURN WALL  ( "&amp;IF(S2=1,"R/S )","C/S )")</f>
        <v>H. DESIGN OF RETURN WALL  ( C/S )</v>
      </c>
      <c r="B1" s="964"/>
      <c r="C1" s="964"/>
      <c r="D1" s="964"/>
      <c r="E1" s="964"/>
      <c r="F1" s="964"/>
      <c r="G1" s="964"/>
      <c r="H1" s="964"/>
      <c r="I1" s="965"/>
      <c r="J1" s="965"/>
      <c r="K1" s="966"/>
    </row>
    <row r="2" spans="1:20" ht="15.75">
      <c r="A2" s="965"/>
      <c r="B2" s="965"/>
      <c r="C2" s="965"/>
      <c r="D2" s="965"/>
      <c r="E2" s="965"/>
      <c r="F2" s="965"/>
      <c r="G2" s="965"/>
      <c r="H2" s="965"/>
      <c r="I2" s="965"/>
      <c r="J2" s="965"/>
      <c r="K2" s="966"/>
      <c r="Q2" s="1357" t="s">
        <v>94</v>
      </c>
      <c r="R2" s="669"/>
      <c r="S2" s="2561">
        <v>2</v>
      </c>
    </row>
    <row r="3" spans="1:20">
      <c r="A3" s="22" t="s">
        <v>1151</v>
      </c>
      <c r="K3" s="286"/>
      <c r="L3" s="968"/>
      <c r="M3" s="968"/>
      <c r="N3" s="968"/>
      <c r="O3" s="968"/>
      <c r="P3" s="968"/>
      <c r="Q3" s="1358" t="s">
        <v>1367</v>
      </c>
      <c r="R3" s="673"/>
      <c r="S3" s="1360">
        <v>1</v>
      </c>
      <c r="T3" s="16"/>
    </row>
    <row r="4" spans="1:20">
      <c r="A4" t="s">
        <v>1152</v>
      </c>
      <c r="C4" s="577">
        <f>IF(S2=1,Hydraulic!I54,Hydraulic!D54)</f>
        <v>10</v>
      </c>
      <c r="D4" t="s">
        <v>1153</v>
      </c>
      <c r="G4" s="203" t="s">
        <v>1369</v>
      </c>
      <c r="H4" s="577">
        <f>IF(S2=1,DATA!G104,DATA!F95)</f>
        <v>9.2998632622097617</v>
      </c>
      <c r="I4" t="s">
        <v>1153</v>
      </c>
      <c r="K4" s="286"/>
      <c r="L4" s="969"/>
      <c r="M4" s="969"/>
      <c r="N4" s="969"/>
      <c r="O4" s="969"/>
      <c r="P4" s="969"/>
      <c r="Q4" s="1359" t="s">
        <v>1368</v>
      </c>
      <c r="R4" s="675"/>
      <c r="S4" s="688">
        <v>2</v>
      </c>
      <c r="T4" s="16"/>
    </row>
    <row r="5" spans="1:20">
      <c r="A5" t="s">
        <v>1154</v>
      </c>
      <c r="C5" s="577">
        <f>IF(S2=1,Hydraulic!I43,Hydraulic!D43)</f>
        <v>6.1</v>
      </c>
      <c r="D5" t="s">
        <v>1153</v>
      </c>
      <c r="G5" s="203" t="s">
        <v>886</v>
      </c>
      <c r="H5" s="577">
        <f>IF(S2=1,DATA!I105,DATA!A100)</f>
        <v>10.3</v>
      </c>
      <c r="I5" t="s">
        <v>1153</v>
      </c>
      <c r="K5" s="286"/>
      <c r="L5" s="970" t="str">
        <f>IF(C31&gt;=6000,"Use Counterfort Retaining Wall","Use Cantilever Retaining Wall")</f>
        <v>Use Cantilever Retaining Wall</v>
      </c>
      <c r="M5" s="970"/>
      <c r="N5" s="970"/>
      <c r="O5" s="970"/>
      <c r="P5" s="969"/>
      <c r="Q5" s="969"/>
      <c r="R5" s="16"/>
      <c r="S5" s="16"/>
      <c r="T5" s="16"/>
    </row>
    <row r="6" spans="1:20">
      <c r="A6" s="187" t="s">
        <v>1372</v>
      </c>
      <c r="C6" s="577">
        <f>C5</f>
        <v>6.1</v>
      </c>
      <c r="D6" t="s">
        <v>1153</v>
      </c>
      <c r="F6" s="45"/>
      <c r="G6" s="203" t="s">
        <v>1370</v>
      </c>
      <c r="H6" s="577">
        <f>IF(S2=1,DATA!F126,DATA!F125)</f>
        <v>10.92869839937665</v>
      </c>
      <c r="I6" t="s">
        <v>1153</v>
      </c>
      <c r="K6" s="286"/>
      <c r="R6" s="16"/>
      <c r="S6" s="16"/>
      <c r="T6" s="16"/>
    </row>
    <row r="7" spans="1:20">
      <c r="A7" s="187" t="s">
        <v>1156</v>
      </c>
      <c r="D7" s="971">
        <f>IF(S2=1,Hydraulic!I55,Hydraulic!D55)</f>
        <v>8.4</v>
      </c>
      <c r="E7" s="187" t="s">
        <v>5</v>
      </c>
      <c r="F7" s="45"/>
      <c r="G7" s="203" t="s">
        <v>886</v>
      </c>
      <c r="H7" s="577">
        <f>IF(S2=1,DATA!I130,DATA!A135)</f>
        <v>10</v>
      </c>
      <c r="I7" t="s">
        <v>1153</v>
      </c>
      <c r="K7" s="286"/>
      <c r="R7" s="16"/>
      <c r="S7" s="16"/>
      <c r="T7" s="16"/>
    </row>
    <row r="8" spans="1:20">
      <c r="A8" s="187" t="s">
        <v>449</v>
      </c>
      <c r="D8" s="587">
        <f>DATA!D3</f>
        <v>23.6</v>
      </c>
      <c r="E8" t="s">
        <v>1</v>
      </c>
      <c r="K8" s="286"/>
      <c r="R8" s="16"/>
      <c r="S8" s="16"/>
      <c r="T8" s="16"/>
    </row>
    <row r="9" spans="1:20">
      <c r="A9" t="s">
        <v>415</v>
      </c>
      <c r="D9" s="587">
        <f>DATA!D4</f>
        <v>15.7</v>
      </c>
      <c r="E9" t="s">
        <v>1</v>
      </c>
      <c r="K9" s="286"/>
      <c r="O9" s="386"/>
      <c r="R9" s="16"/>
      <c r="S9" s="16"/>
      <c r="T9" s="16"/>
    </row>
    <row r="10" spans="1:20">
      <c r="A10" t="s">
        <v>416</v>
      </c>
      <c r="D10" s="587">
        <f>DATA!D5</f>
        <v>17.3</v>
      </c>
      <c r="E10" t="s">
        <v>1</v>
      </c>
      <c r="F10" s="203" t="s">
        <v>1157</v>
      </c>
      <c r="G10" s="85">
        <f>COS(F14)*(COS(F14)-(COS(F14)^2-COS(F13)^2)^0.5)/(COS(F14)+(COS(F14)^2-COS(F13)^2)^0.5)</f>
        <v>0.36087265271105751</v>
      </c>
      <c r="K10" s="286"/>
      <c r="L10" s="972"/>
      <c r="M10" s="386"/>
      <c r="N10" s="275"/>
      <c r="O10" s="386"/>
      <c r="R10" s="16"/>
      <c r="S10" s="16"/>
      <c r="T10" s="16"/>
    </row>
    <row r="11" spans="1:20">
      <c r="A11" t="s">
        <v>417</v>
      </c>
      <c r="D11" s="587">
        <f>DATA!D6</f>
        <v>18.899999999999999</v>
      </c>
      <c r="E11" t="s">
        <v>1</v>
      </c>
      <c r="F11" s="203" t="s">
        <v>1158</v>
      </c>
      <c r="G11" s="36">
        <f>1/G10</f>
        <v>2.7710606289711768</v>
      </c>
      <c r="K11" s="286"/>
      <c r="M11" s="386"/>
      <c r="N11" s="275"/>
      <c r="O11" s="386"/>
      <c r="R11" s="16"/>
      <c r="S11" s="16"/>
      <c r="T11" s="16"/>
    </row>
    <row r="12" spans="1:20">
      <c r="A12" t="s">
        <v>418</v>
      </c>
      <c r="D12" s="587">
        <f>DATA!D7</f>
        <v>9.81</v>
      </c>
      <c r="E12" t="s">
        <v>1</v>
      </c>
      <c r="K12" s="286"/>
      <c r="M12" s="386"/>
      <c r="N12" s="275"/>
      <c r="O12" s="386"/>
      <c r="R12" s="16"/>
      <c r="S12" s="16"/>
      <c r="T12" s="16"/>
    </row>
    <row r="13" spans="1:20" ht="15.75">
      <c r="A13" s="187" t="s">
        <v>1159</v>
      </c>
      <c r="D13" s="2100">
        <f>DATA!I17</f>
        <v>28</v>
      </c>
      <c r="E13" s="12" t="s">
        <v>321</v>
      </c>
      <c r="F13" s="115">
        <f>+D13*22/7/180</f>
        <v>0.48888888888888887</v>
      </c>
      <c r="G13" t="s">
        <v>322</v>
      </c>
      <c r="K13" s="286"/>
      <c r="M13" s="386"/>
      <c r="R13" s="16"/>
      <c r="S13" s="16"/>
      <c r="T13" s="16"/>
    </row>
    <row r="14" spans="1:20" ht="15.75">
      <c r="A14" s="187" t="s">
        <v>1160</v>
      </c>
      <c r="D14" s="581">
        <v>0</v>
      </c>
      <c r="E14" s="12" t="s">
        <v>321</v>
      </c>
      <c r="F14" s="115">
        <f>+D14*22/7/180</f>
        <v>0</v>
      </c>
      <c r="G14" t="s">
        <v>322</v>
      </c>
      <c r="K14" s="286"/>
      <c r="L14" s="972"/>
      <c r="M14" s="386"/>
      <c r="N14" s="973"/>
      <c r="R14" s="16"/>
      <c r="S14" s="16"/>
      <c r="T14" s="16"/>
    </row>
    <row r="15" spans="1:20" ht="15.75">
      <c r="A15" s="187" t="s">
        <v>1161</v>
      </c>
      <c r="D15" s="2100">
        <f>DATA!D13</f>
        <v>28</v>
      </c>
      <c r="E15" s="12" t="s">
        <v>321</v>
      </c>
      <c r="F15" s="115">
        <f>+D15*22/7/180</f>
        <v>0.48888888888888887</v>
      </c>
      <c r="G15" t="s">
        <v>322</v>
      </c>
      <c r="K15" s="286"/>
      <c r="L15" s="972"/>
      <c r="M15" s="386"/>
      <c r="Q15" s="848"/>
    </row>
    <row r="16" spans="1:20">
      <c r="A16" s="187" t="s">
        <v>1162</v>
      </c>
      <c r="D16" s="581">
        <v>0</v>
      </c>
      <c r="E16" t="str">
        <f>"m   Load =  "&amp;D16&amp;" x "&amp;D10&amp;" ="</f>
        <v>m   Load =  0 x 17.3 =</v>
      </c>
      <c r="H16">
        <f>D16*D10</f>
        <v>0</v>
      </c>
      <c r="I16" t="s">
        <v>126</v>
      </c>
      <c r="K16" s="286"/>
      <c r="M16" s="974"/>
      <c r="N16" s="975"/>
    </row>
    <row r="17" spans="1:20">
      <c r="A17" s="187" t="s">
        <v>1866</v>
      </c>
      <c r="E17" s="126">
        <f>'CS Wing'!A66*1000</f>
        <v>650</v>
      </c>
      <c r="F17" s="187" t="s">
        <v>98</v>
      </c>
      <c r="K17" s="286"/>
    </row>
    <row r="18" spans="1:20">
      <c r="K18" s="286"/>
      <c r="R18" s="16"/>
      <c r="S18" s="16"/>
      <c r="T18" s="16"/>
    </row>
    <row r="19" spans="1:20" ht="15.75">
      <c r="A19" s="976" t="s">
        <v>1163</v>
      </c>
      <c r="B19" s="977"/>
      <c r="C19" s="976"/>
      <c r="D19" s="976"/>
      <c r="E19" s="976"/>
      <c r="F19" s="978"/>
      <c r="G19" s="978"/>
      <c r="H19" s="295"/>
      <c r="I19" s="295"/>
      <c r="J19" s="295"/>
      <c r="K19" s="979"/>
      <c r="P19" s="16"/>
      <c r="Q19" s="16"/>
      <c r="R19" s="16"/>
      <c r="S19" s="16"/>
      <c r="T19" s="16"/>
    </row>
    <row r="20" spans="1:20">
      <c r="F20" s="46"/>
      <c r="G20" s="46"/>
      <c r="K20" s="286"/>
      <c r="O20" s="30"/>
      <c r="P20" s="16"/>
      <c r="Q20" s="16"/>
      <c r="R20" s="16"/>
      <c r="S20" s="16"/>
      <c r="T20" s="16"/>
    </row>
    <row r="21" spans="1:20">
      <c r="A21" s="213" t="s">
        <v>1362</v>
      </c>
      <c r="C21" s="46"/>
      <c r="D21" s="46"/>
      <c r="F21" s="1075" t="s">
        <v>1361</v>
      </c>
      <c r="K21" s="286"/>
      <c r="P21" s="16"/>
      <c r="T21" s="16"/>
    </row>
    <row r="22" spans="1:20">
      <c r="F22" s="46"/>
      <c r="G22" s="46"/>
      <c r="K22" s="286"/>
      <c r="O22" s="291"/>
      <c r="P22" s="16"/>
      <c r="T22" s="16"/>
    </row>
    <row r="23" spans="1:20">
      <c r="D23" s="624" t="s">
        <v>1164</v>
      </c>
      <c r="E23" s="980">
        <v>300</v>
      </c>
      <c r="K23" s="286"/>
      <c r="L23" s="981"/>
      <c r="M23" s="2"/>
      <c r="N23" s="981"/>
      <c r="O23" s="982"/>
      <c r="P23" s="386"/>
    </row>
    <row r="24" spans="1:20">
      <c r="B24" s="203" t="s">
        <v>1165</v>
      </c>
      <c r="C24" s="975">
        <f>C4</f>
        <v>10</v>
      </c>
      <c r="E24" s="18">
        <f>+E46-E23</f>
        <v>100</v>
      </c>
      <c r="K24" s="286"/>
      <c r="L24" s="981"/>
      <c r="M24" s="981"/>
      <c r="N24" s="981"/>
      <c r="O24" s="228"/>
      <c r="P24" s="386"/>
      <c r="T24" s="16"/>
    </row>
    <row r="25" spans="1:20">
      <c r="D25" s="18"/>
      <c r="K25" s="286"/>
      <c r="L25" s="981"/>
      <c r="M25" s="981"/>
      <c r="N25" s="983"/>
      <c r="O25" s="967"/>
      <c r="P25" s="386"/>
    </row>
    <row r="26" spans="1:20">
      <c r="D26" s="18"/>
      <c r="K26" s="286"/>
      <c r="L26" s="981"/>
      <c r="M26" s="981"/>
      <c r="N26" s="984"/>
      <c r="O26" s="981"/>
      <c r="P26" s="386"/>
    </row>
    <row r="27" spans="1:20">
      <c r="E27" s="22"/>
      <c r="K27" s="286"/>
      <c r="L27" s="981"/>
      <c r="M27" s="981"/>
      <c r="N27" s="984"/>
      <c r="O27" s="981"/>
      <c r="P27" s="386"/>
    </row>
    <row r="28" spans="1:20">
      <c r="E28" s="22" t="s">
        <v>1166</v>
      </c>
      <c r="K28" s="286"/>
      <c r="R28" s="386"/>
      <c r="S28" s="386"/>
      <c r="T28" s="386"/>
    </row>
    <row r="29" spans="1:20">
      <c r="K29" s="286"/>
      <c r="L29" s="985" t="s">
        <v>1167</v>
      </c>
      <c r="M29" s="986"/>
      <c r="N29" s="987"/>
      <c r="O29" s="986"/>
      <c r="P29" s="988"/>
      <c r="Q29" s="986"/>
      <c r="R29" s="2546" t="s">
        <v>2031</v>
      </c>
      <c r="S29" s="2542"/>
      <c r="T29" s="972"/>
    </row>
    <row r="30" spans="1:20">
      <c r="D30" s="22" t="s">
        <v>1168</v>
      </c>
      <c r="K30" s="286"/>
      <c r="L30" s="990" t="s">
        <v>673</v>
      </c>
      <c r="M30" s="991" t="s">
        <v>1169</v>
      </c>
      <c r="N30" s="2103" t="s">
        <v>1170</v>
      </c>
      <c r="O30" s="991" t="s">
        <v>303</v>
      </c>
      <c r="P30" s="992" t="s">
        <v>45</v>
      </c>
      <c r="Q30" s="2540" t="s">
        <v>44</v>
      </c>
      <c r="R30" s="2545" t="s">
        <v>2032</v>
      </c>
      <c r="S30" s="2543"/>
    </row>
    <row r="31" spans="1:20">
      <c r="A31" s="320">
        <f>C31+G40</f>
        <v>4300</v>
      </c>
      <c r="C31" s="9">
        <f>(C24-D38)*1000</f>
        <v>3900.0000000000005</v>
      </c>
      <c r="G31" s="720" t="s">
        <v>1171</v>
      </c>
      <c r="H31" s="993">
        <f>C6</f>
        <v>6.1</v>
      </c>
      <c r="K31" s="286"/>
      <c r="L31" s="994" t="s">
        <v>117</v>
      </c>
      <c r="M31" s="995">
        <f>$E$70</f>
        <v>4.8777968264207221</v>
      </c>
      <c r="N31" s="996">
        <f>$E$71</f>
        <v>1.8806434367942741</v>
      </c>
      <c r="O31" s="997">
        <f>$F$77</f>
        <v>1.5902576670029589E-2</v>
      </c>
      <c r="P31" s="996">
        <f>$E$81</f>
        <v>62.925793498801845</v>
      </c>
      <c r="Q31" s="2541">
        <f>$E$82</f>
        <v>59.490382971786417</v>
      </c>
      <c r="R31" s="2547">
        <f>DATA!D261</f>
        <v>168.88623529411771</v>
      </c>
      <c r="S31" s="2544" t="str">
        <f>DATA!E261</f>
        <v>Kn/ sq m</v>
      </c>
    </row>
    <row r="32" spans="1:20">
      <c r="E32" s="25" t="s">
        <v>41</v>
      </c>
      <c r="G32" s="4"/>
      <c r="I32" s="30"/>
      <c r="J32" s="30"/>
      <c r="K32" s="998"/>
      <c r="L32" s="999" t="s">
        <v>118</v>
      </c>
      <c r="M32" s="1000">
        <f>$F$154</f>
        <v>1.6783981531588796</v>
      </c>
      <c r="N32" s="1001">
        <f>$F$155</f>
        <v>7.4402188214389593</v>
      </c>
      <c r="O32" s="1002">
        <f>$F$163</f>
        <v>-0.29486073064251705</v>
      </c>
      <c r="P32" s="1001">
        <f>$E$167</f>
        <v>16.950803805919829</v>
      </c>
      <c r="Q32" s="1000">
        <f>$E$168</f>
        <v>53.727972607320858</v>
      </c>
    </row>
    <row r="33" spans="1:20">
      <c r="G33" s="4"/>
      <c r="K33" s="286"/>
      <c r="L33" s="1003" t="s">
        <v>301</v>
      </c>
      <c r="M33" s="1004">
        <f>$E$239</f>
        <v>1.4335889970816178</v>
      </c>
      <c r="N33" s="1005">
        <f>$E$240</f>
        <v>2.1372984402852864</v>
      </c>
      <c r="O33" s="1006">
        <f>$F$247</f>
        <v>6.4065455201843147E-2</v>
      </c>
      <c r="P33" s="1005">
        <f>$E$251</f>
        <v>36.205802503485423</v>
      </c>
      <c r="Q33" s="1004">
        <f>$E$252</f>
        <v>28.850726908279295</v>
      </c>
    </row>
    <row r="34" spans="1:20">
      <c r="G34" s="4"/>
      <c r="K34" s="286"/>
    </row>
    <row r="35" spans="1:20">
      <c r="F35" s="223">
        <f>H31-D38</f>
        <v>0</v>
      </c>
      <c r="G35" s="213" t="s">
        <v>1172</v>
      </c>
      <c r="K35" s="286"/>
      <c r="L35" s="1007"/>
      <c r="M35" s="1008"/>
      <c r="N35" s="1008"/>
      <c r="O35" s="989"/>
      <c r="P35" s="1008"/>
      <c r="Q35" s="1008"/>
      <c r="R35" s="1009"/>
      <c r="S35" s="972"/>
      <c r="T35" s="972"/>
    </row>
    <row r="36" spans="1:20">
      <c r="G36" s="4"/>
      <c r="I36" s="36">
        <f>H31-C41</f>
        <v>0.40000000000000036</v>
      </c>
      <c r="J36" s="36"/>
      <c r="K36" s="286"/>
      <c r="L36" s="990" t="s">
        <v>673</v>
      </c>
      <c r="M36" s="1010" t="s">
        <v>1173</v>
      </c>
      <c r="N36" s="1011" t="s">
        <v>1174</v>
      </c>
      <c r="O36" s="1012"/>
      <c r="P36" s="992" t="s">
        <v>676</v>
      </c>
      <c r="Q36" s="1013"/>
      <c r="R36" s="1009"/>
      <c r="S36" s="972"/>
      <c r="T36" s="972"/>
    </row>
    <row r="37" spans="1:20">
      <c r="A37" s="27"/>
      <c r="B37" s="187" t="s">
        <v>1175</v>
      </c>
      <c r="E37" s="1014"/>
      <c r="G37" s="4"/>
      <c r="H37" s="1015" t="s">
        <v>1176</v>
      </c>
      <c r="K37" s="286"/>
      <c r="L37" s="994" t="s">
        <v>117</v>
      </c>
      <c r="M37" s="996">
        <f>$G$63</f>
        <v>208.10750000000002</v>
      </c>
      <c r="N37" s="995">
        <f>$G$67</f>
        <v>58.865615373524996</v>
      </c>
      <c r="O37" s="1016" t="str">
        <f>$F$78</f>
        <v>i,e Resultant is in middle third</v>
      </c>
      <c r="P37" s="1017"/>
      <c r="Q37" s="1018"/>
    </row>
    <row r="38" spans="1:20">
      <c r="C38" s="203" t="s">
        <v>1177</v>
      </c>
      <c r="D38" s="975">
        <f>C5</f>
        <v>6.1</v>
      </c>
      <c r="E38" s="139" t="s">
        <v>42</v>
      </c>
      <c r="G38" s="4"/>
      <c r="K38" s="286"/>
      <c r="L38" s="999" t="s">
        <v>118</v>
      </c>
      <c r="M38" s="1019">
        <f>$F$142</f>
        <v>120.15391990250916</v>
      </c>
      <c r="N38" s="1020">
        <f>$F$150</f>
        <v>8.5907811248254546</v>
      </c>
      <c r="O38" s="1021" t="str">
        <f>$F$164</f>
        <v>i,e Resultant is in middle third</v>
      </c>
      <c r="P38" s="1022"/>
      <c r="Q38" s="1023"/>
    </row>
    <row r="39" spans="1:20">
      <c r="G39" s="4"/>
      <c r="K39" s="286"/>
      <c r="L39" s="1003" t="s">
        <v>301</v>
      </c>
      <c r="M39" s="1024">
        <f>$F$228</f>
        <v>110.59610000000001</v>
      </c>
      <c r="N39" s="1025">
        <f>$F$236</f>
        <v>27.526757870123944</v>
      </c>
      <c r="O39" s="1026" t="str">
        <f>$F$248</f>
        <v>i,e Resultant is in middle third</v>
      </c>
      <c r="P39" s="1027"/>
      <c r="Q39" s="1028"/>
    </row>
    <row r="40" spans="1:20">
      <c r="D40" s="25" t="s">
        <v>1178</v>
      </c>
      <c r="G40" s="1029">
        <v>400</v>
      </c>
      <c r="K40" s="286"/>
    </row>
    <row r="41" spans="1:20">
      <c r="C41" s="54">
        <f>D38-G40/1000</f>
        <v>5.6999999999999993</v>
      </c>
      <c r="D41" t="s">
        <v>5</v>
      </c>
      <c r="G41" s="1030"/>
      <c r="K41" s="286"/>
    </row>
    <row r="42" spans="1:20">
      <c r="G42" s="2787">
        <f>'CS Wing'!A52*1000</f>
        <v>300</v>
      </c>
      <c r="H42" s="1015"/>
      <c r="K42" s="286"/>
      <c r="M42" s="2235" t="s">
        <v>1898</v>
      </c>
      <c r="N42" s="2236"/>
      <c r="O42" s="2237"/>
      <c r="P42" s="2241" t="str">
        <f>I375</f>
        <v>O.K</v>
      </c>
      <c r="Q42" s="1031"/>
      <c r="R42" s="1031"/>
    </row>
    <row r="43" spans="1:20">
      <c r="E43" s="25" t="s">
        <v>1179</v>
      </c>
      <c r="G43" s="22" t="s">
        <v>1180</v>
      </c>
      <c r="K43" s="286"/>
      <c r="M43" s="2238" t="s">
        <v>1899</v>
      </c>
      <c r="N43" s="2239"/>
      <c r="O43" s="2239"/>
      <c r="P43" s="2240" t="str">
        <f>IF(AND(F591="O.K",F592="O.K",F593="O.K",F603="O.K",F604="O.K",F605="O.K"),"O.K","not O.K")</f>
        <v>O.K</v>
      </c>
    </row>
    <row r="44" spans="1:20">
      <c r="C44" s="187" t="s">
        <v>1181</v>
      </c>
      <c r="G44" s="579">
        <f>'CS Wing'!B55*1000</f>
        <v>900</v>
      </c>
      <c r="K44" s="286"/>
      <c r="P44" s="386"/>
    </row>
    <row r="45" spans="1:20">
      <c r="C45" s="1033"/>
      <c r="F45" s="1033"/>
      <c r="G45" s="2101">
        <f>'CS Wing'!O57*1000</f>
        <v>300</v>
      </c>
      <c r="K45" s="286"/>
      <c r="O45" s="33"/>
      <c r="P45" s="33"/>
      <c r="Q45" s="33"/>
      <c r="R45" s="33"/>
      <c r="S45" s="33"/>
      <c r="T45" s="33"/>
    </row>
    <row r="46" spans="1:20">
      <c r="C46" s="980">
        <v>1800</v>
      </c>
      <c r="D46" s="848"/>
      <c r="E46" s="579">
        <v>400</v>
      </c>
      <c r="F46" s="579">
        <v>1200</v>
      </c>
      <c r="K46" s="286"/>
      <c r="O46" s="33"/>
      <c r="P46" s="33"/>
      <c r="Q46" s="33"/>
      <c r="R46" s="33"/>
      <c r="S46" s="33"/>
      <c r="T46" s="33"/>
    </row>
    <row r="47" spans="1:20">
      <c r="K47" s="286"/>
      <c r="O47" s="33"/>
      <c r="P47" s="33"/>
      <c r="Q47" s="33"/>
      <c r="R47" s="33"/>
      <c r="S47" s="33"/>
      <c r="T47" s="33"/>
    </row>
    <row r="48" spans="1:20">
      <c r="D48" s="187">
        <f>$C$46+$E$46+$F$46</f>
        <v>3400</v>
      </c>
      <c r="K48" s="286"/>
      <c r="L48" s="16"/>
      <c r="M48" s="33"/>
      <c r="N48" s="33"/>
      <c r="O48" s="33"/>
      <c r="P48" s="33"/>
      <c r="Q48" s="33"/>
      <c r="R48" s="33"/>
      <c r="S48" s="33"/>
      <c r="T48" s="33"/>
    </row>
    <row r="49" spans="1:20">
      <c r="K49" s="286"/>
      <c r="L49" s="16"/>
      <c r="M49" s="33"/>
      <c r="N49" s="33"/>
      <c r="O49" s="1408"/>
      <c r="P49" s="33"/>
      <c r="Q49" s="33"/>
      <c r="R49" s="33"/>
      <c r="S49" s="33"/>
      <c r="T49" s="33"/>
    </row>
    <row r="50" spans="1:20">
      <c r="A50" s="1" t="s">
        <v>1182</v>
      </c>
      <c r="K50" s="286"/>
      <c r="L50" s="16"/>
      <c r="M50" s="16"/>
      <c r="N50" s="16"/>
      <c r="O50" s="16"/>
      <c r="P50" s="16"/>
      <c r="Q50" s="16"/>
      <c r="R50" s="16"/>
    </row>
    <row r="51" spans="1:20">
      <c r="A51" s="1034"/>
      <c r="B51" s="423"/>
      <c r="C51" s="55"/>
      <c r="D51" s="406" t="s">
        <v>1183</v>
      </c>
      <c r="E51" s="55"/>
      <c r="F51" s="2081"/>
      <c r="G51" s="355" t="s">
        <v>880</v>
      </c>
      <c r="H51" s="355" t="s">
        <v>1184</v>
      </c>
      <c r="I51" s="516" t="s">
        <v>1185</v>
      </c>
      <c r="J51" s="2066"/>
      <c r="K51" s="1035"/>
      <c r="L51" s="16"/>
      <c r="M51" s="386"/>
      <c r="N51" s="16"/>
      <c r="O51" s="16"/>
      <c r="P51" s="16"/>
      <c r="Q51" s="16"/>
      <c r="R51" s="16"/>
    </row>
    <row r="52" spans="1:20">
      <c r="A52" s="2082"/>
      <c r="B52" s="2084"/>
      <c r="C52" s="16"/>
      <c r="D52" s="16"/>
      <c r="E52" s="16"/>
      <c r="F52" s="58"/>
      <c r="G52" s="354" t="s">
        <v>1186</v>
      </c>
      <c r="H52" s="365" t="s">
        <v>952</v>
      </c>
      <c r="I52" s="380" t="s">
        <v>1187</v>
      </c>
      <c r="J52" s="2066"/>
      <c r="K52" s="1035"/>
      <c r="L52" s="16"/>
      <c r="M52" s="386"/>
      <c r="N52" s="16"/>
      <c r="O52" s="16"/>
      <c r="P52" s="16"/>
      <c r="Q52" s="16"/>
      <c r="R52" s="16"/>
    </row>
    <row r="53" spans="1:20">
      <c r="A53" s="3085" t="s">
        <v>1188</v>
      </c>
      <c r="B53" s="314" t="s">
        <v>1189</v>
      </c>
      <c r="C53" s="545" t="str">
        <f>"C1 = "&amp;E23&amp;" x "&amp;C31&amp;" x "&amp;D8&amp;"/10^6 ="</f>
        <v>C1 = 300 x 3900 x 23.6/10^6 =</v>
      </c>
      <c r="D53" s="55"/>
      <c r="E53" s="55"/>
      <c r="F53" s="2081"/>
      <c r="G53" s="379">
        <f>(E23*C31*D8)/10^6</f>
        <v>27.612000000000009</v>
      </c>
      <c r="H53" s="2076">
        <f>(0.5*E23+F46)/1000</f>
        <v>1.35</v>
      </c>
      <c r="I53" s="379">
        <f>G53*H53</f>
        <v>37.276200000000017</v>
      </c>
      <c r="J53" s="2074"/>
      <c r="K53" s="1037"/>
      <c r="L53" s="1726"/>
      <c r="M53" s="785"/>
      <c r="N53" s="16"/>
      <c r="O53" s="2074"/>
      <c r="P53" s="2074"/>
      <c r="Q53" s="2074"/>
      <c r="R53" s="16"/>
    </row>
    <row r="54" spans="1:20">
      <c r="A54" s="3200"/>
      <c r="B54" s="1038"/>
      <c r="C54" s="363" t="str">
        <f>"C2 = 0.5 x ("&amp;E46&amp;" - "&amp;E23&amp;")x"&amp;C31&amp;" x "&amp;D8&amp;"/10^6 ="</f>
        <v>C2 = 0.5 x (400 - 300)x3900 x 23.6/10^6 =</v>
      </c>
      <c r="D54" s="16"/>
      <c r="E54" s="16"/>
      <c r="F54" s="58"/>
      <c r="G54" s="103">
        <f>(0.5*(E46-E23)*C31*D8)/10^6</f>
        <v>4.6020000000000012</v>
      </c>
      <c r="H54" s="2073">
        <f>((E46-E23)/3+E23+F46)/1000</f>
        <v>1.5333333333333332</v>
      </c>
      <c r="I54" s="103">
        <f>G54*H54</f>
        <v>7.0564000000000009</v>
      </c>
      <c r="J54" s="2074"/>
      <c r="K54" s="1037"/>
      <c r="M54" s="785"/>
    </row>
    <row r="55" spans="1:20">
      <c r="A55" s="3200"/>
      <c r="B55" s="1038"/>
      <c r="C55" s="363" t="str">
        <f>"C3 = "&amp;G40&amp;" x "&amp;D48&amp;" x "&amp;D8&amp;"/10^6 ="</f>
        <v>C3 = 400 x 3400 x 23.6/10^6 =</v>
      </c>
      <c r="D55" s="16"/>
      <c r="E55" s="16"/>
      <c r="F55" s="58"/>
      <c r="G55" s="103">
        <f>(G40*D48*D8)/10^6</f>
        <v>32.096000000000004</v>
      </c>
      <c r="H55" s="2073">
        <f>0.5*D48/1000</f>
        <v>1.7</v>
      </c>
      <c r="I55" s="103">
        <f>G55*H55</f>
        <v>54.563200000000002</v>
      </c>
      <c r="J55" s="2074"/>
      <c r="K55" s="1037"/>
      <c r="M55" s="785"/>
    </row>
    <row r="56" spans="1:20">
      <c r="A56" s="3200"/>
      <c r="B56" s="1038"/>
      <c r="C56" s="363" t="str">
        <f>"C4 ="&amp;G44&amp;" x "&amp;G42&amp;" x "&amp;D8&amp;"/10^6 ="</f>
        <v>C4 =900 x 300 x 23.6/10^6 =</v>
      </c>
      <c r="D56" s="16"/>
      <c r="E56" s="16"/>
      <c r="F56" s="58"/>
      <c r="G56" s="103">
        <f>(G44*G42*D8)/10^6</f>
        <v>6.3719999999999999</v>
      </c>
      <c r="H56" s="2073">
        <f>0.5*G44/1000</f>
        <v>0.45</v>
      </c>
      <c r="I56" s="103">
        <f>G56*H56</f>
        <v>2.8673999999999999</v>
      </c>
      <c r="J56" s="2074"/>
      <c r="K56" s="1037"/>
      <c r="M56" s="785"/>
    </row>
    <row r="57" spans="1:20">
      <c r="A57" s="1039"/>
      <c r="B57" s="1038"/>
      <c r="C57" s="364" t="str">
        <f>"C5 = 0.5 x "&amp;G45&amp;" x "&amp;G42&amp;" x "&amp;D8&amp;"/10^6 ="</f>
        <v>C5 = 0.5 x 300 x 300 x 23.6/10^6 =</v>
      </c>
      <c r="D57" s="59"/>
      <c r="E57" s="59"/>
      <c r="F57" s="60"/>
      <c r="G57" s="103">
        <f>(0.5*(G45*G42*D8))/10^6</f>
        <v>1.0620000000000001</v>
      </c>
      <c r="H57" s="2073">
        <f>(G45/3+G44)/1000</f>
        <v>1</v>
      </c>
      <c r="I57" s="103">
        <f>G57*H57</f>
        <v>1.0620000000000001</v>
      </c>
      <c r="J57" s="2074"/>
      <c r="K57" s="1037"/>
      <c r="M57" s="785"/>
    </row>
    <row r="58" spans="1:20">
      <c r="A58" s="1039"/>
      <c r="B58" s="1040"/>
      <c r="C58" s="363"/>
      <c r="D58" s="16"/>
      <c r="E58" s="974"/>
      <c r="F58" s="1041" t="s">
        <v>1190</v>
      </c>
      <c r="G58" s="1042">
        <f>SUM(G53:G57)</f>
        <v>71.744000000000014</v>
      </c>
      <c r="H58" s="1043"/>
      <c r="I58" s="1042">
        <f>SUM(I53:I57)</f>
        <v>102.82520000000002</v>
      </c>
      <c r="J58" s="1348"/>
      <c r="K58" s="1037"/>
      <c r="M58" s="785"/>
    </row>
    <row r="59" spans="1:20">
      <c r="A59" s="1039"/>
      <c r="B59" s="1038" t="s">
        <v>1191</v>
      </c>
      <c r="C59" s="545" t="str">
        <f>"S1 = 0.5x "&amp;FIXED(E24,0)&amp;" x "&amp;C31&amp;" x "&amp;D11&amp;"/10^6 ="</f>
        <v>S1 = 0.5x 100 x 3900 x 18.9/10^6 =</v>
      </c>
      <c r="D59" s="55"/>
      <c r="E59" s="55"/>
      <c r="F59" s="2081"/>
      <c r="G59" s="379">
        <f>(0.5*E24*C31*D11)/10^6</f>
        <v>3.6855000000000007</v>
      </c>
      <c r="H59" s="379">
        <f>(E46-E24/3+F46)/1000</f>
        <v>1.5666666666666667</v>
      </c>
      <c r="I59" s="2076">
        <f>G59*H59</f>
        <v>5.773950000000001</v>
      </c>
      <c r="J59" s="2074"/>
      <c r="K59" s="1044"/>
      <c r="M59" s="785"/>
      <c r="N59" s="62"/>
    </row>
    <row r="60" spans="1:20">
      <c r="A60" s="2082"/>
      <c r="B60" s="1038" t="s">
        <v>1192</v>
      </c>
      <c r="C60" s="363" t="str">
        <f>"S2 = "&amp;C46&amp;" x "&amp;C31&amp;" x "&amp;D11&amp;"/10^6 ="</f>
        <v>S2 = 1800 x 3900 x 18.9/10^6 =</v>
      </c>
      <c r="D60" s="16"/>
      <c r="E60" s="16"/>
      <c r="F60" s="58"/>
      <c r="G60" s="103">
        <f>(C46*C31*D11)/10^6</f>
        <v>132.67800000000003</v>
      </c>
      <c r="H60" s="103">
        <f>(0.5*C46+E46+F46)/1000</f>
        <v>2.5</v>
      </c>
      <c r="I60" s="2073">
        <f>G60*H60</f>
        <v>331.69500000000005</v>
      </c>
      <c r="J60" s="2074"/>
      <c r="K60" s="1044"/>
      <c r="M60" s="785"/>
    </row>
    <row r="61" spans="1:20">
      <c r="A61" s="2082"/>
      <c r="B61" s="1038" t="s">
        <v>1193</v>
      </c>
      <c r="C61" s="1045" t="str">
        <f>IF(F21="n","Passive pressure not considered","S6 = "&amp;F46&amp;" x "&amp;F35&amp;" x "&amp;D11&amp;"/1000 =")</f>
        <v>S6 = 1200 x 0 x 18.9/1000 =</v>
      </c>
      <c r="D61" s="16"/>
      <c r="E61" s="16"/>
      <c r="F61" s="58"/>
      <c r="G61" s="103">
        <f>IF(F21="n",0,F46*F35*D11/1000)</f>
        <v>0</v>
      </c>
      <c r="H61" s="103">
        <f>F46/2/1000</f>
        <v>0.6</v>
      </c>
      <c r="I61" s="2073">
        <f>G61*H61</f>
        <v>0</v>
      </c>
      <c r="J61" s="2074"/>
      <c r="K61" s="1044"/>
      <c r="M61" s="785"/>
    </row>
    <row r="62" spans="1:20">
      <c r="A62" s="2082"/>
      <c r="B62" s="1040" t="s">
        <v>1194</v>
      </c>
      <c r="C62" s="364" t="str">
        <f>"S5 = "&amp;H16&amp;" x "&amp;C46&amp;"/1000 ="</f>
        <v>S5 = 0 x 1800/1000 =</v>
      </c>
      <c r="D62" s="59"/>
      <c r="E62" s="59"/>
      <c r="F62" s="60"/>
      <c r="G62" s="103">
        <f>H16*C46/1000</f>
        <v>0</v>
      </c>
      <c r="H62" s="103">
        <f>(0.5*C46+E46+F46)/1000</f>
        <v>2.5</v>
      </c>
      <c r="I62" s="272">
        <f>G62*H62</f>
        <v>0</v>
      </c>
      <c r="J62" s="368"/>
      <c r="K62" s="1046"/>
      <c r="M62" s="785"/>
    </row>
    <row r="63" spans="1:20">
      <c r="A63" s="2082"/>
      <c r="B63" s="1047"/>
      <c r="C63" s="16"/>
      <c r="D63" s="1048"/>
      <c r="E63" s="1049" t="s">
        <v>1195</v>
      </c>
      <c r="F63" s="58"/>
      <c r="G63" s="1050">
        <f>G58+SUM(G59:G62)</f>
        <v>208.10750000000002</v>
      </c>
      <c r="H63" s="1051" t="s">
        <v>1196</v>
      </c>
      <c r="I63" s="1052">
        <f>I58+SUM(I59:I62)+I66</f>
        <v>440.85279582280066</v>
      </c>
      <c r="J63" s="1063"/>
      <c r="K63" s="1053"/>
      <c r="M63" s="785"/>
    </row>
    <row r="64" spans="1:20">
      <c r="A64" s="1054" t="s">
        <v>1197</v>
      </c>
      <c r="B64" s="2081" t="s">
        <v>1363</v>
      </c>
      <c r="C64" s="545" t="str">
        <f>"P = 0.5 x "&amp;FIXED(G10,3)&amp;" x "&amp;D11&amp;" x ("&amp;A31&amp;"/1000)^2 ="</f>
        <v>P = 0.5 x 0.361 x 18.9 x (4300/1000)^2 =</v>
      </c>
      <c r="D64" s="55"/>
      <c r="E64" s="55"/>
      <c r="F64" s="2081"/>
      <c r="G64" s="103">
        <f>0.5*G10*D11*(A31/1000)^2</f>
        <v>63.055459044529421</v>
      </c>
      <c r="H64" s="2072">
        <f>((C31+G40)/1000)/3</f>
        <v>1.4333333333333333</v>
      </c>
      <c r="I64" s="379">
        <f>G64*H64</f>
        <v>90.379491297158836</v>
      </c>
      <c r="J64" s="2074"/>
      <c r="K64" s="1044"/>
      <c r="L64" s="23"/>
      <c r="M64" s="785"/>
    </row>
    <row r="65" spans="1:13">
      <c r="A65" s="1055" t="s">
        <v>1198</v>
      </c>
      <c r="B65" s="58" t="s">
        <v>1364</v>
      </c>
      <c r="C65" s="363" t="str">
        <f>"P5 = "&amp;FIXED(G10,3)&amp;" x "&amp;H16&amp;" x "&amp;A31&amp;"/1000="</f>
        <v>P5 = 0.361 x 0 x 4300/1000=</v>
      </c>
      <c r="D65" s="16"/>
      <c r="E65" s="16"/>
      <c r="F65" s="58"/>
      <c r="G65" s="103">
        <f>G10*H16*(C31+G40)/1000</f>
        <v>0</v>
      </c>
      <c r="H65" s="2072">
        <f>(C31+G40)/2/1000</f>
        <v>2.15</v>
      </c>
      <c r="I65" s="103">
        <f>G65*H65</f>
        <v>0</v>
      </c>
      <c r="J65" s="2074"/>
      <c r="K65" s="1044"/>
      <c r="L65" s="23"/>
      <c r="M65" s="785"/>
    </row>
    <row r="66" spans="1:13">
      <c r="A66" s="1055"/>
      <c r="B66" s="518" t="s">
        <v>1193</v>
      </c>
      <c r="C66" s="1056" t="str">
        <f>IF(F21="n","Passive pressure not considered","P6 = 0.5 x "&amp;FIXED(G11,3)&amp;" x "&amp;D11&amp;" x "&amp;I36&amp;"^2 =")</f>
        <v>P6 = 0.5 x 2.771 x 18.9 x 0.4^2 =</v>
      </c>
      <c r="D66" s="59"/>
      <c r="E66" s="59"/>
      <c r="F66" s="60"/>
      <c r="G66" s="103">
        <f>IF(F21="n",0,0.5*G11*D11*I36^2)</f>
        <v>4.189843671004426</v>
      </c>
      <c r="H66" s="2072">
        <f>I36/3</f>
        <v>0.13333333333333344</v>
      </c>
      <c r="I66" s="138">
        <f>G66*H66</f>
        <v>0.55864582280059061</v>
      </c>
      <c r="J66" s="2074"/>
      <c r="K66" s="1044"/>
      <c r="L66" s="23"/>
      <c r="M66" s="785"/>
    </row>
    <row r="67" spans="1:13">
      <c r="A67" s="1058"/>
      <c r="B67" s="1057"/>
      <c r="C67" s="1057"/>
      <c r="D67" s="1059"/>
      <c r="E67" s="2063"/>
      <c r="F67" s="95" t="s">
        <v>1199</v>
      </c>
      <c r="G67" s="457">
        <f>G64+G65-G66</f>
        <v>58.865615373524996</v>
      </c>
      <c r="H67" s="1060" t="s">
        <v>1200</v>
      </c>
      <c r="I67" s="170">
        <f>I64+I65</f>
        <v>90.379491297158836</v>
      </c>
      <c r="J67" s="2074"/>
      <c r="K67" s="1044"/>
      <c r="M67" s="785"/>
    </row>
    <row r="68" spans="1:13">
      <c r="C68" s="16"/>
      <c r="D68" s="16"/>
      <c r="E68" s="16"/>
      <c r="K68" s="286"/>
      <c r="M68" s="785"/>
    </row>
    <row r="69" spans="1:13">
      <c r="A69" s="1061" t="s">
        <v>1201</v>
      </c>
      <c r="C69" s="386"/>
      <c r="D69" s="386"/>
      <c r="E69" s="386"/>
      <c r="F69" s="386"/>
      <c r="G69" s="16"/>
      <c r="H69" s="16"/>
      <c r="I69" s="16"/>
      <c r="J69" s="16"/>
      <c r="K69" s="1062"/>
      <c r="M69" s="46"/>
    </row>
    <row r="70" spans="1:13">
      <c r="A70" s="385" t="str">
        <f>"Overturning ="&amp;FIXED(I63,2)&amp;"/"&amp;FIXED(I67,2)&amp;" ="</f>
        <v>Overturning =440.85/90.38 =</v>
      </c>
      <c r="C70" s="386"/>
      <c r="D70" s="386"/>
      <c r="E70" s="1063">
        <f>I63/I67</f>
        <v>4.8777968264207221</v>
      </c>
      <c r="F70" s="1064" t="str">
        <f>IF(E70&gt;=1.5,"Ok","Not ok")</f>
        <v>Ok</v>
      </c>
      <c r="G70" s="16"/>
      <c r="H70" s="16"/>
      <c r="I70" s="16"/>
      <c r="J70" s="16"/>
      <c r="K70" s="1062"/>
      <c r="M70" s="46"/>
    </row>
    <row r="71" spans="1:13">
      <c r="A71" s="386" t="str">
        <f>"Sliding = "&amp;FIXED(G63,2)&amp;" x TAN("&amp;D15&amp;") / "&amp;FIXED(G67,2)&amp;" ="</f>
        <v>Sliding = 208.11 x TAN(28) / 58.87 =</v>
      </c>
      <c r="C71" s="386"/>
      <c r="D71" s="386"/>
      <c r="E71" s="1063">
        <f>(TAN(F15)*G63)/G67</f>
        <v>1.8806434367942741</v>
      </c>
      <c r="F71" s="1064" t="str">
        <f>IF(E71&gt;=1.5,"Ok","Not ok")</f>
        <v>Ok</v>
      </c>
      <c r="G71" s="16"/>
      <c r="H71" s="16"/>
      <c r="I71" s="16"/>
      <c r="J71" s="16"/>
      <c r="K71" s="1062"/>
      <c r="M71" s="46"/>
    </row>
    <row r="72" spans="1:13">
      <c r="G72" s="16"/>
      <c r="H72" s="16"/>
      <c r="I72" s="16"/>
      <c r="J72" s="16"/>
      <c r="K72" s="1062"/>
      <c r="M72" s="46"/>
    </row>
    <row r="73" spans="1:13">
      <c r="A73" s="41" t="s">
        <v>1202</v>
      </c>
      <c r="K73" s="286"/>
      <c r="M73" s="46"/>
    </row>
    <row r="74" spans="1:13">
      <c r="A74" s="187" t="s">
        <v>1203</v>
      </c>
      <c r="E74" s="2069" t="s">
        <v>35</v>
      </c>
      <c r="F74" s="54">
        <f>D48/1000</f>
        <v>3.4</v>
      </c>
      <c r="G74" s="187" t="s">
        <v>5</v>
      </c>
      <c r="K74" s="286"/>
      <c r="M74" s="224"/>
    </row>
    <row r="75" spans="1:13" ht="15.75">
      <c r="A75" s="187" t="s">
        <v>1204</v>
      </c>
      <c r="D75" s="38"/>
      <c r="E75" s="2069" t="s">
        <v>35</v>
      </c>
      <c r="F75" s="54">
        <f>(I63-I67)/G63</f>
        <v>1.6840974233299704</v>
      </c>
      <c r="G75" s="187" t="s">
        <v>1205</v>
      </c>
      <c r="K75" s="286"/>
      <c r="M75" s="224"/>
    </row>
    <row r="76" spans="1:13" ht="15.75">
      <c r="A76" s="187" t="s">
        <v>1206</v>
      </c>
      <c r="D76" s="38"/>
      <c r="E76" s="2069" t="s">
        <v>35</v>
      </c>
      <c r="F76" s="54">
        <f>+F74/6</f>
        <v>0.56666666666666665</v>
      </c>
      <c r="G76" s="187" t="s">
        <v>5</v>
      </c>
      <c r="K76" s="286"/>
      <c r="M76" s="224"/>
    </row>
    <row r="77" spans="1:13" ht="15.75">
      <c r="A77" s="187" t="s">
        <v>1207</v>
      </c>
      <c r="E77" s="2069" t="s">
        <v>35</v>
      </c>
      <c r="F77" s="84">
        <f>+F74/2-F75</f>
        <v>1.5902576670029589E-2</v>
      </c>
      <c r="G77" s="187" t="s">
        <v>1208</v>
      </c>
      <c r="K77" s="286"/>
      <c r="M77" s="224"/>
    </row>
    <row r="78" spans="1:13">
      <c r="A78" s="1065" t="str">
        <f>IF(F77&lt;0,"Resultant is towards heel","Resultant is towards toe")</f>
        <v>Resultant is towards toe</v>
      </c>
      <c r="B78" s="1065"/>
      <c r="C78" s="1065"/>
      <c r="F78" s="1066" t="str">
        <f>+IF(ABS(F77)&lt;=F76,"i,e Resultant is in middle third","i,e Resultantis outside middle third")</f>
        <v>i,e Resultant is in middle third</v>
      </c>
      <c r="G78" s="1066"/>
      <c r="H78" s="1066"/>
      <c r="I78" s="46"/>
      <c r="J78" s="46"/>
      <c r="K78" s="286"/>
      <c r="M78" s="46"/>
    </row>
    <row r="79" spans="1:13">
      <c r="D79" s="2070"/>
      <c r="K79" s="286"/>
      <c r="M79" s="46"/>
    </row>
    <row r="80" spans="1:13">
      <c r="A80" s="1" t="s">
        <v>1209</v>
      </c>
      <c r="D80" s="2070"/>
      <c r="K80" s="286"/>
      <c r="M80" s="46"/>
    </row>
    <row r="81" spans="1:20">
      <c r="A81" t="s">
        <v>1210</v>
      </c>
      <c r="D81" s="2" t="s">
        <v>35</v>
      </c>
      <c r="E81" s="2071">
        <f>(G63/F74)*(1+(6*F77)/F74)</f>
        <v>62.925793498801845</v>
      </c>
      <c r="F81" t="s">
        <v>1211</v>
      </c>
      <c r="K81" s="286"/>
      <c r="M81" s="224"/>
    </row>
    <row r="82" spans="1:20">
      <c r="A82" t="s">
        <v>1212</v>
      </c>
      <c r="D82" s="2" t="s">
        <v>35</v>
      </c>
      <c r="E82" s="2071">
        <f>(G63/F74)*(1-(6*F77)/F74)</f>
        <v>59.490382971786417</v>
      </c>
      <c r="F82" t="s">
        <v>1211</v>
      </c>
      <c r="K82" s="286"/>
      <c r="M82" s="224"/>
    </row>
    <row r="83" spans="1:20">
      <c r="D83" s="582"/>
      <c r="K83" s="286"/>
      <c r="M83" s="46"/>
    </row>
    <row r="84" spans="1:20">
      <c r="A84" s="1"/>
      <c r="B84" s="1"/>
      <c r="C84" s="388"/>
      <c r="D84" s="1067" t="str">
        <f>IF(F77&lt;0,"e = "&amp;FIXED(F77,2),"")</f>
        <v/>
      </c>
      <c r="E84" s="203" t="s">
        <v>1213</v>
      </c>
      <c r="F84" s="85">
        <f>F74/2</f>
        <v>1.7</v>
      </c>
      <c r="K84" s="286"/>
    </row>
    <row r="85" spans="1:20" ht="15.75">
      <c r="B85" s="38"/>
      <c r="D85" s="1068" t="s">
        <v>1214</v>
      </c>
      <c r="E85" s="203"/>
      <c r="F85" s="36"/>
      <c r="I85" s="3277" t="s">
        <v>1181</v>
      </c>
      <c r="J85" s="2090"/>
      <c r="K85" s="286"/>
    </row>
    <row r="86" spans="1:20" ht="15.75">
      <c r="B86" s="1069" t="s">
        <v>1215</v>
      </c>
      <c r="C86" s="1070"/>
      <c r="D86" s="1071"/>
      <c r="E86" s="1070"/>
      <c r="F86" s="1070"/>
      <c r="G86" s="1072" t="s">
        <v>1216</v>
      </c>
      <c r="I86" s="3277"/>
      <c r="J86" s="2090"/>
      <c r="K86" s="286"/>
    </row>
    <row r="87" spans="1:20">
      <c r="B87" s="1073" t="s">
        <v>44</v>
      </c>
      <c r="C87" s="1070"/>
      <c r="D87" s="1071"/>
      <c r="E87" s="1070"/>
      <c r="F87" s="1070"/>
      <c r="G87" s="1072" t="s">
        <v>45</v>
      </c>
      <c r="I87" s="3277"/>
      <c r="J87" s="2090"/>
      <c r="K87" s="286"/>
    </row>
    <row r="88" spans="1:20" ht="15.75">
      <c r="A88" s="1"/>
      <c r="B88" s="38"/>
      <c r="D88" s="2070"/>
      <c r="E88" s="2"/>
      <c r="F88" s="17"/>
      <c r="G88" s="2"/>
      <c r="H88" s="18"/>
      <c r="I88" s="18"/>
      <c r="J88" s="18"/>
      <c r="K88" s="286"/>
    </row>
    <row r="89" spans="1:20">
      <c r="C89" s="490"/>
      <c r="D89" s="1074" t="str">
        <f>IF(F77&gt;0,"e = "&amp;FIXED(F77,2),"")</f>
        <v>e = 0.02</v>
      </c>
      <c r="E89" s="203" t="s">
        <v>1217</v>
      </c>
      <c r="F89" s="85">
        <f>F75</f>
        <v>1.6840974233299704</v>
      </c>
      <c r="K89" s="286"/>
    </row>
    <row r="90" spans="1:20">
      <c r="A90" s="27" t="s">
        <v>1218</v>
      </c>
      <c r="B90" s="36">
        <f>+E82</f>
        <v>59.490382971786417</v>
      </c>
      <c r="D90" s="221"/>
      <c r="G90" s="27" t="s">
        <v>1219</v>
      </c>
      <c r="H90" s="36">
        <f>+E81</f>
        <v>62.925793498801845</v>
      </c>
      <c r="I90" s="383"/>
      <c r="J90" s="383"/>
      <c r="K90" s="286"/>
    </row>
    <row r="91" spans="1:20" ht="15.75">
      <c r="B91" s="38"/>
      <c r="K91" s="286"/>
    </row>
    <row r="92" spans="1:20" ht="15.75">
      <c r="A92" s="976" t="s">
        <v>1220</v>
      </c>
      <c r="B92" s="977"/>
      <c r="C92" s="977"/>
      <c r="D92" s="977"/>
      <c r="E92" s="977"/>
      <c r="F92" s="295"/>
      <c r="J92" s="46"/>
      <c r="K92" s="286"/>
      <c r="L92" s="981"/>
      <c r="M92" s="981"/>
      <c r="O92" s="982"/>
      <c r="P92" s="2074"/>
      <c r="Q92" s="2074"/>
      <c r="R92" s="2074"/>
      <c r="S92" s="16"/>
      <c r="T92" s="16"/>
    </row>
    <row r="93" spans="1:20">
      <c r="D93" s="213" t="s">
        <v>1362</v>
      </c>
      <c r="E93" s="213"/>
      <c r="G93" s="46"/>
      <c r="H93" s="46"/>
      <c r="I93" s="1075" t="str">
        <f>F21</f>
        <v>y</v>
      </c>
      <c r="J93" s="234"/>
      <c r="K93" s="286"/>
      <c r="L93" s="981"/>
      <c r="M93" s="268"/>
      <c r="O93" s="981"/>
      <c r="P93" s="2074"/>
      <c r="Q93" s="2074"/>
      <c r="R93" s="2074"/>
      <c r="S93" s="16"/>
      <c r="T93" s="16"/>
    </row>
    <row r="94" spans="1:20">
      <c r="C94" s="219" t="s">
        <v>1164</v>
      </c>
      <c r="D94" s="129">
        <f>$E$123-$E$94-$D$102</f>
        <v>17.952224045903549</v>
      </c>
      <c r="E94" s="187">
        <f>$E$23</f>
        <v>300</v>
      </c>
      <c r="J94" s="46"/>
      <c r="K94" s="286"/>
      <c r="L94" s="981"/>
      <c r="M94" s="981"/>
      <c r="O94" s="967"/>
      <c r="S94" s="16"/>
      <c r="T94" s="16"/>
    </row>
    <row r="95" spans="1:20">
      <c r="B95" s="203" t="s">
        <v>1165</v>
      </c>
      <c r="C95" s="189">
        <f>+C24</f>
        <v>10</v>
      </c>
      <c r="I95" s="320"/>
      <c r="J95" s="1355"/>
      <c r="K95" s="286"/>
      <c r="L95" s="981"/>
      <c r="M95" s="2"/>
      <c r="O95" s="981"/>
    </row>
    <row r="96" spans="1:20">
      <c r="D96" s="30"/>
      <c r="E96" s="492"/>
      <c r="H96" s="9"/>
      <c r="J96" s="46"/>
      <c r="K96" s="286"/>
      <c r="L96" s="981"/>
      <c r="M96" s="981"/>
      <c r="O96" s="1076"/>
    </row>
    <row r="97" spans="1:20">
      <c r="E97" s="1014"/>
      <c r="F97" s="201">
        <f>(C95-D111)*1000</f>
        <v>3900.0000000000005</v>
      </c>
      <c r="J97" s="46"/>
      <c r="K97" s="286"/>
      <c r="L97" s="981"/>
      <c r="M97" s="981"/>
      <c r="O97" s="981"/>
    </row>
    <row r="98" spans="1:20">
      <c r="D98" s="30"/>
      <c r="E98" s="1014"/>
      <c r="J98" s="46"/>
      <c r="K98" s="286"/>
      <c r="L98" s="981"/>
      <c r="M98" s="981"/>
      <c r="O98" s="981"/>
    </row>
    <row r="99" spans="1:20">
      <c r="A99" s="9">
        <f>IF(D104&gt;C95,0,(C95-D104)*1000)</f>
        <v>700.13673779023839</v>
      </c>
      <c r="E99" s="492"/>
      <c r="J99" s="46"/>
      <c r="K99" s="286"/>
      <c r="L99" s="981"/>
      <c r="M99" s="981"/>
      <c r="N99" s="984"/>
      <c r="O99" s="981"/>
      <c r="P99" s="16"/>
      <c r="Q99" s="16"/>
      <c r="R99" s="386"/>
      <c r="S99" s="386"/>
      <c r="T99" s="46"/>
    </row>
    <row r="100" spans="1:20">
      <c r="C100" s="16"/>
      <c r="D100" s="1077"/>
      <c r="E100" s="1014"/>
      <c r="F100" s="187" t="s">
        <v>1221</v>
      </c>
      <c r="G100" s="187" t="s">
        <v>1222</v>
      </c>
      <c r="H100" s="1078">
        <f>H5</f>
        <v>10.3</v>
      </c>
      <c r="I100" s="1079"/>
      <c r="J100" s="1079"/>
      <c r="K100" s="1080"/>
      <c r="M100" s="241"/>
      <c r="N100" s="2074"/>
      <c r="O100" s="2074"/>
      <c r="P100" s="2074"/>
      <c r="Q100" s="2074"/>
      <c r="R100" s="448"/>
      <c r="S100" s="386"/>
      <c r="T100" s="386"/>
    </row>
    <row r="101" spans="1:20">
      <c r="C101" s="1081" t="s">
        <v>1166</v>
      </c>
      <c r="D101" s="22"/>
      <c r="E101" s="1014"/>
      <c r="J101" s="46"/>
      <c r="K101" s="286"/>
      <c r="L101" s="985" t="s">
        <v>1167</v>
      </c>
      <c r="M101" s="986"/>
      <c r="N101" s="987"/>
      <c r="O101" s="986"/>
      <c r="P101" s="988"/>
      <c r="Q101" s="986"/>
      <c r="R101" s="989"/>
      <c r="S101" s="972"/>
      <c r="T101" s="972"/>
    </row>
    <row r="102" spans="1:20">
      <c r="D102" s="294">
        <f>IF(D104&gt;D111,((E123-E94)*C108)/F97,0)</f>
        <v>82.047775954096451</v>
      </c>
      <c r="J102" s="46"/>
      <c r="K102" s="286"/>
      <c r="L102" s="990" t="s">
        <v>673</v>
      </c>
      <c r="M102" s="991" t="s">
        <v>1169</v>
      </c>
      <c r="N102" s="992" t="s">
        <v>1170</v>
      </c>
      <c r="O102" s="991" t="s">
        <v>303</v>
      </c>
      <c r="P102" s="992" t="s">
        <v>45</v>
      </c>
      <c r="Q102" s="991" t="s">
        <v>44</v>
      </c>
      <c r="R102" s="46"/>
      <c r="S102" s="46"/>
      <c r="T102" s="46"/>
    </row>
    <row r="103" spans="1:20">
      <c r="B103" s="1" t="s">
        <v>45</v>
      </c>
      <c r="H103" s="320">
        <f>IF(H100&gt;C95,(C95-D114)*1000,IF(H100&lt;D114,0,(H100-D114)*1000))</f>
        <v>4300.0000000000009</v>
      </c>
      <c r="I103" s="187"/>
      <c r="J103" s="109"/>
      <c r="K103" s="286"/>
      <c r="L103" s="999" t="s">
        <v>117</v>
      </c>
      <c r="M103" s="1000">
        <f>$E$70</f>
        <v>4.8777968264207221</v>
      </c>
      <c r="N103" s="1001">
        <f>$E$71</f>
        <v>1.8806434367942741</v>
      </c>
      <c r="O103" s="1002">
        <f>$F$77</f>
        <v>1.5902576670029589E-2</v>
      </c>
      <c r="P103" s="1001">
        <f>$E$81</f>
        <v>62.925793498801845</v>
      </c>
      <c r="Q103" s="1000">
        <f>$E$82</f>
        <v>59.490382971786417</v>
      </c>
      <c r="R103" s="46"/>
      <c r="S103" s="46"/>
      <c r="T103" s="46"/>
    </row>
    <row r="104" spans="1:20">
      <c r="C104" s="203" t="s">
        <v>885</v>
      </c>
      <c r="D104" s="1078">
        <f>H4</f>
        <v>9.2998632622097617</v>
      </c>
      <c r="H104" s="17"/>
      <c r="I104" t="s">
        <v>1155</v>
      </c>
      <c r="J104" s="1082">
        <f>C6</f>
        <v>6.1</v>
      </c>
      <c r="K104" s="286"/>
      <c r="L104" s="994" t="s">
        <v>118</v>
      </c>
      <c r="M104" s="995">
        <f>$F$154</f>
        <v>1.6783981531588796</v>
      </c>
      <c r="N104" s="996">
        <f>$F$155</f>
        <v>7.4402188214389593</v>
      </c>
      <c r="O104" s="997">
        <f>$F$163</f>
        <v>-0.29486073064251705</v>
      </c>
      <c r="P104" s="996">
        <f>$E$167</f>
        <v>16.950803805919829</v>
      </c>
      <c r="Q104" s="995">
        <f>$E$168</f>
        <v>53.727972607320858</v>
      </c>
    </row>
    <row r="105" spans="1:20">
      <c r="A105" s="4"/>
      <c r="G105" s="5"/>
      <c r="J105" s="46"/>
      <c r="K105" s="286"/>
      <c r="L105" s="1003" t="s">
        <v>301</v>
      </c>
      <c r="M105" s="1004">
        <f>$E$239</f>
        <v>1.4335889970816178</v>
      </c>
      <c r="N105" s="1005">
        <f>$E$240</f>
        <v>2.1372984402852864</v>
      </c>
      <c r="O105" s="1006">
        <f>$F$247</f>
        <v>6.4065455201843147E-2</v>
      </c>
      <c r="P105" s="1005">
        <f>$E$251</f>
        <v>36.205802503485423</v>
      </c>
      <c r="Q105" s="1004">
        <f>$E$252</f>
        <v>28.850726908279295</v>
      </c>
    </row>
    <row r="106" spans="1:20">
      <c r="C106" s="203"/>
      <c r="D106" s="22"/>
      <c r="E106" s="1083" t="s">
        <v>1223</v>
      </c>
      <c r="F106" s="187"/>
      <c r="H106" s="197">
        <f>IF(H100&gt;C95,(C95-D111)*1000,IF(H100&lt;D111,0,($H$100-$D$111)*1000))</f>
        <v>3900.0000000000005</v>
      </c>
      <c r="I106" s="197"/>
      <c r="J106" s="197"/>
      <c r="K106" s="1084"/>
    </row>
    <row r="107" spans="1:20">
      <c r="C107" s="219" t="s">
        <v>1224</v>
      </c>
      <c r="E107" s="25" t="s">
        <v>41</v>
      </c>
      <c r="G107" s="1015" t="s">
        <v>606</v>
      </c>
      <c r="H107" s="5"/>
      <c r="J107" s="11">
        <f>J104-D114</f>
        <v>0.40000000000000036</v>
      </c>
      <c r="K107" s="1085"/>
      <c r="P107" s="16"/>
    </row>
    <row r="108" spans="1:20">
      <c r="A108" s="9">
        <f>IF(D104&gt;C95,(C95-D114)*1000,(D104-D114)*1000)</f>
        <v>3599.8632622097625</v>
      </c>
      <c r="C108" s="296">
        <f>IF(D104&gt;C95,(C95-D111)*1000,($D$104-$D$111)*1000)</f>
        <v>3199.8632622097621</v>
      </c>
      <c r="G108" s="5"/>
      <c r="H108" s="5"/>
      <c r="I108" s="5"/>
      <c r="J108" s="508"/>
      <c r="K108" s="1085"/>
      <c r="L108" s="990" t="s">
        <v>673</v>
      </c>
      <c r="M108" s="1010" t="s">
        <v>1173</v>
      </c>
      <c r="N108" s="1011" t="s">
        <v>1174</v>
      </c>
      <c r="O108" s="1012"/>
      <c r="P108" s="992" t="s">
        <v>676</v>
      </c>
      <c r="Q108" s="1013"/>
    </row>
    <row r="109" spans="1:20">
      <c r="A109" s="27" t="s">
        <v>44</v>
      </c>
      <c r="F109" s="1014" t="s">
        <v>607</v>
      </c>
      <c r="G109" s="5"/>
      <c r="I109" s="320"/>
      <c r="J109" s="1355"/>
      <c r="K109" s="1086"/>
      <c r="L109" s="999" t="s">
        <v>117</v>
      </c>
      <c r="M109" s="1087">
        <f>$G$63</f>
        <v>208.10750000000002</v>
      </c>
      <c r="N109" s="1088">
        <f>$G$67</f>
        <v>58.865615373524996</v>
      </c>
      <c r="O109" s="1021" t="str">
        <f>$F$78</f>
        <v>i,e Resultant is in middle third</v>
      </c>
      <c r="P109" s="1022"/>
      <c r="Q109" s="1023"/>
    </row>
    <row r="110" spans="1:20">
      <c r="E110" s="1014"/>
      <c r="G110" s="4"/>
      <c r="I110" s="1015" t="s">
        <v>1176</v>
      </c>
      <c r="J110" s="1015"/>
      <c r="K110" s="286"/>
      <c r="L110" s="994" t="s">
        <v>118</v>
      </c>
      <c r="M110" s="996">
        <f>$F$142</f>
        <v>120.15391990250916</v>
      </c>
      <c r="N110" s="995">
        <f>$F$150</f>
        <v>8.5907811248254546</v>
      </c>
      <c r="O110" s="1016" t="str">
        <f>$F$164</f>
        <v>i,e Resultant is in middle third</v>
      </c>
      <c r="P110" s="1017"/>
      <c r="Q110" s="1018"/>
    </row>
    <row r="111" spans="1:20">
      <c r="A111" s="27" t="s">
        <v>605</v>
      </c>
      <c r="C111" s="203" t="s">
        <v>1177</v>
      </c>
      <c r="D111" s="189">
        <f>D38</f>
        <v>6.1</v>
      </c>
      <c r="E111" s="187" t="s">
        <v>1225</v>
      </c>
      <c r="G111" s="2065" t="s">
        <v>606</v>
      </c>
      <c r="K111" s="286"/>
      <c r="L111" s="1003" t="s">
        <v>301</v>
      </c>
      <c r="M111" s="1024">
        <f>$F$228</f>
        <v>110.59610000000001</v>
      </c>
      <c r="N111" s="1025">
        <f>$F$236</f>
        <v>27.526757870123944</v>
      </c>
      <c r="O111" s="1026" t="str">
        <f>$F$248</f>
        <v>i,e Resultant is in middle third</v>
      </c>
      <c r="P111" s="1027"/>
      <c r="Q111" s="1028"/>
    </row>
    <row r="112" spans="1:20">
      <c r="G112" s="4"/>
      <c r="K112" s="286"/>
    </row>
    <row r="113" spans="1:17">
      <c r="E113" s="1" t="s">
        <v>1178</v>
      </c>
      <c r="G113" s="5"/>
      <c r="H113" s="30">
        <f>G40</f>
        <v>400</v>
      </c>
      <c r="I113" s="30"/>
      <c r="J113" s="30"/>
      <c r="K113" s="998"/>
    </row>
    <row r="114" spans="1:17">
      <c r="C114" s="17" t="s">
        <v>1165</v>
      </c>
      <c r="D114" s="36">
        <f>C41</f>
        <v>5.6999999999999993</v>
      </c>
      <c r="G114" s="5"/>
      <c r="K114" s="286"/>
      <c r="M114" s="1031"/>
      <c r="N114" s="1032"/>
      <c r="O114" s="1031"/>
      <c r="P114" s="1032"/>
      <c r="Q114" s="386"/>
    </row>
    <row r="115" spans="1:17">
      <c r="H115" s="30">
        <f>+G42</f>
        <v>300</v>
      </c>
      <c r="I115" s="1015"/>
      <c r="J115" s="1015"/>
      <c r="K115" s="998"/>
      <c r="N115" s="1032"/>
      <c r="O115" s="1031"/>
      <c r="P115" s="1032"/>
      <c r="Q115" s="386"/>
    </row>
    <row r="116" spans="1:17">
      <c r="E116" s="25" t="s">
        <v>1179</v>
      </c>
      <c r="G116" s="22" t="s">
        <v>1180</v>
      </c>
      <c r="K116" s="286"/>
      <c r="M116" s="1031"/>
      <c r="N116" s="1032"/>
      <c r="O116" s="1031"/>
      <c r="P116" s="1089"/>
      <c r="Q116" s="386"/>
    </row>
    <row r="117" spans="1:17">
      <c r="A117" t="str">
        <f>FIXED(A108/1000,2)&amp;" * "&amp;D12&amp;" ="</f>
        <v>3.60 * 9.81 =</v>
      </c>
      <c r="B117" s="54">
        <f>A108*D12/1000</f>
        <v>35.314658602277767</v>
      </c>
      <c r="C117" t="s">
        <v>725</v>
      </c>
      <c r="G117" s="2069">
        <f>$G$44</f>
        <v>900</v>
      </c>
      <c r="K117" s="286"/>
      <c r="M117" s="1032"/>
      <c r="N117" s="1090"/>
      <c r="O117" s="1090"/>
      <c r="P117" s="1090"/>
      <c r="Q117" s="386"/>
    </row>
    <row r="118" spans="1:17">
      <c r="D118" s="187" t="s">
        <v>1226</v>
      </c>
      <c r="G118" s="2069">
        <f>$G$45</f>
        <v>300</v>
      </c>
      <c r="K118" s="286"/>
      <c r="M118" s="30"/>
      <c r="N118" s="1090"/>
      <c r="O118" s="1090"/>
      <c r="P118" s="1090"/>
      <c r="Q118" s="386"/>
    </row>
    <row r="119" spans="1:17">
      <c r="G119" s="3"/>
      <c r="K119" s="286"/>
      <c r="M119" s="1091"/>
      <c r="N119" s="1090"/>
      <c r="O119" s="1090"/>
      <c r="P119" s="1090"/>
      <c r="Q119" s="386"/>
    </row>
    <row r="120" spans="1:17">
      <c r="D120" s="187" t="s">
        <v>1227</v>
      </c>
      <c r="G120" t="str">
        <f>H103/1000&amp;"*"&amp;D12&amp;"="</f>
        <v>4.3*9.81=</v>
      </c>
      <c r="H120" s="210">
        <f>H103*D12/1000</f>
        <v>42.183000000000014</v>
      </c>
      <c r="I120" s="187" t="s">
        <v>1229</v>
      </c>
      <c r="J120" s="187"/>
      <c r="K120" s="286"/>
      <c r="M120" s="1032"/>
      <c r="N120" s="1090"/>
      <c r="O120" s="1090"/>
      <c r="P120" s="1090"/>
      <c r="Q120" s="386"/>
    </row>
    <row r="121" spans="1:17">
      <c r="D121" s="187"/>
      <c r="F121" s="187" t="s">
        <v>1228</v>
      </c>
      <c r="I121" s="187"/>
      <c r="J121" s="187"/>
      <c r="K121" s="325"/>
    </row>
    <row r="122" spans="1:17">
      <c r="G122" s="3"/>
      <c r="K122" s="286"/>
    </row>
    <row r="123" spans="1:17">
      <c r="C123" s="187">
        <f>$C$46</f>
        <v>1800</v>
      </c>
      <c r="E123" s="2069">
        <f>$E$46</f>
        <v>400</v>
      </c>
      <c r="F123" s="2069">
        <f>$F$46</f>
        <v>1200</v>
      </c>
      <c r="K123" s="286"/>
    </row>
    <row r="124" spans="1:17">
      <c r="K124" s="286"/>
    </row>
    <row r="125" spans="1:17">
      <c r="D125" s="187">
        <f>$D$48</f>
        <v>3400</v>
      </c>
      <c r="K125" s="286"/>
    </row>
    <row r="126" spans="1:17">
      <c r="K126" s="286"/>
    </row>
    <row r="127" spans="1:17">
      <c r="A127" s="1" t="s">
        <v>1182</v>
      </c>
      <c r="K127" s="286"/>
    </row>
    <row r="128" spans="1:17">
      <c r="A128" s="495" t="s">
        <v>1230</v>
      </c>
      <c r="B128" s="423"/>
      <c r="C128" s="406" t="s">
        <v>1183</v>
      </c>
      <c r="D128" s="55"/>
      <c r="E128" s="2081"/>
      <c r="F128" s="355" t="s">
        <v>880</v>
      </c>
      <c r="G128" s="355" t="s">
        <v>1184</v>
      </c>
      <c r="H128" s="406"/>
      <c r="I128" s="355" t="s">
        <v>1185</v>
      </c>
      <c r="J128" s="2066"/>
      <c r="K128" s="1035"/>
    </row>
    <row r="129" spans="1:13">
      <c r="A129" s="2085" t="s">
        <v>1231</v>
      </c>
      <c r="B129" s="2085"/>
      <c r="C129" s="77"/>
      <c r="D129" s="59"/>
      <c r="E129" s="60"/>
      <c r="F129" s="354" t="s">
        <v>725</v>
      </c>
      <c r="G129" s="354" t="s">
        <v>5</v>
      </c>
      <c r="H129" s="204"/>
      <c r="I129" s="354" t="s">
        <v>1232</v>
      </c>
      <c r="J129" s="2066"/>
      <c r="K129" s="1035"/>
    </row>
    <row r="130" spans="1:13">
      <c r="A130" s="363" t="s">
        <v>1189</v>
      </c>
      <c r="B130" s="1092" t="s">
        <v>1233</v>
      </c>
      <c r="C130" s="16"/>
      <c r="D130" s="16"/>
      <c r="E130" s="58"/>
      <c r="F130" s="103">
        <f>G58</f>
        <v>71.744000000000014</v>
      </c>
      <c r="G130" s="123" t="s">
        <v>1003</v>
      </c>
      <c r="H130" s="550" t="s">
        <v>1234</v>
      </c>
      <c r="I130" s="103">
        <f>I58</f>
        <v>102.82520000000002</v>
      </c>
      <c r="J130" s="2074"/>
      <c r="K130" s="1044"/>
      <c r="L130" s="187"/>
      <c r="M130" s="2074"/>
    </row>
    <row r="131" spans="1:13">
      <c r="A131" s="1725"/>
      <c r="B131" s="1092"/>
      <c r="C131" s="16"/>
      <c r="D131" s="16"/>
      <c r="E131" s="58"/>
      <c r="F131" s="2082"/>
      <c r="G131" s="2082"/>
      <c r="H131" s="268"/>
      <c r="I131" s="2082"/>
      <c r="J131" s="16"/>
      <c r="K131" s="1062"/>
      <c r="M131" s="2074"/>
    </row>
    <row r="132" spans="1:13">
      <c r="A132" s="363" t="s">
        <v>1252</v>
      </c>
      <c r="B132" s="363" t="str">
        <f>"S1="&amp;FIXED(A99,0)&amp;"X("&amp;C123&amp;"+"&amp;FIXED(D102,0)&amp;")x"&amp;D10&amp;"/10^6="</f>
        <v>S1=700X(1800+82)x17.3/10^6=</v>
      </c>
      <c r="C132" s="16"/>
      <c r="D132" s="16"/>
      <c r="E132" s="58"/>
      <c r="F132" s="103">
        <f>($A$99*($C$123+$D$102)*$D$10)/10^6</f>
        <v>22.796050670838429</v>
      </c>
      <c r="G132" s="557">
        <f>((C123+D102)*0.5+D94+E94+F123)/1000</f>
        <v>2.4589761120229516</v>
      </c>
      <c r="H132" s="268" t="s">
        <v>1234</v>
      </c>
      <c r="I132" s="103">
        <f>$F$132*$G$132</f>
        <v>56.054944048056477</v>
      </c>
      <c r="J132" s="2074"/>
      <c r="K132" s="1044"/>
      <c r="L132" s="187"/>
      <c r="M132" s="2074"/>
    </row>
    <row r="133" spans="1:13">
      <c r="A133" s="363" t="s">
        <v>1252</v>
      </c>
      <c r="B133" s="363" t="str">
        <f>"S2=0.5x"&amp;FIXED(D94,0)&amp;"X"&amp;FIXED(A99,0)&amp;"X"&amp;D10&amp;"/10^6="</f>
        <v>S2=0.5x18X700X17.3/10^6=</v>
      </c>
      <c r="C133" s="16"/>
      <c r="D133" s="16"/>
      <c r="E133" s="58"/>
      <c r="F133" s="103">
        <f>0.5*D94*$A$99*$D$10/10^6</f>
        <v>0.10872195016335305</v>
      </c>
      <c r="G133" s="103">
        <f>(D94*2/3+E94+F123)/1000</f>
        <v>1.5119681493639356</v>
      </c>
      <c r="H133" s="268" t="s">
        <v>1234</v>
      </c>
      <c r="I133" s="103">
        <f>$F$133*$G$133</f>
        <v>0.16438412578372294</v>
      </c>
      <c r="J133" s="2074"/>
      <c r="K133" s="1044"/>
      <c r="L133" s="187"/>
      <c r="M133" s="2074"/>
    </row>
    <row r="134" spans="1:13">
      <c r="A134" s="363" t="s">
        <v>1235</v>
      </c>
      <c r="B134" s="363" t="str">
        <f>"S3="&amp;FIXED(C108,0)&amp;"X"&amp;C123&amp;"X"&amp;D11&amp;"/10^6="</f>
        <v>S3=3,200X1800X18.9/10^6=</v>
      </c>
      <c r="C134" s="16"/>
      <c r="D134" s="16"/>
      <c r="E134" s="58"/>
      <c r="F134" s="103">
        <f>$C$108*$C$123*$D$11/10^6</f>
        <v>108.8593481803761</v>
      </c>
      <c r="G134" s="103">
        <f>($C$123*0.5+$E$123+$F$123)/1000</f>
        <v>2.5</v>
      </c>
      <c r="H134" s="268" t="s">
        <v>1234</v>
      </c>
      <c r="I134" s="103">
        <f>$F$134*$G$134</f>
        <v>272.14837045094026</v>
      </c>
      <c r="J134" s="2074"/>
      <c r="K134" s="1044"/>
      <c r="L134" s="187"/>
      <c r="M134" s="2074"/>
    </row>
    <row r="135" spans="1:13">
      <c r="A135" s="363" t="s">
        <v>1235</v>
      </c>
      <c r="B135" s="363" t="str">
        <f>"S4=0.5x"&amp;FIXED(D102,0)&amp;"X"&amp;FIXED(C108,0)&amp;"X"&amp;D11&amp;"/10^6="</f>
        <v>S4=0.5x82X3,200X18.9/10^6=</v>
      </c>
      <c r="C135" s="16"/>
      <c r="D135" s="16"/>
      <c r="E135" s="58"/>
      <c r="F135" s="103">
        <f>0.5*$D$102*$C$108*$D$11/10^6</f>
        <v>2.4810187250034654</v>
      </c>
      <c r="G135" s="103">
        <f>($D$102*2/3+$D$94+$E$94+$F$123)/1000</f>
        <v>1.5726507413486346</v>
      </c>
      <c r="H135" s="268" t="s">
        <v>1234</v>
      </c>
      <c r="I135" s="103">
        <f>$F$135*$G$135</f>
        <v>3.9017759371765441</v>
      </c>
      <c r="J135" s="2074"/>
      <c r="K135" s="1044"/>
      <c r="L135" s="187"/>
      <c r="M135" s="2074"/>
    </row>
    <row r="136" spans="1:13">
      <c r="A136" s="363" t="s">
        <v>1236</v>
      </c>
      <c r="B136" s="363" t="str">
        <f>"W="&amp;H106&amp;"X"&amp;F123&amp;"X"&amp;D12&amp;"/10^6="</f>
        <v>W=3900X1200X9.81/10^6=</v>
      </c>
      <c r="C136" s="16"/>
      <c r="D136" s="16"/>
      <c r="E136" s="58"/>
      <c r="F136" s="103">
        <f>$H$106*$F$123*$D$12/10^6</f>
        <v>45.910800000000016</v>
      </c>
      <c r="G136" s="103">
        <f>$F$123*0.5/1000</f>
        <v>0.6</v>
      </c>
      <c r="H136" s="268" t="s">
        <v>1234</v>
      </c>
      <c r="I136" s="103">
        <f>$F$136*$G$136</f>
        <v>27.54648000000001</v>
      </c>
      <c r="J136" s="2074"/>
      <c r="K136" s="1044"/>
      <c r="L136" s="187"/>
      <c r="M136" s="2074"/>
    </row>
    <row r="137" spans="1:13">
      <c r="A137" s="363" t="s">
        <v>1193</v>
      </c>
      <c r="B137" s="1045" t="str">
        <f>IF(I93="n","Passive pressure not considered","S6 = "&amp;F46&amp;" x "&amp;F35&amp;" x "&amp;D11&amp;"/1000 =")</f>
        <v>S6 = 1200 x 0 x 18.9/1000 =</v>
      </c>
      <c r="C137" s="16"/>
      <c r="D137" s="16"/>
      <c r="E137" s="58"/>
      <c r="F137" s="1093">
        <f>IF(F21="n",0,F46*F35*D11/1000)</f>
        <v>0</v>
      </c>
      <c r="G137" s="1093">
        <f>F46/2/1000</f>
        <v>0.6</v>
      </c>
      <c r="H137" s="268" t="s">
        <v>1234</v>
      </c>
      <c r="I137" s="1093">
        <f>F137*G137</f>
        <v>0</v>
      </c>
      <c r="J137" s="1140"/>
      <c r="K137" s="1044"/>
      <c r="L137" s="187"/>
      <c r="M137" s="2074"/>
    </row>
    <row r="138" spans="1:13">
      <c r="A138" s="363" t="s">
        <v>1194</v>
      </c>
      <c r="B138" s="363" t="str">
        <f>"S5 = "&amp;H16&amp;" x "&amp;C46&amp;"/1000 ="</f>
        <v>S5 = 0 x 1800/1000 =</v>
      </c>
      <c r="C138" s="16"/>
      <c r="D138" s="16"/>
      <c r="E138" s="58"/>
      <c r="F138" s="103">
        <f>H16*C46/1000</f>
        <v>0</v>
      </c>
      <c r="G138" s="103">
        <f>(0.5*C46+E46+F46)/1000</f>
        <v>2.5</v>
      </c>
      <c r="H138" s="268" t="s">
        <v>1234</v>
      </c>
      <c r="I138" s="103">
        <f>F138*G138</f>
        <v>0</v>
      </c>
      <c r="J138" s="2074"/>
      <c r="K138" s="1044"/>
      <c r="L138" s="187"/>
      <c r="M138" s="2074"/>
    </row>
    <row r="139" spans="1:13">
      <c r="A139" s="1725"/>
      <c r="B139" s="1092"/>
      <c r="C139" s="16"/>
      <c r="D139" s="16"/>
      <c r="E139" s="58"/>
      <c r="F139" s="2082"/>
      <c r="G139" s="2082"/>
      <c r="H139" s="268"/>
      <c r="I139" s="103"/>
      <c r="J139" s="2074"/>
      <c r="K139" s="1044"/>
      <c r="M139" s="2074"/>
    </row>
    <row r="140" spans="1:13">
      <c r="A140" s="348" t="s">
        <v>1237</v>
      </c>
      <c r="B140" s="363" t="str">
        <f>"U1 ="&amp;FIXED(B117,2)&amp;"X"&amp;D125&amp;"/1000 ="</f>
        <v>U1 =35.31X3400/1000 =</v>
      </c>
      <c r="C140" s="16"/>
      <c r="D140" s="16"/>
      <c r="E140" s="58"/>
      <c r="F140" s="103">
        <f>$B$117*$D$125/1000</f>
        <v>120.06983924774441</v>
      </c>
      <c r="G140" s="103">
        <f>$D$125*0.5/1000</f>
        <v>1.7</v>
      </c>
      <c r="H140" s="268" t="s">
        <v>1238</v>
      </c>
      <c r="I140" s="103">
        <f>$F$140*$G$140</f>
        <v>204.1187267211655</v>
      </c>
      <c r="J140" s="2074"/>
      <c r="K140" s="1044"/>
      <c r="L140" s="187"/>
      <c r="M140" s="2074"/>
    </row>
    <row r="141" spans="1:13">
      <c r="A141" s="348" t="s">
        <v>1237</v>
      </c>
      <c r="B141" s="1094" t="str">
        <f>"U2 =0.5*("&amp;FIXED(H120,2)&amp;"-"&amp;FIXED(B117,2)&amp;")x"&amp;D125&amp;"/1000 ="</f>
        <v>U2 =0.5*(42.18-35.31)x3400/1000 =</v>
      </c>
      <c r="C141" s="16"/>
      <c r="D141" s="16"/>
      <c r="E141" s="58"/>
      <c r="F141" s="138">
        <f>0.5*(H120-B117)*D125/1000</f>
        <v>11.676180376127821</v>
      </c>
      <c r="G141" s="103">
        <f>D125/3/1000</f>
        <v>1.1333333333333333</v>
      </c>
      <c r="H141" s="268" t="s">
        <v>1238</v>
      </c>
      <c r="I141" s="103">
        <f>F141*G141</f>
        <v>13.233004426278196</v>
      </c>
      <c r="J141" s="2074"/>
      <c r="K141" s="1062"/>
      <c r="M141" s="2074"/>
    </row>
    <row r="142" spans="1:13" ht="15.75">
      <c r="A142" s="101"/>
      <c r="B142" s="101"/>
      <c r="C142" s="1095"/>
      <c r="D142" s="102"/>
      <c r="E142" s="1096" t="s">
        <v>1239</v>
      </c>
      <c r="F142" s="1097">
        <f>SUM(F130:F138)-SUM(F140:F141)</f>
        <v>120.15391990250916</v>
      </c>
      <c r="G142" s="1098"/>
      <c r="H142" s="1099" t="s">
        <v>1240</v>
      </c>
      <c r="I142" s="1097">
        <f>SUM(I130:I138)+I149+I148</f>
        <v>593.00842160054208</v>
      </c>
      <c r="J142" s="1349"/>
      <c r="K142" s="1100"/>
      <c r="M142" s="2074"/>
    </row>
    <row r="143" spans="1:13">
      <c r="A143" s="1101" t="s">
        <v>1241</v>
      </c>
      <c r="B143" s="16"/>
      <c r="C143" s="16"/>
      <c r="D143" s="16"/>
      <c r="F143" s="172"/>
      <c r="G143" s="93"/>
      <c r="H143" s="102"/>
      <c r="I143" s="172"/>
      <c r="J143" s="16"/>
      <c r="K143" s="1062"/>
      <c r="M143" s="2074"/>
    </row>
    <row r="144" spans="1:13">
      <c r="A144" s="363" t="s">
        <v>1252</v>
      </c>
      <c r="B144" s="545" t="str">
        <f>"P1= 0.5x"&amp;FIXED(G10,3)&amp;"x"&amp;D10&amp;"x"&amp;FIXED(A99,0)&amp;"^2/10^6 ="</f>
        <v>P1= 0.5x0.361x17.3x700^2/10^6 =</v>
      </c>
      <c r="C144" s="55"/>
      <c r="D144" s="55"/>
      <c r="E144" s="2081"/>
      <c r="F144" s="103">
        <f>0.5*$G$10*$D$10*$A$99^2/10^6</f>
        <v>1.5301563639713756</v>
      </c>
      <c r="G144" s="2074">
        <f>(A99/3+A108)/1000</f>
        <v>3.8332421748065086</v>
      </c>
      <c r="H144" s="1103" t="s">
        <v>1238</v>
      </c>
      <c r="I144" s="103">
        <f>$F$144*$G$144</f>
        <v>5.8654599084236549</v>
      </c>
      <c r="J144" s="2074"/>
      <c r="K144" s="1044"/>
      <c r="L144" s="187"/>
      <c r="M144" s="2074"/>
    </row>
    <row r="145" spans="1:14">
      <c r="A145" s="363" t="s">
        <v>1252</v>
      </c>
      <c r="B145" s="363" t="str">
        <f>"P2="&amp;FIXED(G10,3)&amp;"x"&amp;D10&amp;"x"&amp;FIXED(A99,0)&amp;"x"&amp;FIXED(A108,0)&amp;"/10^6="</f>
        <v>P2=0.361x17.3x700x3,600/10^6=</v>
      </c>
      <c r="C145" s="16"/>
      <c r="D145" s="16"/>
      <c r="E145" s="58"/>
      <c r="F145" s="103">
        <f>$G$10*$D$10*$A$99*$A$108/10^6</f>
        <v>15.735079685955096</v>
      </c>
      <c r="G145" s="2074">
        <f>(A108*0.5)/1000</f>
        <v>1.7999316311048812</v>
      </c>
      <c r="H145" s="1104" t="s">
        <v>1238</v>
      </c>
      <c r="I145" s="103">
        <f>$F$145*$G$145</f>
        <v>28.322067644706436</v>
      </c>
      <c r="J145" s="2074"/>
      <c r="K145" s="1044"/>
      <c r="L145" s="187"/>
      <c r="M145" s="2074"/>
      <c r="N145" s="16"/>
    </row>
    <row r="146" spans="1:14">
      <c r="A146" s="363" t="s">
        <v>1235</v>
      </c>
      <c r="B146" s="363" t="str">
        <f>"P3=0.5x["&amp;FIXED(G10,3)&amp;"x("&amp;D11&amp;"-"&amp;D12&amp;")+"&amp;D12&amp;"]*"&amp;FIXED(A108,0)/1000&amp;"^2="</f>
        <v>P3=0.5x[0.361x(18.9-9.81)+9.81]*3.6^2=</v>
      </c>
      <c r="C146" s="16"/>
      <c r="D146" s="16"/>
      <c r="E146" s="58"/>
      <c r="F146" s="103">
        <f>(0.5*($G$10*($D$11-$D$12)+$D$12)*$A$108^2)/10^6</f>
        <v>84.818910364286864</v>
      </c>
      <c r="G146" s="2074">
        <f>(A108/3)/1000</f>
        <v>1.1999544207365875</v>
      </c>
      <c r="H146" s="1104" t="s">
        <v>1238</v>
      </c>
      <c r="I146" s="103">
        <f>$F$146*$G$146</f>
        <v>101.77882645368639</v>
      </c>
      <c r="J146" s="2074"/>
      <c r="K146" s="1044"/>
      <c r="L146" s="187"/>
      <c r="M146" s="2074"/>
      <c r="N146" s="16"/>
    </row>
    <row r="147" spans="1:14">
      <c r="A147" s="363" t="s">
        <v>1194</v>
      </c>
      <c r="B147" s="1346" t="str">
        <f>"P5 ="&amp;FIXED(G10,3)&amp;" x "&amp;H16&amp;" x( "&amp;C31&amp;" + "&amp;G40&amp;")/1000="</f>
        <v>P5 =0.361 x 0 x( 3900 + 400)/1000=</v>
      </c>
      <c r="C147" s="16"/>
      <c r="D147" s="16"/>
      <c r="E147" s="58"/>
      <c r="F147" s="103">
        <f>G10*H16*(C31+G40)/1000</f>
        <v>0</v>
      </c>
      <c r="G147" s="2074">
        <f>(C31+G40)/2/1000</f>
        <v>2.15</v>
      </c>
      <c r="H147" s="1105" t="s">
        <v>1238</v>
      </c>
      <c r="I147" s="103">
        <f>F147*G147</f>
        <v>0</v>
      </c>
      <c r="J147" s="2074"/>
      <c r="K147" s="1044"/>
      <c r="L147" s="187"/>
      <c r="M147" s="2074"/>
    </row>
    <row r="148" spans="1:14">
      <c r="A148" s="363" t="s">
        <v>1193</v>
      </c>
      <c r="B148" s="1347" t="str">
        <f>IF(I93="n","Passive pressure not considered","P6 = 0.5 x( "&amp;FIXED(G11,3)&amp;" * ("&amp;D11&amp;"-"&amp;D12&amp;")+"&amp;D12&amp;" )x "&amp;I36&amp;"^2 =")</f>
        <v>P6 = 0.5 x( 2.771 * (18.9-9.81)+9.81 )x 0.4^2 =</v>
      </c>
      <c r="C148" s="16"/>
      <c r="D148" s="16"/>
      <c r="E148" s="58"/>
      <c r="F148" s="1093">
        <f>IF(I93="n",0,0.5*(G11*(D11-D12)+D12)*I36^2)</f>
        <v>2.7999152893878443</v>
      </c>
      <c r="G148" s="2074">
        <f>I36/3</f>
        <v>0.13333333333333344</v>
      </c>
      <c r="H148" s="1105" t="s">
        <v>1234</v>
      </c>
      <c r="I148" s="1093">
        <f>F148*G148</f>
        <v>0.3733220385850462</v>
      </c>
      <c r="J148" s="1140"/>
      <c r="K148" s="1044"/>
      <c r="L148" s="187"/>
      <c r="M148" s="2074"/>
    </row>
    <row r="149" spans="1:14">
      <c r="A149" s="363" t="s">
        <v>1236</v>
      </c>
      <c r="B149" s="364" t="str">
        <f>"P4 = 0.5x"&amp;D12&amp;"x"&amp;H103&amp;"^2/10^6 ="</f>
        <v>P4 = 0.5x9.81x4300^2/10^6 =</v>
      </c>
      <c r="C149" s="59"/>
      <c r="D149" s="59"/>
      <c r="E149" s="60"/>
      <c r="F149" s="103">
        <f>0.5*D12*H103^2/10^6</f>
        <v>90.693450000000041</v>
      </c>
      <c r="G149" s="2074">
        <f>H103/(3*1000)</f>
        <v>1.4333333333333336</v>
      </c>
      <c r="H149" s="1104" t="s">
        <v>1234</v>
      </c>
      <c r="I149" s="103">
        <f>$F$149*$G$149</f>
        <v>129.99394500000008</v>
      </c>
      <c r="J149" s="2074"/>
      <c r="K149" s="1044"/>
      <c r="L149" s="187"/>
      <c r="M149" s="2074"/>
    </row>
    <row r="150" spans="1:14" ht="15.75">
      <c r="A150" s="101"/>
      <c r="B150" s="101"/>
      <c r="C150" s="102"/>
      <c r="D150" s="102"/>
      <c r="E150" s="1106" t="s">
        <v>1242</v>
      </c>
      <c r="F150" s="1107">
        <f>SUM(F144:F147)-F148-F149</f>
        <v>8.5907811248254546</v>
      </c>
      <c r="G150" s="1098"/>
      <c r="H150" s="1099" t="s">
        <v>1243</v>
      </c>
      <c r="I150" s="1097">
        <f>SUM(I144:I147)+SUM(I140:I141)</f>
        <v>353.31808515426019</v>
      </c>
      <c r="J150" s="1349"/>
      <c r="K150" s="1100"/>
      <c r="M150" s="2074"/>
    </row>
    <row r="151" spans="1:14">
      <c r="I151" s="27" t="str">
        <f>IF(F150&lt;0,"Horizontal pressure due to R/S Water &amp; soil  is Governing","Horizontal pressure due to C/S Earth  is Governing")</f>
        <v>Horizontal pressure due to C/S Earth  is Governing</v>
      </c>
      <c r="J151" s="27"/>
      <c r="K151" s="286"/>
    </row>
    <row r="152" spans="1:14">
      <c r="K152" s="286"/>
    </row>
    <row r="153" spans="1:14" ht="15">
      <c r="A153" s="387" t="s">
        <v>1201</v>
      </c>
      <c r="C153" s="46"/>
      <c r="D153" s="46"/>
      <c r="E153" s="46"/>
      <c r="F153" s="46"/>
      <c r="K153" s="286"/>
    </row>
    <row r="154" spans="1:14">
      <c r="A154" s="385" t="str">
        <f>"Overturning ="&amp;FIXED(I142,2)&amp;"/"&amp;FIXED(I150,2)&amp;" ="</f>
        <v>Overturning =593.01/353.32 =</v>
      </c>
      <c r="C154" s="109"/>
      <c r="D154" s="201"/>
      <c r="F154" s="1108">
        <f>$I$142/$I$150</f>
        <v>1.6783981531588796</v>
      </c>
      <c r="G154" s="1109" t="str">
        <f>IF(F154&gt;=1.5,"Ok","Not ok")</f>
        <v>Ok</v>
      </c>
      <c r="K154" s="286"/>
      <c r="M154" s="33"/>
    </row>
    <row r="155" spans="1:14">
      <c r="A155" s="386" t="str">
        <f>"Sliding = "&amp;FIXED(F142,2)&amp;" x TAN("&amp;D15&amp;") / "&amp;ABS(FIXED(F150,2))&amp;" ="</f>
        <v>Sliding = 120.15 x TAN(28) / 8.59 =</v>
      </c>
      <c r="C155" s="46"/>
      <c r="D155" s="90"/>
      <c r="F155" s="1108">
        <f>$F$142*TAN(F15)/ABS($F$150)</f>
        <v>7.4402188214389593</v>
      </c>
      <c r="G155" s="1109" t="str">
        <f>IF(F155&gt;=1.5,"Ok","Not ok")</f>
        <v>Ok</v>
      </c>
      <c r="K155" s="286"/>
      <c r="M155" s="33"/>
    </row>
    <row r="156" spans="1:14">
      <c r="A156" s="109" t="str">
        <f>"Uplift=("&amp;FIXED(F142,2)&amp;"+"&amp;FIXED(F140,2)&amp;"+"&amp;FIXED(F141,2)&amp;")/("&amp;FIXED(F140,2)&amp;"+"&amp;FIXED(F141,2)&amp;")="</f>
        <v>Uplift=(120.15+120.07+11.68)/(120.07+11.68)=</v>
      </c>
      <c r="C156" s="46"/>
      <c r="D156" s="90"/>
      <c r="F156" s="1108">
        <f>(F142+F140+F141)/(F140+F141)</f>
        <v>1.9120117651033566</v>
      </c>
      <c r="G156" s="1109" t="str">
        <f>IF(F156&gt;=1.1,"Ok","Not ok")</f>
        <v>Ok</v>
      </c>
      <c r="K156" s="286"/>
      <c r="M156" s="33"/>
    </row>
    <row r="157" spans="1:14">
      <c r="K157" s="286"/>
      <c r="M157" s="33"/>
    </row>
    <row r="158" spans="1:14">
      <c r="A158" s="41" t="s">
        <v>1202</v>
      </c>
      <c r="K158" s="286"/>
      <c r="M158" s="33"/>
    </row>
    <row r="159" spans="1:14">
      <c r="H159" s="1110"/>
      <c r="I159" s="1110"/>
      <c r="J159" s="1110"/>
      <c r="K159" s="1111"/>
      <c r="M159" s="33"/>
    </row>
    <row r="160" spans="1:14">
      <c r="A160" s="187" t="s">
        <v>1203</v>
      </c>
      <c r="E160" s="2069" t="s">
        <v>35</v>
      </c>
      <c r="F160" s="54">
        <f>+D125/1000</f>
        <v>3.4</v>
      </c>
      <c r="G160" s="187" t="s">
        <v>5</v>
      </c>
      <c r="K160" s="286"/>
      <c r="M160" s="33"/>
    </row>
    <row r="161" spans="1:18" ht="15.75">
      <c r="A161" s="187" t="s">
        <v>1204</v>
      </c>
      <c r="D161" s="38"/>
      <c r="E161" s="2069" t="s">
        <v>35</v>
      </c>
      <c r="F161" s="54">
        <f>($I$142-$I$150)/$F$142</f>
        <v>1.994860730642517</v>
      </c>
      <c r="G161" s="187" t="s">
        <v>1205</v>
      </c>
      <c r="K161" s="286"/>
      <c r="M161" s="33"/>
    </row>
    <row r="162" spans="1:18" ht="15.75">
      <c r="A162" s="187" t="s">
        <v>1206</v>
      </c>
      <c r="D162" s="38"/>
      <c r="E162" s="2069" t="s">
        <v>35</v>
      </c>
      <c r="F162" s="54">
        <f>F160/6</f>
        <v>0.56666666666666665</v>
      </c>
      <c r="G162" s="187" t="s">
        <v>5</v>
      </c>
      <c r="K162" s="286"/>
      <c r="M162" s="33"/>
    </row>
    <row r="163" spans="1:18" ht="15.75">
      <c r="A163" s="187" t="s">
        <v>1207</v>
      </c>
      <c r="E163" s="2069" t="s">
        <v>35</v>
      </c>
      <c r="F163" s="84">
        <f>F160/2-F161</f>
        <v>-0.29486073064251705</v>
      </c>
      <c r="G163" s="187" t="s">
        <v>1208</v>
      </c>
      <c r="K163" s="286"/>
      <c r="M163" s="33"/>
    </row>
    <row r="164" spans="1:18">
      <c r="A164" s="126" t="str">
        <f>IF(F163&lt;0,"Resultant is towards heel","Resultant is towards toe")</f>
        <v>Resultant is towards heel</v>
      </c>
      <c r="B164" s="126"/>
      <c r="C164" s="1065"/>
      <c r="F164" s="1066" t="str">
        <f>+IF(ABS(F163)&lt;=F162,"i,e Resultant is in middle third","i,e Resultantis outside middle third")</f>
        <v>i,e Resultant is in middle third</v>
      </c>
      <c r="G164" s="1066"/>
      <c r="H164" s="1066"/>
      <c r="I164" s="46"/>
      <c r="J164" s="46"/>
      <c r="K164" s="286"/>
      <c r="L164" s="1112"/>
      <c r="M164" s="1112"/>
      <c r="N164" s="1112"/>
      <c r="O164" s="1112"/>
      <c r="P164" s="1112"/>
      <c r="Q164" s="1112"/>
      <c r="R164" s="1112"/>
    </row>
    <row r="165" spans="1:18">
      <c r="K165" s="286"/>
      <c r="L165" s="1113"/>
      <c r="M165" s="1112"/>
      <c r="N165" s="1112"/>
      <c r="O165" s="1112"/>
      <c r="P165" s="1112"/>
      <c r="Q165" s="1112"/>
      <c r="R165" s="1112"/>
    </row>
    <row r="166" spans="1:18">
      <c r="A166" s="1" t="s">
        <v>1209</v>
      </c>
      <c r="K166" s="286"/>
      <c r="L166" s="1113"/>
      <c r="M166" s="1112"/>
      <c r="N166" s="1112"/>
      <c r="O166" s="1112"/>
      <c r="P166" s="1112"/>
      <c r="Q166" s="1112"/>
      <c r="R166" s="1112"/>
    </row>
    <row r="167" spans="1:18">
      <c r="A167" t="s">
        <v>1210</v>
      </c>
      <c r="D167" s="2" t="s">
        <v>35</v>
      </c>
      <c r="E167" s="2071">
        <f>($F$142/F160)*(1+6*F163/F160)</f>
        <v>16.950803805919829</v>
      </c>
      <c r="F167" t="s">
        <v>1211</v>
      </c>
      <c r="K167" s="286"/>
      <c r="L167" s="1113"/>
      <c r="M167" s="1114"/>
      <c r="N167" s="1112"/>
      <c r="O167" s="1112"/>
      <c r="P167" s="1112"/>
      <c r="Q167" s="1112"/>
      <c r="R167" s="1112"/>
    </row>
    <row r="168" spans="1:18">
      <c r="A168" t="s">
        <v>1212</v>
      </c>
      <c r="D168" s="2" t="s">
        <v>35</v>
      </c>
      <c r="E168" s="2071">
        <f>($F$142/F160)*(1-6*F163/F160)</f>
        <v>53.727972607320858</v>
      </c>
      <c r="F168" t="s">
        <v>1211</v>
      </c>
      <c r="K168" s="286"/>
      <c r="L168" s="1113"/>
      <c r="M168" s="1112"/>
      <c r="N168" s="1112"/>
      <c r="O168" s="1112"/>
      <c r="P168" s="1112"/>
      <c r="Q168" s="1112"/>
      <c r="R168" s="1112"/>
    </row>
    <row r="169" spans="1:18">
      <c r="K169" s="286"/>
      <c r="L169" s="1112"/>
      <c r="M169" s="1112"/>
      <c r="N169" s="1112"/>
      <c r="O169" s="1112"/>
      <c r="P169" s="1112"/>
      <c r="Q169" s="1112"/>
      <c r="R169" s="1112"/>
    </row>
    <row r="170" spans="1:18">
      <c r="K170" s="286"/>
      <c r="L170" s="1115"/>
      <c r="M170" s="1115"/>
      <c r="N170" s="1115"/>
      <c r="O170" s="1115"/>
      <c r="P170" s="1115"/>
      <c r="Q170" s="1115"/>
      <c r="R170" s="1115"/>
    </row>
    <row r="171" spans="1:18">
      <c r="B171" s="203" t="s">
        <v>1218</v>
      </c>
      <c r="C171" s="36">
        <f>+E168</f>
        <v>53.727972607320858</v>
      </c>
      <c r="F171" s="203" t="s">
        <v>1219</v>
      </c>
      <c r="G171" s="36">
        <f>+E167</f>
        <v>16.950803805919829</v>
      </c>
      <c r="K171" s="286"/>
    </row>
    <row r="172" spans="1:18">
      <c r="C172" s="187" t="s">
        <v>1244</v>
      </c>
      <c r="F172" s="187" t="s">
        <v>1245</v>
      </c>
      <c r="J172" s="46"/>
      <c r="K172" s="286"/>
    </row>
    <row r="173" spans="1:18">
      <c r="C173" s="187"/>
      <c r="F173" s="187"/>
      <c r="J173" s="46"/>
      <c r="K173" s="286"/>
      <c r="L173" s="109"/>
      <c r="M173" s="46"/>
    </row>
    <row r="174" spans="1:18" ht="15.75">
      <c r="A174" s="976" t="s">
        <v>1246</v>
      </c>
      <c r="B174" s="977"/>
      <c r="C174" s="977"/>
      <c r="D174" s="977"/>
      <c r="F174" s="295"/>
      <c r="G174" s="295"/>
      <c r="H174" s="295"/>
      <c r="I174" s="295"/>
      <c r="J174" s="295"/>
      <c r="K174" s="979"/>
    </row>
    <row r="175" spans="1:18">
      <c r="D175" s="213" t="s">
        <v>1362</v>
      </c>
      <c r="E175" s="213"/>
      <c r="G175" s="46"/>
      <c r="H175" s="46"/>
      <c r="I175" s="1075" t="str">
        <f>F21</f>
        <v>y</v>
      </c>
      <c r="J175" s="234"/>
      <c r="K175" s="286"/>
    </row>
    <row r="176" spans="1:18">
      <c r="J176" s="46"/>
      <c r="K176" s="286"/>
      <c r="L176" s="981"/>
      <c r="M176" s="981"/>
      <c r="N176" s="984"/>
      <c r="O176" s="981"/>
      <c r="P176" s="386"/>
    </row>
    <row r="177" spans="1:20">
      <c r="C177" s="187" t="s">
        <v>1164</v>
      </c>
      <c r="D177" s="129">
        <f>E203-E177-D186</f>
        <v>0</v>
      </c>
      <c r="E177" s="187">
        <f>$E$23</f>
        <v>300</v>
      </c>
      <c r="J177" s="46"/>
      <c r="K177" s="286"/>
      <c r="L177" s="981"/>
      <c r="M177" s="981"/>
      <c r="N177" s="984"/>
      <c r="O177" s="981"/>
      <c r="P177" s="386"/>
    </row>
    <row r="178" spans="1:20">
      <c r="C178" s="1077">
        <f>+C24</f>
        <v>10</v>
      </c>
      <c r="J178" s="46"/>
      <c r="K178" s="286"/>
      <c r="L178" s="981"/>
      <c r="M178" s="981"/>
      <c r="N178" s="984"/>
      <c r="O178" s="981"/>
      <c r="P178" s="386"/>
    </row>
    <row r="179" spans="1:20">
      <c r="D179" s="18"/>
      <c r="E179" s="1014"/>
      <c r="K179" s="286"/>
      <c r="L179" s="1116" t="s">
        <v>1167</v>
      </c>
      <c r="M179" s="1022"/>
      <c r="N179" s="1117"/>
      <c r="O179" s="1022"/>
      <c r="P179" s="1001"/>
      <c r="Q179" s="986"/>
      <c r="R179" s="989"/>
      <c r="S179" s="972"/>
      <c r="T179" s="972"/>
    </row>
    <row r="180" spans="1:20">
      <c r="D180" s="18"/>
      <c r="E180" s="1014"/>
      <c r="K180" s="286"/>
      <c r="L180" s="990" t="s">
        <v>673</v>
      </c>
      <c r="M180" s="991" t="s">
        <v>1169</v>
      </c>
      <c r="N180" s="992" t="s">
        <v>1170</v>
      </c>
      <c r="O180" s="991" t="s">
        <v>303</v>
      </c>
      <c r="P180" s="992" t="s">
        <v>45</v>
      </c>
      <c r="Q180" s="991" t="s">
        <v>44</v>
      </c>
    </row>
    <row r="181" spans="1:20">
      <c r="D181" s="18"/>
      <c r="E181" s="1014"/>
      <c r="K181" s="286"/>
      <c r="L181" s="999" t="s">
        <v>117</v>
      </c>
      <c r="M181" s="1000">
        <f>$E$70</f>
        <v>4.8777968264207221</v>
      </c>
      <c r="N181" s="1001">
        <f>$E$71</f>
        <v>1.8806434367942741</v>
      </c>
      <c r="O181" s="1002">
        <f>$F$77</f>
        <v>1.5902576670029589E-2</v>
      </c>
      <c r="P181" s="1001">
        <f>$E$81</f>
        <v>62.925793498801845</v>
      </c>
      <c r="Q181" s="1000">
        <f>$E$82</f>
        <v>59.490382971786417</v>
      </c>
    </row>
    <row r="182" spans="1:20">
      <c r="E182" s="1014"/>
      <c r="F182" s="2069">
        <f>(C178-D195)*1000</f>
        <v>3900.0000000000005</v>
      </c>
      <c r="G182" s="1118"/>
      <c r="H182" s="1118"/>
      <c r="I182" s="2090"/>
      <c r="J182" s="2090"/>
      <c r="K182" s="286"/>
      <c r="L182" s="999" t="s">
        <v>118</v>
      </c>
      <c r="M182" s="1000">
        <f>$F$154</f>
        <v>1.6783981531588796</v>
      </c>
      <c r="N182" s="1001">
        <f>$F$155</f>
        <v>7.4402188214389593</v>
      </c>
      <c r="O182" s="1002">
        <f>$F$163</f>
        <v>-0.29486073064251705</v>
      </c>
      <c r="P182" s="1001">
        <f>$E$167</f>
        <v>16.950803805919829</v>
      </c>
      <c r="Q182" s="1000">
        <f>$E$168</f>
        <v>53.727972607320858</v>
      </c>
    </row>
    <row r="183" spans="1:20">
      <c r="A183" s="9">
        <f>IF(D188&gt;C178,0,(C178-D188)*1000)</f>
        <v>0</v>
      </c>
      <c r="E183" s="1014"/>
      <c r="G183" s="1118"/>
      <c r="I183" s="2090"/>
      <c r="J183" s="2090"/>
      <c r="K183" s="286"/>
      <c r="L183" s="1120" t="s">
        <v>301</v>
      </c>
      <c r="M183" s="1121">
        <f>$E$239</f>
        <v>1.4335889970816178</v>
      </c>
      <c r="N183" s="1122">
        <f>$E$240</f>
        <v>2.1372984402852864</v>
      </c>
      <c r="O183" s="1123">
        <f>$F$247</f>
        <v>6.4065455201843147E-2</v>
      </c>
      <c r="P183" s="1122">
        <f>$E$251</f>
        <v>36.205802503485423</v>
      </c>
      <c r="Q183" s="1121">
        <f>$E$252</f>
        <v>28.850726908279295</v>
      </c>
    </row>
    <row r="184" spans="1:20">
      <c r="E184" s="1014"/>
      <c r="G184" s="1118"/>
      <c r="H184" s="1118"/>
      <c r="I184" s="2090"/>
      <c r="J184" s="2090"/>
      <c r="K184" s="1124"/>
    </row>
    <row r="185" spans="1:20">
      <c r="D185" s="22" t="s">
        <v>1166</v>
      </c>
      <c r="E185" s="1014"/>
      <c r="G185" s="187" t="s">
        <v>1247</v>
      </c>
      <c r="H185" s="1078">
        <f>H7</f>
        <v>10</v>
      </c>
      <c r="I185" s="2090"/>
      <c r="J185" s="2090"/>
      <c r="K185" s="286"/>
    </row>
    <row r="186" spans="1:20">
      <c r="D186" s="514">
        <f>IF(D188&gt;D195,((E203-E177)*C192)/F182,0)</f>
        <v>100</v>
      </c>
      <c r="G186" s="1118"/>
      <c r="H186" s="1118"/>
      <c r="I186" s="2090"/>
      <c r="J186" s="2090"/>
      <c r="K186" s="325"/>
      <c r="L186" s="990" t="s">
        <v>673</v>
      </c>
      <c r="M186" s="1010" t="s">
        <v>1173</v>
      </c>
      <c r="N186" s="1011" t="s">
        <v>1174</v>
      </c>
      <c r="O186" s="1012"/>
      <c r="P186" s="992" t="s">
        <v>676</v>
      </c>
      <c r="Q186" s="1013"/>
    </row>
    <row r="187" spans="1:20">
      <c r="B187" s="1" t="s">
        <v>45</v>
      </c>
      <c r="G187" s="1118"/>
      <c r="H187" s="1118"/>
      <c r="I187" s="2090"/>
      <c r="J187" s="2090"/>
      <c r="K187" s="286"/>
      <c r="L187" s="999" t="s">
        <v>117</v>
      </c>
      <c r="M187" s="1087">
        <f>$G$63</f>
        <v>208.10750000000002</v>
      </c>
      <c r="N187" s="1088">
        <f>$G$67</f>
        <v>58.865615373524996</v>
      </c>
      <c r="O187" s="1021" t="str">
        <f>$F$78</f>
        <v>i,e Resultant is in middle third</v>
      </c>
      <c r="P187" s="1022"/>
      <c r="Q187" s="1023"/>
    </row>
    <row r="188" spans="1:20">
      <c r="C188" s="203" t="s">
        <v>1248</v>
      </c>
      <c r="D188" s="1078">
        <f>H6</f>
        <v>10.92869839937665</v>
      </c>
      <c r="H188" s="1118"/>
      <c r="I188" s="1118"/>
      <c r="J188" s="1353"/>
      <c r="K188" s="286"/>
      <c r="L188" s="999" t="s">
        <v>118</v>
      </c>
      <c r="M188" s="1087">
        <f>$F$142</f>
        <v>120.15391990250916</v>
      </c>
      <c r="N188" s="1088">
        <f>$F$150</f>
        <v>8.5907811248254546</v>
      </c>
      <c r="O188" s="1021" t="str">
        <f>$F$164</f>
        <v>i,e Resultant is in middle third</v>
      </c>
      <c r="P188" s="1022"/>
      <c r="Q188" s="1023"/>
    </row>
    <row r="189" spans="1:20">
      <c r="A189" s="4"/>
      <c r="G189" s="5"/>
      <c r="H189" s="287" t="s">
        <v>1171</v>
      </c>
      <c r="I189" s="1125">
        <f>C6</f>
        <v>6.1</v>
      </c>
      <c r="J189" s="1354"/>
      <c r="K189" s="286"/>
      <c r="L189" s="1120" t="s">
        <v>301</v>
      </c>
      <c r="M189" s="1122">
        <f>$F$228</f>
        <v>110.59610000000001</v>
      </c>
      <c r="N189" s="1121">
        <f>$F$236</f>
        <v>27.526757870123944</v>
      </c>
      <c r="O189" s="1126" t="str">
        <f>$F$248</f>
        <v>i,e Resultant is in middle third</v>
      </c>
      <c r="P189" s="1127"/>
      <c r="Q189" s="1128"/>
    </row>
    <row r="190" spans="1:20">
      <c r="D190" s="22" t="s">
        <v>1224</v>
      </c>
      <c r="E190" s="1083"/>
      <c r="F190" s="202">
        <f>IF(H185&gt;C178,(C178-D195)*1000,IF(H185&lt;D195,0,(H185-D195)*1000))</f>
        <v>3900.0000000000005</v>
      </c>
      <c r="I190" s="17"/>
      <c r="J190" s="388"/>
      <c r="K190" s="1129"/>
      <c r="R190" s="46"/>
    </row>
    <row r="191" spans="1:20">
      <c r="E191" s="25" t="s">
        <v>41</v>
      </c>
      <c r="F191" s="187" t="s">
        <v>1221</v>
      </c>
      <c r="G191" s="1130" t="s">
        <v>606</v>
      </c>
      <c r="I191" s="1131"/>
      <c r="J191" s="1131"/>
      <c r="K191" s="1080"/>
      <c r="Q191" s="1132"/>
      <c r="R191" s="1133"/>
    </row>
    <row r="192" spans="1:20">
      <c r="A192" s="9">
        <f>IF(D188&gt;C178,(C178-D198)*1000,(D188-D198)*1000)</f>
        <v>4300.0000000000009</v>
      </c>
      <c r="C192" s="296">
        <f>IF(D188&gt;C178,(C178-D195)*1000,(D188-D195)*1000)</f>
        <v>3900.0000000000005</v>
      </c>
      <c r="F192" s="1014"/>
      <c r="G192" s="5"/>
      <c r="H192" s="508"/>
      <c r="I192" s="16">
        <f>IF(I189&lt;=(D195-C197/1000),0,(I189-D195)*1000+C197)</f>
        <v>400</v>
      </c>
      <c r="J192" s="16"/>
      <c r="K192" s="1085"/>
      <c r="Q192" s="1132"/>
      <c r="R192" s="785"/>
    </row>
    <row r="193" spans="1:18">
      <c r="A193" s="27" t="s">
        <v>44</v>
      </c>
      <c r="G193" s="5"/>
      <c r="K193" s="1084"/>
      <c r="N193" s="9"/>
      <c r="O193" s="386"/>
      <c r="P193" s="785"/>
      <c r="Q193" s="1132"/>
      <c r="R193" s="785"/>
    </row>
    <row r="194" spans="1:18">
      <c r="E194" s="1014"/>
      <c r="G194" s="4"/>
      <c r="H194" s="1134">
        <f>IF(H185&gt;C178,(C178-D198)*1000,IF(H185&lt;D198,0,(H185-D198)*1000))</f>
        <v>4300.0000000000009</v>
      </c>
      <c r="I194" s="1135" t="s">
        <v>1176</v>
      </c>
      <c r="J194" s="1135"/>
      <c r="K194" s="1136"/>
      <c r="N194" s="9"/>
    </row>
    <row r="195" spans="1:18">
      <c r="A195" s="27" t="s">
        <v>605</v>
      </c>
      <c r="D195" s="189">
        <f>$D$38</f>
        <v>6.1</v>
      </c>
      <c r="E195" s="213" t="s">
        <v>1249</v>
      </c>
      <c r="F195" s="1014"/>
      <c r="G195" s="2065"/>
      <c r="H195" s="46"/>
      <c r="I195" s="109"/>
      <c r="J195" s="109"/>
      <c r="K195" s="286"/>
    </row>
    <row r="196" spans="1:18">
      <c r="G196" s="4"/>
      <c r="K196" s="286"/>
    </row>
    <row r="197" spans="1:18">
      <c r="C197" s="2069">
        <f>$G$40</f>
        <v>400</v>
      </c>
      <c r="E197" s="139" t="s">
        <v>1178</v>
      </c>
      <c r="G197" s="5"/>
      <c r="H197" s="30"/>
      <c r="I197" s="30"/>
      <c r="J197" s="30"/>
      <c r="K197" s="998"/>
      <c r="M197" s="241"/>
      <c r="N197" s="17"/>
    </row>
    <row r="198" spans="1:18">
      <c r="D198" s="33">
        <f>C41</f>
        <v>5.6999999999999993</v>
      </c>
      <c r="G198" s="5"/>
      <c r="K198" s="286"/>
      <c r="M198" s="434"/>
    </row>
    <row r="199" spans="1:18">
      <c r="G199" s="30">
        <f>G42</f>
        <v>300</v>
      </c>
      <c r="K199" s="286"/>
      <c r="M199" s="16"/>
      <c r="N199" s="1137"/>
    </row>
    <row r="200" spans="1:18">
      <c r="E200" s="25" t="s">
        <v>1179</v>
      </c>
      <c r="G200" s="22" t="s">
        <v>1180</v>
      </c>
      <c r="K200" s="286"/>
      <c r="M200" s="16"/>
    </row>
    <row r="201" spans="1:18">
      <c r="G201" s="2069">
        <f>$G$44</f>
        <v>900</v>
      </c>
      <c r="K201" s="286"/>
      <c r="M201" s="1031"/>
      <c r="N201" s="1032"/>
      <c r="O201" s="1031"/>
      <c r="P201" s="1032"/>
    </row>
    <row r="202" spans="1:18">
      <c r="G202" s="2069">
        <f>$G$45</f>
        <v>300</v>
      </c>
      <c r="K202" s="286"/>
      <c r="M202" s="1031"/>
      <c r="N202" s="9"/>
      <c r="O202" s="1031"/>
      <c r="P202" s="1032"/>
    </row>
    <row r="203" spans="1:18">
      <c r="C203" s="187">
        <f>$C$46</f>
        <v>1800</v>
      </c>
      <c r="E203" s="2069">
        <f>$E$46</f>
        <v>400</v>
      </c>
      <c r="F203" s="2069">
        <f>$F$46</f>
        <v>1200</v>
      </c>
      <c r="K203" s="286"/>
      <c r="M203" s="1031"/>
      <c r="N203" s="1032"/>
      <c r="O203" s="1031"/>
      <c r="P203" s="1089"/>
    </row>
    <row r="204" spans="1:18">
      <c r="K204" s="286"/>
      <c r="M204" s="1032"/>
      <c r="O204" s="1090"/>
      <c r="P204" s="1090"/>
    </row>
    <row r="205" spans="1:18">
      <c r="D205" s="187">
        <f>$D$48</f>
        <v>3400</v>
      </c>
      <c r="K205" s="286"/>
      <c r="M205" s="1032"/>
      <c r="N205" s="1090"/>
      <c r="O205" s="1090"/>
      <c r="P205" s="1090"/>
    </row>
    <row r="206" spans="1:18">
      <c r="A206" s="18" t="str">
        <f>IF(D188&gt;D195,A192/1000&amp;" x "&amp;D12,"")&amp;" ="</f>
        <v>4.3 x 9.81 =</v>
      </c>
      <c r="K206" s="286"/>
      <c r="M206" s="1032"/>
      <c r="N206" s="1090"/>
      <c r="O206" s="1090"/>
      <c r="P206" s="1090"/>
    </row>
    <row r="207" spans="1:18">
      <c r="A207" s="203">
        <f>IF(D188&gt;D195,A192*$D$12/1000,0)</f>
        <v>42.183000000000014</v>
      </c>
      <c r="B207" s="187" t="s">
        <v>1229</v>
      </c>
      <c r="D207" s="187" t="s">
        <v>1226</v>
      </c>
      <c r="G207" s="30" t="str">
        <f>IF(H185&gt;D195,H194/1000&amp;" x "&amp;D12,"")&amp;"="</f>
        <v>4.3 x 9.81=</v>
      </c>
      <c r="K207" s="286"/>
      <c r="M207" s="1032"/>
      <c r="N207" s="1090"/>
      <c r="O207" s="1090"/>
      <c r="P207" s="1090"/>
    </row>
    <row r="208" spans="1:18">
      <c r="D208" s="2069" t="s">
        <v>1227</v>
      </c>
      <c r="G208" s="203">
        <f>IF(H185&gt;D195,H194*$D$12/1000,0)</f>
        <v>42.183000000000014</v>
      </c>
      <c r="H208" s="187" t="s">
        <v>725</v>
      </c>
      <c r="I208" s="187"/>
      <c r="J208" s="187"/>
      <c r="K208" s="286"/>
      <c r="M208" s="386"/>
      <c r="N208" s="386"/>
      <c r="O208" s="386"/>
      <c r="P208" s="386"/>
    </row>
    <row r="209" spans="1:13">
      <c r="D209" s="2069"/>
      <c r="K209" s="325"/>
    </row>
    <row r="210" spans="1:13">
      <c r="C210" s="187" t="s">
        <v>1250</v>
      </c>
      <c r="G210" s="3"/>
      <c r="K210" s="286"/>
    </row>
    <row r="211" spans="1:13">
      <c r="K211" s="286"/>
    </row>
    <row r="212" spans="1:13">
      <c r="K212" s="286"/>
    </row>
    <row r="213" spans="1:13">
      <c r="A213" s="1" t="s">
        <v>1182</v>
      </c>
      <c r="K213" s="286"/>
    </row>
    <row r="214" spans="1:13">
      <c r="A214" s="314" t="s">
        <v>1230</v>
      </c>
      <c r="B214" s="423"/>
      <c r="C214" s="406" t="s">
        <v>1183</v>
      </c>
      <c r="D214" s="55"/>
      <c r="E214" s="2081"/>
      <c r="F214" s="355" t="s">
        <v>880</v>
      </c>
      <c r="G214" s="347" t="s">
        <v>1184</v>
      </c>
      <c r="H214" s="314"/>
      <c r="I214" s="516" t="s">
        <v>1185</v>
      </c>
      <c r="J214" s="2066"/>
      <c r="K214" s="1035"/>
    </row>
    <row r="215" spans="1:13">
      <c r="A215" s="2083" t="s">
        <v>1231</v>
      </c>
      <c r="B215" s="2085"/>
      <c r="C215" s="77"/>
      <c r="D215" s="59"/>
      <c r="E215" s="60"/>
      <c r="F215" s="354" t="s">
        <v>725</v>
      </c>
      <c r="G215" s="2063" t="s">
        <v>5</v>
      </c>
      <c r="H215" s="1040"/>
      <c r="I215" s="517" t="s">
        <v>1232</v>
      </c>
      <c r="J215" s="2066"/>
      <c r="K215" s="1035"/>
    </row>
    <row r="216" spans="1:13">
      <c r="A216" s="363" t="s">
        <v>1189</v>
      </c>
      <c r="B216" s="348" t="s">
        <v>1251</v>
      </c>
      <c r="C216" s="16"/>
      <c r="D216" s="16"/>
      <c r="E216" s="16"/>
      <c r="F216" s="379">
        <f>G58</f>
        <v>71.744000000000014</v>
      </c>
      <c r="G216" s="2064" t="s">
        <v>1003</v>
      </c>
      <c r="H216" s="1138" t="s">
        <v>1234</v>
      </c>
      <c r="I216" s="2076">
        <f>I58</f>
        <v>102.82520000000002</v>
      </c>
      <c r="J216" s="2074"/>
      <c r="K216" s="1044"/>
      <c r="M216" s="33"/>
    </row>
    <row r="217" spans="1:13">
      <c r="A217" s="1092"/>
      <c r="B217" s="1725"/>
      <c r="C217" s="16"/>
      <c r="D217" s="16"/>
      <c r="E217" s="16"/>
      <c r="F217" s="2082"/>
      <c r="G217" s="16"/>
      <c r="H217" s="1104"/>
      <c r="I217" s="58"/>
      <c r="J217" s="16"/>
      <c r="K217" s="1062"/>
      <c r="M217" s="33"/>
    </row>
    <row r="218" spans="1:13">
      <c r="A218" s="363" t="s">
        <v>1252</v>
      </c>
      <c r="B218" s="363" t="str">
        <f>"S1="&amp;A183&amp;"x("&amp;C203&amp;"+"&amp;FIXED(D186,0)&amp;")x"&amp;D10&amp;"/10^6 ="</f>
        <v>S1=0x(1800+100)x17.3/10^6 =</v>
      </c>
      <c r="C218" s="16"/>
      <c r="D218" s="16"/>
      <c r="E218" s="16"/>
      <c r="F218" s="103">
        <f>(A183*(C203+D186)*D10)/10^6</f>
        <v>0</v>
      </c>
      <c r="G218" s="448">
        <f>((C203+D186)*0.5+D177+E177+F203)/1000</f>
        <v>2.4500000000000002</v>
      </c>
      <c r="H218" s="1104" t="s">
        <v>1234</v>
      </c>
      <c r="I218" s="2073">
        <f t="shared" ref="I218:I224" si="0">F218*G218</f>
        <v>0</v>
      </c>
      <c r="J218" s="2074"/>
      <c r="K218" s="1044"/>
      <c r="M218" s="33"/>
    </row>
    <row r="219" spans="1:13">
      <c r="A219" s="363" t="s">
        <v>1252</v>
      </c>
      <c r="B219" s="363" t="str">
        <f>"S2=0.5x"&amp;FIXED(D177,0)&amp;"x"&amp;A183&amp;"x"&amp;D10&amp;"/10^6 ="</f>
        <v>S2=0.5x0x0x17.3/10^6 =</v>
      </c>
      <c r="C219" s="16"/>
      <c r="D219" s="16"/>
      <c r="E219" s="16"/>
      <c r="F219" s="103">
        <f>0.5*D177*A183*D10/10^6</f>
        <v>0</v>
      </c>
      <c r="G219" s="2074">
        <f>(D177+E177-D177/3+F203)/1000</f>
        <v>1.5</v>
      </c>
      <c r="H219" s="1104" t="s">
        <v>1234</v>
      </c>
      <c r="I219" s="2073">
        <f t="shared" si="0"/>
        <v>0</v>
      </c>
      <c r="J219" s="2074"/>
      <c r="K219" s="1044"/>
      <c r="M219" s="33"/>
    </row>
    <row r="220" spans="1:13">
      <c r="A220" s="363" t="s">
        <v>1253</v>
      </c>
      <c r="B220" s="363" t="str">
        <f>"S3="&amp;C192&amp;"x"&amp;C203&amp;"x"&amp;D11&amp;"/10^6 ="</f>
        <v>S3=3900x1800x18.9/10^6 =</v>
      </c>
      <c r="C220" s="16"/>
      <c r="D220" s="16"/>
      <c r="E220" s="16"/>
      <c r="F220" s="103">
        <f>C192*C203*D11/10^6</f>
        <v>132.67800000000003</v>
      </c>
      <c r="G220" s="2074">
        <f>(C203*0.5+E203+F203)/1000</f>
        <v>2.5</v>
      </c>
      <c r="H220" s="1104" t="s">
        <v>1234</v>
      </c>
      <c r="I220" s="2073">
        <f t="shared" si="0"/>
        <v>331.69500000000005</v>
      </c>
      <c r="J220" s="2074"/>
      <c r="K220" s="1044"/>
      <c r="M220" s="33"/>
    </row>
    <row r="221" spans="1:13">
      <c r="A221" s="363" t="s">
        <v>1253</v>
      </c>
      <c r="B221" s="363" t="str">
        <f>"S4= 0.5x"&amp;C192&amp;"x"&amp;FIXED(D186,0)&amp;"x"&amp;D11&amp;"/10^6 ="</f>
        <v>S4= 0.5x3900x100x18.9/10^6 =</v>
      </c>
      <c r="C221" s="16"/>
      <c r="D221" s="16"/>
      <c r="E221" s="16"/>
      <c r="F221" s="103">
        <f>0.5*C192*D186*D11/10^6</f>
        <v>3.6855000000000007</v>
      </c>
      <c r="G221" s="2074">
        <f>(D186*2/3+D177+E177+F203)/1000</f>
        <v>1.5666666666666667</v>
      </c>
      <c r="H221" s="1104" t="s">
        <v>1234</v>
      </c>
      <c r="I221" s="2073">
        <f t="shared" si="0"/>
        <v>5.773950000000001</v>
      </c>
      <c r="J221" s="2074"/>
      <c r="K221" s="1044"/>
      <c r="M221" s="33"/>
    </row>
    <row r="222" spans="1:13">
      <c r="A222" s="1045" t="s">
        <v>1254</v>
      </c>
      <c r="B222" s="1045" t="str">
        <f>IF(I175="n","Passive pressure not considered","S6 = "&amp;F46&amp;" x "&amp;F35&amp;" x "&amp;D11&amp;"/1000 =")</f>
        <v>S6 = 1200 x 0 x 18.9/1000 =</v>
      </c>
      <c r="C222" s="1139"/>
      <c r="D222" s="1139"/>
      <c r="E222" s="1139"/>
      <c r="F222" s="1093">
        <f>IF(I175="n",0,(I189-D195)*F203*D11/1000)</f>
        <v>0</v>
      </c>
      <c r="G222" s="1140">
        <f>F203/2/1000</f>
        <v>0.6</v>
      </c>
      <c r="H222" s="1141" t="s">
        <v>1234</v>
      </c>
      <c r="I222" s="1142">
        <f t="shared" si="0"/>
        <v>0</v>
      </c>
      <c r="J222" s="1140"/>
      <c r="K222" s="1044"/>
      <c r="L222" s="187"/>
      <c r="M222" s="33"/>
    </row>
    <row r="223" spans="1:13">
      <c r="A223" s="363" t="s">
        <v>1255</v>
      </c>
      <c r="B223" s="363" t="str">
        <f>"W="&amp;F190&amp;"x"&amp;F203&amp;"x"&amp;D12&amp;"/10^6="</f>
        <v>W=3900x1200x9.81/10^6=</v>
      </c>
      <c r="C223" s="16"/>
      <c r="D223" s="16"/>
      <c r="E223" s="16"/>
      <c r="F223" s="103">
        <f>F190*F203*$D$12/10^6</f>
        <v>45.910800000000016</v>
      </c>
      <c r="G223" s="2074">
        <f>F203/2/1000</f>
        <v>0.6</v>
      </c>
      <c r="H223" s="1104" t="s">
        <v>1234</v>
      </c>
      <c r="I223" s="2073">
        <f t="shared" si="0"/>
        <v>27.54648000000001</v>
      </c>
      <c r="J223" s="2074"/>
      <c r="K223" s="1044"/>
      <c r="M223" s="33"/>
    </row>
    <row r="224" spans="1:13">
      <c r="A224" s="1094" t="s">
        <v>1194</v>
      </c>
      <c r="B224" s="363" t="str">
        <f>"S5 = "&amp;H16&amp;" x "&amp;C46&amp;"/1000 ="</f>
        <v>S5 = 0 x 1800/1000 =</v>
      </c>
      <c r="C224" s="16"/>
      <c r="D224" s="16"/>
      <c r="E224" s="16"/>
      <c r="F224" s="103">
        <f>H16*C46/1000</f>
        <v>0</v>
      </c>
      <c r="G224" s="2074">
        <f>(0.5*C46+E46+F46)/1000</f>
        <v>2.5</v>
      </c>
      <c r="H224" s="1104" t="s">
        <v>1234</v>
      </c>
      <c r="I224" s="2073">
        <f t="shared" si="0"/>
        <v>0</v>
      </c>
      <c r="J224" s="2074"/>
      <c r="K224" s="1044"/>
      <c r="M224" s="33"/>
    </row>
    <row r="225" spans="1:13">
      <c r="A225" s="1092"/>
      <c r="B225" s="363"/>
      <c r="C225" s="16"/>
      <c r="D225" s="16"/>
      <c r="E225" s="16"/>
      <c r="F225" s="103"/>
      <c r="G225" s="2074"/>
      <c r="H225" s="1104"/>
      <c r="I225" s="2073"/>
      <c r="J225" s="2074"/>
      <c r="K225" s="1044"/>
      <c r="M225" s="33"/>
    </row>
    <row r="226" spans="1:13">
      <c r="A226" s="363" t="s">
        <v>1237</v>
      </c>
      <c r="B226" s="363" t="str">
        <f>"U1 ="&amp;G208&amp;"x"&amp;D205&amp;"/1000="</f>
        <v>U1 =42.183x3400/1000=</v>
      </c>
      <c r="C226" s="16"/>
      <c r="D226" s="16"/>
      <c r="E226" s="16"/>
      <c r="F226" s="103">
        <f>G208*D205/1000</f>
        <v>143.42220000000003</v>
      </c>
      <c r="G226" s="2074">
        <f>+D205/2/1000</f>
        <v>1.7</v>
      </c>
      <c r="H226" s="1104" t="s">
        <v>1238</v>
      </c>
      <c r="I226" s="2073">
        <f>F226*G226</f>
        <v>243.81774000000004</v>
      </c>
      <c r="J226" s="2074"/>
      <c r="K226" s="1044"/>
      <c r="M226" s="33"/>
    </row>
    <row r="227" spans="1:13">
      <c r="A227" s="1092" t="s">
        <v>1237</v>
      </c>
      <c r="B227" s="364" t="str">
        <f>"U2 =0.5x("&amp;A207&amp;"-"&amp;G208&amp;")x"&amp;D205&amp;"/1000="</f>
        <v>U2 =0.5x(42.183-42.183)x3400/1000=</v>
      </c>
      <c r="C227" s="59"/>
      <c r="D227" s="59"/>
      <c r="E227" s="59"/>
      <c r="F227" s="104">
        <f>0.5*(A207-G208)*D205/1000</f>
        <v>0</v>
      </c>
      <c r="G227" s="2074">
        <f>2*D205/3/1000</f>
        <v>2.2666666666666666</v>
      </c>
      <c r="H227" s="1104" t="s">
        <v>1238</v>
      </c>
      <c r="I227" s="2073">
        <f>F227*G227</f>
        <v>0</v>
      </c>
      <c r="J227" s="2074"/>
      <c r="K227" s="1044"/>
      <c r="M227" s="33"/>
    </row>
    <row r="228" spans="1:13" ht="15.75">
      <c r="A228" s="101"/>
      <c r="B228" s="59"/>
      <c r="C228" s="59"/>
      <c r="D228" s="1143" t="s">
        <v>1239</v>
      </c>
      <c r="E228" s="93"/>
      <c r="F228" s="1144">
        <f>SUM(F216:F224)-SUM(F226:F227)</f>
        <v>110.59610000000001</v>
      </c>
      <c r="G228" s="1145"/>
      <c r="H228" s="1146" t="s">
        <v>1240</v>
      </c>
      <c r="I228" s="1147">
        <f>SUM(I216:I224)+I234+I235</f>
        <v>598.2078970385852</v>
      </c>
      <c r="J228" s="1349"/>
      <c r="K228" s="1100"/>
      <c r="M228" s="33"/>
    </row>
    <row r="229" spans="1:13">
      <c r="A229" s="1148" t="s">
        <v>1256</v>
      </c>
      <c r="B229" s="423"/>
      <c r="C229" s="55"/>
      <c r="D229" s="16"/>
      <c r="F229" s="102"/>
      <c r="G229" s="102"/>
      <c r="H229" s="102"/>
      <c r="I229" s="93"/>
      <c r="J229" s="16"/>
      <c r="K229" s="1062"/>
      <c r="M229" s="33"/>
    </row>
    <row r="230" spans="1:13">
      <c r="A230" s="363" t="s">
        <v>1252</v>
      </c>
      <c r="B230" s="545" t="str">
        <f>"P1=0.5x"&amp;FIXED(G10,3)&amp;"x"&amp;D10&amp;"x"&amp;A183&amp;"^2/10^6="</f>
        <v>P1=0.5x0.361x17.3x0^2/10^6=</v>
      </c>
      <c r="C230" s="55"/>
      <c r="D230" s="55"/>
      <c r="E230" s="2081"/>
      <c r="F230" s="379">
        <f>0.5*G10*D10*A183^2/10^6</f>
        <v>0</v>
      </c>
      <c r="G230" s="379">
        <f>(A183/3+A192)/1000</f>
        <v>4.3000000000000007</v>
      </c>
      <c r="H230" s="268" t="s">
        <v>1238</v>
      </c>
      <c r="I230" s="379">
        <f t="shared" ref="I230:I235" si="1">F230*G230</f>
        <v>0</v>
      </c>
      <c r="J230" s="2074"/>
      <c r="K230" s="1044"/>
      <c r="M230" s="33"/>
    </row>
    <row r="231" spans="1:13">
      <c r="A231" s="363" t="s">
        <v>1252</v>
      </c>
      <c r="B231" s="363" t="str">
        <f>"P2="&amp;FIXED(G10,3)&amp;"x"&amp;D10&amp;"x"&amp;A183&amp;"x"&amp;A192&amp;"/10^6="</f>
        <v>P2=0.361x17.3x0x4300/10^6=</v>
      </c>
      <c r="C231" s="16"/>
      <c r="D231" s="16"/>
      <c r="E231" s="58"/>
      <c r="F231" s="103">
        <f>G10*D10*A183*A192/10^6</f>
        <v>0</v>
      </c>
      <c r="G231" s="103">
        <f>(A192*0.5)/1000</f>
        <v>2.1500000000000004</v>
      </c>
      <c r="H231" s="268" t="s">
        <v>1238</v>
      </c>
      <c r="I231" s="103">
        <f t="shared" si="1"/>
        <v>0</v>
      </c>
      <c r="J231" s="2074"/>
      <c r="K231" s="1044"/>
      <c r="M231" s="33"/>
    </row>
    <row r="232" spans="1:13">
      <c r="A232" s="363" t="s">
        <v>1253</v>
      </c>
      <c r="B232" s="363" t="str">
        <f>"P3=(0.5x("&amp;FIXED(G10,3)&amp;"x("&amp;D11&amp;"-"&amp;D12&amp;")+"&amp;D12&amp;")x"&amp;FIXED(A192/10^3,2)&amp;"^2) ="</f>
        <v>P3=(0.5x(0.361x(18.9-9.81)+9.81)x4.30^2) =</v>
      </c>
      <c r="C232" s="16"/>
      <c r="D232" s="16"/>
      <c r="E232" s="58"/>
      <c r="F232" s="103">
        <f>(0.5*(G10*(D11-D12)+D12)*A192^2)/10^6</f>
        <v>121.02012315951183</v>
      </c>
      <c r="G232" s="103">
        <f>(A192/3)/1000</f>
        <v>1.4333333333333338</v>
      </c>
      <c r="H232" s="268" t="s">
        <v>1238</v>
      </c>
      <c r="I232" s="103">
        <f t="shared" si="1"/>
        <v>173.46217652863368</v>
      </c>
      <c r="J232" s="2074"/>
      <c r="K232" s="1044"/>
      <c r="M232" s="224"/>
    </row>
    <row r="233" spans="1:13">
      <c r="A233" s="1094" t="s">
        <v>1194</v>
      </c>
      <c r="B233" s="363" t="str">
        <f>"P5 ="&amp;FIXED(G10,3)&amp;" x "&amp;H16&amp;" x( "&amp;C31&amp;" + "&amp;G40&amp;")/1000="</f>
        <v>P5 =0.361 x 0 x( 3900 + 400)/1000=</v>
      </c>
      <c r="C233" s="16"/>
      <c r="D233" s="16"/>
      <c r="E233" s="58"/>
      <c r="F233" s="103">
        <f>G10*H16*(C31+G40)/1000</f>
        <v>0</v>
      </c>
      <c r="G233" s="103">
        <f>(C31+G40)/2/1000</f>
        <v>2.15</v>
      </c>
      <c r="H233" s="268" t="s">
        <v>1238</v>
      </c>
      <c r="I233" s="103">
        <f t="shared" si="1"/>
        <v>0</v>
      </c>
      <c r="J233" s="2074"/>
      <c r="K233" s="1044"/>
      <c r="M233" s="224"/>
    </row>
    <row r="234" spans="1:13">
      <c r="A234" s="1045" t="s">
        <v>1254</v>
      </c>
      <c r="B234" s="1045" t="str">
        <f>IF(I175="n","Passive pressure not considered","P6=0.5x("&amp;FIXED(G11,3)&amp;"x("&amp;D11&amp;"-"&amp;D12&amp;")+"&amp;D12&amp;")x"&amp;I192&amp;"/1000^2 =")</f>
        <v>P6=0.5x(2.771x(18.9-9.81)+9.81)x400/1000^2 =</v>
      </c>
      <c r="C234" s="1139"/>
      <c r="D234" s="1139"/>
      <c r="E234" s="1149"/>
      <c r="F234" s="1093">
        <f>IF(I175="n",0,0.5*(G11*(D11-D12)+D12)*I192^2/10^6)</f>
        <v>2.7999152893878394</v>
      </c>
      <c r="G234" s="1093">
        <f>I192/3/1000</f>
        <v>0.13333333333333333</v>
      </c>
      <c r="H234" s="1150" t="s">
        <v>1234</v>
      </c>
      <c r="I234" s="1093">
        <f t="shared" si="1"/>
        <v>0.37332203858504526</v>
      </c>
      <c r="J234" s="1140"/>
      <c r="K234" s="1044"/>
      <c r="L234" s="187"/>
      <c r="M234" s="224"/>
    </row>
    <row r="235" spans="1:13">
      <c r="A235" s="363" t="s">
        <v>1255</v>
      </c>
      <c r="B235" s="364" t="str">
        <f>"P4=0.5x"&amp;D12&amp;"x"&amp;H194&amp;"^2/10^6="</f>
        <v>P4=0.5x9.81x4300^2/10^6=</v>
      </c>
      <c r="C235" s="59"/>
      <c r="D235" s="59"/>
      <c r="E235" s="60"/>
      <c r="F235" s="103">
        <f>0.5*$D$12*H194^2/10^6</f>
        <v>90.693450000000041</v>
      </c>
      <c r="G235" s="138">
        <f>H194/(3*1000)</f>
        <v>1.4333333333333336</v>
      </c>
      <c r="H235" s="268" t="s">
        <v>1234</v>
      </c>
      <c r="I235" s="103">
        <f t="shared" si="1"/>
        <v>129.99394500000008</v>
      </c>
      <c r="J235" s="2074"/>
      <c r="K235" s="1044"/>
      <c r="M235" s="224"/>
    </row>
    <row r="236" spans="1:13" ht="15.75">
      <c r="A236" s="101"/>
      <c r="B236" s="59"/>
      <c r="C236" s="517"/>
      <c r="D236" s="1151" t="s">
        <v>1242</v>
      </c>
      <c r="E236" s="172"/>
      <c r="F236" s="1097">
        <f>SUM(F230:F233)-F234-F235</f>
        <v>27.526757870123944</v>
      </c>
      <c r="G236" s="1145"/>
      <c r="H236" s="1099" t="s">
        <v>1243</v>
      </c>
      <c r="I236" s="1097">
        <f>SUM(I230:I233)+SUM(I226:I227)</f>
        <v>417.27991652863375</v>
      </c>
      <c r="J236" s="1349"/>
      <c r="K236" s="1100"/>
      <c r="M236" s="224"/>
    </row>
    <row r="237" spans="1:13">
      <c r="A237" s="16"/>
      <c r="B237" s="16"/>
      <c r="C237" s="1726"/>
      <c r="K237" s="286"/>
      <c r="M237" s="46"/>
    </row>
    <row r="238" spans="1:13">
      <c r="A238" s="391" t="s">
        <v>1201</v>
      </c>
      <c r="C238" s="46"/>
      <c r="D238" s="46"/>
      <c r="E238" s="46"/>
      <c r="F238" s="46"/>
      <c r="K238" s="286"/>
      <c r="M238" s="46"/>
    </row>
    <row r="239" spans="1:13">
      <c r="A239" s="385" t="str">
        <f>"Overturning ="&amp;FIXED(I228,2)&amp;"/"&amp;FIXED(I236,2)&amp;" ="</f>
        <v>Overturning =598.21/417.28 =</v>
      </c>
      <c r="C239" s="46"/>
      <c r="D239" s="46"/>
      <c r="E239" s="1108">
        <f>I228/I236</f>
        <v>1.4335889970816178</v>
      </c>
      <c r="F239" s="1109" t="str">
        <f>IF(E239&gt;=1.5,"Ok","Not ok")</f>
        <v>Not ok</v>
      </c>
      <c r="K239" s="286"/>
      <c r="M239" s="224"/>
    </row>
    <row r="240" spans="1:13">
      <c r="A240" s="386" t="str">
        <f>"Sliding = "&amp;FIXED(F228,2)&amp;" x TAN("&amp;D15&amp;") / "&amp;ABS(FIXED(F236,2))&amp;" ="</f>
        <v>Sliding = 110.60 x TAN(28) / 27.53 =</v>
      </c>
      <c r="C240" s="46"/>
      <c r="D240" s="90"/>
      <c r="E240" s="1108">
        <f>F228*TAN(F13)/ABS(F236)</f>
        <v>2.1372984402852864</v>
      </c>
      <c r="F240" s="1109" t="str">
        <f>IF(E240&gt;=1.5,"Ok","Not ok")</f>
        <v>Ok</v>
      </c>
      <c r="K240" s="286"/>
      <c r="M240" s="224"/>
    </row>
    <row r="241" spans="1:13">
      <c r="A241" s="109" t="str">
        <f>"Uplift=("&amp;FIXED(F226,2)&amp;"+"&amp;FIXED(F227,2)&amp;"+"&amp;FIXED(F228,2)&amp;")/("&amp;FIXED(F226,2)&amp;"+"&amp;FIXED(F227,2)&amp;")="</f>
        <v>Uplift=(143.42+0.00+110.60)/(143.42+0.00)=</v>
      </c>
      <c r="C241" s="46"/>
      <c r="D241" s="90"/>
      <c r="E241" s="1108">
        <f>IF(A207&gt;0,(F228+F226)/F226,"N / A")</f>
        <v>1.7711226016613884</v>
      </c>
      <c r="F241" s="1109" t="str">
        <f>IF(E241&gt;=1.1,"Ok","Not ok")</f>
        <v>Ok</v>
      </c>
      <c r="K241" s="286"/>
      <c r="M241" s="224"/>
    </row>
    <row r="242" spans="1:13">
      <c r="K242" s="286"/>
      <c r="M242" s="46"/>
    </row>
    <row r="243" spans="1:13">
      <c r="A243" s="41" t="s">
        <v>1202</v>
      </c>
      <c r="K243" s="286"/>
      <c r="M243" s="46"/>
    </row>
    <row r="244" spans="1:13">
      <c r="A244" s="187" t="s">
        <v>1203</v>
      </c>
      <c r="E244" s="2069" t="s">
        <v>35</v>
      </c>
      <c r="F244" s="54">
        <f>D205/1000</f>
        <v>3.4</v>
      </c>
      <c r="G244" s="187" t="s">
        <v>5</v>
      </c>
      <c r="K244" s="286"/>
      <c r="M244" s="224"/>
    </row>
    <row r="245" spans="1:13" ht="15.75">
      <c r="A245" s="187" t="s">
        <v>1204</v>
      </c>
      <c r="D245" s="38"/>
      <c r="E245" s="2069" t="s">
        <v>35</v>
      </c>
      <c r="F245" s="54">
        <f>(I228-I236)/F228</f>
        <v>1.6359345447981568</v>
      </c>
      <c r="G245" s="187" t="s">
        <v>1205</v>
      </c>
      <c r="K245" s="286"/>
      <c r="M245" s="224"/>
    </row>
    <row r="246" spans="1:13" ht="15.75">
      <c r="A246" s="187" t="s">
        <v>1206</v>
      </c>
      <c r="D246" s="38"/>
      <c r="E246" s="2069" t="s">
        <v>35</v>
      </c>
      <c r="F246" s="54">
        <f>F244/6</f>
        <v>0.56666666666666665</v>
      </c>
      <c r="G246" s="187" t="s">
        <v>5</v>
      </c>
      <c r="K246" s="286"/>
      <c r="M246" s="224"/>
    </row>
    <row r="247" spans="1:13" ht="15.75">
      <c r="A247" s="187" t="s">
        <v>1207</v>
      </c>
      <c r="E247" s="2069" t="s">
        <v>35</v>
      </c>
      <c r="F247" s="84">
        <f>F244/2-F245</f>
        <v>6.4065455201843147E-2</v>
      </c>
      <c r="G247" s="187" t="s">
        <v>1208</v>
      </c>
      <c r="K247" s="286"/>
      <c r="M247" s="224"/>
    </row>
    <row r="248" spans="1:13">
      <c r="A248" s="1065" t="str">
        <f>IF(F247&lt;0,"Resultant is towards heel","Resultant is towards toe")</f>
        <v>Resultant is towards toe</v>
      </c>
      <c r="B248" s="1065"/>
      <c r="C248" s="1065"/>
      <c r="F248" s="1066" t="str">
        <f>IF(ABS(F247)&lt;=F246,"i,e Resultant is in middle third","i,e Resultantis outside middle third")</f>
        <v>i,e Resultant is in middle third</v>
      </c>
      <c r="G248" s="1066"/>
      <c r="H248" s="1066"/>
      <c r="I248" s="46"/>
      <c r="J248" s="46"/>
      <c r="K248" s="286"/>
      <c r="M248" s="46"/>
    </row>
    <row r="249" spans="1:13">
      <c r="K249" s="286"/>
      <c r="M249" s="46"/>
    </row>
    <row r="250" spans="1:13">
      <c r="A250" s="1" t="s">
        <v>1209</v>
      </c>
      <c r="K250" s="286"/>
      <c r="M250" s="46"/>
    </row>
    <row r="251" spans="1:13">
      <c r="A251" t="s">
        <v>1210</v>
      </c>
      <c r="D251" s="2" t="s">
        <v>35</v>
      </c>
      <c r="E251" s="2071">
        <f>(F228/F244)*(1+6*F247/F244)</f>
        <v>36.205802503485423</v>
      </c>
      <c r="F251" t="s">
        <v>1211</v>
      </c>
      <c r="K251" s="286"/>
      <c r="M251" s="224"/>
    </row>
    <row r="252" spans="1:13">
      <c r="A252" t="s">
        <v>1212</v>
      </c>
      <c r="D252" s="2" t="s">
        <v>35</v>
      </c>
      <c r="E252" s="2071">
        <f>(F228/F244)*(1-6*F247/F244)</f>
        <v>28.850726908279295</v>
      </c>
      <c r="F252" t="s">
        <v>1211</v>
      </c>
      <c r="K252" s="286"/>
      <c r="M252" s="46"/>
    </row>
    <row r="253" spans="1:13">
      <c r="K253" s="286"/>
      <c r="M253" s="46"/>
    </row>
    <row r="254" spans="1:13">
      <c r="K254" s="286"/>
      <c r="M254" s="46"/>
    </row>
    <row r="255" spans="1:13">
      <c r="B255" s="203" t="s">
        <v>1218</v>
      </c>
      <c r="C255" s="36">
        <f>+E252</f>
        <v>28.850726908279295</v>
      </c>
      <c r="D255" s="187" t="s">
        <v>1244</v>
      </c>
      <c r="F255" s="30" t="s">
        <v>1257</v>
      </c>
      <c r="G255" s="36">
        <f>+E251</f>
        <v>36.205802503485423</v>
      </c>
      <c r="K255" s="286"/>
      <c r="M255" s="46"/>
    </row>
    <row r="256" spans="1:13">
      <c r="B256" s="203"/>
      <c r="C256" s="36"/>
      <c r="D256" s="187"/>
      <c r="F256" s="30"/>
      <c r="G256" s="36"/>
      <c r="K256" s="286"/>
      <c r="M256" s="46"/>
    </row>
    <row r="257" spans="1:13">
      <c r="F257" s="187"/>
      <c r="K257" s="286"/>
      <c r="M257" s="46"/>
    </row>
    <row r="258" spans="1:13">
      <c r="B258" s="1152" t="s">
        <v>1258</v>
      </c>
      <c r="C258" s="1152"/>
      <c r="D258" s="1152"/>
      <c r="E258" s="1153">
        <f>MAX(E81,E82,E167,E168,E251,E252)</f>
        <v>62.925793498801845</v>
      </c>
      <c r="F258" s="1152" t="s">
        <v>1259</v>
      </c>
      <c r="G258" s="1154">
        <f>E258*0.00948</f>
        <v>0.59653652236864152</v>
      </c>
      <c r="H258" s="1152" t="s">
        <v>817</v>
      </c>
      <c r="I258" s="1152"/>
      <c r="J258" s="1152"/>
      <c r="K258" s="286"/>
      <c r="M258" s="224"/>
    </row>
    <row r="259" spans="1:13">
      <c r="K259" s="286"/>
      <c r="L259" s="46"/>
      <c r="M259" s="46"/>
    </row>
    <row r="260" spans="1:13" ht="15.75">
      <c r="A260" s="1155" t="s">
        <v>1845</v>
      </c>
      <c r="B260" s="1155"/>
      <c r="C260" s="1155"/>
      <c r="D260" s="1155"/>
      <c r="E260" s="1155"/>
      <c r="F260" s="1155"/>
      <c r="G260" s="1155"/>
      <c r="H260" s="1155"/>
      <c r="I260" s="1155"/>
      <c r="J260" s="1155"/>
      <c r="K260" s="286"/>
      <c r="L260" s="1156"/>
      <c r="M260" s="46"/>
    </row>
    <row r="261" spans="1:13">
      <c r="K261" s="286"/>
      <c r="L261" s="46"/>
      <c r="M261" s="46"/>
    </row>
    <row r="262" spans="1:13">
      <c r="K262" s="286"/>
      <c r="M262" s="46"/>
    </row>
    <row r="263" spans="1:13">
      <c r="A263" s="187" t="s">
        <v>1261</v>
      </c>
      <c r="D263" s="190">
        <f>D8</f>
        <v>23.6</v>
      </c>
      <c r="E263" t="s">
        <v>1</v>
      </c>
      <c r="K263" s="286"/>
      <c r="M263" s="46"/>
    </row>
    <row r="264" spans="1:13">
      <c r="A264" t="s">
        <v>415</v>
      </c>
      <c r="D264" s="190">
        <f>D9</f>
        <v>15.7</v>
      </c>
      <c r="E264" t="s">
        <v>1</v>
      </c>
      <c r="K264" s="286"/>
      <c r="M264" s="46"/>
    </row>
    <row r="265" spans="1:13">
      <c r="A265" t="s">
        <v>416</v>
      </c>
      <c r="D265" s="190">
        <f>D10</f>
        <v>17.3</v>
      </c>
      <c r="E265" t="s">
        <v>1</v>
      </c>
      <c r="K265" s="286"/>
      <c r="L265" s="46"/>
      <c r="M265" s="46"/>
    </row>
    <row r="266" spans="1:13">
      <c r="A266" t="s">
        <v>417</v>
      </c>
      <c r="D266" s="190">
        <f>D11</f>
        <v>18.899999999999999</v>
      </c>
      <c r="E266" t="s">
        <v>1</v>
      </c>
      <c r="H266" s="17" t="s">
        <v>43</v>
      </c>
      <c r="I266" s="85">
        <f>COS(F270)*(COS(F270)-(COS(F270)^2-COS(F269)^2)^0.5)/(COS(F270)+(COS(F270)^2-COS(F269)^2)^0.5)</f>
        <v>0.36087265271105751</v>
      </c>
      <c r="J266" s="85"/>
      <c r="K266" s="286"/>
      <c r="L266" s="46"/>
      <c r="M266" s="46"/>
    </row>
    <row r="267" spans="1:13">
      <c r="A267" t="s">
        <v>418</v>
      </c>
      <c r="D267" s="190">
        <f>D12</f>
        <v>9.81</v>
      </c>
      <c r="E267" t="s">
        <v>1</v>
      </c>
      <c r="H267" s="203" t="s">
        <v>1158</v>
      </c>
      <c r="I267" s="85">
        <f>1/I266</f>
        <v>2.7710606289711768</v>
      </c>
      <c r="J267" s="85"/>
      <c r="K267" s="286"/>
      <c r="L267" s="46"/>
      <c r="M267" s="46"/>
    </row>
    <row r="268" spans="1:13">
      <c r="A268" s="187" t="s">
        <v>1262</v>
      </c>
      <c r="D268" s="190">
        <f>D266-D267</f>
        <v>9.0899999999999981</v>
      </c>
      <c r="E268" t="s">
        <v>1</v>
      </c>
      <c r="K268" s="286"/>
      <c r="L268" s="46"/>
      <c r="M268" s="46"/>
    </row>
    <row r="269" spans="1:13" ht="15.75">
      <c r="A269" s="187" t="s">
        <v>1159</v>
      </c>
      <c r="D269" s="296">
        <f>D13</f>
        <v>28</v>
      </c>
      <c r="E269" s="12" t="s">
        <v>321</v>
      </c>
      <c r="F269" s="115">
        <f>+D269*22/7/180</f>
        <v>0.48888888888888887</v>
      </c>
      <c r="G269" t="s">
        <v>322</v>
      </c>
      <c r="K269" s="286"/>
      <c r="L269" s="46"/>
      <c r="M269" s="46"/>
    </row>
    <row r="270" spans="1:13" ht="15.75">
      <c r="A270" t="s">
        <v>1263</v>
      </c>
      <c r="D270" s="296">
        <f>D14</f>
        <v>0</v>
      </c>
      <c r="E270" s="12" t="s">
        <v>321</v>
      </c>
      <c r="F270" s="115">
        <f>+D270*22/7/180</f>
        <v>0</v>
      </c>
      <c r="G270" t="s">
        <v>322</v>
      </c>
      <c r="K270" s="286"/>
      <c r="L270" s="46"/>
      <c r="M270" s="46"/>
    </row>
    <row r="271" spans="1:13" ht="15.75">
      <c r="A271" s="187" t="s">
        <v>1161</v>
      </c>
      <c r="D271" s="296">
        <f>D15</f>
        <v>28</v>
      </c>
      <c r="E271" s="12" t="s">
        <v>321</v>
      </c>
      <c r="F271" s="115">
        <f>+D271*22/7/180</f>
        <v>0.48888888888888887</v>
      </c>
      <c r="G271" t="s">
        <v>322</v>
      </c>
      <c r="K271" s="286"/>
      <c r="L271" s="46"/>
      <c r="M271" s="46"/>
    </row>
    <row r="272" spans="1:13">
      <c r="A272" s="187" t="s">
        <v>1162</v>
      </c>
      <c r="D272" s="190">
        <f>D16</f>
        <v>0</v>
      </c>
      <c r="E272" s="187" t="s">
        <v>323</v>
      </c>
      <c r="F272">
        <f>D272*D265</f>
        <v>0</v>
      </c>
      <c r="G272" t="s">
        <v>126</v>
      </c>
      <c r="K272" s="286"/>
      <c r="L272" s="46"/>
      <c r="M272" s="46"/>
    </row>
    <row r="273" spans="1:13">
      <c r="K273" s="286"/>
      <c r="L273" s="46"/>
      <c r="M273" s="46"/>
    </row>
    <row r="274" spans="1:13" ht="15">
      <c r="A274" s="29" t="s">
        <v>6</v>
      </c>
      <c r="K274" s="286"/>
      <c r="L274" s="46"/>
      <c r="M274" s="46"/>
    </row>
    <row r="275" spans="1:13" ht="14.25">
      <c r="A275" s="187" t="s">
        <v>420</v>
      </c>
      <c r="C275" s="579">
        <f>HeadWall!C13</f>
        <v>22</v>
      </c>
      <c r="D275" s="187" t="s">
        <v>421</v>
      </c>
      <c r="F275" s="1157"/>
      <c r="G275" s="386"/>
      <c r="H275" s="386"/>
      <c r="I275" s="274"/>
      <c r="J275" s="274"/>
      <c r="K275" s="286"/>
      <c r="L275" s="386"/>
      <c r="M275" s="46"/>
    </row>
    <row r="276" spans="1:13" ht="14.25">
      <c r="A276" t="s">
        <v>8</v>
      </c>
      <c r="C276" s="579">
        <f>HeadWall!C14</f>
        <v>414</v>
      </c>
      <c r="D276" s="187" t="s">
        <v>421</v>
      </c>
      <c r="F276" s="386"/>
      <c r="G276" s="386"/>
      <c r="H276" s="386"/>
      <c r="I276" s="386"/>
      <c r="J276" s="386"/>
      <c r="K276" s="286"/>
      <c r="L276" s="386"/>
      <c r="M276" s="46"/>
    </row>
    <row r="277" spans="1:13" ht="14.25">
      <c r="A277" t="s">
        <v>11</v>
      </c>
      <c r="C277" s="234">
        <f>2*10^5</f>
        <v>200000</v>
      </c>
      <c r="D277" s="187" t="s">
        <v>421</v>
      </c>
      <c r="F277" s="386"/>
      <c r="G277" s="386"/>
      <c r="H277" s="386"/>
      <c r="I277" s="1158"/>
      <c r="J277" s="1158"/>
      <c r="K277" s="286"/>
      <c r="L277" s="386"/>
      <c r="M277" s="46"/>
    </row>
    <row r="278" spans="1:13" ht="14.25">
      <c r="A278" s="187" t="s">
        <v>446</v>
      </c>
      <c r="C278" s="1159">
        <f>4.73*10^3*(C275)^0.5</f>
        <v>22185.666543964824</v>
      </c>
      <c r="D278" s="187" t="s">
        <v>421</v>
      </c>
      <c r="F278" s="386"/>
      <c r="G278" s="386"/>
      <c r="H278" s="386"/>
      <c r="I278" s="386"/>
      <c r="J278" s="386"/>
      <c r="K278" s="286"/>
      <c r="L278" s="386"/>
      <c r="M278" s="46"/>
    </row>
    <row r="279" spans="1:13">
      <c r="F279" s="385"/>
      <c r="G279" s="386"/>
      <c r="H279" s="386"/>
      <c r="I279" s="547"/>
      <c r="J279" s="547"/>
      <c r="K279" s="286"/>
      <c r="L279" s="386"/>
      <c r="M279" s="46"/>
    </row>
    <row r="280" spans="1:13" ht="14.25">
      <c r="A280" t="s">
        <v>425</v>
      </c>
      <c r="C280" s="2071">
        <f>0.45*C275</f>
        <v>9.9</v>
      </c>
      <c r="D280" s="187" t="s">
        <v>421</v>
      </c>
      <c r="F280" s="386"/>
      <c r="G280" s="386"/>
      <c r="H280" s="386"/>
      <c r="I280" s="448"/>
      <c r="J280" s="448"/>
      <c r="K280" s="286"/>
      <c r="L280" s="386"/>
      <c r="M280" s="46"/>
    </row>
    <row r="281" spans="1:13" ht="14.25">
      <c r="A281" s="187" t="s">
        <v>426</v>
      </c>
      <c r="C281" s="2071">
        <f>0.45*C276</f>
        <v>186.3</v>
      </c>
      <c r="D281" s="187" t="s">
        <v>421</v>
      </c>
      <c r="E281" s="144" t="s">
        <v>422</v>
      </c>
      <c r="K281" s="286"/>
      <c r="M281" s="46"/>
    </row>
    <row r="282" spans="1:13">
      <c r="A282" t="s">
        <v>10</v>
      </c>
      <c r="C282" s="190">
        <f>+C277/C278</f>
        <v>9.0148294442118573</v>
      </c>
      <c r="E282" t="s">
        <v>423</v>
      </c>
      <c r="I282" s="233">
        <f>HeadWall!H14</f>
        <v>60</v>
      </c>
      <c r="J282" t="s">
        <v>98</v>
      </c>
      <c r="K282" s="286"/>
      <c r="M282" s="46"/>
    </row>
    <row r="283" spans="1:13">
      <c r="A283" t="s">
        <v>427</v>
      </c>
      <c r="C283" s="2071">
        <f>+C281/C280</f>
        <v>18.81818181818182</v>
      </c>
      <c r="E283" t="s">
        <v>424</v>
      </c>
      <c r="I283" s="233">
        <f>HeadWall!H15</f>
        <v>50</v>
      </c>
      <c r="J283" t="s">
        <v>98</v>
      </c>
      <c r="K283" s="286"/>
      <c r="M283" s="46"/>
    </row>
    <row r="284" spans="1:13">
      <c r="A284" t="s">
        <v>428</v>
      </c>
      <c r="C284" s="2070">
        <f>C282/(C282+C283)</f>
        <v>0.32388983567840407</v>
      </c>
      <c r="E284" s="241" t="s">
        <v>2134</v>
      </c>
      <c r="F284" s="16"/>
      <c r="G284" s="16"/>
      <c r="I284" s="16">
        <f>IF(Hydraulic!O2="y",Hydraulic!O3,0)</f>
        <v>0</v>
      </c>
      <c r="J284" t="s">
        <v>98</v>
      </c>
      <c r="K284" s="286"/>
      <c r="M284" s="46"/>
    </row>
    <row r="285" spans="1:13">
      <c r="A285" t="s">
        <v>12</v>
      </c>
      <c r="C285" s="2070">
        <f>1-C284/3</f>
        <v>0.89203672144053203</v>
      </c>
      <c r="K285" s="286"/>
      <c r="M285" s="46"/>
    </row>
    <row r="286" spans="1:13" ht="14.25">
      <c r="A286" t="s">
        <v>429</v>
      </c>
      <c r="C286" s="2071">
        <f>0.5*C280*C284*C285</f>
        <v>1.4301620542760574</v>
      </c>
      <c r="D286" s="187" t="s">
        <v>421</v>
      </c>
      <c r="F286" s="18"/>
      <c r="K286" s="286"/>
      <c r="M286" s="46"/>
    </row>
    <row r="287" spans="1:13" ht="14.25">
      <c r="A287" s="187" t="s">
        <v>452</v>
      </c>
      <c r="C287" s="2070">
        <f>9.1*10^(-2)*C275^0.5</f>
        <v>0.42682783414393211</v>
      </c>
      <c r="D287" s="187" t="s">
        <v>421</v>
      </c>
      <c r="E287" s="30" t="s">
        <v>430</v>
      </c>
      <c r="H287" s="115">
        <f>0.17*C275^0.5</f>
        <v>0.79737067916998317</v>
      </c>
      <c r="I287" s="187" t="s">
        <v>421</v>
      </c>
      <c r="J287" s="187"/>
      <c r="K287" s="286"/>
      <c r="M287" s="46"/>
    </row>
    <row r="288" spans="1:13">
      <c r="E288" s="2"/>
      <c r="K288" s="286"/>
      <c r="L288" s="46"/>
      <c r="M288" s="46"/>
    </row>
    <row r="289" spans="1:13" ht="15.75">
      <c r="B289" s="238" t="s">
        <v>431</v>
      </c>
      <c r="C289" s="239"/>
      <c r="D289" s="240"/>
      <c r="K289" s="286"/>
      <c r="L289" s="46"/>
      <c r="M289" s="46"/>
    </row>
    <row r="290" spans="1:13">
      <c r="K290" s="286"/>
      <c r="L290" s="46"/>
      <c r="M290" s="46"/>
    </row>
    <row r="291" spans="1:13" ht="14.25">
      <c r="B291" s="241" t="s">
        <v>432</v>
      </c>
      <c r="C291" s="16"/>
      <c r="D291" s="241" t="s">
        <v>433</v>
      </c>
      <c r="E291" s="16"/>
      <c r="F291" s="16"/>
      <c r="G291" s="16">
        <f>0.1/100</f>
        <v>1E-3</v>
      </c>
      <c r="H291" s="241" t="s">
        <v>1264</v>
      </c>
      <c r="K291" s="286"/>
      <c r="L291" s="46"/>
      <c r="M291" s="46"/>
    </row>
    <row r="292" spans="1:13" ht="14.25">
      <c r="B292" s="16"/>
      <c r="C292" s="16"/>
      <c r="D292" s="241" t="s">
        <v>435</v>
      </c>
      <c r="E292" s="16"/>
      <c r="F292" s="16"/>
      <c r="G292" s="16">
        <f>0.2/100</f>
        <v>2E-3</v>
      </c>
      <c r="H292" s="241" t="s">
        <v>1264</v>
      </c>
      <c r="K292" s="286"/>
      <c r="L292" s="46"/>
      <c r="M292" s="46"/>
    </row>
    <row r="293" spans="1:13" ht="14.25">
      <c r="B293" s="16"/>
      <c r="C293" s="16"/>
      <c r="D293" s="241" t="s">
        <v>436</v>
      </c>
      <c r="E293" s="16"/>
      <c r="F293" s="16"/>
      <c r="G293" s="16">
        <f>0.15/100</f>
        <v>1.5E-3</v>
      </c>
      <c r="H293" s="241" t="s">
        <v>1264</v>
      </c>
      <c r="K293" s="286"/>
      <c r="L293" s="46"/>
      <c r="M293" s="46"/>
    </row>
    <row r="294" spans="1:13">
      <c r="B294" s="241"/>
      <c r="C294" s="242"/>
      <c r="D294" s="16"/>
      <c r="E294" s="16"/>
      <c r="F294" s="16"/>
      <c r="G294" s="16"/>
      <c r="H294" s="16"/>
      <c r="K294" s="286"/>
      <c r="L294" s="46"/>
      <c r="M294" s="46"/>
    </row>
    <row r="295" spans="1:13">
      <c r="B295" s="241" t="s">
        <v>437</v>
      </c>
      <c r="C295" s="242"/>
      <c r="D295" s="16"/>
      <c r="E295" s="16"/>
      <c r="F295" s="16"/>
      <c r="G295" s="16"/>
      <c r="H295" s="16"/>
      <c r="K295" s="286"/>
      <c r="L295" s="46"/>
      <c r="M295" s="46"/>
    </row>
    <row r="296" spans="1:13" ht="14.25">
      <c r="B296" s="241"/>
      <c r="C296" s="242"/>
      <c r="D296" s="241" t="s">
        <v>433</v>
      </c>
      <c r="E296" s="16"/>
      <c r="F296" s="16"/>
      <c r="G296" s="16">
        <f>0.15/100</f>
        <v>1.5E-3</v>
      </c>
      <c r="H296" s="241" t="s">
        <v>1264</v>
      </c>
      <c r="K296" s="286"/>
      <c r="L296" s="46"/>
      <c r="M296" s="46"/>
    </row>
    <row r="297" spans="1:13" ht="14.25">
      <c r="B297" s="16"/>
      <c r="C297" s="16"/>
      <c r="D297" s="241" t="s">
        <v>435</v>
      </c>
      <c r="E297" s="16"/>
      <c r="F297" s="16"/>
      <c r="G297" s="16">
        <f>0.25/100</f>
        <v>2.5000000000000001E-3</v>
      </c>
      <c r="H297" s="241" t="s">
        <v>1264</v>
      </c>
      <c r="K297" s="286"/>
      <c r="L297" s="46"/>
      <c r="M297" s="46"/>
    </row>
    <row r="298" spans="1:13" ht="14.25">
      <c r="B298" s="16"/>
      <c r="C298" s="16"/>
      <c r="D298" s="241" t="s">
        <v>436</v>
      </c>
      <c r="E298" s="16"/>
      <c r="F298" s="16"/>
      <c r="G298" s="16">
        <f>0.2/100</f>
        <v>2E-3</v>
      </c>
      <c r="H298" s="241" t="s">
        <v>1264</v>
      </c>
      <c r="K298" s="286"/>
      <c r="L298" s="46"/>
      <c r="M298" s="46"/>
    </row>
    <row r="299" spans="1:13">
      <c r="B299" s="16"/>
      <c r="C299" s="16"/>
      <c r="D299" s="16"/>
      <c r="H299" s="16"/>
      <c r="K299" s="286"/>
      <c r="L299" s="46"/>
      <c r="M299" s="46"/>
    </row>
    <row r="300" spans="1:13">
      <c r="A300" s="243" t="s">
        <v>1265</v>
      </c>
      <c r="B300" s="241" t="s">
        <v>1114</v>
      </c>
      <c r="D300" s="16"/>
      <c r="F300" s="241" t="s">
        <v>1113</v>
      </c>
      <c r="G300" s="16"/>
      <c r="H300" s="241"/>
      <c r="K300" s="286"/>
      <c r="L300" s="46"/>
      <c r="M300" s="46"/>
    </row>
    <row r="301" spans="1:13" ht="14.25">
      <c r="B301" s="241" t="s">
        <v>111</v>
      </c>
      <c r="C301" s="16">
        <f>G291</f>
        <v>1E-3</v>
      </c>
      <c r="D301" s="241" t="s">
        <v>1264</v>
      </c>
      <c r="F301" s="241" t="s">
        <v>111</v>
      </c>
      <c r="G301" s="16">
        <f>G292</f>
        <v>2E-3</v>
      </c>
      <c r="H301" s="241" t="s">
        <v>1264</v>
      </c>
      <c r="K301" s="286"/>
      <c r="L301" s="46"/>
      <c r="M301" s="46"/>
    </row>
    <row r="302" spans="1:13" ht="14.25">
      <c r="B302" s="241" t="s">
        <v>110</v>
      </c>
      <c r="C302" s="16">
        <f>IF(D7&lt;=9,G291,G296)</f>
        <v>1E-3</v>
      </c>
      <c r="D302" s="241" t="s">
        <v>1264</v>
      </c>
      <c r="F302" s="241" t="s">
        <v>110</v>
      </c>
      <c r="G302" s="16">
        <f>IF(D7&lt;=9,G292,G297)</f>
        <v>2E-3</v>
      </c>
      <c r="H302" s="241" t="s">
        <v>1264</v>
      </c>
      <c r="K302" s="286"/>
      <c r="L302" s="46"/>
      <c r="M302" s="46"/>
    </row>
    <row r="303" spans="1:13">
      <c r="B303" s="16"/>
      <c r="D303" s="16"/>
      <c r="H303" s="16"/>
      <c r="K303" s="286"/>
      <c r="L303" s="46"/>
      <c r="M303" s="46"/>
    </row>
    <row r="304" spans="1:13">
      <c r="A304" s="243" t="s">
        <v>1266</v>
      </c>
      <c r="B304" s="241" t="s">
        <v>1267</v>
      </c>
      <c r="C304" s="16"/>
      <c r="D304" s="241"/>
      <c r="F304" s="241" t="s">
        <v>1108</v>
      </c>
      <c r="G304" s="16"/>
      <c r="H304" s="241"/>
      <c r="I304" s="16"/>
      <c r="J304" s="16"/>
      <c r="K304" s="286"/>
      <c r="L304" s="46"/>
      <c r="M304" s="46"/>
    </row>
    <row r="305" spans="1:18" ht="14.25">
      <c r="B305" s="241" t="s">
        <v>441</v>
      </c>
      <c r="C305" s="16">
        <f>G291</f>
        <v>1E-3</v>
      </c>
      <c r="D305" s="241" t="s">
        <v>1264</v>
      </c>
      <c r="F305" s="241" t="s">
        <v>441</v>
      </c>
      <c r="G305" s="16">
        <f>G291</f>
        <v>1E-3</v>
      </c>
      <c r="H305" s="241" t="s">
        <v>1264</v>
      </c>
      <c r="I305" s="16"/>
      <c r="J305" s="16"/>
      <c r="K305" s="286"/>
      <c r="L305" s="46"/>
      <c r="M305" s="46"/>
    </row>
    <row r="306" spans="1:18" ht="14.25">
      <c r="B306" s="241" t="s">
        <v>442</v>
      </c>
      <c r="C306" s="16">
        <f>IF(D7&lt;=9,G291,G296)</f>
        <v>1E-3</v>
      </c>
      <c r="D306" s="241" t="s">
        <v>1264</v>
      </c>
      <c r="F306" s="241" t="s">
        <v>442</v>
      </c>
      <c r="G306" s="16">
        <f>IF(D7&lt;=9,G291,G296)</f>
        <v>1E-3</v>
      </c>
      <c r="H306" s="241" t="s">
        <v>1264</v>
      </c>
      <c r="I306" s="16"/>
      <c r="J306" s="16"/>
      <c r="K306" s="286"/>
      <c r="L306" s="46"/>
      <c r="M306" s="46"/>
    </row>
    <row r="307" spans="1:18">
      <c r="B307" s="16"/>
      <c r="C307" s="16"/>
      <c r="D307" s="16"/>
      <c r="H307" s="16"/>
      <c r="K307" s="286"/>
      <c r="L307" s="46"/>
      <c r="M307" s="46"/>
    </row>
    <row r="308" spans="1:18">
      <c r="B308" s="241" t="s">
        <v>444</v>
      </c>
      <c r="D308" s="16"/>
      <c r="E308" s="16"/>
      <c r="H308" s="16">
        <v>380</v>
      </c>
      <c r="I308" s="241" t="s">
        <v>98</v>
      </c>
      <c r="J308" s="241"/>
      <c r="K308" s="286"/>
      <c r="L308" s="46"/>
      <c r="M308" s="46"/>
    </row>
    <row r="309" spans="1:18">
      <c r="E309" s="2"/>
      <c r="K309" s="286"/>
      <c r="L309" s="46"/>
      <c r="M309" s="46"/>
    </row>
    <row r="310" spans="1:18" ht="15">
      <c r="A310" s="2117" t="s">
        <v>1846</v>
      </c>
      <c r="B310" s="2118"/>
      <c r="C310" s="2119"/>
      <c r="D310" s="2118"/>
      <c r="E310" s="2120"/>
      <c r="K310" s="286"/>
      <c r="L310" s="46"/>
      <c r="M310" s="46"/>
    </row>
    <row r="311" spans="1:18">
      <c r="C311" s="17"/>
      <c r="E311" s="188">
        <f>E23/1000</f>
        <v>0.3</v>
      </c>
      <c r="K311" s="286"/>
      <c r="L311" s="46"/>
      <c r="M311" s="46"/>
    </row>
    <row r="312" spans="1:18">
      <c r="C312" s="1164" t="s">
        <v>1177</v>
      </c>
      <c r="D312" s="189">
        <f>C24</f>
        <v>10</v>
      </c>
      <c r="K312" s="286"/>
      <c r="L312" s="46"/>
      <c r="M312" s="46"/>
    </row>
    <row r="313" spans="1:18">
      <c r="E313" s="1014"/>
      <c r="K313" s="286"/>
      <c r="L313" s="46"/>
      <c r="M313" s="46"/>
    </row>
    <row r="314" spans="1:18">
      <c r="E314" s="1014"/>
      <c r="K314" s="286"/>
      <c r="L314" s="46"/>
      <c r="M314" s="46"/>
    </row>
    <row r="315" spans="1:18">
      <c r="D315" s="22"/>
      <c r="K315" s="286"/>
      <c r="L315" s="46"/>
      <c r="M315" s="46"/>
      <c r="O315" s="189"/>
    </row>
    <row r="316" spans="1:18">
      <c r="A316" s="54">
        <f>IF(O317=1,A99,A183)/1000</f>
        <v>0</v>
      </c>
      <c r="B316" s="187" t="s">
        <v>5</v>
      </c>
      <c r="D316" s="40"/>
      <c r="G316" s="187" t="s">
        <v>1222</v>
      </c>
      <c r="H316" s="1165">
        <f>IF(O317=1,H5,H7)</f>
        <v>10</v>
      </c>
      <c r="K316" s="286"/>
      <c r="L316" s="46"/>
      <c r="M316" s="46"/>
      <c r="Q316" s="2099" t="s">
        <v>1849</v>
      </c>
      <c r="R316" s="2124" t="s">
        <v>1850</v>
      </c>
    </row>
    <row r="317" spans="1:18">
      <c r="B317" s="187" t="s">
        <v>45</v>
      </c>
      <c r="E317" s="1166"/>
      <c r="G317" s="187"/>
      <c r="I317" s="203"/>
      <c r="J317" s="203"/>
      <c r="K317" s="286"/>
      <c r="L317" s="1167" t="s">
        <v>1269</v>
      </c>
      <c r="M317" s="1167"/>
      <c r="N317" s="670"/>
      <c r="O317" s="1168">
        <v>2</v>
      </c>
      <c r="Q317" s="256" t="s">
        <v>1848</v>
      </c>
      <c r="R317" s="256" t="s">
        <v>1848</v>
      </c>
    </row>
    <row r="318" spans="1:18">
      <c r="A318" s="4"/>
      <c r="C318" s="203" t="s">
        <v>885</v>
      </c>
      <c r="D318" s="1165">
        <f>IF(O317=1,H4,H6)</f>
        <v>10.92869839937665</v>
      </c>
      <c r="G318" s="5"/>
      <c r="I318" t="s">
        <v>1155</v>
      </c>
      <c r="J318" s="1356">
        <f>I189</f>
        <v>6.1</v>
      </c>
      <c r="K318" s="286"/>
      <c r="L318" s="1169" t="s">
        <v>1270</v>
      </c>
      <c r="M318" s="1169"/>
      <c r="N318" s="1170"/>
      <c r="O318" s="1171">
        <v>1</v>
      </c>
      <c r="Q318" s="3257">
        <f>G343</f>
        <v>67.430805391426759</v>
      </c>
      <c r="R318" s="103" t="str">
        <f>IF(O317=1,H366,"")</f>
        <v/>
      </c>
    </row>
    <row r="319" spans="1:18">
      <c r="D319" s="22"/>
      <c r="E319" s="1083"/>
      <c r="F319" s="187"/>
      <c r="G319" s="203" t="s">
        <v>1271</v>
      </c>
      <c r="H319" s="220">
        <f>IF(O317=1,H106,F190)/1000</f>
        <v>3.9000000000000004</v>
      </c>
      <c r="K319" s="286"/>
      <c r="L319" s="1172" t="s">
        <v>1272</v>
      </c>
      <c r="M319" s="1172"/>
      <c r="N319" s="1173"/>
      <c r="O319" s="1174">
        <v>2</v>
      </c>
      <c r="Q319" s="3258"/>
      <c r="R319" s="138">
        <f>IF(O317=2,H366,"")</f>
        <v>32.431006402543332</v>
      </c>
    </row>
    <row r="320" spans="1:18">
      <c r="E320" s="25"/>
      <c r="G320" t="s">
        <v>606</v>
      </c>
      <c r="K320" s="286"/>
      <c r="L320" s="46"/>
      <c r="M320" s="46"/>
      <c r="Q320" s="2125" t="s">
        <v>1851</v>
      </c>
      <c r="R320" s="2126"/>
    </row>
    <row r="321" spans="1:18">
      <c r="A321" s="2071">
        <f>IF(O317=1,A108,A192)/1000</f>
        <v>4.3000000000000007</v>
      </c>
      <c r="F321" s="2071">
        <f>D312-D325</f>
        <v>3.9000000000000004</v>
      </c>
      <c r="G321" s="5"/>
      <c r="H321" s="5"/>
      <c r="K321" s="286"/>
      <c r="L321" s="46"/>
      <c r="M321" s="46"/>
    </row>
    <row r="322" spans="1:18">
      <c r="A322" s="27" t="s">
        <v>44</v>
      </c>
      <c r="C322" s="17" t="s">
        <v>121</v>
      </c>
      <c r="D322" s="220">
        <f>IF(O317=1,C108,C192)/1000</f>
        <v>3.9000000000000004</v>
      </c>
      <c r="F322" s="1014"/>
      <c r="H322" s="54">
        <f>IF(J318&gt;D325,J318-D325,0)</f>
        <v>0</v>
      </c>
      <c r="K322" s="286"/>
      <c r="L322" s="46"/>
      <c r="M322" s="46"/>
    </row>
    <row r="323" spans="1:18">
      <c r="E323" s="1014"/>
      <c r="G323" s="5"/>
      <c r="K323" s="286"/>
      <c r="L323" s="190"/>
      <c r="M323" s="46"/>
      <c r="P323" s="223"/>
    </row>
    <row r="324" spans="1:18">
      <c r="A324" s="27" t="s">
        <v>605</v>
      </c>
      <c r="G324" s="2065"/>
      <c r="K324" s="286"/>
      <c r="L324" s="46"/>
      <c r="M324" s="46"/>
    </row>
    <row r="325" spans="1:18">
      <c r="C325" s="203" t="s">
        <v>1273</v>
      </c>
      <c r="D325" s="189">
        <f>D38</f>
        <v>6.1</v>
      </c>
      <c r="G325" s="4"/>
      <c r="H325" s="2069"/>
      <c r="K325" s="286"/>
      <c r="L325" s="224"/>
      <c r="M325" s="46"/>
    </row>
    <row r="326" spans="1:18">
      <c r="E326" s="1"/>
      <c r="G326" s="5"/>
      <c r="I326" s="268" t="s">
        <v>1274</v>
      </c>
      <c r="J326" s="268"/>
      <c r="K326" s="286"/>
      <c r="L326" s="17"/>
      <c r="M326" s="46"/>
      <c r="N326" s="18"/>
    </row>
    <row r="327" spans="1:18">
      <c r="D327" s="189">
        <f>G40/1000</f>
        <v>0.4</v>
      </c>
      <c r="G327" s="5"/>
      <c r="K327" s="286"/>
      <c r="L327" s="385"/>
      <c r="M327" s="386"/>
    </row>
    <row r="328" spans="1:18">
      <c r="G328" s="5"/>
      <c r="K328" s="286"/>
      <c r="L328" s="46"/>
      <c r="M328" s="46"/>
      <c r="R328" s="2"/>
    </row>
    <row r="329" spans="1:18">
      <c r="E329" s="25"/>
      <c r="H329" s="220">
        <f>G42/1000</f>
        <v>0.3</v>
      </c>
      <c r="K329" s="286"/>
      <c r="L329" s="46"/>
      <c r="M329" s="385"/>
      <c r="N329" s="189"/>
    </row>
    <row r="330" spans="1:18">
      <c r="K330" s="286"/>
      <c r="L330" s="46"/>
      <c r="M330" s="386"/>
      <c r="N330" s="1"/>
    </row>
    <row r="331" spans="1:18">
      <c r="G331" s="190">
        <f>G44/1000</f>
        <v>0.9</v>
      </c>
      <c r="K331" s="286"/>
      <c r="L331" s="46"/>
      <c r="M331" s="46"/>
    </row>
    <row r="332" spans="1:18">
      <c r="G332" s="190">
        <f>G45/1000</f>
        <v>0.3</v>
      </c>
      <c r="K332" s="286"/>
      <c r="L332" s="46"/>
      <c r="M332" s="46"/>
    </row>
    <row r="333" spans="1:18">
      <c r="C333" s="109">
        <f>C46/1000</f>
        <v>1.8</v>
      </c>
      <c r="E333" s="190">
        <f>E46/1000</f>
        <v>0.4</v>
      </c>
      <c r="F333" s="190">
        <f>F46/1000</f>
        <v>1.2</v>
      </c>
      <c r="K333" s="286"/>
      <c r="L333" s="46"/>
      <c r="M333" s="46"/>
      <c r="P333" s="2071"/>
      <c r="Q333" s="36"/>
    </row>
    <row r="334" spans="1:18">
      <c r="K334" s="286"/>
      <c r="L334" s="46"/>
      <c r="M334" s="46"/>
      <c r="N334" s="187"/>
      <c r="P334" s="33"/>
      <c r="Q334" s="187"/>
    </row>
    <row r="335" spans="1:18">
      <c r="D335" s="206">
        <f>C333+E333+F333</f>
        <v>3.4000000000000004</v>
      </c>
      <c r="E335" t="s">
        <v>5</v>
      </c>
      <c r="K335" s="286"/>
      <c r="L335" s="46"/>
      <c r="M335" s="46"/>
    </row>
    <row r="336" spans="1:18">
      <c r="K336" s="286"/>
      <c r="L336" s="46"/>
      <c r="M336" s="46"/>
    </row>
    <row r="337" spans="1:20">
      <c r="K337" s="286"/>
      <c r="L337" s="46"/>
      <c r="M337" s="46"/>
    </row>
    <row r="338" spans="1:20">
      <c r="K338" s="286"/>
      <c r="L338" s="46"/>
      <c r="M338" s="46"/>
    </row>
    <row r="339" spans="1:20" ht="20.25">
      <c r="A339" s="1175" t="s">
        <v>1163</v>
      </c>
      <c r="B339" s="46"/>
      <c r="C339" s="46"/>
      <c r="D339" s="90"/>
      <c r="E339" s="44"/>
      <c r="F339" s="187" t="s">
        <v>593</v>
      </c>
      <c r="H339" s="38" t="s">
        <v>594</v>
      </c>
      <c r="I339" s="46"/>
      <c r="J339" s="46"/>
      <c r="K339" s="286"/>
      <c r="M339" s="46"/>
    </row>
    <row r="340" spans="1:20">
      <c r="A340" s="289"/>
      <c r="B340" s="46"/>
      <c r="C340" s="46"/>
      <c r="D340" s="90"/>
      <c r="E340" s="44"/>
      <c r="K340" s="286"/>
      <c r="L340" s="46"/>
      <c r="M340" s="46"/>
    </row>
    <row r="341" spans="1:20">
      <c r="A341" s="289"/>
      <c r="B341" s="109" t="s">
        <v>1275</v>
      </c>
      <c r="C341" s="46"/>
      <c r="D341" s="90"/>
      <c r="E341" s="44"/>
      <c r="F341" s="33">
        <f>F321</f>
        <v>3.9000000000000004</v>
      </c>
      <c r="G341" s="187" t="s">
        <v>5</v>
      </c>
      <c r="K341" s="286"/>
      <c r="L341" s="46"/>
      <c r="M341" s="46"/>
    </row>
    <row r="342" spans="1:20">
      <c r="A342" s="46"/>
      <c r="B342" s="46" t="str">
        <f>"P = 0.5x"&amp;FIXED(I266,3)&amp;" x "&amp;D266&amp;" x "&amp;F321&amp;"^2 + "&amp;FIXED(I266,3)&amp;" x "&amp;F272&amp;" x "&amp;F321&amp;" = "</f>
        <v xml:space="preserve">P = 0.5x0.361 x 18.9 x 3.9^2 + 0.361 x 0 x 3.9 = </v>
      </c>
      <c r="C342" s="46"/>
      <c r="D342" s="46"/>
      <c r="E342" s="46"/>
      <c r="G342" s="54">
        <f>0.5*I266*D266*F321^2+I266*F272*F321</f>
        <v>51.8698503010975</v>
      </c>
      <c r="H342" t="s">
        <v>21</v>
      </c>
      <c r="K342" s="286"/>
      <c r="L342" s="46"/>
      <c r="M342" s="46"/>
      <c r="N342" s="187"/>
      <c r="O342" s="33"/>
      <c r="P342" s="2"/>
      <c r="Q342" s="2071"/>
      <c r="R342" s="2069"/>
      <c r="S342" s="2071"/>
      <c r="T342" s="2069"/>
    </row>
    <row r="343" spans="1:20" ht="15.75">
      <c r="A343" s="46"/>
      <c r="B343" s="46" t="str">
        <f>"M = (1/6)"&amp;FIXED(I266,3)&amp;" x"&amp;D266&amp;" x"&amp;F321&amp;"^3 +"&amp;FIXED(I266,3)&amp;" x"&amp;F272&amp;" x"&amp;F321&amp;"^2/2 ="</f>
        <v>M = (1/6)0.361 x18.9 x3.9^3 +0.361 x0 x3.9^2/2 =</v>
      </c>
      <c r="C343" s="46"/>
      <c r="D343" s="46"/>
      <c r="E343" s="46"/>
      <c r="G343" s="54">
        <f>(1/6)*I266*D266*F321^3+I266*F272*F321*F321/2</f>
        <v>67.430805391426759</v>
      </c>
      <c r="H343" t="s">
        <v>107</v>
      </c>
      <c r="K343" s="286"/>
      <c r="L343" s="46"/>
      <c r="M343" s="46"/>
      <c r="N343" s="38"/>
      <c r="O343" s="33"/>
      <c r="P343" s="2"/>
      <c r="Q343" s="2071"/>
      <c r="R343" s="2069"/>
      <c r="S343" s="2071"/>
      <c r="T343" s="2069"/>
    </row>
    <row r="344" spans="1:20">
      <c r="A344" s="46"/>
      <c r="B344" s="46"/>
      <c r="C344" s="46"/>
      <c r="D344" s="46"/>
      <c r="E344" s="46"/>
      <c r="K344" s="286"/>
      <c r="L344" s="46"/>
      <c r="M344" s="46"/>
      <c r="O344" s="33"/>
    </row>
    <row r="345" spans="1:20">
      <c r="A345" s="46"/>
      <c r="B345" s="46" t="s">
        <v>1276</v>
      </c>
      <c r="C345" s="90"/>
      <c r="D345" s="160">
        <f>'Calc-2'!L20</f>
        <v>3.0200000000000191</v>
      </c>
      <c r="E345" s="201" t="s">
        <v>1277</v>
      </c>
      <c r="G345" s="33">
        <f>F321-D345</f>
        <v>0.87999999999998124</v>
      </c>
      <c r="H345" s="2069" t="s">
        <v>1278</v>
      </c>
      <c r="K345" s="286"/>
      <c r="L345" s="46"/>
      <c r="M345" s="46"/>
      <c r="O345" s="33"/>
    </row>
    <row r="346" spans="1:20" ht="15.75">
      <c r="A346" s="46"/>
      <c r="B346" s="46" t="str">
        <f>"P = 0.5x"&amp;FIXED(I266,3)&amp;" x "&amp;D266&amp;" x "&amp;FIXED(D345,2)&amp;"^2 + "&amp;FIXED(I266,3)&amp;" x "&amp;F272&amp;" x "&amp;FIXED(D345,2)&amp;" = "</f>
        <v xml:space="preserve">P = 0.5x0.361 x 18.9 x 3.02^2 + 0.361 x 0 x 3.02 = </v>
      </c>
      <c r="C346" s="90"/>
      <c r="D346" s="44"/>
      <c r="E346" s="201"/>
      <c r="F346" s="2071"/>
      <c r="G346" s="54">
        <f>0.5*I266*D266*D345^2+I266*F272*D345</f>
        <v>31.10281279987742</v>
      </c>
      <c r="H346" t="s">
        <v>21</v>
      </c>
      <c r="K346" s="286"/>
      <c r="L346" s="46"/>
      <c r="M346" s="1603" t="s">
        <v>1842</v>
      </c>
      <c r="O346" s="33"/>
    </row>
    <row r="347" spans="1:20">
      <c r="A347" s="289"/>
      <c r="B347" s="46" t="str">
        <f>"M = (1/6)"&amp;FIXED(I266,3)&amp;" x"&amp;D266&amp;" x"&amp;FIXED(D345,2)&amp;"^3 +"&amp;FIXED(I266,3)&amp;" x"&amp;F272&amp;" x"&amp;FIXED(D345,2)&amp;"^2/2 ="</f>
        <v>M = (1/6)0.361 x18.9 x3.02^3 +0.361 x0 x3.02^2/2 =</v>
      </c>
      <c r="C347" s="90"/>
      <c r="D347" s="44"/>
      <c r="E347" s="201"/>
      <c r="F347" s="2071"/>
      <c r="G347" s="54">
        <f>(1/6)*I266*D266*D345^3+I266*F272*D345^2/2</f>
        <v>31.310164885210138</v>
      </c>
      <c r="H347" t="s">
        <v>107</v>
      </c>
      <c r="K347" s="286"/>
      <c r="L347" s="46"/>
      <c r="M347" s="46"/>
      <c r="O347" s="33"/>
    </row>
    <row r="348" spans="1:20">
      <c r="A348" s="46"/>
      <c r="B348" s="46"/>
      <c r="C348" s="46"/>
      <c r="D348" s="46"/>
      <c r="E348" s="46"/>
      <c r="K348" s="286"/>
      <c r="L348" s="46"/>
      <c r="M348" s="46"/>
      <c r="O348" s="33"/>
    </row>
    <row r="349" spans="1:20">
      <c r="A349" s="46"/>
      <c r="B349" s="46" t="s">
        <v>1279</v>
      </c>
      <c r="C349" s="90"/>
      <c r="D349" s="160">
        <f>'Calc-2'!L21</f>
        <v>2.3500000000000334</v>
      </c>
      <c r="E349" s="201" t="s">
        <v>1277</v>
      </c>
      <c r="G349" s="33">
        <f>F321-D349</f>
        <v>1.549999999999967</v>
      </c>
      <c r="H349" s="2069" t="s">
        <v>1278</v>
      </c>
      <c r="K349" s="286"/>
      <c r="L349" s="46"/>
      <c r="M349" s="46"/>
      <c r="O349" s="33"/>
    </row>
    <row r="350" spans="1:20">
      <c r="A350" s="46"/>
      <c r="B350" s="46" t="str">
        <f>"P = 0.5x"&amp;FIXED(I266,3)&amp;" x "&amp;D266&amp;" x "&amp;FIXED(D349,2)&amp;"^2 + "&amp;FIXED(I266,3)&amp;" x "&amp;F272&amp;" x "&amp;FIXED(D349,2)&amp;" = "</f>
        <v xml:space="preserve">P = 0.5x0.361 x 18.9 x 2.35^2 + 0.361 x 0 x 2.35 = </v>
      </c>
      <c r="C350" s="46"/>
      <c r="D350" s="46"/>
      <c r="E350" s="46"/>
      <c r="G350" s="33">
        <f>0.5*I266*D266*D349^2+I266*F272*D349</f>
        <v>18.833086672440437</v>
      </c>
      <c r="H350" t="s">
        <v>21</v>
      </c>
      <c r="K350" s="286"/>
      <c r="L350" s="46"/>
      <c r="M350" s="46"/>
      <c r="O350" s="33"/>
    </row>
    <row r="351" spans="1:20">
      <c r="A351" s="46"/>
      <c r="B351" s="46" t="str">
        <f>"M = (1/6)"&amp;FIXED(I266,3)&amp;" x"&amp;D266&amp;" x"&amp;FIXED(D349,2)&amp;"^3 +"&amp;FIXED(I266,3)&amp;" x"&amp;F272&amp;" x"&amp;FIXED(D349,2)&amp;"^2/2 ="</f>
        <v>M = (1/6)0.361 x18.9 x2.35^3 +0.361 x0 x2.35^2/2 =</v>
      </c>
      <c r="C351" s="46"/>
      <c r="D351" s="46"/>
      <c r="E351" s="46"/>
      <c r="G351" s="33">
        <f>(1/6)*I266*D266*D349^3+I266*F272*D349^2/2</f>
        <v>14.752584560078553</v>
      </c>
      <c r="H351" t="s">
        <v>107</v>
      </c>
      <c r="K351" s="286"/>
      <c r="L351" s="46"/>
      <c r="M351" s="46"/>
    </row>
    <row r="352" spans="1:20">
      <c r="A352" s="46"/>
      <c r="B352" s="46"/>
      <c r="C352" s="46"/>
      <c r="D352" s="46"/>
      <c r="E352" s="46"/>
      <c r="K352" s="286"/>
      <c r="L352" s="46"/>
      <c r="M352" s="46"/>
    </row>
    <row r="353" spans="1:20">
      <c r="A353" s="1175" t="str">
        <f>IF(O317=1,"b) During Operation : Pre-monsoon","c) During Operation : Monsoon")</f>
        <v>c) During Operation : Monsoon</v>
      </c>
      <c r="B353" s="46"/>
      <c r="C353" s="46"/>
      <c r="D353" s="46"/>
      <c r="E353" s="46"/>
      <c r="K353" s="286"/>
      <c r="L353" s="46"/>
      <c r="M353" s="46"/>
    </row>
    <row r="354" spans="1:20">
      <c r="A354" s="187" t="s">
        <v>1280</v>
      </c>
      <c r="C354" s="2"/>
      <c r="D354" s="2071"/>
      <c r="K354" s="286"/>
      <c r="L354" s="46"/>
      <c r="M354" s="46"/>
    </row>
    <row r="355" spans="1:20" ht="20.25">
      <c r="A355" s="17" t="s">
        <v>35</v>
      </c>
      <c r="B355" s="38" t="s">
        <v>1281</v>
      </c>
      <c r="C355" s="2"/>
      <c r="D355" s="2071"/>
      <c r="I355" s="46"/>
      <c r="J355" s="46"/>
      <c r="K355" s="286"/>
      <c r="M355" s="46"/>
    </row>
    <row r="356" spans="1:20" ht="18.75">
      <c r="A356" s="203" t="s">
        <v>1282</v>
      </c>
      <c r="B356" s="38" t="s">
        <v>1283</v>
      </c>
      <c r="C356" s="2"/>
      <c r="D356" s="2071"/>
      <c r="I356" s="46"/>
      <c r="J356" s="46"/>
      <c r="K356" s="286"/>
      <c r="M356" s="46"/>
    </row>
    <row r="357" spans="1:20" ht="15.75">
      <c r="B357" s="17"/>
      <c r="C357" s="38"/>
      <c r="D357" s="2"/>
      <c r="E357" s="2071"/>
      <c r="H357" s="203" t="s">
        <v>1284</v>
      </c>
      <c r="K357" s="286"/>
      <c r="L357" s="46"/>
      <c r="M357" s="46"/>
    </row>
    <row r="358" spans="1:20" ht="38.25">
      <c r="B358" s="2062" t="s">
        <v>613</v>
      </c>
      <c r="C358" s="3069" t="s">
        <v>1285</v>
      </c>
      <c r="D358" s="3070"/>
      <c r="E358" s="3070"/>
      <c r="F358" s="3070"/>
      <c r="G358" s="3070"/>
      <c r="H358" s="3071"/>
      <c r="K358" s="286"/>
      <c r="M358" s="46"/>
    </row>
    <row r="359" spans="1:20" ht="15.75">
      <c r="B359" s="1177"/>
      <c r="C359" s="1178" t="s">
        <v>45</v>
      </c>
      <c r="D359" s="1178" t="s">
        <v>44</v>
      </c>
      <c r="E359" s="1178" t="s">
        <v>605</v>
      </c>
      <c r="F359" s="1178" t="s">
        <v>606</v>
      </c>
      <c r="G359" s="1178" t="s">
        <v>1274</v>
      </c>
      <c r="H359" s="1179" t="s">
        <v>1286</v>
      </c>
      <c r="K359" s="286"/>
      <c r="M359" s="46"/>
      <c r="N359" s="785"/>
      <c r="O359" s="386"/>
      <c r="P359" s="386"/>
      <c r="Q359" s="386"/>
      <c r="R359" s="386"/>
      <c r="S359" s="386"/>
      <c r="T359" s="386"/>
    </row>
    <row r="360" spans="1:20">
      <c r="B360" s="1180">
        <v>0</v>
      </c>
      <c r="C360" s="1181">
        <f>IF(B360&gt;$D$322,0.5*$I$266*$D$265*($F$321-B360)^2,0.5*$I$266*$D$265*$A$316^2)</f>
        <v>0</v>
      </c>
      <c r="D360" s="1181">
        <f>IF(B360&gt;=$D$322,0,$I$266*$D$265*$A$316*($D$322-B360))</f>
        <v>0</v>
      </c>
      <c r="E360" s="1181">
        <f>IF(B360&gt;$D$322,0,0.5*($I$266*$D$268+$D$267)*($D$322-B360)^2)</f>
        <v>99.551978001956428</v>
      </c>
      <c r="F360" s="1181">
        <f>IF(B360&gt;$H$319,0,0.5*$D$267*($H$319-B360)^2)</f>
        <v>74.60505000000002</v>
      </c>
      <c r="G360" s="1181">
        <f>IF(B360&gt;$H$322,0,0.5*$I$267*IF($H$316&gt;=$J$318,$D$268,$D$266)*($H$322-B360)^2)</f>
        <v>0</v>
      </c>
      <c r="H360" s="1182">
        <f>C360+D360+E360-F360-G360+$I$266*$F$272*($F$321-B360)</f>
        <v>24.946928001956408</v>
      </c>
      <c r="K360" s="286"/>
      <c r="M360" s="46"/>
      <c r="N360" s="785"/>
      <c r="O360" s="503"/>
      <c r="P360" s="503"/>
      <c r="Q360" s="503"/>
      <c r="R360" s="503"/>
      <c r="S360" s="503"/>
      <c r="T360" s="503"/>
    </row>
    <row r="361" spans="1:20">
      <c r="B361" s="1183">
        <f>F341-D345</f>
        <v>0.87999999999998124</v>
      </c>
      <c r="C361" s="368">
        <f>IF(B361&gt;$D$322,0.5*$I$266*$D$265*($F$321-B361)^2,0.5*$I$266*$D$265*$A$316^2)</f>
        <v>0</v>
      </c>
      <c r="D361" s="368">
        <f>IF(B361&gt;=$D$322,0,$I$266*$D$265*$A$316*($D$322-B361))</f>
        <v>0</v>
      </c>
      <c r="E361" s="368">
        <f>IF(B361&gt;$D$322,0,0.5*($I$266*$D$268+$D$267)*($D$322-B361)^2)</f>
        <v>59.6945338704178</v>
      </c>
      <c r="F361" s="368">
        <f>IF(B361&gt;$H$319,0,0.5*$D$267*($H$319-B361)^2)</f>
        <v>44.73556200000057</v>
      </c>
      <c r="G361" s="368">
        <f>IF(B361&gt;$H$322,0,0.5*$I$267*IF($H$316&gt;=$J$318,$D$268,$D$266)*($H$322-B361)^2)</f>
        <v>0</v>
      </c>
      <c r="H361" s="272">
        <f>C361+D361+E361-F361-G361+$I$266*$F$272*($F$321-B361)</f>
        <v>14.95897187041723</v>
      </c>
      <c r="K361" s="286"/>
      <c r="M361" s="46"/>
      <c r="N361" s="785"/>
      <c r="O361" s="503"/>
      <c r="P361" s="503"/>
      <c r="Q361" s="503"/>
      <c r="R361" s="503"/>
      <c r="S361" s="503"/>
      <c r="T361" s="503"/>
    </row>
    <row r="362" spans="1:20">
      <c r="B362" s="929">
        <f>F341-D349</f>
        <v>1.549999999999967</v>
      </c>
      <c r="C362" s="1184">
        <f>IF(B362&gt;$D$322,0.5*$I$266*$D$265*($F$321-B362)^2,0.5*$I$266*$D$265*$A$316^2)</f>
        <v>0</v>
      </c>
      <c r="D362" s="1184">
        <f>IF(B362&gt;=$D$322,0,$I$266*$D$265*$A$316*($D$322-B362))</f>
        <v>0</v>
      </c>
      <c r="E362" s="1184">
        <f>IF(B362&gt;$D$322,0,0.5*($I$266*$D$268+$D$267)*($D$322-B362)^2)</f>
        <v>36.145680375793553</v>
      </c>
      <c r="F362" s="1184">
        <f>IF(B362&gt;$H$319,0,0.5*$D$267*($H$319-B362)^2)</f>
        <v>27.087862500000771</v>
      </c>
      <c r="G362" s="1184">
        <f>IF(B362&gt;$H$322,0,0.5*$I$267*IF($H$316&gt;=$J$318,$D$268,$D$266)*($H$322-B362)^2)</f>
        <v>0</v>
      </c>
      <c r="H362" s="282">
        <f>C362+D362+E362-F362-G362+$I$266*$F$272*($F$321-B362)</f>
        <v>9.0578178757927823</v>
      </c>
      <c r="K362" s="286"/>
      <c r="M362" s="46"/>
      <c r="N362" s="785"/>
      <c r="O362" s="503"/>
      <c r="P362" s="503"/>
      <c r="Q362" s="503"/>
      <c r="R362" s="503"/>
      <c r="S362" s="503"/>
      <c r="T362" s="503"/>
    </row>
    <row r="363" spans="1:20">
      <c r="K363" s="286"/>
      <c r="L363" s="275"/>
      <c r="M363" s="46"/>
      <c r="N363" s="785"/>
      <c r="O363" s="503"/>
      <c r="P363" s="503"/>
      <c r="Q363" s="503"/>
      <c r="R363" s="503"/>
      <c r="S363" s="503"/>
      <c r="T363" s="503"/>
    </row>
    <row r="364" spans="1:20" ht="38.25">
      <c r="B364" s="2062" t="s">
        <v>613</v>
      </c>
      <c r="C364" s="3278" t="s">
        <v>1287</v>
      </c>
      <c r="D364" s="3279"/>
      <c r="E364" s="3279"/>
      <c r="F364" s="3279"/>
      <c r="G364" s="3280"/>
      <c r="H364" s="256" t="s">
        <v>1185</v>
      </c>
      <c r="K364" s="286"/>
      <c r="M364" s="46"/>
      <c r="N364" s="785"/>
      <c r="O364" s="386"/>
      <c r="P364" s="386"/>
      <c r="Q364" s="386"/>
      <c r="R364" s="386"/>
      <c r="S364" s="386"/>
      <c r="T364" s="386"/>
    </row>
    <row r="365" spans="1:20">
      <c r="B365" s="1177"/>
      <c r="C365" s="1185" t="s">
        <v>1288</v>
      </c>
      <c r="D365" s="1186" t="s">
        <v>1289</v>
      </c>
      <c r="E365" s="1178" t="s">
        <v>1290</v>
      </c>
      <c r="F365" s="1185" t="s">
        <v>1291</v>
      </c>
      <c r="G365" s="1178" t="s">
        <v>1292</v>
      </c>
      <c r="H365" s="1178" t="s">
        <v>1293</v>
      </c>
      <c r="K365" s="286"/>
      <c r="M365" s="46"/>
      <c r="N365" s="785"/>
      <c r="O365" s="503"/>
      <c r="P365" s="1187"/>
      <c r="Q365" s="503"/>
      <c r="R365" s="503"/>
      <c r="S365" s="503"/>
      <c r="T365" s="448"/>
    </row>
    <row r="366" spans="1:20">
      <c r="B366" s="2075">
        <f>B360</f>
        <v>0</v>
      </c>
      <c r="C366" s="1181">
        <f>IF(B366&gt;$D$322,($F$321-B366)/3,$A$316/3+($D$322-B366))</f>
        <v>3.9000000000000004</v>
      </c>
      <c r="D366" s="1188">
        <f>IF(B366&gt;$D$322,0,($D$322-B366)/2)</f>
        <v>1.9500000000000002</v>
      </c>
      <c r="E366" s="1181">
        <f>IF(B366&gt;$D$322,0,($D$322-B366)/3)</f>
        <v>1.3</v>
      </c>
      <c r="F366" s="1181">
        <f>IF(B366&gt;$H$319,0,($H$319-B366)/3)</f>
        <v>1.3</v>
      </c>
      <c r="G366" s="1181">
        <f>IF(B366&gt;$H$322,0,($H$322-B366)/3)</f>
        <v>0</v>
      </c>
      <c r="H366" s="2076">
        <f>C360*C366+D360*D366+E360*E366-F360*F366-G360*G366+$I$266*$F$272*($F$321-B360)^2/2</f>
        <v>32.431006402543332</v>
      </c>
      <c r="K366" s="286"/>
      <c r="M366" s="46"/>
      <c r="N366" s="785"/>
      <c r="O366" s="503"/>
      <c r="P366" s="1187"/>
      <c r="Q366" s="503"/>
      <c r="R366" s="503"/>
      <c r="S366" s="503"/>
      <c r="T366" s="448"/>
    </row>
    <row r="367" spans="1:20">
      <c r="B367" s="2072">
        <f>B361</f>
        <v>0.87999999999998124</v>
      </c>
      <c r="C367" s="368">
        <f>IF(B367&gt;$D$322,($F$321-B367)/3,$A$316/3+($D$322-B367))</f>
        <v>3.0200000000000191</v>
      </c>
      <c r="D367" s="1189">
        <f>IF(B367&gt;$D$322,0,($D$322-B367)/2)</f>
        <v>1.5100000000000096</v>
      </c>
      <c r="E367" s="368">
        <f>IF(B367&gt;$D$322,0,($D$322-B367)/3)</f>
        <v>1.006666666666673</v>
      </c>
      <c r="F367" s="368">
        <f>IF(B367&gt;$H$319,0,($H$319-B367)/3)</f>
        <v>1.006666666666673</v>
      </c>
      <c r="G367" s="368">
        <f>IF(B367&gt;$H$322,0,($H$322-B367)/3)</f>
        <v>0</v>
      </c>
      <c r="H367" s="2073">
        <f>C361*C367+D361*D367+E361*E367-F361*F367-G361*G367+$I$266*$F$272*($F$321-B361)^2/2</f>
        <v>15.058698349553438</v>
      </c>
      <c r="K367" s="286"/>
      <c r="M367" s="46"/>
      <c r="N367" s="785"/>
      <c r="O367" s="503"/>
      <c r="P367" s="1187"/>
      <c r="Q367" s="503"/>
      <c r="R367" s="503"/>
      <c r="S367" s="503"/>
      <c r="T367" s="448"/>
    </row>
    <row r="368" spans="1:20">
      <c r="B368" s="353">
        <f>B362</f>
        <v>1.549999999999967</v>
      </c>
      <c r="C368" s="1184">
        <f>IF(B368&gt;$D$322,($F$321-B368)/3,$A$316/3+($D$322-B368))</f>
        <v>2.3500000000000334</v>
      </c>
      <c r="D368" s="1190">
        <f>IF(B368&gt;$D$322,0,($D$322-B368)/2)</f>
        <v>1.1750000000000167</v>
      </c>
      <c r="E368" s="1184">
        <f>IF(B368&gt;$D$322,0,($D$322-B368)/3)</f>
        <v>0.78333333333334443</v>
      </c>
      <c r="F368" s="1184">
        <f>IF(B368&gt;$H$319,0,($H$319-B368)/3)</f>
        <v>0.78333333333334443</v>
      </c>
      <c r="G368" s="1184">
        <f>IF(B368&gt;$H$322,0,($H$322-B368)/3)</f>
        <v>0</v>
      </c>
      <c r="H368" s="170">
        <f>C362*C368+D362*D368+E362*E368-F362*F368-G362*G368+$I$266*$F$272*($F$321-B362)^2/2</f>
        <v>7.0952906693711135</v>
      </c>
      <c r="K368" s="286"/>
      <c r="M368" s="46"/>
      <c r="N368" s="448"/>
      <c r="O368" s="503"/>
      <c r="P368" s="1187"/>
      <c r="Q368" s="503"/>
      <c r="R368" s="503"/>
      <c r="S368" s="503"/>
      <c r="T368" s="448"/>
    </row>
    <row r="369" spans="1:20">
      <c r="K369" s="286"/>
      <c r="L369" s="2087"/>
      <c r="M369" s="46"/>
      <c r="N369" s="386"/>
      <c r="O369" s="386"/>
      <c r="P369" s="386"/>
      <c r="Q369" s="386"/>
      <c r="R369" s="386"/>
      <c r="S369" s="386"/>
      <c r="T369" s="386"/>
    </row>
    <row r="370" spans="1:20">
      <c r="A370" s="383" t="s">
        <v>1294</v>
      </c>
      <c r="B370" s="223"/>
      <c r="C370" s="1192"/>
      <c r="D370" s="2069"/>
      <c r="E370" s="223"/>
      <c r="F370" s="187"/>
      <c r="K370" s="286"/>
      <c r="L370" s="46"/>
      <c r="M370" s="46"/>
      <c r="N370" s="386"/>
      <c r="O370" s="386"/>
      <c r="P370" s="386"/>
      <c r="Q370" s="386"/>
      <c r="R370" s="386"/>
      <c r="S370" s="386"/>
      <c r="T370" s="386"/>
    </row>
    <row r="371" spans="1:20" ht="15.75">
      <c r="A371" s="1193"/>
      <c r="B371" s="1194"/>
      <c r="C371" s="9"/>
      <c r="D371" s="1195"/>
      <c r="E371" s="2070"/>
      <c r="F371" s="2071"/>
      <c r="G371" s="2071"/>
      <c r="H371" s="2"/>
      <c r="I371" s="2071"/>
      <c r="J371" s="2071"/>
      <c r="K371" s="286"/>
      <c r="L371" s="44"/>
      <c r="M371" s="46"/>
      <c r="N371" s="386"/>
      <c r="O371" s="386"/>
      <c r="P371" s="386"/>
      <c r="Q371" s="386"/>
      <c r="R371" s="386"/>
      <c r="S371" s="386"/>
      <c r="T371" s="386"/>
    </row>
    <row r="372" spans="1:20">
      <c r="B372" s="3281" t="s">
        <v>613</v>
      </c>
      <c r="C372" s="2086" t="s">
        <v>619</v>
      </c>
      <c r="D372" s="2086" t="s">
        <v>1295</v>
      </c>
      <c r="E372" s="2086" t="s">
        <v>1296</v>
      </c>
      <c r="F372" s="1197" t="s">
        <v>1297</v>
      </c>
      <c r="G372" s="2086" t="s">
        <v>1185</v>
      </c>
      <c r="H372" s="1197" t="s">
        <v>1297</v>
      </c>
      <c r="I372" s="2086" t="s">
        <v>676</v>
      </c>
      <c r="J372" s="1350"/>
      <c r="K372" s="286"/>
      <c r="L372" s="46"/>
      <c r="M372" s="46"/>
      <c r="N372" s="3268"/>
      <c r="O372" s="3265"/>
      <c r="P372" s="3265"/>
      <c r="Q372" s="3265"/>
      <c r="R372" s="1198"/>
      <c r="S372" s="3265"/>
      <c r="T372" s="1198"/>
    </row>
    <row r="373" spans="1:20" ht="25.5">
      <c r="B373" s="3282"/>
      <c r="C373" s="1199"/>
      <c r="D373" s="1199"/>
      <c r="E373" s="1199"/>
      <c r="F373" s="1200" t="s">
        <v>1298</v>
      </c>
      <c r="G373" s="1199"/>
      <c r="H373" s="1200" t="s">
        <v>1299</v>
      </c>
      <c r="I373" s="1199"/>
      <c r="J373" s="1350"/>
      <c r="K373" s="286"/>
      <c r="L373" s="46"/>
      <c r="M373" s="46"/>
      <c r="N373" s="3268"/>
      <c r="O373" s="3265"/>
      <c r="P373" s="3265"/>
      <c r="Q373" s="3265"/>
      <c r="R373" s="1201"/>
      <c r="S373" s="3265"/>
      <c r="T373" s="1201"/>
    </row>
    <row r="374" spans="1:20" ht="15.75">
      <c r="B374" s="1202" t="s">
        <v>5</v>
      </c>
      <c r="C374" s="355" t="s">
        <v>98</v>
      </c>
      <c r="D374" s="355" t="s">
        <v>98</v>
      </c>
      <c r="E374" s="1203" t="s">
        <v>21</v>
      </c>
      <c r="F374" s="355" t="s">
        <v>98</v>
      </c>
      <c r="G374" s="381" t="s">
        <v>107</v>
      </c>
      <c r="H374" s="355" t="s">
        <v>98</v>
      </c>
      <c r="I374" s="381"/>
      <c r="J374" s="1726"/>
      <c r="K374" s="286"/>
      <c r="L374" s="46"/>
      <c r="M374" s="46"/>
      <c r="N374" s="1204"/>
      <c r="O374" s="408"/>
      <c r="P374" s="408"/>
      <c r="Q374" s="1205"/>
      <c r="R374" s="408"/>
      <c r="S374" s="275"/>
      <c r="T374" s="408"/>
    </row>
    <row r="375" spans="1:20">
      <c r="B375" s="1206">
        <f>B366</f>
        <v>0</v>
      </c>
      <c r="C375" s="1207">
        <f>E333*1000</f>
        <v>400</v>
      </c>
      <c r="D375" s="1207">
        <f>+C375-($I$282+$B$391/2)</f>
        <v>332</v>
      </c>
      <c r="E375" s="1208">
        <f>MAX(G342,H360)</f>
        <v>51.8698503010975</v>
      </c>
      <c r="F375" s="1208">
        <f>+E375*1000/(1000*$C$287)</f>
        <v>121.52405759837653</v>
      </c>
      <c r="G375" s="1208">
        <f>MAX(G343,H366)</f>
        <v>67.430805391426759</v>
      </c>
      <c r="H375" s="1208">
        <f>+(G375*10^6/($C$286*1000))^0.5</f>
        <v>217.13835730319994</v>
      </c>
      <c r="I375" s="1209" t="str">
        <f>+IF((H375&lt;=D375)*AND(F375&lt;=D375),"O.K","Not O.K")</f>
        <v>O.K</v>
      </c>
      <c r="J375" s="1232"/>
      <c r="K375" s="286"/>
      <c r="L375" s="46"/>
      <c r="M375" s="46"/>
      <c r="N375" s="1210"/>
      <c r="O375" s="1211"/>
      <c r="P375" s="1211"/>
      <c r="Q375" s="1210"/>
      <c r="R375" s="1210"/>
      <c r="S375" s="1210"/>
      <c r="T375" s="1210"/>
    </row>
    <row r="376" spans="1:20">
      <c r="B376" s="1212">
        <f>B367</f>
        <v>0.87999999999998124</v>
      </c>
      <c r="C376" s="1213">
        <f>C375-1000*(E333-E311)*B376/(D312-D325)</f>
        <v>377.43589743589791</v>
      </c>
      <c r="D376" s="1214">
        <f>+C376-($I$282+$B$391/2)</f>
        <v>309.43589743589791</v>
      </c>
      <c r="E376" s="1215">
        <f>MAX(G346,H361)</f>
        <v>31.10281279987742</v>
      </c>
      <c r="F376" s="368">
        <f>+E376*1000/(1000*$C$287)</f>
        <v>72.86969197371775</v>
      </c>
      <c r="G376" s="1215">
        <f>MAX(G347,H367)</f>
        <v>31.310164885210138</v>
      </c>
      <c r="H376" s="368">
        <f>+(G376*10^6/($C$286*1000))^0.5</f>
        <v>147.961951906672</v>
      </c>
      <c r="I376" s="380" t="str">
        <f>+IF((H376&lt;=D376)*AND(F376&lt;=D376),"O.K","Not O.K")</f>
        <v>O.K</v>
      </c>
      <c r="J376" s="2066"/>
      <c r="K376" s="286"/>
      <c r="L376" s="46"/>
      <c r="M376" s="46"/>
      <c r="N376" s="1210"/>
      <c r="O376" s="1211"/>
      <c r="P376" s="1211"/>
      <c r="Q376" s="1210"/>
      <c r="R376" s="1210"/>
      <c r="S376" s="1210"/>
      <c r="T376" s="1210"/>
    </row>
    <row r="377" spans="1:20">
      <c r="B377" s="566">
        <f>B368</f>
        <v>1.549999999999967</v>
      </c>
      <c r="C377" s="372">
        <f>C375-1000*(E333-E311)*B377/(D312-D325)</f>
        <v>360.25641025641107</v>
      </c>
      <c r="D377" s="1216">
        <f>+C377-($I$282+$B$391/2)</f>
        <v>292.25641025641107</v>
      </c>
      <c r="E377" s="1217">
        <f>MAX(G350,H362)</f>
        <v>18.833086672440437</v>
      </c>
      <c r="F377" s="1184">
        <f>+E377*1000/(1000*$C$287)</f>
        <v>44.123379887380231</v>
      </c>
      <c r="G377" s="1217">
        <f>MAX(G351,H368)</f>
        <v>14.752584560078553</v>
      </c>
      <c r="H377" s="1184">
        <f>+(G377*10^6/($C$286*1000))^0.5</f>
        <v>101.56438213622924</v>
      </c>
      <c r="I377" s="517" t="str">
        <f>+IF((H377&lt;=D377)*AND(F377&lt;=D377),"O.K","Not O.K")</f>
        <v>O.K</v>
      </c>
      <c r="J377" s="2066"/>
      <c r="K377" s="286"/>
      <c r="L377" s="46"/>
      <c r="M377" s="46"/>
      <c r="N377" s="1210"/>
      <c r="O377" s="1211"/>
      <c r="P377" s="1211"/>
      <c r="Q377" s="1210"/>
      <c r="R377" s="1210"/>
      <c r="S377" s="1210"/>
      <c r="T377" s="1210"/>
    </row>
    <row r="378" spans="1:20" ht="15.75">
      <c r="A378" s="1193"/>
      <c r="B378" s="1194"/>
      <c r="C378" s="9"/>
      <c r="D378" s="1195"/>
      <c r="E378" s="2070"/>
      <c r="F378" s="2071"/>
      <c r="G378" s="2071"/>
      <c r="H378" s="2"/>
      <c r="I378" s="2071"/>
      <c r="J378" s="44"/>
      <c r="K378" s="286"/>
      <c r="L378" s="44"/>
      <c r="M378" s="46"/>
      <c r="N378" s="386"/>
      <c r="O378" s="386"/>
      <c r="P378" s="386"/>
      <c r="Q378" s="386"/>
      <c r="R378" s="386"/>
      <c r="S378" s="386"/>
      <c r="T378" s="386"/>
    </row>
    <row r="379" spans="1:20">
      <c r="A379" s="3266" t="s">
        <v>613</v>
      </c>
      <c r="B379" s="1178" t="s">
        <v>1300</v>
      </c>
      <c r="C379" s="1218" t="s">
        <v>1301</v>
      </c>
      <c r="D379" s="1219" t="s">
        <v>946</v>
      </c>
      <c r="E379" s="1220" t="s">
        <v>1302</v>
      </c>
      <c r="F379" s="101"/>
      <c r="G379" s="1221"/>
      <c r="H379" s="1222" t="s">
        <v>1303</v>
      </c>
      <c r="I379" s="2059"/>
      <c r="J379" s="275"/>
      <c r="K379" s="286"/>
      <c r="L379" s="2074"/>
      <c r="M379" s="46"/>
      <c r="N379" s="386"/>
      <c r="O379" s="386"/>
      <c r="P379" s="386"/>
      <c r="Q379" s="386"/>
      <c r="R379" s="386"/>
      <c r="S379" s="386"/>
      <c r="T379" s="386"/>
    </row>
    <row r="380" spans="1:20">
      <c r="A380" s="3267"/>
      <c r="B380" s="1223" t="s">
        <v>1185</v>
      </c>
      <c r="C380" s="1224"/>
      <c r="D380" s="1225">
        <f>C301</f>
        <v>1E-3</v>
      </c>
      <c r="E380" s="1226"/>
      <c r="F380" s="1351">
        <v>12</v>
      </c>
      <c r="G380" s="1227">
        <v>16</v>
      </c>
      <c r="H380" s="1228">
        <v>20</v>
      </c>
      <c r="I380" s="1352">
        <v>22</v>
      </c>
      <c r="J380" s="1229"/>
      <c r="K380" s="286"/>
      <c r="L380" s="1229"/>
      <c r="M380" s="46"/>
      <c r="N380" s="386"/>
      <c r="O380" s="386"/>
      <c r="P380" s="386"/>
      <c r="Q380" s="386"/>
      <c r="R380" s="386"/>
      <c r="S380" s="386"/>
      <c r="T380" s="386"/>
    </row>
    <row r="381" spans="1:20" ht="14.25">
      <c r="A381" s="1230" t="s">
        <v>5</v>
      </c>
      <c r="B381" s="2068" t="s">
        <v>1293</v>
      </c>
      <c r="C381" s="1231" t="s">
        <v>491</v>
      </c>
      <c r="D381" s="1231" t="s">
        <v>491</v>
      </c>
      <c r="E381" s="1231" t="s">
        <v>491</v>
      </c>
      <c r="F381" s="2067" t="s">
        <v>98</v>
      </c>
      <c r="G381" s="2067" t="s">
        <v>98</v>
      </c>
      <c r="H381" s="2067" t="s">
        <v>98</v>
      </c>
      <c r="I381" s="2068" t="s">
        <v>98</v>
      </c>
      <c r="J381" s="2088"/>
      <c r="K381" s="286"/>
      <c r="L381" s="1232"/>
      <c r="M381" s="46"/>
      <c r="N381" s="386"/>
      <c r="O381" s="386"/>
      <c r="P381" s="386"/>
      <c r="Q381" s="386"/>
      <c r="R381" s="386"/>
      <c r="S381" s="386"/>
      <c r="T381" s="386"/>
    </row>
    <row r="382" spans="1:20">
      <c r="A382" s="1233">
        <f>+B375</f>
        <v>0</v>
      </c>
      <c r="B382" s="2077">
        <f>MAX(G343,H366)</f>
        <v>67.430805391426759</v>
      </c>
      <c r="C382" s="1234">
        <f>(B382*10^6/($C$281*$C$285*D375))</f>
        <v>1222.1504597151422</v>
      </c>
      <c r="D382" s="1234">
        <f>$D$380*1000*IF(C375&gt;=380,380,C375)</f>
        <v>380</v>
      </c>
      <c r="E382" s="1234">
        <f t="shared" ref="E382:E384" si="2">+MAX(C382,D382)</f>
        <v>1222.1504597151422</v>
      </c>
      <c r="F382" s="1234">
        <f>PI()*($F$380/2)^2*1000/E382</f>
        <v>92.539617057946515</v>
      </c>
      <c r="G382" s="1234">
        <f>PI()*($G$380/2)^2*1000/E382</f>
        <v>164.51487476968268</v>
      </c>
      <c r="H382" s="1234">
        <f>PI()*($H$380/2)^2*1000/E382</f>
        <v>257.05449182762925</v>
      </c>
      <c r="I382" s="1235">
        <f>PI()*($I$380/2)^2*1000/E382</f>
        <v>311.03593511143134</v>
      </c>
      <c r="J382" s="786"/>
      <c r="K382" s="286"/>
      <c r="L382" s="1213"/>
      <c r="M382" s="46"/>
      <c r="N382" s="503"/>
      <c r="O382" s="448"/>
      <c r="P382" s="448"/>
      <c r="Q382" s="448"/>
      <c r="R382" s="503"/>
      <c r="S382" s="786"/>
      <c r="T382" s="786"/>
    </row>
    <row r="383" spans="1:20">
      <c r="A383" s="561">
        <f>+B376</f>
        <v>0.87999999999998124</v>
      </c>
      <c r="B383" s="2074">
        <f>MAX(G376,H367)</f>
        <v>31.310164885210138</v>
      </c>
      <c r="C383" s="786">
        <f>(B383*10^6/($C$281*$C$285*D376))</f>
        <v>608.86228398300125</v>
      </c>
      <c r="D383" s="786">
        <f>$D$380*1000*IF(C376&gt;=380,380,C376)</f>
        <v>377.43589743589791</v>
      </c>
      <c r="E383" s="786">
        <f t="shared" si="2"/>
        <v>608.86228398300125</v>
      </c>
      <c r="F383" s="786">
        <f>PI()*($F$380/2)^2*1000/E383</f>
        <v>185.75191550605246</v>
      </c>
      <c r="G383" s="786">
        <f>PI()*($G$380/2)^2*1000/E383</f>
        <v>330.22562756631544</v>
      </c>
      <c r="H383" s="786">
        <f>PI()*($H$380/2)^2*1000/E383</f>
        <v>515.97754307236789</v>
      </c>
      <c r="I383" s="1213">
        <f>PI()*($I$380/2)^2*1000/E383</f>
        <v>624.3328271175651</v>
      </c>
      <c r="J383" s="1213"/>
      <c r="K383" s="286"/>
      <c r="L383" s="1213"/>
      <c r="M383" s="46"/>
      <c r="N383" s="503"/>
      <c r="O383" s="448"/>
      <c r="P383" s="448"/>
      <c r="Q383" s="448"/>
      <c r="R383" s="503"/>
      <c r="S383" s="786"/>
      <c r="T383" s="786"/>
    </row>
    <row r="384" spans="1:20">
      <c r="A384" s="1236">
        <f>+B377</f>
        <v>1.549999999999967</v>
      </c>
      <c r="B384" s="121">
        <f>MAX(G377,H368)</f>
        <v>14.752584560078553</v>
      </c>
      <c r="C384" s="1237">
        <f>(B384*10^6/($C$281*$C$285*D377))</f>
        <v>303.74453953528911</v>
      </c>
      <c r="D384" s="1237">
        <f>$D$380*1000*IF(C377&gt;=380,380,C377)</f>
        <v>360.25641025641107</v>
      </c>
      <c r="E384" s="1237">
        <f t="shared" si="2"/>
        <v>360.25641025641107</v>
      </c>
      <c r="F384" s="1237">
        <f>PI()*($F$380/2)^2*1000/E384</f>
        <v>313.93566445836723</v>
      </c>
      <c r="G384" s="1237">
        <f>PI()*($G$380/2)^2*1000/E384</f>
        <v>558.10784792598611</v>
      </c>
      <c r="H384" s="1237">
        <f>PI()*($H$380/2)^2*1000/E384</f>
        <v>872.04351238435356</v>
      </c>
      <c r="I384" s="372">
        <f>PI()*($I$380/2)^2*1000/E384</f>
        <v>1055.1726499850677</v>
      </c>
      <c r="J384" s="1213"/>
      <c r="K384" s="286"/>
      <c r="L384" s="1213"/>
      <c r="M384" s="46"/>
      <c r="N384" s="503"/>
      <c r="O384" s="448"/>
      <c r="P384" s="448"/>
      <c r="Q384" s="448"/>
      <c r="R384" s="503"/>
      <c r="S384" s="786"/>
      <c r="T384" s="786"/>
    </row>
    <row r="385" spans="1:20">
      <c r="K385" s="286"/>
      <c r="L385" s="786"/>
      <c r="M385" s="46"/>
      <c r="N385" s="503"/>
      <c r="O385" s="448"/>
      <c r="P385" s="503"/>
      <c r="Q385" s="503"/>
      <c r="R385" s="503"/>
      <c r="S385" s="786"/>
      <c r="T385" s="786"/>
    </row>
    <row r="386" spans="1:20">
      <c r="B386" s="187" t="s">
        <v>1304</v>
      </c>
      <c r="E386">
        <f>A383+40*B391/1000</f>
        <v>1.5199999999999814</v>
      </c>
      <c r="F386" s="187" t="s">
        <v>1305</v>
      </c>
      <c r="K386" s="286"/>
      <c r="L386" s="786"/>
      <c r="M386" s="46"/>
    </row>
    <row r="387" spans="1:20">
      <c r="B387" s="187" t="s">
        <v>1306</v>
      </c>
      <c r="E387">
        <f>A384+B391*40/1000</f>
        <v>2.1899999999999671</v>
      </c>
      <c r="F387" s="187" t="s">
        <v>1305</v>
      </c>
      <c r="K387" s="286"/>
      <c r="L387" s="786"/>
      <c r="M387" s="46"/>
    </row>
    <row r="388" spans="1:20">
      <c r="B388" s="16"/>
      <c r="C388" s="16"/>
      <c r="D388" s="16"/>
      <c r="E388" s="16"/>
      <c r="F388" s="16"/>
      <c r="G388" s="16"/>
      <c r="H388" s="16"/>
      <c r="I388" s="16"/>
      <c r="J388" s="16"/>
      <c r="K388" s="286"/>
      <c r="L388" s="786"/>
      <c r="M388" s="46"/>
    </row>
    <row r="389" spans="1:20">
      <c r="A389" s="545" t="s">
        <v>1114</v>
      </c>
      <c r="B389" s="406"/>
      <c r="C389" s="347"/>
      <c r="D389" s="1181"/>
      <c r="E389" s="1181"/>
      <c r="F389" s="406"/>
      <c r="G389" s="406"/>
      <c r="H389" s="406"/>
      <c r="I389" s="1238"/>
      <c r="J389" s="386"/>
      <c r="K389" s="286"/>
      <c r="M389" s="46"/>
    </row>
    <row r="390" spans="1:20">
      <c r="A390" s="363" t="s">
        <v>1307</v>
      </c>
      <c r="B390" s="241" t="s">
        <v>1308</v>
      </c>
      <c r="C390" s="2066"/>
      <c r="D390" s="368"/>
      <c r="E390" s="368"/>
      <c r="F390" s="241"/>
      <c r="G390" s="241"/>
      <c r="H390" s="241"/>
      <c r="I390" s="1239"/>
      <c r="J390" s="386"/>
      <c r="K390" s="286"/>
      <c r="M390" s="1157"/>
    </row>
    <row r="391" spans="1:20">
      <c r="A391" s="259" t="s">
        <v>136</v>
      </c>
      <c r="B391" s="409">
        <v>16</v>
      </c>
      <c r="C391" s="2066" t="s">
        <v>481</v>
      </c>
      <c r="D391" s="271">
        <v>100</v>
      </c>
      <c r="E391" s="368" t="s">
        <v>482</v>
      </c>
      <c r="F391" s="241"/>
      <c r="G391" s="241"/>
      <c r="H391" s="241"/>
      <c r="I391" s="1239"/>
      <c r="J391" s="386"/>
      <c r="K391" s="286"/>
      <c r="M391" s="46"/>
    </row>
    <row r="392" spans="1:20">
      <c r="A392" s="259" t="s">
        <v>136</v>
      </c>
      <c r="B392" s="541">
        <f>IF(F392="","",B391)</f>
        <v>16</v>
      </c>
      <c r="C392" s="2066" t="s">
        <v>481</v>
      </c>
      <c r="D392" s="1240">
        <f>IF(F392="","",D391*2)</f>
        <v>200</v>
      </c>
      <c r="E392" s="368" t="s">
        <v>482</v>
      </c>
      <c r="F392" s="1241">
        <v>1.8</v>
      </c>
      <c r="G392" s="241" t="s">
        <v>1309</v>
      </c>
      <c r="H392" s="241"/>
      <c r="I392" s="1239"/>
      <c r="J392" s="386"/>
      <c r="K392" s="286"/>
      <c r="M392" s="46"/>
    </row>
    <row r="393" spans="1:20">
      <c r="A393" s="262" t="s">
        <v>136</v>
      </c>
      <c r="B393" s="542" t="str">
        <f>IF(F393="","",B392)</f>
        <v/>
      </c>
      <c r="C393" s="2063" t="s">
        <v>481</v>
      </c>
      <c r="D393" s="1242" t="str">
        <f>IF(F393="","",D392*2)</f>
        <v/>
      </c>
      <c r="E393" s="1184" t="s">
        <v>482</v>
      </c>
      <c r="F393" s="1243"/>
      <c r="G393" s="204" t="s">
        <v>1310</v>
      </c>
      <c r="H393" s="59"/>
      <c r="I393" s="1244"/>
      <c r="J393" s="386"/>
      <c r="K393" s="286"/>
      <c r="M393" s="46"/>
    </row>
    <row r="394" spans="1:20">
      <c r="K394" s="286"/>
      <c r="L394" s="46"/>
      <c r="M394" s="46"/>
    </row>
    <row r="395" spans="1:20">
      <c r="A395" s="187" t="s">
        <v>635</v>
      </c>
      <c r="D395" s="2"/>
      <c r="E395" s="2071"/>
      <c r="K395" s="286"/>
      <c r="L395" s="46"/>
      <c r="M395" s="46"/>
    </row>
    <row r="396" spans="1:20">
      <c r="B396" s="203"/>
      <c r="C396" s="223"/>
      <c r="D396" s="18"/>
      <c r="E396" s="2071"/>
      <c r="K396" s="286"/>
      <c r="L396" s="46"/>
      <c r="M396" s="46"/>
    </row>
    <row r="397" spans="1:20">
      <c r="A397" s="3269" t="s">
        <v>486</v>
      </c>
      <c r="B397" s="3270"/>
      <c r="C397" s="3275" t="s">
        <v>1311</v>
      </c>
      <c r="D397" s="3243"/>
      <c r="E397" s="3276" t="s">
        <v>490</v>
      </c>
      <c r="F397" s="3150"/>
      <c r="G397" s="3150"/>
      <c r="H397" s="3150"/>
      <c r="I397" s="3150"/>
      <c r="J397" s="330"/>
      <c r="K397" s="286"/>
      <c r="L397" s="330"/>
      <c r="M397" s="46"/>
    </row>
    <row r="398" spans="1:20">
      <c r="A398" s="3271"/>
      <c r="B398" s="3272"/>
      <c r="C398" s="2084"/>
      <c r="D398" s="1245"/>
      <c r="E398" s="1246">
        <v>12</v>
      </c>
      <c r="F398" s="1247">
        <v>16</v>
      </c>
      <c r="G398" s="1247">
        <v>20</v>
      </c>
      <c r="H398" s="1247">
        <v>22</v>
      </c>
      <c r="I398" s="1247">
        <v>25</v>
      </c>
      <c r="J398" s="547"/>
      <c r="K398" s="286"/>
      <c r="L398" s="547"/>
      <c r="M398" s="46"/>
    </row>
    <row r="399" spans="1:20" ht="14.25">
      <c r="A399" s="3273"/>
      <c r="B399" s="3274"/>
      <c r="C399" s="101"/>
      <c r="D399" s="256" t="s">
        <v>491</v>
      </c>
      <c r="E399" s="313" t="s">
        <v>98</v>
      </c>
      <c r="F399" s="2067" t="s">
        <v>98</v>
      </c>
      <c r="G399" s="2067" t="s">
        <v>98</v>
      </c>
      <c r="H399" s="2067" t="s">
        <v>98</v>
      </c>
      <c r="I399" s="2067" t="s">
        <v>98</v>
      </c>
      <c r="J399" s="2088"/>
      <c r="K399" s="286"/>
      <c r="L399" s="2088"/>
      <c r="M399" s="46"/>
    </row>
    <row r="400" spans="1:20">
      <c r="A400" s="3262" t="s">
        <v>492</v>
      </c>
      <c r="B400" s="55"/>
      <c r="C400" s="1726"/>
      <c r="D400" s="16"/>
      <c r="E400" s="55"/>
      <c r="F400" s="55"/>
      <c r="G400" s="55"/>
      <c r="H400" s="55"/>
      <c r="I400" s="2081"/>
      <c r="J400" s="16"/>
      <c r="K400" s="286"/>
      <c r="L400" s="386"/>
      <c r="M400" s="46"/>
    </row>
    <row r="401" spans="1:13">
      <c r="A401" s="3231"/>
      <c r="B401" s="2066" t="s">
        <v>110</v>
      </c>
      <c r="C401" s="1726">
        <f>C302</f>
        <v>1E-3</v>
      </c>
      <c r="D401" s="318">
        <f>IF(1000*(E333+E311)/2&gt;380,C401*1000*380,C401*1000*1000*(E333+E311)/2)</f>
        <v>350</v>
      </c>
      <c r="E401" s="328">
        <f>PI()*(E398/2)^2*1000/$D401</f>
        <v>323.13524436923586</v>
      </c>
      <c r="F401" s="328">
        <f>PI()*(F398/2)^2*1000/$D401</f>
        <v>574.46265665641931</v>
      </c>
      <c r="G401" s="328">
        <f>PI()*(G398/2)^2*1000/$D401</f>
        <v>897.59790102565523</v>
      </c>
      <c r="H401" s="328">
        <f>PI()*(H398/2)^2*1000/$D401</f>
        <v>1086.0934602410427</v>
      </c>
      <c r="I401" s="1248">
        <f>PI()*(I398/2)^2*1000/$D401</f>
        <v>1402.4967203525862</v>
      </c>
      <c r="J401" s="328"/>
      <c r="K401" s="286"/>
      <c r="L401" s="327"/>
      <c r="M401" s="46"/>
    </row>
    <row r="402" spans="1:13">
      <c r="A402" s="369"/>
      <c r="B402" s="1726"/>
      <c r="C402" s="1726"/>
      <c r="D402" s="318"/>
      <c r="E402" s="328"/>
      <c r="F402" s="328"/>
      <c r="G402" s="328"/>
      <c r="H402" s="328"/>
      <c r="I402" s="1248"/>
      <c r="J402" s="328"/>
      <c r="K402" s="286"/>
      <c r="L402" s="330"/>
      <c r="M402" s="46"/>
    </row>
    <row r="403" spans="1:13">
      <c r="A403" s="3263" t="s">
        <v>493</v>
      </c>
      <c r="B403" s="2066" t="s">
        <v>111</v>
      </c>
      <c r="C403" s="1726">
        <f>G301</f>
        <v>2E-3</v>
      </c>
      <c r="D403" s="318">
        <f>IF(1000*(E333+E311)/2&gt;380,C403*1000*380,C403*1000*1000*(E333+E311)/2)</f>
        <v>700</v>
      </c>
      <c r="E403" s="328">
        <f>PI()*(E398/2)^2*1000/$D403</f>
        <v>161.56762218461793</v>
      </c>
      <c r="F403" s="328">
        <f>PI()*(F398/2)^2*1000/$D403</f>
        <v>287.23132832820966</v>
      </c>
      <c r="G403" s="328">
        <f>PI()*(G398/2)^2*1000/$D403</f>
        <v>448.79895051282762</v>
      </c>
      <c r="H403" s="328">
        <f>PI()*(H398/2)^2*1000/$D403</f>
        <v>543.04673012052137</v>
      </c>
      <c r="I403" s="1248">
        <f>PI()*(I398/2)^2*1000/$D403</f>
        <v>701.24836017629309</v>
      </c>
      <c r="J403" s="328"/>
      <c r="K403" s="286"/>
      <c r="L403" s="327"/>
      <c r="M403" s="46"/>
    </row>
    <row r="404" spans="1:13">
      <c r="A404" s="3264"/>
      <c r="B404" s="2063" t="s">
        <v>110</v>
      </c>
      <c r="C404" s="77">
        <f>G302</f>
        <v>2E-3</v>
      </c>
      <c r="D404" s="319">
        <f>IF(1000*(E333+E311)/2&gt;380,C404*1000*380,C404*1000*1000*(E333+E311)/2)</f>
        <v>700</v>
      </c>
      <c r="E404" s="1249">
        <f>PI()*(E398/2)^2*1000/$D404</f>
        <v>161.56762218461793</v>
      </c>
      <c r="F404" s="1249">
        <f>PI()*(F398/2)^2*1000/$D404</f>
        <v>287.23132832820966</v>
      </c>
      <c r="G404" s="1249">
        <f>PI()*(G398/2)^2*1000/$D404</f>
        <v>448.79895051282762</v>
      </c>
      <c r="H404" s="1249">
        <f>PI()*(H398/2)^2*1000/$D404</f>
        <v>543.04673012052137</v>
      </c>
      <c r="I404" s="1250">
        <f>PI()*(I398/2)^2*1000/$D404</f>
        <v>701.24836017629309</v>
      </c>
      <c r="J404" s="328"/>
      <c r="K404" s="286"/>
      <c r="L404" s="327"/>
      <c r="M404" s="46"/>
    </row>
    <row r="405" spans="1:13">
      <c r="A405" s="45"/>
      <c r="C405" s="17"/>
      <c r="D405" s="2"/>
      <c r="E405" s="2071"/>
      <c r="K405" s="286"/>
      <c r="L405" s="46"/>
      <c r="M405" s="46"/>
    </row>
    <row r="406" spans="1:13">
      <c r="B406" s="545" t="s">
        <v>1114</v>
      </c>
      <c r="C406" s="55"/>
      <c r="D406" s="2064"/>
      <c r="E406" s="55"/>
      <c r="F406" s="1251"/>
      <c r="G406" s="2081"/>
      <c r="K406" s="286"/>
      <c r="L406" s="46"/>
      <c r="M406" s="46"/>
    </row>
    <row r="407" spans="1:13" ht="15.75">
      <c r="B407" s="259" t="s">
        <v>110</v>
      </c>
      <c r="C407" s="268" t="s">
        <v>136</v>
      </c>
      <c r="D407" s="269">
        <v>16</v>
      </c>
      <c r="E407" s="2066" t="s">
        <v>481</v>
      </c>
      <c r="F407" s="271">
        <v>200</v>
      </c>
      <c r="G407" s="272" t="s">
        <v>482</v>
      </c>
      <c r="K407" s="286"/>
      <c r="L407" s="46"/>
      <c r="M407" s="46"/>
    </row>
    <row r="408" spans="1:13" ht="15">
      <c r="B408" s="363" t="s">
        <v>1113</v>
      </c>
      <c r="C408" s="273"/>
      <c r="D408" s="274"/>
      <c r="E408" s="275"/>
      <c r="F408" s="276"/>
      <c r="G408" s="277"/>
      <c r="K408" s="286"/>
      <c r="L408" s="46"/>
      <c r="M408" s="46"/>
    </row>
    <row r="409" spans="1:13" ht="15.75">
      <c r="B409" s="259" t="s">
        <v>111</v>
      </c>
      <c r="C409" s="268" t="s">
        <v>136</v>
      </c>
      <c r="D409" s="269">
        <v>16</v>
      </c>
      <c r="E409" s="2066" t="s">
        <v>481</v>
      </c>
      <c r="F409" s="271">
        <v>200</v>
      </c>
      <c r="G409" s="272" t="s">
        <v>482</v>
      </c>
      <c r="K409" s="286"/>
      <c r="L409" s="46"/>
      <c r="M409" s="46"/>
    </row>
    <row r="410" spans="1:13" ht="15.75">
      <c r="B410" s="262" t="s">
        <v>110</v>
      </c>
      <c r="C410" s="278" t="s">
        <v>136</v>
      </c>
      <c r="D410" s="279">
        <v>16</v>
      </c>
      <c r="E410" s="2063" t="s">
        <v>481</v>
      </c>
      <c r="F410" s="281">
        <v>200</v>
      </c>
      <c r="G410" s="282" t="s">
        <v>482</v>
      </c>
      <c r="K410" s="286"/>
      <c r="L410" s="46"/>
      <c r="M410" s="46"/>
    </row>
    <row r="411" spans="1:13">
      <c r="C411" s="17"/>
      <c r="D411" s="2"/>
      <c r="E411" s="2071"/>
      <c r="K411" s="286"/>
      <c r="L411" s="46"/>
      <c r="M411" s="46"/>
    </row>
    <row r="412" spans="1:13" ht="15">
      <c r="A412" s="2121" t="s">
        <v>1847</v>
      </c>
      <c r="B412" s="2122"/>
      <c r="C412" s="2123"/>
      <c r="D412" s="2122"/>
      <c r="E412" s="730"/>
      <c r="K412" s="286"/>
      <c r="M412" s="46"/>
    </row>
    <row r="413" spans="1:13">
      <c r="A413" s="1252" t="s">
        <v>1163</v>
      </c>
      <c r="B413" s="1869"/>
      <c r="C413" s="1869"/>
      <c r="D413" s="1869"/>
      <c r="E413" s="109"/>
      <c r="K413" s="286"/>
      <c r="L413" s="46"/>
      <c r="M413" s="46"/>
    </row>
    <row r="414" spans="1:13">
      <c r="E414" s="187"/>
      <c r="F414" s="187"/>
      <c r="G414" s="187"/>
      <c r="H414" s="187"/>
      <c r="K414" s="286"/>
      <c r="L414" s="46"/>
      <c r="M414" s="46"/>
    </row>
    <row r="415" spans="1:13">
      <c r="A415" s="4"/>
      <c r="B415" s="17" t="s">
        <v>1313</v>
      </c>
      <c r="C415" s="220">
        <f>D312</f>
        <v>10</v>
      </c>
      <c r="K415" s="286"/>
      <c r="L415" s="46"/>
      <c r="M415" s="46"/>
    </row>
    <row r="416" spans="1:13">
      <c r="F416" t="s">
        <v>1314</v>
      </c>
      <c r="H416" s="1254">
        <f>E81</f>
        <v>62.925793498801845</v>
      </c>
      <c r="I416" s="487" t="s">
        <v>3</v>
      </c>
      <c r="J416" s="487"/>
      <c r="K416" s="286"/>
      <c r="L416" s="46"/>
      <c r="M416" s="46"/>
    </row>
    <row r="417" spans="1:13">
      <c r="F417" t="s">
        <v>1315</v>
      </c>
      <c r="H417" s="1254">
        <f>E82</f>
        <v>59.490382971786417</v>
      </c>
      <c r="I417" s="487" t="s">
        <v>3</v>
      </c>
      <c r="J417" s="487"/>
      <c r="K417" s="286"/>
      <c r="L417" s="46"/>
      <c r="M417" s="46"/>
    </row>
    <row r="418" spans="1:13">
      <c r="D418" s="17"/>
      <c r="K418" s="286"/>
      <c r="L418" s="46"/>
      <c r="M418" s="46"/>
    </row>
    <row r="419" spans="1:13">
      <c r="A419" s="2071"/>
      <c r="B419" s="17"/>
      <c r="F419" s="2065"/>
      <c r="K419" s="286"/>
      <c r="L419" s="46"/>
      <c r="M419" s="46"/>
    </row>
    <row r="420" spans="1:13">
      <c r="A420" s="54">
        <f>C415-C423</f>
        <v>3.9000000000000004</v>
      </c>
      <c r="E420" s="17"/>
      <c r="K420" s="286"/>
      <c r="L420" s="46"/>
      <c r="M420" s="46"/>
    </row>
    <row r="421" spans="1:13">
      <c r="B421" s="27"/>
      <c r="C421" s="18">
        <f>C333</f>
        <v>1.8</v>
      </c>
      <c r="I421" s="62"/>
      <c r="J421" s="62"/>
      <c r="K421" s="286"/>
      <c r="L421" s="62"/>
      <c r="M421" s="46"/>
    </row>
    <row r="422" spans="1:13">
      <c r="D422">
        <f>F333</f>
        <v>1.2</v>
      </c>
      <c r="E422" t="s">
        <v>5</v>
      </c>
      <c r="K422" s="286"/>
      <c r="L422" s="46"/>
      <c r="M422" s="46"/>
    </row>
    <row r="423" spans="1:13">
      <c r="A423" s="2065"/>
      <c r="B423" s="17" t="s">
        <v>1177</v>
      </c>
      <c r="C423" s="220">
        <f>D325</f>
        <v>6.1</v>
      </c>
      <c r="D423" s="1255">
        <f>E333</f>
        <v>0.4</v>
      </c>
      <c r="K423" s="286"/>
      <c r="L423" s="46"/>
      <c r="M423" s="46"/>
    </row>
    <row r="424" spans="1:13">
      <c r="D424" s="17"/>
      <c r="E424" s="2071">
        <f>D327</f>
        <v>0.4</v>
      </c>
      <c r="K424" s="286"/>
      <c r="L424" s="46"/>
      <c r="M424" s="46"/>
    </row>
    <row r="425" spans="1:13">
      <c r="C425" s="2065"/>
      <c r="K425" s="286"/>
      <c r="L425" s="46"/>
      <c r="M425" s="46"/>
    </row>
    <row r="426" spans="1:13">
      <c r="A426" s="2069" t="s">
        <v>1316</v>
      </c>
      <c r="E426" s="2071">
        <f>H329</f>
        <v>0.3</v>
      </c>
      <c r="F426" s="187"/>
      <c r="K426" s="286"/>
      <c r="L426" s="46"/>
      <c r="M426" s="46"/>
    </row>
    <row r="427" spans="1:13">
      <c r="A427" s="33">
        <f>H417</f>
        <v>59.490382971786417</v>
      </c>
      <c r="E427" s="17" t="s">
        <v>1317</v>
      </c>
      <c r="F427" s="2071">
        <f>H416</f>
        <v>62.925793498801845</v>
      </c>
      <c r="G427" t="s">
        <v>3</v>
      </c>
      <c r="K427" s="286"/>
      <c r="L427" s="46"/>
      <c r="M427" s="46"/>
    </row>
    <row r="428" spans="1:13">
      <c r="F428" s="2071">
        <f>F427-A427</f>
        <v>3.4354105270154278</v>
      </c>
      <c r="G428" t="s">
        <v>3</v>
      </c>
      <c r="K428" s="286"/>
      <c r="L428" s="46"/>
      <c r="M428" s="46"/>
    </row>
    <row r="429" spans="1:13">
      <c r="K429" s="286"/>
      <c r="L429" s="46"/>
      <c r="M429" s="46"/>
    </row>
    <row r="430" spans="1:13" ht="15">
      <c r="A430" s="29"/>
      <c r="B430" s="54">
        <f>F428*C421/C434+A427</f>
        <v>61.309129721382817</v>
      </c>
      <c r="F430" s="2071">
        <f>F427-C431</f>
        <v>1.2124978330642691</v>
      </c>
      <c r="G430" t="s">
        <v>3</v>
      </c>
      <c r="K430" s="286"/>
      <c r="L430" s="46"/>
      <c r="M430" s="46"/>
    </row>
    <row r="431" spans="1:13">
      <c r="C431" s="54">
        <f>F428*(C421+D423)/C434+A427</f>
        <v>61.713295665737576</v>
      </c>
      <c r="K431" s="286"/>
      <c r="L431" s="46"/>
      <c r="M431" s="46"/>
    </row>
    <row r="432" spans="1:13">
      <c r="D432" s="33">
        <f>G331</f>
        <v>0.9</v>
      </c>
      <c r="F432" s="2071"/>
      <c r="K432" s="286"/>
      <c r="L432" s="46"/>
      <c r="M432" s="46"/>
    </row>
    <row r="433" spans="1:15">
      <c r="D433" s="36">
        <f>G332</f>
        <v>0.3</v>
      </c>
      <c r="H433" s="33"/>
      <c r="K433" s="286"/>
      <c r="L433" s="46"/>
      <c r="M433" s="46"/>
    </row>
    <row r="434" spans="1:15">
      <c r="C434" s="2071">
        <f>D335</f>
        <v>3.4000000000000004</v>
      </c>
      <c r="K434" s="286"/>
      <c r="L434" s="46"/>
      <c r="M434" s="46"/>
    </row>
    <row r="435" spans="1:15">
      <c r="K435" s="286"/>
      <c r="L435" s="46"/>
      <c r="M435" s="46"/>
    </row>
    <row r="436" spans="1:15">
      <c r="K436" s="286"/>
      <c r="M436" s="46"/>
    </row>
    <row r="437" spans="1:15" ht="15">
      <c r="A437" s="29" t="s">
        <v>1318</v>
      </c>
      <c r="K437" s="286"/>
      <c r="L437" s="46"/>
      <c r="M437" s="46"/>
    </row>
    <row r="438" spans="1:15">
      <c r="K438" s="286"/>
      <c r="L438" s="46"/>
      <c r="M438" s="46"/>
      <c r="N438" s="2"/>
      <c r="O438" s="2"/>
    </row>
    <row r="439" spans="1:15">
      <c r="A439" s="3085" t="s">
        <v>1319</v>
      </c>
      <c r="B439" s="2078"/>
      <c r="C439" s="2064" t="s">
        <v>1183</v>
      </c>
      <c r="D439" s="406"/>
      <c r="E439" s="2081"/>
      <c r="F439" s="347" t="s">
        <v>880</v>
      </c>
      <c r="G439" s="355" t="s">
        <v>1184</v>
      </c>
      <c r="H439" s="406"/>
      <c r="I439" s="355" t="s">
        <v>1185</v>
      </c>
      <c r="J439" s="2066"/>
      <c r="K439" s="286"/>
      <c r="L439" s="46"/>
      <c r="M439" s="46"/>
      <c r="O439" s="221"/>
    </row>
    <row r="440" spans="1:15">
      <c r="A440" s="3086"/>
      <c r="B440" s="2080"/>
      <c r="C440" s="77"/>
      <c r="D440" s="59"/>
      <c r="E440" s="60"/>
      <c r="F440" s="2063" t="s">
        <v>725</v>
      </c>
      <c r="G440" s="354" t="s">
        <v>5</v>
      </c>
      <c r="H440" s="204"/>
      <c r="I440" s="354" t="s">
        <v>1232</v>
      </c>
      <c r="J440" s="2066"/>
      <c r="K440" s="286"/>
      <c r="L440" s="46"/>
      <c r="M440" s="288"/>
      <c r="O440" s="2071"/>
    </row>
    <row r="441" spans="1:15">
      <c r="A441" s="423"/>
      <c r="B441" s="545" t="str">
        <f>"Concrete :C3 ="&amp;D422&amp;"x"&amp;E424&amp;"x"&amp;D263&amp;" ="</f>
        <v>Concrete :C3 =1.2x0.4x23.6 =</v>
      </c>
      <c r="C441" s="347"/>
      <c r="D441" s="347"/>
      <c r="E441" s="55"/>
      <c r="F441" s="379">
        <f>D422*E424*D263</f>
        <v>11.327999999999999</v>
      </c>
      <c r="G441" s="1256">
        <f>D422/2</f>
        <v>0.6</v>
      </c>
      <c r="H441" s="1257"/>
      <c r="I441" s="2076">
        <f t="shared" ref="I441:I446" si="3">F441*G441</f>
        <v>6.7967999999999993</v>
      </c>
      <c r="J441" s="2074"/>
      <c r="K441" s="286"/>
      <c r="L441" s="46"/>
      <c r="M441" s="288"/>
      <c r="N441" s="33"/>
      <c r="O441" s="2071"/>
    </row>
    <row r="442" spans="1:15">
      <c r="A442" s="2079"/>
      <c r="B442" s="363" t="str">
        <f>"Concrete : C4="&amp;E426&amp;"x"&amp;D432&amp;"x"&amp;D263&amp;" ="</f>
        <v>Concrete : C4=0.3x0.9x23.6 =</v>
      </c>
      <c r="C442" s="2066"/>
      <c r="D442" s="2066"/>
      <c r="E442" s="16"/>
      <c r="F442" s="103">
        <f>E426*D432*D263</f>
        <v>6.3720000000000008</v>
      </c>
      <c r="G442" s="1258">
        <f>D422-D432/2</f>
        <v>0.75</v>
      </c>
      <c r="H442" s="1259"/>
      <c r="I442" s="2073">
        <f t="shared" si="3"/>
        <v>4.7790000000000008</v>
      </c>
      <c r="J442" s="2074"/>
      <c r="K442" s="286"/>
      <c r="L442" s="46"/>
      <c r="M442" s="46"/>
      <c r="N442" s="33"/>
      <c r="O442" s="1"/>
    </row>
    <row r="443" spans="1:15">
      <c r="A443" s="2084"/>
      <c r="B443" s="363" t="str">
        <f>"Concrete : C5=0.5x"&amp;D433&amp;"x"&amp;E426&amp;"x"&amp;D263&amp;" ="</f>
        <v>Concrete : C5=0.5x0.3x0.3x23.6 =</v>
      </c>
      <c r="C443" s="2066"/>
      <c r="D443" s="2066"/>
      <c r="E443" s="16"/>
      <c r="F443" s="103">
        <f>0.5*D433*E426*D263</f>
        <v>1.0620000000000001</v>
      </c>
      <c r="G443" s="505">
        <f>D422-(D433/3+D432)</f>
        <v>0.19999999999999996</v>
      </c>
      <c r="H443" s="1259"/>
      <c r="I443" s="2073">
        <f t="shared" si="3"/>
        <v>0.21239999999999998</v>
      </c>
      <c r="J443" s="2074"/>
      <c r="K443" s="286"/>
      <c r="L443" s="46"/>
      <c r="M443" s="46"/>
      <c r="N443" s="33"/>
      <c r="O443" s="2"/>
    </row>
    <row r="444" spans="1:15">
      <c r="A444" s="2084"/>
      <c r="B444" s="1056" t="str">
        <f>"R/S Soil  : "&amp;C61</f>
        <v>R/S Soil  : S6 = 1200 x 0 x 18.9/1000 =</v>
      </c>
      <c r="C444" s="1260"/>
      <c r="D444" s="1260"/>
      <c r="E444" s="1261"/>
      <c r="F444" s="1262">
        <f>G61</f>
        <v>0</v>
      </c>
      <c r="G444" s="1263">
        <f>H61</f>
        <v>0.6</v>
      </c>
      <c r="H444" s="1264"/>
      <c r="I444" s="1265">
        <f t="shared" si="3"/>
        <v>0</v>
      </c>
      <c r="J444" s="1140"/>
      <c r="K444" s="286"/>
      <c r="L444" s="46"/>
      <c r="M444" s="46"/>
      <c r="N444" s="33"/>
      <c r="O444" s="2"/>
    </row>
    <row r="445" spans="1:15">
      <c r="A445" s="2082"/>
      <c r="B445" s="1102" t="str">
        <f>"Foundation  Pressure="&amp;FIXED(C431,2)&amp;"x"&amp;D422&amp;" ="</f>
        <v>Foundation  Pressure=61.71x1.2 =</v>
      </c>
      <c r="C445" s="2066"/>
      <c r="D445" s="2066"/>
      <c r="F445" s="103">
        <f>C431*D422</f>
        <v>74.055954798885082</v>
      </c>
      <c r="G445" s="441">
        <f>D422/2</f>
        <v>0.6</v>
      </c>
      <c r="H445" s="1266"/>
      <c r="I445" s="103">
        <f t="shared" si="3"/>
        <v>44.433572879331045</v>
      </c>
      <c r="J445" s="2074"/>
      <c r="K445" s="286"/>
      <c r="L445" s="46"/>
      <c r="M445" s="46"/>
      <c r="N445" s="33"/>
      <c r="O445" s="2070"/>
    </row>
    <row r="446" spans="1:15">
      <c r="A446" s="2082"/>
      <c r="B446" s="1102" t="str">
        <f>"Foundation  Pressure = 0.5x"&amp;FIXED(F430,2)&amp;"x"&amp;D422&amp;" ="</f>
        <v>Foundation  Pressure = 0.5x1.21x1.2 =</v>
      </c>
      <c r="C446" s="2066"/>
      <c r="D446" s="2066"/>
      <c r="F446" s="138">
        <f>0.5*F430*D422</f>
        <v>0.72749869983856141</v>
      </c>
      <c r="G446" s="658">
        <f>2*D422/3</f>
        <v>0.79999999999999993</v>
      </c>
      <c r="H446" s="1267"/>
      <c r="I446" s="138">
        <f t="shared" si="3"/>
        <v>0.58199895987084904</v>
      </c>
      <c r="J446" s="2074"/>
      <c r="K446" s="286"/>
      <c r="L446" s="46"/>
      <c r="M446" s="288"/>
      <c r="N446" s="33"/>
      <c r="O446" s="2070"/>
    </row>
    <row r="447" spans="1:15" ht="15.75">
      <c r="A447" s="148"/>
      <c r="B447" s="1268"/>
      <c r="C447" s="102"/>
      <c r="D447" s="102"/>
      <c r="E447" s="1096" t="s">
        <v>1239</v>
      </c>
      <c r="F447" s="1147">
        <f>SUM(F441:F444)-SUM(F445:F446)</f>
        <v>-56.021453498723645</v>
      </c>
      <c r="G447" s="1269"/>
      <c r="H447" s="1099" t="s">
        <v>1240</v>
      </c>
      <c r="I447" s="1097">
        <f>SUM(I445:I446)-SUM(I441:I444)</f>
        <v>33.227371839201894</v>
      </c>
      <c r="J447" s="1349"/>
      <c r="K447" s="286"/>
      <c r="L447" s="46"/>
      <c r="M447" s="46"/>
      <c r="N447" s="33"/>
      <c r="O447" s="2"/>
    </row>
    <row r="448" spans="1:15">
      <c r="H448" s="23" t="str">
        <f>IF(I447&gt;0,"Tension at bottom","Tension at top")</f>
        <v>Tension at bottom</v>
      </c>
      <c r="K448" s="286"/>
      <c r="L448" s="46"/>
      <c r="M448" s="46"/>
      <c r="N448" s="33"/>
      <c r="O448" s="2071"/>
    </row>
    <row r="449" spans="1:15" ht="15">
      <c r="A449" s="29" t="s">
        <v>1320</v>
      </c>
      <c r="K449" s="286"/>
      <c r="L449" s="46"/>
      <c r="M449" s="46"/>
      <c r="N449" s="2"/>
      <c r="O449" s="2"/>
    </row>
    <row r="450" spans="1:15">
      <c r="K450" s="286"/>
      <c r="L450" s="46"/>
      <c r="M450" s="46"/>
      <c r="N450" s="2"/>
    </row>
    <row r="451" spans="1:15">
      <c r="A451" s="3085" t="s">
        <v>1319</v>
      </c>
      <c r="B451" s="2078"/>
      <c r="C451" s="2064" t="s">
        <v>1183</v>
      </c>
      <c r="D451" s="406"/>
      <c r="E451" s="2081"/>
      <c r="F451" s="347" t="s">
        <v>880</v>
      </c>
      <c r="G451" s="355" t="s">
        <v>1184</v>
      </c>
      <c r="H451" s="406"/>
      <c r="I451" s="355" t="s">
        <v>1185</v>
      </c>
      <c r="J451" s="2066"/>
      <c r="K451" s="286"/>
      <c r="L451" s="46"/>
      <c r="M451" s="46"/>
      <c r="O451" s="221"/>
    </row>
    <row r="452" spans="1:15">
      <c r="A452" s="3086"/>
      <c r="B452" s="2079"/>
      <c r="C452" s="1726"/>
      <c r="D452" s="16"/>
      <c r="E452" s="58"/>
      <c r="F452" s="2063" t="s">
        <v>725</v>
      </c>
      <c r="G452" s="354" t="s">
        <v>5</v>
      </c>
      <c r="H452" s="204"/>
      <c r="I452" s="354" t="s">
        <v>1232</v>
      </c>
      <c r="J452" s="2066"/>
      <c r="K452" s="286"/>
      <c r="L452" s="46"/>
      <c r="M452" s="288"/>
      <c r="O452" s="2071"/>
    </row>
    <row r="453" spans="1:15">
      <c r="A453" s="423"/>
      <c r="B453" s="545" t="str">
        <f>"Concrete : C3 = "&amp;C421&amp;"x"&amp;E424&amp;"x"&amp;D263&amp;" ="</f>
        <v>Concrete : C3 = 1.8x0.4x23.6 =</v>
      </c>
      <c r="C453" s="516"/>
      <c r="D453" s="347"/>
      <c r="E453" s="2081"/>
      <c r="F453" s="2077">
        <f>C421*E424*D263</f>
        <v>16.992000000000004</v>
      </c>
      <c r="G453" s="663">
        <f>C421/2</f>
        <v>0.9</v>
      </c>
      <c r="H453" s="1270"/>
      <c r="I453" s="379">
        <f>F453*G453</f>
        <v>15.292800000000005</v>
      </c>
      <c r="J453" s="2074"/>
      <c r="K453" s="286"/>
      <c r="L453" s="46"/>
      <c r="M453" s="288"/>
      <c r="N453" s="33"/>
      <c r="O453" s="2071"/>
    </row>
    <row r="454" spans="1:15">
      <c r="A454" s="2079"/>
      <c r="B454" s="363" t="str">
        <f>"Saturated Soil : S2 ="&amp;C421&amp;"x"&amp;A420&amp;"x"&amp;D266&amp;" ="</f>
        <v>Saturated Soil : S2 =1.8x3.9x18.9 =</v>
      </c>
      <c r="C454" s="380"/>
      <c r="D454" s="2066"/>
      <c r="E454" s="58"/>
      <c r="F454" s="2074">
        <f>C421*A420*D266</f>
        <v>132.678</v>
      </c>
      <c r="G454" s="1271">
        <f>C421/2</f>
        <v>0.9</v>
      </c>
      <c r="H454" s="1266"/>
      <c r="I454" s="103">
        <f>F454*G454</f>
        <v>119.4102</v>
      </c>
      <c r="J454" s="2074"/>
      <c r="K454" s="286"/>
      <c r="L454" s="46"/>
      <c r="M454" s="46"/>
      <c r="N454" s="33"/>
      <c r="O454" s="221"/>
    </row>
    <row r="455" spans="1:15">
      <c r="A455" s="2085"/>
      <c r="B455" s="364" t="str">
        <f>"Sursharge : S5= "&amp;F272&amp;"x"&amp;C333&amp;" ="</f>
        <v>Sursharge : S5= 0x1.8 =</v>
      </c>
      <c r="C455" s="517"/>
      <c r="D455" s="2063"/>
      <c r="E455" s="60"/>
      <c r="F455" s="121">
        <f>F272*C333</f>
        <v>0</v>
      </c>
      <c r="G455" s="658">
        <f>$C$333/2</f>
        <v>0.9</v>
      </c>
      <c r="H455" s="1267"/>
      <c r="I455" s="138">
        <f>F455*G455</f>
        <v>0</v>
      </c>
      <c r="J455" s="2074"/>
      <c r="K455" s="286"/>
      <c r="L455" s="46"/>
      <c r="M455" s="288"/>
      <c r="N455" s="33"/>
      <c r="O455" s="2070"/>
    </row>
    <row r="456" spans="1:15">
      <c r="A456" s="1034"/>
      <c r="B456" s="495" t="str">
        <f>"Foundation  Pressure = "&amp;FIXED(A427,2)&amp;"x"&amp;C421&amp;" ="</f>
        <v>Foundation  Pressure = 59.49x1.8 =</v>
      </c>
      <c r="C456" s="516"/>
      <c r="D456" s="516"/>
      <c r="E456" s="2081"/>
      <c r="F456" s="2077">
        <f>A427*C421</f>
        <v>107.08268934921556</v>
      </c>
      <c r="G456" s="663">
        <f>C421/2</f>
        <v>0.9</v>
      </c>
      <c r="H456" s="1272"/>
      <c r="I456" s="379">
        <f>F456*G456</f>
        <v>96.374420414294008</v>
      </c>
      <c r="J456" s="2074"/>
      <c r="K456" s="286"/>
      <c r="L456" s="46"/>
      <c r="M456" s="46"/>
      <c r="N456" s="33"/>
      <c r="O456" s="2070"/>
    </row>
    <row r="457" spans="1:15">
      <c r="A457" s="2083"/>
      <c r="B457" s="371" t="str">
        <f>"Found Pressure=0.5x("&amp;FIXED(B430,2)&amp;"-"&amp;FIXED(A427,2)&amp;")x"&amp;C421&amp;" ="</f>
        <v>Found Pressure=0.5x(61.31-59.49)x1.8 =</v>
      </c>
      <c r="C457" s="517"/>
      <c r="D457" s="517"/>
      <c r="E457" s="60"/>
      <c r="F457" s="121">
        <f>0.5*(B430-A427)*C421</f>
        <v>1.63687207463676</v>
      </c>
      <c r="G457" s="658">
        <f>C421/3</f>
        <v>0.6</v>
      </c>
      <c r="H457" s="1267"/>
      <c r="I457" s="138">
        <f>F457*G457</f>
        <v>0.98212324478205593</v>
      </c>
      <c r="J457" s="2074"/>
      <c r="K457" s="286"/>
      <c r="L457" s="46"/>
      <c r="M457" s="46"/>
      <c r="N457" s="33"/>
      <c r="O457" s="2070"/>
    </row>
    <row r="458" spans="1:15" ht="15.75">
      <c r="A458" s="148"/>
      <c r="B458" s="1273"/>
      <c r="C458" s="59"/>
      <c r="D458" s="59"/>
      <c r="E458" s="1151" t="s">
        <v>1239</v>
      </c>
      <c r="F458" s="1274">
        <f>SUM(F453:F455)-SUM(F456:F457)</f>
        <v>40.950438576147704</v>
      </c>
      <c r="G458" s="1275"/>
      <c r="H458" s="1276" t="s">
        <v>1321</v>
      </c>
      <c r="I458" s="1144">
        <f>SUM(I456:I457)-SUM(I453:I455)</f>
        <v>-37.346456340923936</v>
      </c>
      <c r="J458" s="1349"/>
      <c r="K458" s="286"/>
      <c r="L458" s="46"/>
      <c r="M458" s="46"/>
    </row>
    <row r="459" spans="1:15">
      <c r="H459" s="23" t="str">
        <f>IF(I458&gt;0,"Tension at bottom","Tension at top")</f>
        <v>Tension at top</v>
      </c>
      <c r="K459" s="286"/>
      <c r="L459" s="46"/>
      <c r="M459" s="46"/>
    </row>
    <row r="460" spans="1:15">
      <c r="A460" s="1277" t="s">
        <v>1220</v>
      </c>
      <c r="B460" s="1253"/>
      <c r="C460" s="1253"/>
      <c r="D460" s="1253"/>
      <c r="E460" s="109"/>
      <c r="K460" s="286"/>
      <c r="L460" s="46"/>
      <c r="M460" s="46"/>
    </row>
    <row r="461" spans="1:15">
      <c r="K461" s="286"/>
      <c r="L461" s="46"/>
      <c r="M461" s="46"/>
    </row>
    <row r="462" spans="1:15">
      <c r="B462" s="17" t="s">
        <v>51</v>
      </c>
      <c r="C462" s="220">
        <f>D312</f>
        <v>10</v>
      </c>
      <c r="E462" s="187" t="s">
        <v>23</v>
      </c>
      <c r="K462" s="286"/>
      <c r="L462" s="46"/>
      <c r="M462" s="46"/>
    </row>
    <row r="463" spans="1:15">
      <c r="F463" t="s">
        <v>1314</v>
      </c>
      <c r="H463" s="190">
        <f>E167</f>
        <v>16.950803805919829</v>
      </c>
      <c r="I463" s="187" t="s">
        <v>3</v>
      </c>
      <c r="J463" s="187"/>
      <c r="K463" s="286"/>
      <c r="M463" s="46"/>
    </row>
    <row r="464" spans="1:15">
      <c r="D464" s="17" t="s">
        <v>1322</v>
      </c>
      <c r="E464" s="220">
        <f>H100</f>
        <v>10.3</v>
      </c>
      <c r="F464" t="s">
        <v>1315</v>
      </c>
      <c r="H464" s="190">
        <f>E168</f>
        <v>53.727972607320858</v>
      </c>
      <c r="I464" s="187" t="s">
        <v>3</v>
      </c>
      <c r="J464" s="187"/>
      <c r="K464" s="286"/>
      <c r="M464" s="46"/>
    </row>
    <row r="465" spans="1:13">
      <c r="A465" s="2070">
        <f>A99/1000</f>
        <v>0.70013673779023844</v>
      </c>
      <c r="F465" s="2065"/>
      <c r="K465" s="286"/>
      <c r="L465" s="46"/>
      <c r="M465" s="46"/>
    </row>
    <row r="466" spans="1:13">
      <c r="B466" s="17"/>
      <c r="E466" s="17"/>
      <c r="K466" s="286"/>
      <c r="L466" s="46"/>
      <c r="M466" s="1278"/>
    </row>
    <row r="467" spans="1:13">
      <c r="A467" s="54">
        <f>C462-C471</f>
        <v>3.9000000000000004</v>
      </c>
      <c r="B467" s="203" t="s">
        <v>1248</v>
      </c>
      <c r="C467" s="189">
        <f>D104</f>
        <v>9.2998632622097617</v>
      </c>
      <c r="D467" s="17"/>
      <c r="E467" s="162">
        <f>H106/1000</f>
        <v>3.9000000000000004</v>
      </c>
      <c r="F467" t="s">
        <v>5</v>
      </c>
      <c r="I467" s="62"/>
      <c r="J467" s="62"/>
      <c r="K467" s="286"/>
      <c r="L467" s="62"/>
      <c r="M467" s="46"/>
    </row>
    <row r="468" spans="1:13">
      <c r="B468" s="2071">
        <f>C108/1000</f>
        <v>3.199863262209762</v>
      </c>
      <c r="D468" s="203"/>
      <c r="I468" s="62"/>
      <c r="J468" s="62"/>
      <c r="K468" s="286"/>
      <c r="L468" s="62"/>
      <c r="M468" s="46"/>
    </row>
    <row r="469" spans="1:13">
      <c r="D469" s="1279"/>
      <c r="K469" s="286"/>
      <c r="L469" s="46"/>
      <c r="M469" s="46"/>
    </row>
    <row r="470" spans="1:13">
      <c r="A470" s="2071">
        <f>A108/1000</f>
        <v>3.5998632622097624</v>
      </c>
      <c r="B470">
        <f>C333</f>
        <v>1.8</v>
      </c>
      <c r="C470" s="187" t="s">
        <v>5</v>
      </c>
      <c r="K470" s="286"/>
      <c r="L470" s="46"/>
      <c r="M470" s="46"/>
    </row>
    <row r="471" spans="1:13">
      <c r="C471" s="223">
        <f>D325</f>
        <v>6.1</v>
      </c>
      <c r="D471">
        <f>F333</f>
        <v>1.2</v>
      </c>
      <c r="E471" s="30" t="s">
        <v>5</v>
      </c>
      <c r="K471" s="286"/>
      <c r="L471" s="46"/>
      <c r="M471" s="46"/>
    </row>
    <row r="472" spans="1:13">
      <c r="C472" s="2065"/>
      <c r="D472" s="1279">
        <f>E333</f>
        <v>0.4</v>
      </c>
      <c r="K472" s="286"/>
      <c r="L472" s="46"/>
      <c r="M472" s="61"/>
    </row>
    <row r="473" spans="1:13">
      <c r="E473" s="33">
        <f>D327</f>
        <v>0.4</v>
      </c>
      <c r="F473" t="s">
        <v>5</v>
      </c>
      <c r="K473" s="286"/>
      <c r="L473" s="46"/>
      <c r="M473" s="46"/>
    </row>
    <row r="474" spans="1:13">
      <c r="E474" s="33">
        <f>H329</f>
        <v>0.3</v>
      </c>
      <c r="F474" s="187" t="s">
        <v>5</v>
      </c>
      <c r="K474" s="286"/>
      <c r="L474" s="46"/>
      <c r="M474" s="46"/>
    </row>
    <row r="475" spans="1:13">
      <c r="E475" s="17" t="s">
        <v>1317</v>
      </c>
      <c r="F475" s="36">
        <f>H463</f>
        <v>16.950803805919829</v>
      </c>
      <c r="G475" t="s">
        <v>3</v>
      </c>
      <c r="K475" s="286"/>
      <c r="L475" s="46"/>
      <c r="M475" s="46"/>
    </row>
    <row r="476" spans="1:13">
      <c r="A476" s="2071">
        <f>H464</f>
        <v>53.727972607320858</v>
      </c>
      <c r="F476" s="2071">
        <f>F475-A476</f>
        <v>-36.777168801401032</v>
      </c>
      <c r="G476" t="s">
        <v>3</v>
      </c>
      <c r="K476" s="286"/>
      <c r="L476" s="46"/>
      <c r="M476" s="46"/>
    </row>
    <row r="477" spans="1:13">
      <c r="K477" s="286"/>
      <c r="L477" s="46"/>
      <c r="M477" s="46"/>
    </row>
    <row r="478" spans="1:13">
      <c r="B478" s="54">
        <f>F476*B470/C483+A476</f>
        <v>34.257706771285015</v>
      </c>
      <c r="G478" s="2071">
        <f>F475-C479</f>
        <v>-12.980177224023894</v>
      </c>
      <c r="H478" t="s">
        <v>3</v>
      </c>
      <c r="K478" s="286"/>
      <c r="L478" s="46"/>
      <c r="M478" s="46"/>
    </row>
    <row r="479" spans="1:13">
      <c r="C479" s="54">
        <f>F476*(B470+D472)/C483+A476</f>
        <v>29.930981029943723</v>
      </c>
      <c r="K479" s="286"/>
      <c r="L479" s="46"/>
      <c r="M479" s="46"/>
    </row>
    <row r="480" spans="1:13">
      <c r="D480" s="33">
        <f>G331</f>
        <v>0.9</v>
      </c>
      <c r="K480" s="286"/>
      <c r="L480" s="46"/>
      <c r="M480" s="46"/>
    </row>
    <row r="481" spans="1:15">
      <c r="D481" s="36">
        <f>G332</f>
        <v>0.3</v>
      </c>
      <c r="K481" s="286"/>
      <c r="L481" s="46"/>
      <c r="M481" s="46"/>
    </row>
    <row r="482" spans="1:15">
      <c r="K482" s="286"/>
      <c r="L482" s="46"/>
      <c r="M482" s="46"/>
    </row>
    <row r="483" spans="1:15">
      <c r="A483" t="str">
        <f>FIXED(A470,2)&amp;" x "&amp;D267&amp;" ="</f>
        <v>3.60 x 9.81 =</v>
      </c>
      <c r="C483" s="33">
        <f>D335</f>
        <v>3.4000000000000004</v>
      </c>
      <c r="D483" t="s">
        <v>5</v>
      </c>
      <c r="K483" s="286"/>
      <c r="L483" s="46"/>
      <c r="M483" s="46"/>
    </row>
    <row r="484" spans="1:15">
      <c r="A484" s="54">
        <f>A470*D267</f>
        <v>35.314658602277774</v>
      </c>
      <c r="F484" t="str">
        <f>"("&amp;E467&amp;" + "&amp;E473&amp;") x "&amp;D267&amp;" ="</f>
        <v>(3.9 + 0.4) x 9.81 =</v>
      </c>
      <c r="H484" s="33">
        <f>(E467+E473)*D267</f>
        <v>42.183000000000007</v>
      </c>
      <c r="I484" t="s">
        <v>3</v>
      </c>
      <c r="K484" s="286"/>
      <c r="L484" s="46"/>
      <c r="M484" s="46"/>
    </row>
    <row r="485" spans="1:15">
      <c r="K485" s="286"/>
      <c r="L485" s="46"/>
      <c r="M485" s="46"/>
    </row>
    <row r="486" spans="1:15">
      <c r="B486" s="33">
        <f>A484+B470*(H484-A484)/C483</f>
        <v>38.950839342248365</v>
      </c>
      <c r="H486" s="33"/>
      <c r="K486" s="286"/>
      <c r="L486" s="46"/>
      <c r="M486" s="46"/>
    </row>
    <row r="487" spans="1:15">
      <c r="B487" s="2"/>
      <c r="C487" s="33">
        <f>A484+(B470+D472)*(H484-A484)/C483</f>
        <v>39.758879506686277</v>
      </c>
      <c r="H487" s="33"/>
      <c r="K487" s="286"/>
      <c r="L487" s="46"/>
      <c r="M487" s="46"/>
    </row>
    <row r="488" spans="1:15">
      <c r="B488" s="2"/>
      <c r="C488" s="2"/>
      <c r="D488" s="2071"/>
      <c r="K488" s="286"/>
      <c r="L488" s="46"/>
      <c r="M488" s="46"/>
    </row>
    <row r="489" spans="1:15" ht="15">
      <c r="A489" s="29" t="s">
        <v>1323</v>
      </c>
      <c r="K489" s="286"/>
      <c r="L489" s="46"/>
      <c r="M489" s="275"/>
      <c r="N489" s="1726"/>
      <c r="O489" s="2074"/>
    </row>
    <row r="490" spans="1:15">
      <c r="K490" s="286"/>
      <c r="L490" s="46"/>
      <c r="M490" s="386"/>
      <c r="N490" s="16"/>
      <c r="O490" s="16"/>
    </row>
    <row r="491" spans="1:15">
      <c r="A491" s="3085" t="s">
        <v>1319</v>
      </c>
      <c r="B491" s="2078"/>
      <c r="C491" s="2064" t="s">
        <v>1183</v>
      </c>
      <c r="D491" s="406"/>
      <c r="E491" s="2081"/>
      <c r="F491" s="347" t="s">
        <v>880</v>
      </c>
      <c r="G491" s="355" t="s">
        <v>1184</v>
      </c>
      <c r="H491" s="406"/>
      <c r="I491" s="355" t="s">
        <v>1185</v>
      </c>
      <c r="J491" s="2066"/>
      <c r="K491" s="286"/>
      <c r="L491" s="46"/>
      <c r="M491" s="46"/>
      <c r="N491" s="221"/>
      <c r="O491" s="223"/>
    </row>
    <row r="492" spans="1:15">
      <c r="A492" s="3200"/>
      <c r="B492" s="2079"/>
      <c r="C492" s="1726"/>
      <c r="D492" s="16"/>
      <c r="E492" s="58"/>
      <c r="F492" s="2063" t="s">
        <v>725</v>
      </c>
      <c r="G492" s="354" t="s">
        <v>5</v>
      </c>
      <c r="H492" s="241"/>
      <c r="I492" s="365" t="s">
        <v>1232</v>
      </c>
      <c r="J492" s="2066"/>
      <c r="K492" s="286"/>
      <c r="L492" s="46"/>
      <c r="M492" s="288"/>
      <c r="N492" s="2071"/>
      <c r="O492" s="2071"/>
    </row>
    <row r="493" spans="1:15">
      <c r="A493" s="423"/>
      <c r="B493" s="545" t="str">
        <f>"Concrete : C3 ="&amp;D471&amp;"x"&amp;E473&amp;"x"&amp;D263&amp;" ="</f>
        <v>Concrete : C3 =1.2x0.4x23.6 =</v>
      </c>
      <c r="C493" s="347"/>
      <c r="D493" s="1280"/>
      <c r="E493" s="2081"/>
      <c r="F493" s="2074">
        <f>D471*E473*D263</f>
        <v>11.327999999999999</v>
      </c>
      <c r="G493" s="441">
        <f>D471/2</f>
        <v>0.6</v>
      </c>
      <c r="H493" s="1281"/>
      <c r="I493" s="379">
        <f t="shared" ref="I493:I501" si="4">F493*G493</f>
        <v>6.7967999999999993</v>
      </c>
      <c r="J493" s="2074"/>
      <c r="K493" s="286"/>
      <c r="L493" s="46"/>
      <c r="M493" s="288"/>
      <c r="N493" s="2071"/>
      <c r="O493" s="2071"/>
    </row>
    <row r="494" spans="1:15">
      <c r="A494" s="2079"/>
      <c r="B494" s="363" t="str">
        <f>"Concrete : C4="&amp;E474&amp;"x"&amp;D480&amp;"x"&amp;D263&amp;" ="</f>
        <v>Concrete : C4=0.3x0.9x23.6 =</v>
      </c>
      <c r="C494" s="2066"/>
      <c r="D494" s="1102"/>
      <c r="E494" s="58"/>
      <c r="F494" s="2074">
        <f>E474*D480*D263</f>
        <v>6.3720000000000008</v>
      </c>
      <c r="G494" s="441">
        <f>D471-D480/2</f>
        <v>0.75</v>
      </c>
      <c r="H494" s="1266"/>
      <c r="I494" s="103">
        <f t="shared" si="4"/>
        <v>4.7790000000000008</v>
      </c>
      <c r="J494" s="2074"/>
      <c r="K494" s="286"/>
      <c r="L494" s="46"/>
      <c r="M494" s="386"/>
      <c r="N494" s="2071"/>
      <c r="O494" s="1726"/>
    </row>
    <row r="495" spans="1:15">
      <c r="A495" s="2084"/>
      <c r="B495" s="363" t="str">
        <f>"Concrete : C5=0.5x"&amp;E474&amp;"x"&amp;D481&amp;"x"&amp;D263&amp;" ="</f>
        <v>Concrete : C5=0.5x0.3x0.3x23.6 =</v>
      </c>
      <c r="C495" s="2066"/>
      <c r="D495" s="1102"/>
      <c r="E495" s="58"/>
      <c r="F495" s="2074">
        <f>0.5*E474*D481*D263</f>
        <v>1.0620000000000001</v>
      </c>
      <c r="G495" s="1271">
        <f>D471-(D480+D481/3)</f>
        <v>0.19999999999999996</v>
      </c>
      <c r="H495" s="1266"/>
      <c r="I495" s="103">
        <f t="shared" si="4"/>
        <v>0.21239999999999998</v>
      </c>
      <c r="J495" s="2074"/>
      <c r="K495" s="286"/>
      <c r="L495" s="46"/>
      <c r="M495" s="386"/>
      <c r="N495" s="2071"/>
      <c r="O495" s="16"/>
    </row>
    <row r="496" spans="1:15">
      <c r="A496" s="2084"/>
      <c r="B496" s="1045" t="str">
        <f>"R/S Soil  : "&amp;B137</f>
        <v>R/S Soil  : S6 = 1200 x 0 x 18.9/1000 =</v>
      </c>
      <c r="C496" s="1282"/>
      <c r="D496" s="1283"/>
      <c r="E496" s="1149"/>
      <c r="F496" s="1140">
        <f>F137</f>
        <v>0</v>
      </c>
      <c r="G496" s="1284">
        <f>D471/2</f>
        <v>0.6</v>
      </c>
      <c r="H496" s="1285"/>
      <c r="I496" s="1093">
        <f>F496*G496</f>
        <v>0</v>
      </c>
      <c r="J496" s="1140"/>
      <c r="K496" s="286"/>
      <c r="L496" s="46"/>
      <c r="M496" s="386"/>
      <c r="N496" s="2071"/>
      <c r="O496" s="16"/>
    </row>
    <row r="497" spans="1:15">
      <c r="A497" s="2085"/>
      <c r="B497" s="364" t="str">
        <f>"Water : W ="&amp;D471&amp;"x"&amp;E467&amp;"x"&amp;D267&amp;" ="</f>
        <v>Water : W =1.2x3.9x9.81 =</v>
      </c>
      <c r="C497" s="2063"/>
      <c r="D497" s="1286"/>
      <c r="E497" s="60"/>
      <c r="F497" s="121">
        <f>D471*E467*D267</f>
        <v>45.910800000000009</v>
      </c>
      <c r="G497" s="658">
        <f>D471/2</f>
        <v>0.6</v>
      </c>
      <c r="H497" s="1267"/>
      <c r="I497" s="138">
        <f t="shared" si="4"/>
        <v>27.546480000000006</v>
      </c>
      <c r="J497" s="2074"/>
      <c r="K497" s="286"/>
      <c r="L497" s="46"/>
      <c r="M497" s="386"/>
      <c r="N497" s="2071"/>
      <c r="O497" s="505"/>
    </row>
    <row r="498" spans="1:15">
      <c r="A498" s="2084"/>
      <c r="B498" s="369" t="str">
        <f>"Foundation  Pressure="&amp;FIXED(D471,2)&amp;"x"&amp;FIXED(C479,2)&amp;" ="</f>
        <v>Foundation  Pressure=1.20x29.93 =</v>
      </c>
      <c r="C498" s="2066"/>
      <c r="D498" s="1102"/>
      <c r="E498" s="58"/>
      <c r="F498" s="2074">
        <f>D471*C479</f>
        <v>35.917177235932463</v>
      </c>
      <c r="G498" s="441">
        <f>D471/2</f>
        <v>0.6</v>
      </c>
      <c r="H498" s="1266"/>
      <c r="I498" s="103">
        <f>F498*G498</f>
        <v>21.550306341559477</v>
      </c>
      <c r="J498" s="2074"/>
      <c r="K498" s="286"/>
      <c r="L498" s="46"/>
      <c r="M498" s="386"/>
      <c r="N498" s="2071"/>
      <c r="O498" s="505"/>
    </row>
    <row r="499" spans="1:15">
      <c r="A499" s="2084"/>
      <c r="B499" s="369" t="str">
        <f>"Foundation  Pressure=0.5x"&amp;D471&amp;"x"&amp;FIXED(G478,2)&amp;" ="</f>
        <v>Foundation  Pressure=0.5x1.2x-12.98 =</v>
      </c>
      <c r="C499" s="2066"/>
      <c r="D499" s="1102"/>
      <c r="E499" s="58"/>
      <c r="F499" s="2074">
        <f>IF(I275="y","",0.5*D471*G478)</f>
        <v>-7.7881063344143362</v>
      </c>
      <c r="G499" s="441">
        <f>2*D471/3</f>
        <v>0.79999999999999993</v>
      </c>
      <c r="H499" s="1266"/>
      <c r="I499" s="103">
        <f>F499*G499</f>
        <v>-6.2304850675314682</v>
      </c>
      <c r="J499" s="2074"/>
      <c r="K499" s="286"/>
      <c r="L499" s="46"/>
      <c r="M499" s="386"/>
      <c r="N499" s="2071"/>
      <c r="O499" s="16"/>
    </row>
    <row r="500" spans="1:15">
      <c r="A500" s="2084"/>
      <c r="B500" s="369" t="str">
        <f>"Uplift = "&amp;FIXED(C487,2)&amp;"x"&amp;D471&amp;" ="</f>
        <v>Uplift = 39.76x1.2 =</v>
      </c>
      <c r="C500" s="1726"/>
      <c r="D500" s="1102"/>
      <c r="E500" s="58"/>
      <c r="F500" s="2074">
        <f>C487*D471</f>
        <v>47.710655408023534</v>
      </c>
      <c r="G500" s="441">
        <f>D471/2</f>
        <v>0.6</v>
      </c>
      <c r="H500" s="1287"/>
      <c r="I500" s="103">
        <f t="shared" si="4"/>
        <v>28.626393244814121</v>
      </c>
      <c r="J500" s="2074"/>
      <c r="K500" s="286"/>
      <c r="L500" s="46"/>
      <c r="M500" s="46"/>
      <c r="N500" s="2071"/>
    </row>
    <row r="501" spans="1:15">
      <c r="A501" s="2084"/>
      <c r="B501" s="369" t="str">
        <f>"Uplift =0.5x("&amp;FIXED(H484,2)&amp;"-"&amp;FIXED(C487,2)&amp;")x"&amp;D471&amp;" ="</f>
        <v>Uplift =0.5x(42.18-39.76)x1.2 =</v>
      </c>
      <c r="C501" s="16"/>
      <c r="D501" s="418"/>
      <c r="E501" s="58"/>
      <c r="F501" s="2071">
        <f>0.5*(H484-C487)*D471</f>
        <v>1.4544722959882377</v>
      </c>
      <c r="G501" s="658">
        <f>2*D471/3</f>
        <v>0.79999999999999993</v>
      </c>
      <c r="I501" s="138">
        <f t="shared" si="4"/>
        <v>1.16357783679059</v>
      </c>
      <c r="J501" s="2074"/>
      <c r="K501" s="286"/>
      <c r="L501" s="46"/>
      <c r="M501" s="224"/>
      <c r="N501" s="2071"/>
    </row>
    <row r="502" spans="1:15" ht="15.75">
      <c r="A502" s="148"/>
      <c r="B502" s="1101"/>
      <c r="C502" s="102"/>
      <c r="D502" s="102"/>
      <c r="E502" s="1096" t="s">
        <v>1239</v>
      </c>
      <c r="F502" s="1147">
        <f>SUM(F493:F497)-SUM(F498:F501)</f>
        <v>-12.62139860552989</v>
      </c>
      <c r="G502" s="1145"/>
      <c r="H502" s="1099" t="s">
        <v>1321</v>
      </c>
      <c r="I502" s="1097">
        <f>SUM(I498:I501)-SUM(I493:I497)</f>
        <v>5.7751123556327073</v>
      </c>
      <c r="J502" s="1349"/>
      <c r="K502" s="286"/>
      <c r="L502" s="46"/>
      <c r="M502" s="46"/>
      <c r="N502" s="2071"/>
      <c r="O502" s="2071"/>
    </row>
    <row r="503" spans="1:15">
      <c r="C503" s="187"/>
      <c r="I503" s="39" t="str">
        <f>IF(I502&gt;0,"Bottom tension"," Tension at Top")</f>
        <v>Bottom tension</v>
      </c>
      <c r="J503" s="39"/>
      <c r="K503" s="286"/>
      <c r="L503" s="46"/>
      <c r="M503" s="46"/>
    </row>
    <row r="504" spans="1:15" ht="15">
      <c r="A504" s="29"/>
      <c r="B504" s="2"/>
      <c r="C504" s="2"/>
      <c r="K504" s="286"/>
      <c r="L504" s="46"/>
      <c r="M504" s="46"/>
    </row>
    <row r="505" spans="1:15" ht="15">
      <c r="A505" s="29" t="s">
        <v>1324</v>
      </c>
      <c r="K505" s="286"/>
      <c r="L505" s="46"/>
      <c r="M505" s="387"/>
    </row>
    <row r="506" spans="1:15">
      <c r="K506" s="286"/>
      <c r="L506" s="46"/>
      <c r="M506" s="46"/>
    </row>
    <row r="507" spans="1:15">
      <c r="A507" s="3085" t="s">
        <v>1319</v>
      </c>
      <c r="B507" s="2078"/>
      <c r="C507" s="2064" t="s">
        <v>1183</v>
      </c>
      <c r="D507" s="406"/>
      <c r="E507" s="2081"/>
      <c r="F507" s="347" t="s">
        <v>880</v>
      </c>
      <c r="G507" s="355" t="s">
        <v>1184</v>
      </c>
      <c r="H507" s="406"/>
      <c r="I507" s="355" t="s">
        <v>1185</v>
      </c>
      <c r="J507" s="2066"/>
      <c r="K507" s="286"/>
      <c r="L507" s="46"/>
      <c r="M507" s="46"/>
      <c r="O507" s="221"/>
    </row>
    <row r="508" spans="1:15">
      <c r="A508" s="3086"/>
      <c r="B508" s="2079"/>
      <c r="C508" s="1726"/>
      <c r="D508" s="16"/>
      <c r="E508" s="58"/>
      <c r="F508" s="2066" t="s">
        <v>725</v>
      </c>
      <c r="G508" s="354" t="s">
        <v>5</v>
      </c>
      <c r="H508" s="204"/>
      <c r="I508" s="354" t="s">
        <v>1232</v>
      </c>
      <c r="J508" s="2066"/>
      <c r="K508" s="286"/>
      <c r="L508" s="46"/>
      <c r="M508" s="288"/>
      <c r="N508" s="84"/>
      <c r="O508" s="2071"/>
    </row>
    <row r="509" spans="1:15">
      <c r="A509" s="423"/>
      <c r="B509" s="545" t="str">
        <f>"Concrete : C3 ="&amp;B470&amp;"x"&amp;E473&amp;"x"&amp;D263&amp;" ="</f>
        <v>Concrete : C3 =1.8x0.4x23.6 =</v>
      </c>
      <c r="C509" s="347"/>
      <c r="D509" s="1280"/>
      <c r="E509" s="2081"/>
      <c r="F509" s="2076">
        <f>B470*E473*D263</f>
        <v>16.992000000000004</v>
      </c>
      <c r="G509" s="663">
        <f>B470/2</f>
        <v>0.9</v>
      </c>
      <c r="H509" s="1281"/>
      <c r="I509" s="379">
        <f t="shared" ref="I509:I516" si="5">F509*G509</f>
        <v>15.292800000000005</v>
      </c>
      <c r="J509" s="2074"/>
      <c r="K509" s="286"/>
      <c r="L509" s="46"/>
      <c r="M509" s="288"/>
      <c r="N509" s="33"/>
      <c r="O509" s="2071"/>
    </row>
    <row r="510" spans="1:15">
      <c r="A510" s="2079"/>
      <c r="B510" s="363" t="str">
        <f>"Moist Soil : S1="&amp;B470&amp;"x"&amp;FIXED(A465,2)&amp;"x"&amp;D265&amp;" ="</f>
        <v>Moist Soil : S1=1.8x0.70x17.3 =</v>
      </c>
      <c r="C510" s="2066"/>
      <c r="D510" s="1102"/>
      <c r="E510" s="58"/>
      <c r="F510" s="2073">
        <f>B470*A465*D265</f>
        <v>21.802258014788027</v>
      </c>
      <c r="G510" s="1271">
        <f>B470/2</f>
        <v>0.9</v>
      </c>
      <c r="H510" s="1266"/>
      <c r="I510" s="103">
        <f t="shared" si="5"/>
        <v>19.622032213309225</v>
      </c>
      <c r="J510" s="2074"/>
      <c r="K510" s="286"/>
      <c r="L510" s="46"/>
      <c r="M510" s="46"/>
      <c r="N510" s="33"/>
      <c r="O510" s="1"/>
    </row>
    <row r="511" spans="1:15">
      <c r="A511" s="2084"/>
      <c r="B511" s="363" t="str">
        <f>"Saturated Soil : S3="&amp;FIXED(B470,2)&amp;"x"&amp;FIXED(B468,2)&amp;"x"&amp;D266&amp;" ="</f>
        <v>Saturated Soil : S3=1.80x3.20x18.9 =</v>
      </c>
      <c r="C511" s="2066"/>
      <c r="D511" s="1102"/>
      <c r="E511" s="58"/>
      <c r="F511" s="2073">
        <f>B470*B468*D266</f>
        <v>108.8593481803761</v>
      </c>
      <c r="G511" s="441">
        <f>B470/2</f>
        <v>0.9</v>
      </c>
      <c r="H511" s="1266"/>
      <c r="I511" s="103">
        <f t="shared" si="5"/>
        <v>97.973413362338491</v>
      </c>
      <c r="J511" s="2074"/>
      <c r="K511" s="286"/>
      <c r="L511" s="46"/>
      <c r="M511" s="46"/>
      <c r="N511" s="33"/>
      <c r="O511" s="1"/>
    </row>
    <row r="512" spans="1:15">
      <c r="A512" s="2085"/>
      <c r="B512" s="364" t="str">
        <f>"Sursharge : S5 ="&amp;F272&amp;"x"&amp;C333&amp;" ="</f>
        <v>Sursharge : S5 =0x1.8 =</v>
      </c>
      <c r="C512" s="2063"/>
      <c r="D512" s="1286"/>
      <c r="E512" s="60"/>
      <c r="F512" s="170">
        <f>F272*C333</f>
        <v>0</v>
      </c>
      <c r="G512" s="658">
        <f>$C$333/2</f>
        <v>0.9</v>
      </c>
      <c r="H512" s="1267"/>
      <c r="I512" s="138">
        <f t="shared" si="5"/>
        <v>0</v>
      </c>
      <c r="J512" s="2074"/>
      <c r="K512" s="286"/>
      <c r="L512" s="46"/>
      <c r="M512" s="46"/>
      <c r="N512" s="33"/>
      <c r="O512" s="2"/>
    </row>
    <row r="513" spans="1:15">
      <c r="A513" s="2082"/>
      <c r="B513" s="369" t="str">
        <f>"Foundation  Pressure="&amp;B470&amp;"x"&amp;FIXED(A476,2)&amp;" ="</f>
        <v>Foundation  Pressure=1.8x53.73 =</v>
      </c>
      <c r="C513" s="2066"/>
      <c r="D513" s="1102"/>
      <c r="E513" s="58"/>
      <c r="F513" s="2074">
        <f>B470*A476</f>
        <v>96.710350693177546</v>
      </c>
      <c r="G513" s="441">
        <f>B470/2</f>
        <v>0.9</v>
      </c>
      <c r="H513" s="1266"/>
      <c r="I513" s="103">
        <f>F513*G513</f>
        <v>87.039315623859792</v>
      </c>
      <c r="J513" s="2074"/>
      <c r="K513" s="286"/>
      <c r="L513" s="46"/>
      <c r="M513" s="46"/>
      <c r="N513" s="33"/>
    </row>
    <row r="514" spans="1:15">
      <c r="A514" s="2082"/>
      <c r="B514" s="369" t="str">
        <f>"Found Pressure=0.5x"&amp;B470&amp;"x("&amp;FIXED(B478,2)&amp;"-"&amp;FIXED(A476,2)&amp;") ="</f>
        <v>Found Pressure=0.5x1.8x(34.26-53.73) =</v>
      </c>
      <c r="C514" s="2066"/>
      <c r="D514" s="1102"/>
      <c r="E514" s="58"/>
      <c r="F514" s="2074">
        <f>0.5*B470*(B478-A476)</f>
        <v>-17.523239252432258</v>
      </c>
      <c r="G514" s="441">
        <f>B470/3</f>
        <v>0.6</v>
      </c>
      <c r="H514" s="1266"/>
      <c r="I514" s="103">
        <f>F514*G514</f>
        <v>-10.513943551459354</v>
      </c>
      <c r="J514" s="2074"/>
      <c r="K514" s="286"/>
      <c r="L514" s="224"/>
      <c r="M514" s="46"/>
      <c r="N514" s="33"/>
      <c r="O514" s="2070"/>
    </row>
    <row r="515" spans="1:15">
      <c r="A515" s="2082"/>
      <c r="B515" s="369" t="str">
        <f>"Uplift = "&amp;B470&amp;"x"&amp;FIXED(A484,2)&amp;" ="</f>
        <v>Uplift = 1.8x35.31 =</v>
      </c>
      <c r="C515" s="1726"/>
      <c r="D515" s="1102"/>
      <c r="E515" s="58"/>
      <c r="F515" s="2074">
        <f>B470*A484</f>
        <v>63.566385484099996</v>
      </c>
      <c r="G515" s="441">
        <f>B470/2</f>
        <v>0.9</v>
      </c>
      <c r="H515" s="1266"/>
      <c r="I515" s="103">
        <f t="shared" si="5"/>
        <v>57.209746935689999</v>
      </c>
      <c r="J515" s="2074"/>
      <c r="K515" s="286"/>
      <c r="L515" s="46"/>
      <c r="M515" s="46"/>
      <c r="N515" s="33"/>
      <c r="O515" s="2070"/>
    </row>
    <row r="516" spans="1:15">
      <c r="A516" s="2082"/>
      <c r="B516" s="369" t="str">
        <f>"Uplift = 0.5x("&amp;FIXED(B486,2)&amp;"-"&amp;FIXED(A484,2)&amp;")x"&amp;B470&amp;" ="</f>
        <v>Uplift = 0.5x(38.95-35.31)x1.8 =</v>
      </c>
      <c r="C516" s="16"/>
      <c r="D516" s="418"/>
      <c r="E516" s="58"/>
      <c r="F516" s="121">
        <f>0.5*(B486-A484)*B470</f>
        <v>3.2725626659735321</v>
      </c>
      <c r="G516" s="658">
        <f>B470/3</f>
        <v>0.6</v>
      </c>
      <c r="H516" s="121"/>
      <c r="I516" s="138">
        <f t="shared" si="5"/>
        <v>1.9635375995841191</v>
      </c>
      <c r="J516" s="2074"/>
      <c r="K516" s="286"/>
      <c r="L516" s="46"/>
      <c r="M516" s="46"/>
      <c r="N516" s="33"/>
    </row>
    <row r="517" spans="1:15">
      <c r="A517" s="2083"/>
      <c r="B517" s="1288"/>
      <c r="C517" s="2092"/>
      <c r="D517" s="2092"/>
      <c r="E517" s="1289"/>
      <c r="F517" s="1290"/>
      <c r="G517" s="1291"/>
      <c r="H517" s="1292"/>
      <c r="I517" s="1293"/>
      <c r="J517" s="448"/>
      <c r="K517" s="286"/>
      <c r="L517" s="46"/>
      <c r="M517" s="46"/>
    </row>
    <row r="518" spans="1:15" ht="15.75">
      <c r="A518" s="148"/>
      <c r="B518" s="1273"/>
      <c r="C518" s="59"/>
      <c r="D518" s="59"/>
      <c r="E518" s="1151" t="s">
        <v>1239</v>
      </c>
      <c r="F518" s="1274">
        <f>SUM(F509:F512)-SUM(F513:F516)</f>
        <v>1.627546604345298</v>
      </c>
      <c r="G518" s="1294"/>
      <c r="H518" s="1276" t="s">
        <v>1321</v>
      </c>
      <c r="I518" s="1144">
        <f>SUM(I513:I516)-SUM(I509:I512)</f>
        <v>2.8104110320268489</v>
      </c>
      <c r="J518" s="1349"/>
      <c r="K518" s="286"/>
      <c r="L518" s="46"/>
      <c r="M518" s="46"/>
      <c r="N518" s="2071"/>
      <c r="O518" s="2071"/>
    </row>
    <row r="519" spans="1:15">
      <c r="C519" s="187"/>
      <c r="I519" s="39" t="str">
        <f>IF(I518&gt;0,"Tension at Bottom ","Tension at Top")</f>
        <v xml:space="preserve">Tension at Bottom </v>
      </c>
      <c r="J519" s="39"/>
      <c r="K519" s="286"/>
      <c r="L519" s="46"/>
      <c r="M519" s="46"/>
    </row>
    <row r="520" spans="1:15">
      <c r="K520" s="286"/>
      <c r="M520" s="46"/>
    </row>
    <row r="521" spans="1:15" ht="15">
      <c r="A521" s="1295" t="s">
        <v>1246</v>
      </c>
      <c r="B521" s="977"/>
      <c r="C521" s="977"/>
      <c r="D521" s="174"/>
      <c r="K521" s="286"/>
      <c r="L521" s="46"/>
      <c r="M521" s="46"/>
    </row>
    <row r="522" spans="1:15">
      <c r="K522" s="286"/>
      <c r="L522" s="46"/>
      <c r="M522" s="46"/>
    </row>
    <row r="523" spans="1:15">
      <c r="B523" s="17" t="s">
        <v>51</v>
      </c>
      <c r="C523" s="220">
        <f>D312</f>
        <v>10</v>
      </c>
      <c r="E523" s="44"/>
      <c r="K523" s="286"/>
      <c r="L523" s="46"/>
      <c r="M523" s="46"/>
    </row>
    <row r="524" spans="1:15">
      <c r="B524" s="2071"/>
      <c r="C524" s="2065"/>
      <c r="E524" s="44"/>
      <c r="F524" t="s">
        <v>1314</v>
      </c>
      <c r="H524" s="190">
        <f>E251</f>
        <v>36.205802503485423</v>
      </c>
      <c r="I524" s="187" t="s">
        <v>3</v>
      </c>
      <c r="J524" s="187"/>
      <c r="K524" s="286"/>
      <c r="L524" s="46"/>
      <c r="M524" s="46"/>
    </row>
    <row r="525" spans="1:15">
      <c r="A525" s="2071">
        <f>A183/1000</f>
        <v>0</v>
      </c>
      <c r="B525" s="17"/>
      <c r="E525" s="44"/>
      <c r="F525" t="s">
        <v>1315</v>
      </c>
      <c r="H525" s="190">
        <f>E252</f>
        <v>28.850726908279295</v>
      </c>
      <c r="I525" s="187" t="s">
        <v>3</v>
      </c>
      <c r="J525" s="187"/>
      <c r="K525" s="286"/>
      <c r="L525" s="46"/>
      <c r="M525" s="46"/>
    </row>
    <row r="526" spans="1:15">
      <c r="B526" s="36">
        <f>C523-C534</f>
        <v>3.9000000000000004</v>
      </c>
      <c r="C526" s="190"/>
      <c r="E526" s="44"/>
      <c r="K526" s="286"/>
      <c r="L526" s="46"/>
      <c r="M526" s="46"/>
    </row>
    <row r="527" spans="1:15">
      <c r="B527" s="203" t="s">
        <v>1248</v>
      </c>
      <c r="C527" s="189">
        <f>D188</f>
        <v>10.92869839937665</v>
      </c>
      <c r="D527" s="187" t="s">
        <v>1221</v>
      </c>
      <c r="K527" s="286"/>
      <c r="L527" s="46"/>
      <c r="M527" s="46"/>
    </row>
    <row r="528" spans="1:15">
      <c r="K528" s="286"/>
      <c r="L528" s="46"/>
      <c r="M528" s="46"/>
    </row>
    <row r="529" spans="1:13">
      <c r="A529" s="54"/>
      <c r="B529" s="54">
        <f>C192/1000</f>
        <v>3.9000000000000004</v>
      </c>
      <c r="E529" s="187" t="s">
        <v>1247</v>
      </c>
      <c r="F529" s="220">
        <f>H185</f>
        <v>10</v>
      </c>
      <c r="K529" s="286"/>
      <c r="L529" s="46"/>
      <c r="M529" s="46"/>
    </row>
    <row r="530" spans="1:13">
      <c r="B530" s="27"/>
      <c r="I530" s="62"/>
      <c r="J530" s="62"/>
      <c r="K530" s="286"/>
      <c r="L530" s="62"/>
      <c r="M530" s="46"/>
    </row>
    <row r="531" spans="1:13">
      <c r="E531" s="2071">
        <f>F190/1000</f>
        <v>3.9000000000000004</v>
      </c>
      <c r="G531" t="s">
        <v>1171</v>
      </c>
      <c r="H531" s="220">
        <f>I189</f>
        <v>6.1</v>
      </c>
      <c r="J531" s="62"/>
      <c r="K531" s="286"/>
      <c r="L531" s="62"/>
      <c r="M531" s="46"/>
    </row>
    <row r="532" spans="1:13">
      <c r="C532" s="18">
        <f>C333</f>
        <v>1.8</v>
      </c>
      <c r="D532" s="1279"/>
      <c r="K532" s="286"/>
      <c r="L532" s="46"/>
      <c r="M532" s="46"/>
    </row>
    <row r="533" spans="1:13">
      <c r="A533" s="2071">
        <f>A192/1000</f>
        <v>4.3000000000000007</v>
      </c>
      <c r="D533" s="607">
        <f>F333</f>
        <v>1.2</v>
      </c>
      <c r="H533" s="54">
        <f>IF(H531&gt;C534,H531-C534,0)</f>
        <v>0</v>
      </c>
      <c r="I533" s="187" t="s">
        <v>5</v>
      </c>
      <c r="K533" s="286"/>
      <c r="L533" s="46"/>
      <c r="M533" s="46"/>
    </row>
    <row r="534" spans="1:13">
      <c r="C534" s="223">
        <f>D325</f>
        <v>6.1</v>
      </c>
      <c r="H534" s="17"/>
      <c r="K534" s="286"/>
      <c r="L534" s="46"/>
      <c r="M534" s="46"/>
    </row>
    <row r="535" spans="1:13">
      <c r="C535" s="2065"/>
      <c r="F535" s="187"/>
      <c r="K535" s="286"/>
      <c r="L535" s="46"/>
      <c r="M535" s="46"/>
    </row>
    <row r="536" spans="1:13">
      <c r="C536" s="2065"/>
      <c r="D536" s="1255">
        <f>E333</f>
        <v>0.4</v>
      </c>
      <c r="E536" s="33">
        <f>D327</f>
        <v>0.4</v>
      </c>
      <c r="F536" s="187" t="s">
        <v>5</v>
      </c>
      <c r="K536" s="286"/>
      <c r="L536" s="46"/>
      <c r="M536" s="46"/>
    </row>
    <row r="537" spans="1:13">
      <c r="K537" s="286"/>
      <c r="L537" s="46"/>
      <c r="M537" s="46"/>
    </row>
    <row r="538" spans="1:13">
      <c r="E538" s="33">
        <f>H329</f>
        <v>0.3</v>
      </c>
      <c r="F538" s="187" t="s">
        <v>5</v>
      </c>
      <c r="K538" s="286"/>
      <c r="L538" s="46"/>
      <c r="M538" s="46"/>
    </row>
    <row r="539" spans="1:13">
      <c r="A539" s="187" t="s">
        <v>1316</v>
      </c>
      <c r="E539" s="17" t="s">
        <v>1219</v>
      </c>
      <c r="F539" s="36">
        <f>H524</f>
        <v>36.205802503485423</v>
      </c>
      <c r="G539" t="s">
        <v>3</v>
      </c>
      <c r="K539" s="286"/>
      <c r="L539" s="46"/>
      <c r="M539" s="46"/>
    </row>
    <row r="540" spans="1:13">
      <c r="A540" s="36">
        <f>H525</f>
        <v>28.850726908279295</v>
      </c>
      <c r="F540" s="54">
        <f>F539-A540</f>
        <v>7.3550755952061273</v>
      </c>
      <c r="G540" t="s">
        <v>3</v>
      </c>
      <c r="K540" s="286"/>
      <c r="L540" s="46"/>
      <c r="M540" s="46"/>
    </row>
    <row r="541" spans="1:13">
      <c r="K541" s="286"/>
      <c r="L541" s="46"/>
      <c r="M541" s="46"/>
    </row>
    <row r="542" spans="1:13" ht="15">
      <c r="A542" s="29"/>
      <c r="G542" s="54">
        <f>F539-C544</f>
        <v>2.5959090336021617</v>
      </c>
      <c r="H542" t="s">
        <v>3</v>
      </c>
      <c r="K542" s="286"/>
      <c r="L542" s="46"/>
      <c r="M542" s="46"/>
    </row>
    <row r="543" spans="1:13">
      <c r="B543" s="54">
        <f>F540*C532/C547+A540</f>
        <v>32.744590458682538</v>
      </c>
      <c r="K543" s="286"/>
      <c r="L543" s="46"/>
      <c r="M543" s="46"/>
    </row>
    <row r="544" spans="1:13">
      <c r="C544" s="2071">
        <f>F540*(C532+D536)/C547+A540</f>
        <v>33.609893469883261</v>
      </c>
      <c r="D544" s="33">
        <f>G331</f>
        <v>0.9</v>
      </c>
      <c r="F544" s="2071"/>
      <c r="K544" s="286"/>
      <c r="L544" s="46"/>
      <c r="M544" s="46"/>
    </row>
    <row r="545" spans="1:20">
      <c r="C545" s="33"/>
      <c r="D545" s="36">
        <f>G332</f>
        <v>0.3</v>
      </c>
      <c r="K545" s="286"/>
      <c r="L545" s="46"/>
      <c r="M545" s="46"/>
    </row>
    <row r="546" spans="1:20">
      <c r="K546" s="286"/>
      <c r="L546" s="46"/>
      <c r="M546" s="46"/>
    </row>
    <row r="547" spans="1:20">
      <c r="C547" s="33">
        <f>D335</f>
        <v>3.4000000000000004</v>
      </c>
      <c r="D547" t="s">
        <v>5</v>
      </c>
      <c r="F547" t="str">
        <f>"( "&amp;FIXED(E531,2)&amp;"+"&amp;FIXED(E536,2)&amp;" ) x "&amp;D267&amp;" ="</f>
        <v>( 3.90+0.40 ) x 9.81 =</v>
      </c>
      <c r="H547" s="17">
        <f>(E531+E536)*D267</f>
        <v>42.183000000000007</v>
      </c>
      <c r="I547" t="s">
        <v>3</v>
      </c>
      <c r="K547" s="286"/>
      <c r="L547" s="46"/>
      <c r="M547" s="46"/>
    </row>
    <row r="548" spans="1:20">
      <c r="A548" t="str">
        <f>A533&amp;"x"&amp;D267&amp;"="</f>
        <v>4.3x9.81=</v>
      </c>
      <c r="K548" s="286"/>
      <c r="L548" s="46"/>
      <c r="M548" s="46"/>
    </row>
    <row r="549" spans="1:20">
      <c r="A549" s="54">
        <f>A533*D267</f>
        <v>42.183000000000007</v>
      </c>
      <c r="K549" s="286"/>
      <c r="L549" s="46"/>
      <c r="M549" s="46"/>
    </row>
    <row r="550" spans="1:20">
      <c r="E550" s="33">
        <f>H547+D533*(A549-H547)/C547</f>
        <v>42.183000000000007</v>
      </c>
      <c r="F550" t="s">
        <v>3</v>
      </c>
      <c r="K550" s="286"/>
      <c r="L550" s="46"/>
      <c r="M550" s="46"/>
    </row>
    <row r="551" spans="1:20">
      <c r="E551" s="36">
        <f>H547+(D533+D536)*(A549-H547)/C547</f>
        <v>42.183000000000007</v>
      </c>
      <c r="K551" s="286"/>
      <c r="L551" s="46"/>
      <c r="M551" s="46"/>
    </row>
    <row r="552" spans="1:20">
      <c r="K552" s="286"/>
      <c r="M552" s="46"/>
    </row>
    <row r="553" spans="1:20" ht="15">
      <c r="A553" s="29" t="s">
        <v>1325</v>
      </c>
      <c r="K553" s="286"/>
      <c r="L553" s="46"/>
      <c r="M553" s="46"/>
    </row>
    <row r="554" spans="1:20">
      <c r="K554" s="286"/>
      <c r="L554" s="46"/>
      <c r="M554" s="386"/>
      <c r="N554" s="1726"/>
      <c r="O554" s="1726"/>
      <c r="P554" s="2074"/>
      <c r="Q554" s="16"/>
      <c r="R554" s="16"/>
      <c r="S554" s="16"/>
      <c r="T554" s="16"/>
    </row>
    <row r="555" spans="1:20">
      <c r="A555" s="3085" t="s">
        <v>1319</v>
      </c>
      <c r="B555" s="2078"/>
      <c r="C555" s="2064" t="s">
        <v>1183</v>
      </c>
      <c r="D555" s="406"/>
      <c r="E555" s="2081"/>
      <c r="F555" s="347" t="s">
        <v>880</v>
      </c>
      <c r="G555" s="355" t="s">
        <v>1184</v>
      </c>
      <c r="H555" s="406"/>
      <c r="I555" s="355" t="s">
        <v>1185</v>
      </c>
      <c r="J555" s="2066"/>
      <c r="K555" s="286"/>
      <c r="L555" s="46"/>
      <c r="M555" s="46"/>
      <c r="O555" s="221"/>
      <c r="P555" s="223"/>
      <c r="Q555" s="16"/>
      <c r="R555" s="16"/>
      <c r="S555" s="16"/>
      <c r="T555" s="16"/>
    </row>
    <row r="556" spans="1:20">
      <c r="A556" s="3200"/>
      <c r="B556" s="2079"/>
      <c r="C556" s="1726"/>
      <c r="D556" s="16"/>
      <c r="E556" s="58"/>
      <c r="F556" s="2066" t="s">
        <v>725</v>
      </c>
      <c r="G556" s="365" t="s">
        <v>5</v>
      </c>
      <c r="H556" s="241"/>
      <c r="I556" s="365" t="s">
        <v>1232</v>
      </c>
      <c r="J556" s="2066"/>
      <c r="K556" s="286"/>
      <c r="L556" s="46"/>
      <c r="M556" s="288"/>
      <c r="O556" s="2071"/>
      <c r="P556" s="2071"/>
      <c r="Q556" s="16"/>
      <c r="R556" s="16"/>
      <c r="S556" s="16"/>
      <c r="T556" s="16"/>
    </row>
    <row r="557" spans="1:20">
      <c r="A557" s="423"/>
      <c r="B557" s="545" t="str">
        <f>"Concrete : C3 ="&amp;D533&amp;"x"&amp;E536&amp;"x"&amp;D263&amp;" ="</f>
        <v>Concrete : C3 =1.2x0.4x23.6 =</v>
      </c>
      <c r="C557" s="347"/>
      <c r="D557" s="1280"/>
      <c r="E557" s="2081"/>
      <c r="F557" s="2077">
        <f>D533*E536*D263</f>
        <v>11.327999999999999</v>
      </c>
      <c r="G557" s="663">
        <f>D533/2</f>
        <v>0.6</v>
      </c>
      <c r="H557" s="1281"/>
      <c r="I557" s="379">
        <f t="shared" ref="I557:I565" si="6">F557*G557</f>
        <v>6.7967999999999993</v>
      </c>
      <c r="J557" s="2074"/>
      <c r="K557" s="286"/>
      <c r="L557" s="46"/>
      <c r="M557" s="288"/>
      <c r="N557" s="33"/>
      <c r="O557" s="2071"/>
      <c r="P557" s="2071"/>
      <c r="Q557" s="16"/>
      <c r="R557" s="16"/>
      <c r="S557" s="16"/>
      <c r="T557" s="16"/>
    </row>
    <row r="558" spans="1:20">
      <c r="A558" s="2079"/>
      <c r="B558" s="363" t="str">
        <f>"Concrete : C4="&amp;E538&amp;"x"&amp;D544&amp;"x"&amp;D263&amp;" ="</f>
        <v>Concrete : C4=0.3x0.9x23.6 =</v>
      </c>
      <c r="C558" s="2066"/>
      <c r="D558" s="1102"/>
      <c r="E558" s="58"/>
      <c r="F558" s="2074">
        <f>E538*D544*D263</f>
        <v>6.3720000000000008</v>
      </c>
      <c r="G558" s="1271">
        <f>D533-D544/2</f>
        <v>0.75</v>
      </c>
      <c r="H558" s="1266"/>
      <c r="I558" s="103">
        <f t="shared" si="6"/>
        <v>4.7790000000000008</v>
      </c>
      <c r="J558" s="2074"/>
      <c r="K558" s="286"/>
      <c r="L558" s="46"/>
      <c r="M558" s="386"/>
      <c r="N558" s="33"/>
      <c r="O558" s="1296"/>
      <c r="P558" s="1296"/>
      <c r="Q558" s="1296"/>
      <c r="R558" s="1296"/>
      <c r="S558" s="16"/>
      <c r="T558" s="16"/>
    </row>
    <row r="559" spans="1:20">
      <c r="A559" s="2084"/>
      <c r="B559" s="363" t="str">
        <f>"Concrete : C5=0.5x"&amp;E538&amp;"x"&amp;D545&amp;"x"&amp;D263&amp;" ="</f>
        <v>Concrete : C5=0.5x0.3x0.3x23.6 =</v>
      </c>
      <c r="C559" s="2066"/>
      <c r="D559" s="1102"/>
      <c r="E559" s="58"/>
      <c r="F559" s="2074">
        <f>0.5*E538*D545*D263</f>
        <v>1.0620000000000001</v>
      </c>
      <c r="G559" s="441">
        <f>D533-(D544+D545/3)</f>
        <v>0.19999999999999996</v>
      </c>
      <c r="H559" s="1266"/>
      <c r="I559" s="103">
        <f t="shared" si="6"/>
        <v>0.21239999999999998</v>
      </c>
      <c r="J559" s="2074"/>
      <c r="K559" s="286"/>
      <c r="L559" s="46"/>
      <c r="M559" s="46"/>
      <c r="N559" s="33"/>
      <c r="O559" s="1726"/>
      <c r="P559" s="1726"/>
      <c r="Q559" s="1726"/>
      <c r="R559" s="1726"/>
      <c r="S559" s="16"/>
      <c r="T559" s="16"/>
    </row>
    <row r="560" spans="1:20">
      <c r="A560" s="2084"/>
      <c r="B560" s="1045" t="str">
        <f>"R/S Soil : S6 = "&amp;D533&amp;"x"&amp;H533&amp;"x"&amp;D266&amp;" ="</f>
        <v>R/S Soil : S6 = 1.2x0x18.9 =</v>
      </c>
      <c r="C560" s="1282"/>
      <c r="D560" s="1283"/>
      <c r="E560" s="1149"/>
      <c r="F560" s="1140">
        <f>D533*H533*D266</f>
        <v>0</v>
      </c>
      <c r="G560" s="1297">
        <f>D533/2</f>
        <v>0.6</v>
      </c>
      <c r="H560" s="1285"/>
      <c r="I560" s="1093">
        <f t="shared" si="6"/>
        <v>0</v>
      </c>
      <c r="J560" s="1140"/>
      <c r="K560" s="286"/>
      <c r="L560" s="46"/>
      <c r="M560" s="386"/>
      <c r="N560" s="33"/>
      <c r="O560" s="505"/>
      <c r="P560" s="505"/>
      <c r="Q560" s="16"/>
      <c r="R560" s="2074"/>
      <c r="S560" s="16"/>
      <c r="T560" s="16"/>
    </row>
    <row r="561" spans="1:20">
      <c r="A561" s="2085"/>
      <c r="B561" s="364" t="str">
        <f>" R/S water : W ="&amp;D533&amp;"x"&amp;E531&amp;"x"&amp;D267&amp;" ="</f>
        <v xml:space="preserve"> R/S water : W =1.2x3.9x9.81 =</v>
      </c>
      <c r="C561" s="2063"/>
      <c r="D561" s="1286"/>
      <c r="E561" s="60"/>
      <c r="F561" s="121">
        <f>D533*E531*D267</f>
        <v>45.910800000000009</v>
      </c>
      <c r="G561" s="658">
        <f>D533/2</f>
        <v>0.6</v>
      </c>
      <c r="H561" s="1267"/>
      <c r="I561" s="138">
        <f t="shared" si="6"/>
        <v>27.546480000000006</v>
      </c>
      <c r="J561" s="2074"/>
      <c r="K561" s="286"/>
      <c r="L561" s="46"/>
      <c r="M561" s="386"/>
      <c r="N561" s="33"/>
      <c r="O561" s="505"/>
      <c r="P561" s="505"/>
      <c r="Q561" s="1298"/>
      <c r="R561" s="2074"/>
      <c r="S561" s="16"/>
      <c r="T561" s="16"/>
    </row>
    <row r="562" spans="1:20">
      <c r="A562" s="2082"/>
      <c r="B562" s="363" t="str">
        <f>"Foundation  Pressure= "&amp;FIXED(C544,2)&amp;"x"&amp;D533&amp;" ="</f>
        <v>Foundation  Pressure= 33.61x1.2 =</v>
      </c>
      <c r="C562" s="2066"/>
      <c r="D562" s="1102"/>
      <c r="E562" s="58"/>
      <c r="F562" s="2074">
        <f>C544*D533</f>
        <v>40.331872163859913</v>
      </c>
      <c r="G562" s="441">
        <f>D533/2</f>
        <v>0.6</v>
      </c>
      <c r="H562" s="1266"/>
      <c r="I562" s="103">
        <f>F562*G562</f>
        <v>24.199123298315946</v>
      </c>
      <c r="J562" s="2074"/>
      <c r="K562" s="286"/>
      <c r="L562" s="46"/>
      <c r="M562" s="386"/>
      <c r="N562" s="33"/>
      <c r="O562" s="16"/>
      <c r="P562" s="16"/>
      <c r="Q562" s="1298"/>
      <c r="R562" s="2074"/>
      <c r="S562" s="1299"/>
      <c r="T562" s="16"/>
    </row>
    <row r="563" spans="1:20">
      <c r="A563" s="2082"/>
      <c r="B563" s="363" t="str">
        <f>"Foundation  Pressure=0.5x"&amp;D533&amp;"x"&amp;FIXED(G542,2)&amp;" ="</f>
        <v>Foundation  Pressure=0.5x1.2x2.60 =</v>
      </c>
      <c r="C563" s="2066"/>
      <c r="D563" s="1102"/>
      <c r="E563" s="58"/>
      <c r="F563" s="2074">
        <f>0.5*D533*G542</f>
        <v>1.557545420161297</v>
      </c>
      <c r="G563" s="441">
        <f>2*D533/3</f>
        <v>0.79999999999999993</v>
      </c>
      <c r="H563" s="1266"/>
      <c r="I563" s="103">
        <f>F563*G563</f>
        <v>1.2460363361290376</v>
      </c>
      <c r="J563" s="2074"/>
      <c r="K563" s="286"/>
      <c r="L563" s="46"/>
      <c r="M563" s="46"/>
      <c r="N563" s="33"/>
      <c r="P563" s="268"/>
    </row>
    <row r="564" spans="1:20">
      <c r="A564" s="2082"/>
      <c r="B564" s="363" t="str">
        <f>"Uplift="&amp;FIXED(H547,2)&amp;"x"&amp;D533&amp;" ="</f>
        <v>Uplift=42.18x1.2 =</v>
      </c>
      <c r="C564" s="1726"/>
      <c r="D564" s="1102"/>
      <c r="E564" s="58"/>
      <c r="F564" s="2074">
        <f>H547*D533</f>
        <v>50.619600000000005</v>
      </c>
      <c r="G564" s="441">
        <f>D533/2</f>
        <v>0.6</v>
      </c>
      <c r="H564" s="1287"/>
      <c r="I564" s="103">
        <f t="shared" si="6"/>
        <v>30.371760000000002</v>
      </c>
      <c r="J564" s="2074"/>
      <c r="K564" s="286"/>
      <c r="L564" s="46"/>
      <c r="M564" s="46"/>
      <c r="N564" s="33"/>
    </row>
    <row r="565" spans="1:20">
      <c r="A565" s="2082"/>
      <c r="B565" s="363" t="str">
        <f>"Uplift=0.5x("&amp;FIXED(E550,2)&amp;"-"&amp;FIXED(H547,2)&amp;")x"&amp;D533&amp;" ="</f>
        <v>Uplift=0.5x(42.18-42.18)x1.2 =</v>
      </c>
      <c r="C565" s="16"/>
      <c r="D565" s="418"/>
      <c r="E565" s="58"/>
      <c r="F565" s="2074">
        <f>0.5*(E550-H547)*D533</f>
        <v>0</v>
      </c>
      <c r="G565" s="138">
        <f>D533/3</f>
        <v>0.39999999999999997</v>
      </c>
      <c r="H565" s="121"/>
      <c r="I565" s="138">
        <f t="shared" si="6"/>
        <v>0</v>
      </c>
      <c r="J565" s="2074"/>
      <c r="K565" s="286"/>
      <c r="L565" s="46"/>
      <c r="M565" s="46"/>
      <c r="N565" s="33"/>
    </row>
    <row r="566" spans="1:20" ht="15.75">
      <c r="A566" s="148"/>
      <c r="B566" s="1101"/>
      <c r="C566" s="102"/>
      <c r="D566" s="102"/>
      <c r="E566" s="1096" t="s">
        <v>1239</v>
      </c>
      <c r="F566" s="1147">
        <f>SUM(F557:F561)-SUM(F562:F565)</f>
        <v>-27.836217584021213</v>
      </c>
      <c r="G566" s="1275"/>
      <c r="H566" s="1276" t="s">
        <v>1321</v>
      </c>
      <c r="I566" s="1144">
        <f>SUM(I562:I565)-SUM(I557:I561)</f>
        <v>16.48223963444498</v>
      </c>
      <c r="J566" s="1349"/>
      <c r="K566" s="286"/>
      <c r="L566" s="46"/>
      <c r="M566" s="46"/>
      <c r="N566" s="2071"/>
      <c r="O566" s="2071"/>
    </row>
    <row r="567" spans="1:20">
      <c r="C567" s="187"/>
      <c r="I567" s="39" t="str">
        <f>IF(I566&gt;0,"Bottom tension","Top tension")</f>
        <v>Bottom tension</v>
      </c>
      <c r="J567" s="39"/>
      <c r="K567" s="286"/>
      <c r="L567" s="46"/>
      <c r="M567" s="46"/>
    </row>
    <row r="568" spans="1:20">
      <c r="K568" s="286"/>
      <c r="L568" s="46"/>
      <c r="M568" s="46"/>
    </row>
    <row r="569" spans="1:20" ht="15">
      <c r="A569" s="29" t="s">
        <v>1326</v>
      </c>
      <c r="C569" s="33"/>
      <c r="K569" s="286"/>
      <c r="L569" s="46"/>
      <c r="M569" s="46"/>
      <c r="N569" s="2"/>
      <c r="P569" s="2071"/>
    </row>
    <row r="570" spans="1:20">
      <c r="K570" s="286"/>
      <c r="L570" s="46"/>
      <c r="M570" s="46"/>
    </row>
    <row r="571" spans="1:20">
      <c r="A571" s="3085" t="s">
        <v>1319</v>
      </c>
      <c r="B571" s="2078"/>
      <c r="C571" s="2064" t="s">
        <v>1183</v>
      </c>
      <c r="D571" s="406"/>
      <c r="E571" s="2081"/>
      <c r="F571" s="347" t="s">
        <v>880</v>
      </c>
      <c r="G571" s="355" t="s">
        <v>1184</v>
      </c>
      <c r="H571" s="406"/>
      <c r="I571" s="355" t="s">
        <v>1185</v>
      </c>
      <c r="J571" s="2066"/>
      <c r="K571" s="286"/>
      <c r="L571" s="46"/>
      <c r="M571" s="46"/>
      <c r="O571" s="221"/>
      <c r="P571" s="223"/>
    </row>
    <row r="572" spans="1:20">
      <c r="A572" s="3086"/>
      <c r="B572" s="2079"/>
      <c r="C572" s="1726"/>
      <c r="D572" s="16"/>
      <c r="E572" s="58"/>
      <c r="F572" s="2066" t="s">
        <v>725</v>
      </c>
      <c r="G572" s="354" t="s">
        <v>5</v>
      </c>
      <c r="H572" s="204"/>
      <c r="I572" s="365" t="s">
        <v>1232</v>
      </c>
      <c r="J572" s="2066"/>
      <c r="K572" s="286"/>
      <c r="L572" s="46"/>
      <c r="M572" s="288"/>
      <c r="O572" s="2071"/>
      <c r="P572" s="2071"/>
    </row>
    <row r="573" spans="1:20">
      <c r="A573" s="423"/>
      <c r="B573" s="545" t="str">
        <f>"Concrete : C3 ="&amp;C532&amp;"x"&amp;E536&amp;"x"&amp;D263&amp;" ="</f>
        <v>Concrete : C3 =1.8x0.4x23.6 =</v>
      </c>
      <c r="C573" s="1280"/>
      <c r="D573" s="545"/>
      <c r="E573" s="2081"/>
      <c r="F573" s="2076">
        <f>C532*E536*D263</f>
        <v>16.992000000000004</v>
      </c>
      <c r="G573" s="663">
        <f>C532/2</f>
        <v>0.9</v>
      </c>
      <c r="H573" s="1281"/>
      <c r="I573" s="379">
        <f t="shared" ref="I573:I580" si="7">F573*G573</f>
        <v>15.292800000000005</v>
      </c>
      <c r="J573" s="2074"/>
      <c r="K573" s="286"/>
      <c r="L573" s="46"/>
      <c r="M573" s="288"/>
      <c r="N573" s="33"/>
      <c r="O573" s="2071"/>
      <c r="P573" s="2071"/>
      <c r="Q573" s="1"/>
      <c r="R573" s="1"/>
    </row>
    <row r="574" spans="1:20">
      <c r="A574" s="2079"/>
      <c r="B574" s="363" t="str">
        <f>"Moist Soil : S1= "&amp;C532&amp;"x"&amp;A525&amp;"x"&amp;D265&amp;" ="</f>
        <v>Moist Soil : S1= 1.8x0x17.3 =</v>
      </c>
      <c r="C574" s="1102"/>
      <c r="D574" s="1102"/>
      <c r="E574" s="58"/>
      <c r="F574" s="2073">
        <f>C532*A525*D265</f>
        <v>0</v>
      </c>
      <c r="G574" s="1271">
        <f>C532/2</f>
        <v>0.9</v>
      </c>
      <c r="H574" s="1266"/>
      <c r="I574" s="103">
        <f t="shared" si="7"/>
        <v>0</v>
      </c>
      <c r="J574" s="2074"/>
      <c r="K574" s="286"/>
      <c r="L574" s="46"/>
      <c r="M574" s="46"/>
      <c r="N574" s="33"/>
      <c r="O574" s="2"/>
      <c r="P574" s="2"/>
      <c r="Q574" s="2"/>
      <c r="R574" s="2"/>
    </row>
    <row r="575" spans="1:20">
      <c r="A575" s="2084"/>
      <c r="B575" s="363" t="str">
        <f>"Saturated Soil : S3 ="&amp;C532&amp;"x"&amp;B529&amp;"x"&amp;D266&amp;" ="</f>
        <v>Saturated Soil : S3 =1.8x3.9x18.9 =</v>
      </c>
      <c r="C575" s="1102"/>
      <c r="D575" s="1102"/>
      <c r="E575" s="58"/>
      <c r="F575" s="2073">
        <f>C532*B529*D266</f>
        <v>132.678</v>
      </c>
      <c r="G575" s="441">
        <f>C532/2</f>
        <v>0.9</v>
      </c>
      <c r="H575" s="1266"/>
      <c r="I575" s="103">
        <f t="shared" si="7"/>
        <v>119.4102</v>
      </c>
      <c r="J575" s="2074"/>
      <c r="K575" s="286"/>
      <c r="L575" s="46"/>
      <c r="M575" s="46"/>
      <c r="N575" s="33"/>
      <c r="O575" s="2"/>
      <c r="P575" s="2"/>
      <c r="Q575" s="2"/>
      <c r="R575" s="2"/>
    </row>
    <row r="576" spans="1:20">
      <c r="A576" s="2085"/>
      <c r="B576" s="364" t="str">
        <f>"Sursharge : S5 = "&amp;F272&amp;"x"&amp;C333&amp;" ="</f>
        <v>Sursharge : S5 = 0x1.8 =</v>
      </c>
      <c r="C576" s="1286"/>
      <c r="D576" s="364"/>
      <c r="E576" s="60"/>
      <c r="F576" s="170">
        <f>F272*C333</f>
        <v>0</v>
      </c>
      <c r="G576" s="658">
        <f>$C$333/2</f>
        <v>0.9</v>
      </c>
      <c r="H576" s="1267"/>
      <c r="I576" s="138">
        <f t="shared" si="7"/>
        <v>0</v>
      </c>
      <c r="J576" s="2074"/>
      <c r="K576" s="286"/>
      <c r="L576" s="46"/>
      <c r="M576" s="46"/>
      <c r="N576" s="33"/>
      <c r="P576" s="2"/>
      <c r="R576" s="2071"/>
    </row>
    <row r="577" spans="1:19">
      <c r="A577" s="2082"/>
      <c r="B577" s="363" t="str">
        <f>"Foundation  Pressure = "&amp;C532&amp;"x"&amp;FIXED(A540,2)&amp;" ="</f>
        <v>Foundation  Pressure = 1.8x28.85 =</v>
      </c>
      <c r="C577" s="1102"/>
      <c r="D577" s="363"/>
      <c r="E577" s="58"/>
      <c r="F577" s="2074">
        <f>C532*A540</f>
        <v>51.931308434902732</v>
      </c>
      <c r="G577" s="441">
        <f>C532/2</f>
        <v>0.9</v>
      </c>
      <c r="H577" s="1266"/>
      <c r="I577" s="103">
        <f>F577*G577</f>
        <v>46.738177591412459</v>
      </c>
      <c r="J577" s="2074"/>
      <c r="K577" s="286"/>
      <c r="L577" s="46"/>
      <c r="M577" s="46"/>
      <c r="N577" s="33"/>
      <c r="O577" s="2070"/>
      <c r="P577" s="2070"/>
      <c r="Q577" s="27"/>
      <c r="R577" s="2071"/>
    </row>
    <row r="578" spans="1:19">
      <c r="A578" s="2082"/>
      <c r="B578" s="363" t="str">
        <f>"Found  Pressure=0.5x"&amp;C532&amp;"("&amp;FIXED(B543,2)&amp;"-"&amp;FIXED(A540,2)&amp;")="</f>
        <v>Found  Pressure=0.5x1.8(32.74-28.85)=</v>
      </c>
      <c r="C578" s="1102"/>
      <c r="D578" s="1102"/>
      <c r="E578" s="58"/>
      <c r="F578" s="2074">
        <f>0.5*C532*(B543-A540)</f>
        <v>3.5044771953629184</v>
      </c>
      <c r="G578" s="441">
        <f>C532/3</f>
        <v>0.6</v>
      </c>
      <c r="H578" s="1266"/>
      <c r="I578" s="103">
        <f>F578*G578</f>
        <v>2.102686317217751</v>
      </c>
      <c r="J578" s="2074"/>
      <c r="K578" s="286"/>
      <c r="L578" s="46"/>
      <c r="M578" s="46"/>
      <c r="N578" s="33"/>
      <c r="Q578" s="27"/>
      <c r="R578" s="2071"/>
      <c r="S578" s="23"/>
    </row>
    <row r="579" spans="1:19">
      <c r="A579" s="2082"/>
      <c r="B579" s="363" t="str">
        <f>"Uplift = "&amp;FIXED(E551,2)&amp;"x"&amp;C532&amp;" ="</f>
        <v>Uplift = 42.18x1.8 =</v>
      </c>
      <c r="C579" s="1048"/>
      <c r="D579" s="1102"/>
      <c r="E579" s="58"/>
      <c r="F579" s="2074">
        <f>E551*C532</f>
        <v>75.929400000000015</v>
      </c>
      <c r="G579" s="103">
        <f>C532/2</f>
        <v>0.9</v>
      </c>
      <c r="H579" s="1287"/>
      <c r="I579" s="103">
        <f t="shared" si="7"/>
        <v>68.336460000000017</v>
      </c>
      <c r="J579" s="2074"/>
      <c r="K579" s="286"/>
      <c r="L579" s="46"/>
      <c r="M579" s="46"/>
      <c r="N579" s="33"/>
      <c r="Q579" s="27"/>
      <c r="R579" s="2071"/>
    </row>
    <row r="580" spans="1:19">
      <c r="A580" s="2082"/>
      <c r="B580" s="363" t="str">
        <f>"Uplift=0.5x("&amp;FIXED(A549,2)&amp;"-"&amp;FIXED(E551,2)&amp;")x"&amp;C532&amp;" ="</f>
        <v>Uplift=0.5x(42.18-42.18)x1.8 =</v>
      </c>
      <c r="C580" s="1048"/>
      <c r="D580" s="421"/>
      <c r="E580" s="58"/>
      <c r="F580" s="2074">
        <f>0.5*(A549-E551)*C532</f>
        <v>0</v>
      </c>
      <c r="G580" s="138">
        <f>2*C532/3</f>
        <v>1.2</v>
      </c>
      <c r="H580" s="121"/>
      <c r="I580" s="138">
        <f t="shared" si="7"/>
        <v>0</v>
      </c>
      <c r="J580" s="2074"/>
      <c r="K580" s="286"/>
      <c r="L580" s="46"/>
      <c r="M580" s="46"/>
      <c r="N580" s="33"/>
      <c r="P580" s="2"/>
      <c r="Q580" s="2071"/>
      <c r="R580" s="36"/>
    </row>
    <row r="581" spans="1:19" ht="15.75">
      <c r="A581" s="148"/>
      <c r="B581" s="1101"/>
      <c r="C581" s="102"/>
      <c r="D581" s="102"/>
      <c r="E581" s="1096" t="s">
        <v>1239</v>
      </c>
      <c r="F581" s="1147">
        <f>SUM(F573:F576)-SUM(F577:F580)</f>
        <v>18.304814369734345</v>
      </c>
      <c r="G581" s="1275"/>
      <c r="H581" s="1276" t="s">
        <v>1321</v>
      </c>
      <c r="I581" s="1144">
        <f>SUM(I577:I580)-SUM(I573:I576)</f>
        <v>-17.525676091369775</v>
      </c>
      <c r="J581" s="1349"/>
      <c r="K581" s="286"/>
      <c r="L581" s="46"/>
      <c r="M581" s="46"/>
      <c r="N581" s="2071"/>
      <c r="O581" s="2071"/>
      <c r="P581" s="2"/>
      <c r="Q581" s="2071"/>
      <c r="R581" s="36"/>
    </row>
    <row r="582" spans="1:19">
      <c r="C582" s="187"/>
      <c r="I582" s="39" t="str">
        <f>IF(I581&gt;0,"Bottom tension","Top tension")</f>
        <v>Top tension</v>
      </c>
      <c r="J582" s="39"/>
      <c r="K582" s="286"/>
      <c r="L582" s="46"/>
      <c r="M582" s="46"/>
    </row>
    <row r="583" spans="1:19">
      <c r="K583" s="286"/>
      <c r="L583" s="46"/>
      <c r="M583" s="46"/>
    </row>
    <row r="584" spans="1:19">
      <c r="A584" s="41" t="s">
        <v>1327</v>
      </c>
      <c r="I584" s="1300"/>
      <c r="J584" s="1300"/>
      <c r="K584" s="286"/>
      <c r="L584" s="1301"/>
      <c r="M584" s="224"/>
    </row>
    <row r="585" spans="1:19">
      <c r="E585" s="1300"/>
      <c r="K585" s="286"/>
      <c r="L585" s="46"/>
      <c r="M585" s="46"/>
    </row>
    <row r="586" spans="1:19">
      <c r="B586" s="1302" t="s">
        <v>1328</v>
      </c>
      <c r="C586" s="18">
        <f>D327*1000</f>
        <v>400</v>
      </c>
      <c r="E586" s="187" t="str">
        <f>"d provided ="&amp;C586&amp;"-("&amp;I282&amp;"+"&amp;MAX(D624,D621)&amp;"/2)="</f>
        <v>d provided =400-(60+16/2)=</v>
      </c>
      <c r="H586" s="18">
        <f>C586-(I282+MAX(D624,D621)/2)</f>
        <v>332</v>
      </c>
      <c r="K586" s="286"/>
      <c r="L586" s="46"/>
      <c r="M586" s="46"/>
    </row>
    <row r="587" spans="1:19">
      <c r="B587" s="2066"/>
      <c r="E587" s="187" t="s">
        <v>2139</v>
      </c>
      <c r="H587" s="129">
        <f>H586-$I$284</f>
        <v>332</v>
      </c>
      <c r="I587" s="187" t="s">
        <v>98</v>
      </c>
      <c r="K587" s="286"/>
      <c r="L587" s="46"/>
      <c r="M587" s="46"/>
    </row>
    <row r="588" spans="1:19">
      <c r="A588" s="2089" t="s">
        <v>673</v>
      </c>
      <c r="B588" s="3260" t="s">
        <v>1296</v>
      </c>
      <c r="C588" s="1197" t="s">
        <v>1297</v>
      </c>
      <c r="D588" s="3260" t="s">
        <v>1185</v>
      </c>
      <c r="E588" s="2091" t="s">
        <v>1297</v>
      </c>
      <c r="F588" s="3259" t="s">
        <v>676</v>
      </c>
      <c r="G588" s="1178" t="s">
        <v>1301</v>
      </c>
      <c r="H588" s="1209" t="s">
        <v>1301</v>
      </c>
      <c r="K588" s="286"/>
      <c r="L588" s="46"/>
      <c r="M588" s="46"/>
    </row>
    <row r="589" spans="1:19" ht="25.5">
      <c r="A589" s="2084"/>
      <c r="B589" s="3260"/>
      <c r="C589" s="1200" t="s">
        <v>1298</v>
      </c>
      <c r="D589" s="3260"/>
      <c r="E589" s="1304" t="s">
        <v>1299</v>
      </c>
      <c r="F589" s="3259"/>
      <c r="G589" s="1305" t="s">
        <v>1329</v>
      </c>
      <c r="H589" s="1306" t="s">
        <v>1330</v>
      </c>
      <c r="K589" s="286"/>
      <c r="L589" s="46"/>
      <c r="M589" s="46"/>
    </row>
    <row r="590" spans="1:19" ht="15.75">
      <c r="A590" s="172"/>
      <c r="B590" s="1307" t="s">
        <v>21</v>
      </c>
      <c r="C590" s="256" t="s">
        <v>98</v>
      </c>
      <c r="D590" s="94" t="s">
        <v>107</v>
      </c>
      <c r="E590" s="2060" t="s">
        <v>98</v>
      </c>
      <c r="F590" s="2058"/>
      <c r="G590" s="355" t="s">
        <v>491</v>
      </c>
      <c r="H590" s="516" t="s">
        <v>491</v>
      </c>
      <c r="K590" s="286"/>
      <c r="L590" s="46"/>
      <c r="M590" s="46"/>
      <c r="N590" s="2071"/>
      <c r="O590" s="2071"/>
      <c r="P590" s="2071"/>
      <c r="Q590" s="2071"/>
      <c r="R590" s="2071"/>
      <c r="S590" s="2071"/>
    </row>
    <row r="591" spans="1:19">
      <c r="A591" s="348" t="s">
        <v>1331</v>
      </c>
      <c r="B591" s="103">
        <f>F447</f>
        <v>-56.021453498723645</v>
      </c>
      <c r="C591" s="2074">
        <f>ABS(B591)*1000/($C$287*1000)</f>
        <v>131.25070348582858</v>
      </c>
      <c r="D591" s="103">
        <f>I447</f>
        <v>33.227371839201894</v>
      </c>
      <c r="E591" s="2074">
        <f>(ABS(D591)*10^6/($C$286*1000))^0.5</f>
        <v>152.42470750512837</v>
      </c>
      <c r="F591" s="1725" t="str">
        <f>IF((C591&lt;=$H$586)*AND(E591&lt;=$H$586),"O.K","Not O.K")</f>
        <v>O.K</v>
      </c>
      <c r="G591" s="379">
        <f>IF(D591&lt;0,ABS(D591)*10^6/($C$281*$C$285*$H$586),0)</f>
        <v>0</v>
      </c>
      <c r="H591" s="2076">
        <f>IF(D591&gt;0,D591*10^6/($C$281*$C$285*$H$587),0)</f>
        <v>602.22990861042911</v>
      </c>
      <c r="K591" s="286"/>
      <c r="L591" s="46"/>
      <c r="M591" s="46"/>
      <c r="N591" s="2071"/>
      <c r="O591" s="2071"/>
      <c r="P591" s="2071"/>
      <c r="Q591" s="2071"/>
      <c r="R591" s="2071"/>
      <c r="S591" s="2071"/>
    </row>
    <row r="592" spans="1:19">
      <c r="A592" s="558" t="s">
        <v>1332</v>
      </c>
      <c r="B592" s="103">
        <f>F502</f>
        <v>-12.62139860552989</v>
      </c>
      <c r="C592" s="2074">
        <f>ABS(B592)*1000/($C$287*1000)</f>
        <v>29.570233231963464</v>
      </c>
      <c r="D592" s="103">
        <f>I502</f>
        <v>5.7751123556327073</v>
      </c>
      <c r="E592" s="2074">
        <f>(ABS(D592)*10^6/($C$286*1000))^0.5</f>
        <v>63.545908558094517</v>
      </c>
      <c r="F592" s="1725" t="str">
        <f>IF((C592&lt;=$H$586)*AND(E592&lt;=$H$586),"O.K","Not O.K")</f>
        <v>O.K</v>
      </c>
      <c r="G592" s="103">
        <f>IF(D592&lt;0,ABS(D592)*10^6/($C$281*$C$285*$H$586),0)</f>
        <v>0</v>
      </c>
      <c r="H592" s="2073">
        <f>IF(D592&gt;0,D592*10^6/($C$281*$C$285*$H$587),0)</f>
        <v>104.67109475219885</v>
      </c>
      <c r="K592" s="286"/>
      <c r="L592" s="46"/>
      <c r="M592" s="46"/>
      <c r="N592" s="2071"/>
      <c r="O592" s="2071"/>
      <c r="P592" s="2071"/>
      <c r="Q592" s="2071"/>
      <c r="R592" s="2071"/>
      <c r="S592" s="2071"/>
    </row>
    <row r="593" spans="1:19">
      <c r="A593" s="573" t="s">
        <v>1333</v>
      </c>
      <c r="B593" s="138">
        <f>F566</f>
        <v>-27.836217584021213</v>
      </c>
      <c r="C593" s="121">
        <f>ABS(B593)*1000/($C$287*1000)</f>
        <v>65.216500324658938</v>
      </c>
      <c r="D593" s="138">
        <f>I566</f>
        <v>16.48223963444498</v>
      </c>
      <c r="E593" s="121">
        <f>(ABS(D593)*10^6/($C$286*1000))^0.5</f>
        <v>107.35332163263232</v>
      </c>
      <c r="F593" s="156" t="str">
        <f>IF((C593&lt;=$H$586)*AND(E593&lt;=$H$586),"O.K","Not O.K")</f>
        <v>O.K</v>
      </c>
      <c r="G593" s="103">
        <f>IF(D593&lt;0,ABS(D593)*10^6/($C$281*$C$285*$H$586),0)</f>
        <v>0</v>
      </c>
      <c r="H593" s="2073">
        <f>IF(D593&gt;0,D593*10^6/($C$281*$C$285*$H$587),0)</f>
        <v>298.73255449701594</v>
      </c>
      <c r="K593" s="286"/>
      <c r="L593" s="46"/>
      <c r="M593" s="46"/>
      <c r="N593" s="2071"/>
      <c r="O593" s="2071"/>
      <c r="P593" s="2071"/>
      <c r="Q593" s="2071"/>
      <c r="R593" s="2071"/>
      <c r="S593" s="2071"/>
    </row>
    <row r="594" spans="1:19">
      <c r="B594" s="94" t="s">
        <v>1334</v>
      </c>
      <c r="C594" s="457">
        <f>MAX(C591:C593)</f>
        <v>131.25070348582858</v>
      </c>
      <c r="D594" s="102"/>
      <c r="E594" s="457">
        <f>MAX(E591:E593)</f>
        <v>152.42470750512837</v>
      </c>
      <c r="F594" s="93"/>
      <c r="G594" s="457">
        <f>MAX(G591:G593)</f>
        <v>0</v>
      </c>
      <c r="H594" s="1043">
        <f>MAX(H591:H593)</f>
        <v>602.22990861042911</v>
      </c>
      <c r="K594" s="286"/>
      <c r="L594" s="46"/>
      <c r="M594" s="46"/>
      <c r="N594" s="2071"/>
      <c r="O594" s="2071"/>
      <c r="P594" s="2071"/>
      <c r="Q594" s="2071"/>
      <c r="R594" s="2071"/>
      <c r="S594" s="2071"/>
    </row>
    <row r="595" spans="1:19">
      <c r="K595" s="286"/>
      <c r="L595" s="46"/>
      <c r="M595" s="46"/>
    </row>
    <row r="596" spans="1:19">
      <c r="A596" s="41" t="s">
        <v>1335</v>
      </c>
      <c r="K596" s="286"/>
      <c r="L596" s="46"/>
      <c r="M596" s="46"/>
      <c r="N596" s="2071"/>
    </row>
    <row r="597" spans="1:19">
      <c r="E597" s="1300"/>
      <c r="K597" s="286"/>
      <c r="L597" s="46"/>
      <c r="M597" s="46"/>
      <c r="N597" s="2071"/>
    </row>
    <row r="598" spans="1:19">
      <c r="B598" s="1302" t="s">
        <v>1328</v>
      </c>
      <c r="C598" s="228">
        <f>D327*1000</f>
        <v>400</v>
      </c>
      <c r="E598" s="187" t="str">
        <f>"d provided ="&amp;C598&amp;"-("&amp;I282&amp;"+"&amp;MAX(D624,D621)&amp;"/2)="</f>
        <v>d provided =400-(60+16/2)=</v>
      </c>
      <c r="H598" s="320">
        <f>C598-(I282+MAX(D621,D624)/2)</f>
        <v>332</v>
      </c>
      <c r="I598" s="187" t="s">
        <v>98</v>
      </c>
      <c r="K598" s="286"/>
      <c r="L598" s="46"/>
      <c r="M598" s="46"/>
      <c r="N598" s="2071"/>
    </row>
    <row r="599" spans="1:19">
      <c r="B599" s="2066"/>
      <c r="E599" s="187" t="s">
        <v>2139</v>
      </c>
      <c r="H599" s="129">
        <f>H598-$I$284</f>
        <v>332</v>
      </c>
      <c r="I599" s="187" t="s">
        <v>98</v>
      </c>
      <c r="K599" s="286"/>
      <c r="L599" s="46"/>
      <c r="M599" s="46"/>
      <c r="N599" s="2071"/>
    </row>
    <row r="600" spans="1:19">
      <c r="A600" s="2089" t="s">
        <v>673</v>
      </c>
      <c r="B600" s="3260" t="s">
        <v>1296</v>
      </c>
      <c r="C600" s="1197" t="s">
        <v>1297</v>
      </c>
      <c r="D600" s="3260" t="s">
        <v>1185</v>
      </c>
      <c r="E600" s="2091" t="s">
        <v>1297</v>
      </c>
      <c r="F600" s="2086" t="s">
        <v>676</v>
      </c>
      <c r="G600" s="1178" t="s">
        <v>1301</v>
      </c>
      <c r="H600" s="1209" t="s">
        <v>1301</v>
      </c>
      <c r="K600" s="286"/>
      <c r="L600" s="46"/>
      <c r="M600" s="46"/>
      <c r="N600" s="2071"/>
    </row>
    <row r="601" spans="1:19" ht="25.5">
      <c r="A601" s="2084"/>
      <c r="B601" s="3261"/>
      <c r="C601" s="2062" t="s">
        <v>1298</v>
      </c>
      <c r="D601" s="3261"/>
      <c r="E601" s="2078" t="s">
        <v>1299</v>
      </c>
      <c r="F601" s="1308"/>
      <c r="G601" s="1223" t="s">
        <v>1329</v>
      </c>
      <c r="H601" s="1306" t="s">
        <v>1330</v>
      </c>
      <c r="K601" s="286"/>
      <c r="L601" s="46"/>
      <c r="M601" s="46"/>
    </row>
    <row r="602" spans="1:19" ht="15.75">
      <c r="A602" s="101"/>
      <c r="B602" s="1307" t="s">
        <v>21</v>
      </c>
      <c r="C602" s="256" t="s">
        <v>98</v>
      </c>
      <c r="D602" s="94" t="s">
        <v>107</v>
      </c>
      <c r="E602" s="2060" t="s">
        <v>98</v>
      </c>
      <c r="F602" s="1309"/>
      <c r="G602" s="256" t="s">
        <v>491</v>
      </c>
      <c r="H602" s="2061" t="s">
        <v>491</v>
      </c>
      <c r="K602" s="286"/>
      <c r="L602" s="46"/>
      <c r="M602" s="46"/>
      <c r="N602" s="2"/>
      <c r="O602" s="2"/>
    </row>
    <row r="603" spans="1:19">
      <c r="A603" s="348" t="s">
        <v>1336</v>
      </c>
      <c r="B603" s="103">
        <f>F458</f>
        <v>40.950438576147704</v>
      </c>
      <c r="C603" s="2074">
        <f>ABS(B603)*1000/($C$287*1000)</f>
        <v>95.941349884737519</v>
      </c>
      <c r="D603" s="103">
        <f>I458</f>
        <v>-37.346456340923936</v>
      </c>
      <c r="E603" s="2074">
        <f>(ABS(D603)*10^6/($C$286*1000))^0.5</f>
        <v>161.59654618293746</v>
      </c>
      <c r="F603" s="123" t="str">
        <f>IF((C603&lt;=$H$598)*AND(E603&lt;=$H$598),"O.K","Not O.K")</f>
        <v>O.K</v>
      </c>
      <c r="G603" s="103">
        <f>IF(D603&lt;0,ABS(D603)*10^6/($C$281*$C$285*$H$598),0)</f>
        <v>676.88630620441597</v>
      </c>
      <c r="H603" s="2073">
        <f>IF(D603&gt;0,D603*10^6/($C$281*$C$285*$H$599),0)</f>
        <v>0</v>
      </c>
      <c r="K603" s="286"/>
      <c r="L603" s="46"/>
      <c r="M603" s="46"/>
      <c r="N603" s="2071"/>
      <c r="O603" s="2071"/>
      <c r="P603" s="2071"/>
      <c r="Q603" s="2071"/>
      <c r="R603" s="2071"/>
      <c r="S603" s="2071"/>
    </row>
    <row r="604" spans="1:19">
      <c r="A604" s="558" t="s">
        <v>1337</v>
      </c>
      <c r="B604" s="103">
        <f>F518</f>
        <v>1.627546604345298</v>
      </c>
      <c r="C604" s="2074">
        <f>ABS(B604)*1000/($C$287*1000)</f>
        <v>3.8131219994347121</v>
      </c>
      <c r="D604" s="103">
        <f>I518</f>
        <v>2.8104110320268489</v>
      </c>
      <c r="E604" s="2074">
        <f>(ABS(D604)*10^6/($C$286*1000))^0.5</f>
        <v>44.329445132393793</v>
      </c>
      <c r="F604" s="123" t="str">
        <f>IF((C604&lt;=$H$598)*AND(E604&lt;=$H$598),"O.K","Not O.K")</f>
        <v>O.K</v>
      </c>
      <c r="G604" s="103">
        <f>IF(D604&lt;0,ABS(D604)*10^6/($C$281*$C$285*$H$598),0)</f>
        <v>0</v>
      </c>
      <c r="H604" s="2073">
        <f>IF(D604&gt;0,D604*10^6/($C$281*$C$285*$H$599),0)</f>
        <v>50.937329234641155</v>
      </c>
      <c r="K604" s="286"/>
      <c r="L604" s="46"/>
      <c r="M604" s="46"/>
      <c r="N604" s="2071"/>
      <c r="O604" s="2071"/>
      <c r="P604" s="2071"/>
      <c r="Q604" s="2071"/>
      <c r="R604" s="2071"/>
      <c r="S604" s="2071"/>
    </row>
    <row r="605" spans="1:19">
      <c r="A605" s="573" t="s">
        <v>1338</v>
      </c>
      <c r="B605" s="138">
        <f>F581</f>
        <v>18.304814369734345</v>
      </c>
      <c r="C605" s="121">
        <f>ABS(B605)*1000/($C$287*1000)</f>
        <v>42.88570919103114</v>
      </c>
      <c r="D605" s="138">
        <f>I581</f>
        <v>-17.525676091369775</v>
      </c>
      <c r="E605" s="121">
        <f>(ABS(D605)*10^6/($C$286*1000))^0.5</f>
        <v>110.69927203310488</v>
      </c>
      <c r="F605" s="104" t="str">
        <f>IF((C605&lt;=$H$598)*AND(E605&lt;=$H$598),"O.K","Not O.K")</f>
        <v>O.K</v>
      </c>
      <c r="G605" s="103">
        <f>IF(D605&lt;0,ABS(D605)*10^6/($C$281*$C$285*$H$598),0)</f>
        <v>317.64433136385895</v>
      </c>
      <c r="H605" s="2073">
        <f>IF(D605&gt;0,D605*10^6/($C$281*$C$285*$H$599),0)</f>
        <v>0</v>
      </c>
      <c r="K605" s="286"/>
      <c r="L605" s="46"/>
      <c r="M605" s="46"/>
      <c r="N605" s="2071"/>
      <c r="O605" s="2071"/>
      <c r="P605" s="2071"/>
      <c r="Q605" s="2071"/>
      <c r="R605" s="2071"/>
      <c r="S605" s="2071"/>
    </row>
    <row r="606" spans="1:19">
      <c r="B606" s="2058" t="s">
        <v>1334</v>
      </c>
      <c r="C606" s="457">
        <f>MAX(C603:C605)</f>
        <v>95.941349884737519</v>
      </c>
      <c r="D606" s="102"/>
      <c r="E606" s="457">
        <f>MAX(E603:E605)</f>
        <v>161.59654618293746</v>
      </c>
      <c r="F606" s="156" t="s">
        <v>1334</v>
      </c>
      <c r="G606" s="457">
        <f>MAX(G603:G605)</f>
        <v>676.88630620441597</v>
      </c>
      <c r="H606" s="1043">
        <f>MAX(H603:H605)</f>
        <v>50.937329234641155</v>
      </c>
      <c r="K606" s="286"/>
      <c r="L606" s="46"/>
      <c r="M606" s="46"/>
      <c r="N606" s="2071"/>
      <c r="O606" s="2071"/>
      <c r="P606" s="2071"/>
      <c r="Q606" s="2071"/>
      <c r="R606" s="2071"/>
      <c r="S606" s="2071"/>
    </row>
    <row r="607" spans="1:19">
      <c r="K607" s="286"/>
      <c r="L607" s="46"/>
      <c r="M607" s="46"/>
      <c r="N607" s="2071"/>
      <c r="O607" s="2071"/>
      <c r="P607" s="2071"/>
      <c r="Q607" s="2071"/>
      <c r="R607" s="2071"/>
      <c r="S607" s="2071"/>
    </row>
    <row r="608" spans="1:19">
      <c r="A608" s="255" t="s">
        <v>1339</v>
      </c>
      <c r="G608" s="2074"/>
      <c r="H608" s="2074"/>
      <c r="K608" s="286"/>
      <c r="L608" s="46"/>
      <c r="M608" s="46"/>
    </row>
    <row r="609" spans="1:20">
      <c r="K609" s="286"/>
      <c r="L609" s="46"/>
      <c r="M609" s="46"/>
    </row>
    <row r="610" spans="1:20">
      <c r="A610" s="3147" t="s">
        <v>486</v>
      </c>
      <c r="B610" s="3148" t="s">
        <v>487</v>
      </c>
      <c r="C610" s="3148" t="s">
        <v>488</v>
      </c>
      <c r="D610" s="3148" t="s">
        <v>489</v>
      </c>
      <c r="E610" s="3149" t="s">
        <v>490</v>
      </c>
      <c r="F610" s="3150"/>
      <c r="G610" s="3150"/>
      <c r="H610" s="3150"/>
      <c r="I610" s="3150"/>
      <c r="J610" s="496"/>
      <c r="K610" s="286"/>
      <c r="L610" s="330"/>
      <c r="M610" s="46"/>
      <c r="N610" s="187"/>
      <c r="S610" s="33"/>
      <c r="T610" s="187"/>
    </row>
    <row r="611" spans="1:20">
      <c r="A611" s="3147"/>
      <c r="B611" s="3148"/>
      <c r="C611" s="3148"/>
      <c r="D611" s="3148"/>
      <c r="E611" s="94">
        <v>12</v>
      </c>
      <c r="F611" s="94">
        <v>16</v>
      </c>
      <c r="G611" s="94">
        <v>20</v>
      </c>
      <c r="H611" s="94">
        <v>22</v>
      </c>
      <c r="I611" s="94">
        <v>25</v>
      </c>
      <c r="J611" s="275"/>
      <c r="K611" s="286"/>
      <c r="L611" s="275"/>
      <c r="M611" s="46"/>
      <c r="O611" s="187"/>
    </row>
    <row r="612" spans="1:20" ht="14.25">
      <c r="A612" s="172"/>
      <c r="B612" s="256" t="s">
        <v>491</v>
      </c>
      <c r="C612" s="256" t="s">
        <v>491</v>
      </c>
      <c r="D612" s="256" t="s">
        <v>491</v>
      </c>
      <c r="E612" s="2067" t="s">
        <v>98</v>
      </c>
      <c r="F612" s="2067" t="s">
        <v>98</v>
      </c>
      <c r="G612" s="2067" t="s">
        <v>98</v>
      </c>
      <c r="H612" s="2067" t="s">
        <v>98</v>
      </c>
      <c r="I612" s="2067" t="s">
        <v>98</v>
      </c>
      <c r="J612" s="2088"/>
      <c r="K612" s="286"/>
      <c r="L612" s="2088"/>
      <c r="M612" s="46"/>
    </row>
    <row r="613" spans="1:20">
      <c r="A613" s="258" t="s">
        <v>440</v>
      </c>
      <c r="B613" s="55"/>
      <c r="C613" s="55"/>
      <c r="D613" s="55"/>
      <c r="E613" s="55"/>
      <c r="F613" s="55"/>
      <c r="G613" s="55"/>
      <c r="H613" s="55"/>
      <c r="I613" s="2081"/>
      <c r="J613" s="386"/>
      <c r="K613" s="286"/>
      <c r="L613" s="386"/>
      <c r="M613" s="46"/>
    </row>
    <row r="614" spans="1:20">
      <c r="A614" s="259" t="s">
        <v>441</v>
      </c>
      <c r="B614" s="318">
        <f>MAX(G594,G606)</f>
        <v>676.88630620441597</v>
      </c>
      <c r="C614" s="318">
        <f>IF($H$598&gt;380,C305*1000*380,C305*1000*$H$598)</f>
        <v>332</v>
      </c>
      <c r="D614" s="318">
        <f>MAX(B614:C614)</f>
        <v>676.88630620441597</v>
      </c>
      <c r="E614" s="261">
        <f t="shared" ref="E614:I615" si="8">PI()*(E$611/2)^2*1000/$D614</f>
        <v>167.08468540812493</v>
      </c>
      <c r="F614" s="261">
        <f t="shared" si="8"/>
        <v>297.03944072555538</v>
      </c>
      <c r="G614" s="261">
        <f t="shared" si="8"/>
        <v>464.12412613368036</v>
      </c>
      <c r="H614" s="261">
        <f t="shared" si="8"/>
        <v>561.5901926217532</v>
      </c>
      <c r="I614" s="283">
        <f t="shared" si="8"/>
        <v>725.19394708387551</v>
      </c>
      <c r="J614" s="328"/>
      <c r="K614" s="286"/>
      <c r="L614" s="327"/>
      <c r="M614" s="46"/>
      <c r="N614" s="33"/>
      <c r="O614" s="33"/>
      <c r="P614" s="33"/>
    </row>
    <row r="615" spans="1:20">
      <c r="A615" s="262" t="s">
        <v>442</v>
      </c>
      <c r="B615" s="319">
        <v>0</v>
      </c>
      <c r="C615" s="318">
        <f>IF($H$598&gt;380,C306*1000*380,C306*1000*$H$598)</f>
        <v>332</v>
      </c>
      <c r="D615" s="319">
        <f>MAX(B615:C615)</f>
        <v>332</v>
      </c>
      <c r="E615" s="261">
        <f t="shared" si="8"/>
        <v>340.6546250880499</v>
      </c>
      <c r="F615" s="261">
        <f t="shared" si="8"/>
        <v>605.60822237875527</v>
      </c>
      <c r="G615" s="261">
        <f t="shared" si="8"/>
        <v>946.26284746680528</v>
      </c>
      <c r="H615" s="261">
        <f t="shared" si="8"/>
        <v>1144.9780454348343</v>
      </c>
      <c r="I615" s="283">
        <f t="shared" si="8"/>
        <v>1478.5356991668832</v>
      </c>
      <c r="J615" s="328"/>
      <c r="K615" s="286"/>
      <c r="L615" s="327"/>
      <c r="M615" s="46"/>
      <c r="N615" s="33"/>
      <c r="O615" s="33"/>
      <c r="P615" s="33"/>
    </row>
    <row r="616" spans="1:20">
      <c r="A616" s="264" t="s">
        <v>443</v>
      </c>
      <c r="B616" s="322"/>
      <c r="C616" s="322"/>
      <c r="D616" s="322"/>
      <c r="E616" s="266"/>
      <c r="F616" s="266"/>
      <c r="G616" s="266"/>
      <c r="H616" s="266"/>
      <c r="I616" s="267"/>
      <c r="J616" s="330"/>
      <c r="K616" s="286"/>
      <c r="L616" s="330"/>
      <c r="M616" s="46"/>
      <c r="N616" s="33"/>
      <c r="O616" s="33"/>
      <c r="P616" s="33"/>
    </row>
    <row r="617" spans="1:20">
      <c r="A617" s="259" t="s">
        <v>441</v>
      </c>
      <c r="B617" s="318">
        <f>MAX(H594,H606)</f>
        <v>602.22990861042911</v>
      </c>
      <c r="C617" s="318">
        <f>IF($H$598&gt;380,G305*1000*380,G305*1000*$H$598)</f>
        <v>332</v>
      </c>
      <c r="D617" s="318">
        <f>MAX(B617:C617)</f>
        <v>602.22990861042911</v>
      </c>
      <c r="E617" s="261">
        <f t="shared" ref="E617:I618" si="9">PI()*(E$611/2)^2*1000/$D617</f>
        <v>187.79760671500134</v>
      </c>
      <c r="F617" s="261">
        <f t="shared" si="9"/>
        <v>333.86241193778011</v>
      </c>
      <c r="G617" s="261">
        <f t="shared" si="9"/>
        <v>521.66001865278156</v>
      </c>
      <c r="H617" s="261">
        <f t="shared" si="9"/>
        <v>631.20862256986561</v>
      </c>
      <c r="I617" s="283">
        <f t="shared" si="9"/>
        <v>815.09377914497099</v>
      </c>
      <c r="J617" s="328"/>
      <c r="K617" s="286"/>
      <c r="L617" s="327"/>
      <c r="M617" s="46"/>
      <c r="N617" s="33"/>
      <c r="O617" s="33"/>
      <c r="P617" s="33"/>
    </row>
    <row r="618" spans="1:20">
      <c r="A618" s="262" t="s">
        <v>442</v>
      </c>
      <c r="B618" s="319">
        <v>0</v>
      </c>
      <c r="C618" s="319">
        <f>IF($H$598&gt;380,G306*1000*380,G306*1000*$H$598)</f>
        <v>332</v>
      </c>
      <c r="D618" s="319">
        <f>MAX(B618:C618)</f>
        <v>332</v>
      </c>
      <c r="E618" s="284">
        <f t="shared" si="9"/>
        <v>340.6546250880499</v>
      </c>
      <c r="F618" s="284">
        <f t="shared" si="9"/>
        <v>605.60822237875527</v>
      </c>
      <c r="G618" s="284">
        <f t="shared" si="9"/>
        <v>946.26284746680528</v>
      </c>
      <c r="H618" s="284">
        <f t="shared" si="9"/>
        <v>1144.9780454348343</v>
      </c>
      <c r="I618" s="285">
        <f t="shared" si="9"/>
        <v>1478.5356991668832</v>
      </c>
      <c r="J618" s="328"/>
      <c r="K618" s="286"/>
      <c r="L618" s="327"/>
      <c r="M618" s="46"/>
      <c r="N618" s="33"/>
      <c r="O618" s="33"/>
      <c r="P618" s="33"/>
    </row>
    <row r="619" spans="1:20">
      <c r="J619" s="46"/>
      <c r="K619" s="286"/>
      <c r="L619" s="46"/>
      <c r="M619" s="46"/>
    </row>
    <row r="620" spans="1:20">
      <c r="B620" s="258" t="s">
        <v>440</v>
      </c>
      <c r="C620" s="55"/>
      <c r="D620" s="2064"/>
      <c r="E620" s="55"/>
      <c r="F620" s="55"/>
      <c r="G620" s="2081"/>
      <c r="J620" s="46"/>
      <c r="K620" s="286"/>
      <c r="L620" s="46"/>
      <c r="M620" s="46"/>
    </row>
    <row r="621" spans="1:20" ht="15.75">
      <c r="B621" s="259" t="s">
        <v>441</v>
      </c>
      <c r="C621" s="268" t="s">
        <v>136</v>
      </c>
      <c r="D621" s="269">
        <v>16</v>
      </c>
      <c r="E621" s="2066" t="s">
        <v>481</v>
      </c>
      <c r="F621" s="271">
        <v>200</v>
      </c>
      <c r="G621" s="272" t="s">
        <v>482</v>
      </c>
      <c r="J621" s="46"/>
      <c r="K621" s="286"/>
      <c r="L621" s="46"/>
      <c r="M621" s="46"/>
    </row>
    <row r="622" spans="1:20" ht="15.75">
      <c r="B622" s="259" t="s">
        <v>442</v>
      </c>
      <c r="C622" s="268" t="s">
        <v>136</v>
      </c>
      <c r="D622" s="269">
        <v>16</v>
      </c>
      <c r="E622" s="2066" t="s">
        <v>481</v>
      </c>
      <c r="F622" s="271">
        <v>200</v>
      </c>
      <c r="G622" s="272" t="s">
        <v>482</v>
      </c>
      <c r="J622" s="46"/>
      <c r="K622" s="286"/>
      <c r="L622" s="46"/>
      <c r="M622" s="46"/>
    </row>
    <row r="623" spans="1:20" ht="15">
      <c r="B623" s="321" t="s">
        <v>443</v>
      </c>
      <c r="C623" s="273"/>
      <c r="D623" s="274"/>
      <c r="E623" s="275"/>
      <c r="F623" s="276"/>
      <c r="G623" s="277"/>
      <c r="K623" s="286"/>
      <c r="L623" s="46"/>
      <c r="M623" s="46"/>
    </row>
    <row r="624" spans="1:20" ht="15.75">
      <c r="B624" s="259" t="s">
        <v>441</v>
      </c>
      <c r="C624" s="268" t="s">
        <v>136</v>
      </c>
      <c r="D624" s="269">
        <v>16</v>
      </c>
      <c r="E624" s="2066" t="s">
        <v>481</v>
      </c>
      <c r="F624" s="271">
        <v>200</v>
      </c>
      <c r="G624" s="272" t="s">
        <v>482</v>
      </c>
      <c r="K624" s="286"/>
      <c r="L624" s="46"/>
      <c r="M624" s="46"/>
    </row>
    <row r="625" spans="1:13" ht="15.75">
      <c r="B625" s="262" t="s">
        <v>442</v>
      </c>
      <c r="C625" s="278" t="s">
        <v>136</v>
      </c>
      <c r="D625" s="279">
        <v>16</v>
      </c>
      <c r="E625" s="2063" t="s">
        <v>481</v>
      </c>
      <c r="F625" s="281">
        <v>250</v>
      </c>
      <c r="G625" s="282" t="s">
        <v>482</v>
      </c>
      <c r="K625" s="286"/>
      <c r="L625" s="46"/>
      <c r="M625" s="46"/>
    </row>
    <row r="626" spans="1:13">
      <c r="K626" s="286"/>
      <c r="L626" s="46"/>
      <c r="M626" s="46"/>
    </row>
    <row r="627" spans="1:13">
      <c r="A627" s="286"/>
      <c r="B627" s="286"/>
      <c r="C627" s="286"/>
      <c r="D627" s="286"/>
      <c r="E627" s="286"/>
      <c r="F627" s="286"/>
      <c r="G627" s="286"/>
      <c r="H627" s="286"/>
      <c r="I627" s="286"/>
      <c r="J627" s="286"/>
      <c r="K627" s="286"/>
      <c r="L627" s="46"/>
      <c r="M627" s="46"/>
    </row>
  </sheetData>
  <sheetProtection selectLockedCells="1"/>
  <mergeCells count="33">
    <mergeCell ref="A53:A56"/>
    <mergeCell ref="I85:I87"/>
    <mergeCell ref="C358:H358"/>
    <mergeCell ref="C364:G364"/>
    <mergeCell ref="B372:B373"/>
    <mergeCell ref="Q372:Q373"/>
    <mergeCell ref="S372:S373"/>
    <mergeCell ref="A379:A380"/>
    <mergeCell ref="N372:N373"/>
    <mergeCell ref="A397:B399"/>
    <mergeCell ref="C397:D397"/>
    <mergeCell ref="E397:I397"/>
    <mergeCell ref="A571:A572"/>
    <mergeCell ref="B588:B589"/>
    <mergeCell ref="D588:D589"/>
    <mergeCell ref="O372:O373"/>
    <mergeCell ref="P372:P373"/>
    <mergeCell ref="Q318:Q319"/>
    <mergeCell ref="F588:F589"/>
    <mergeCell ref="A610:A611"/>
    <mergeCell ref="B610:B611"/>
    <mergeCell ref="C610:C611"/>
    <mergeCell ref="D610:D611"/>
    <mergeCell ref="E610:I610"/>
    <mergeCell ref="B600:B601"/>
    <mergeCell ref="D600:D601"/>
    <mergeCell ref="A400:A401"/>
    <mergeCell ref="A403:A404"/>
    <mergeCell ref="A439:A440"/>
    <mergeCell ref="A451:A452"/>
    <mergeCell ref="A491:A492"/>
    <mergeCell ref="A507:A508"/>
    <mergeCell ref="A555:A556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T627"/>
  <sheetViews>
    <sheetView workbookViewId="0">
      <selection activeCell="N17" sqref="N17"/>
    </sheetView>
  </sheetViews>
  <sheetFormatPr defaultRowHeight="12.75"/>
  <cols>
    <col min="1" max="1" width="10.7109375" customWidth="1"/>
    <col min="5" max="5" width="9.5703125" customWidth="1"/>
    <col min="6" max="6" width="9.140625" customWidth="1"/>
    <col min="10" max="10" width="5.140625" customWidth="1"/>
    <col min="11" max="11" width="3.28515625" customWidth="1"/>
    <col min="12" max="12" width="5.7109375" customWidth="1"/>
    <col min="13" max="13" width="7.5703125" customWidth="1"/>
    <col min="15" max="15" width="8" customWidth="1"/>
    <col min="16" max="16" width="7.85546875" customWidth="1"/>
    <col min="17" max="17" width="8.140625" customWidth="1"/>
  </cols>
  <sheetData>
    <row r="1" spans="1:20" ht="15.75">
      <c r="A1" s="964" t="str">
        <f>"G. DESIGN OF RETURN WALL  ( "&amp;IF(T2=1,"R/S )","C/S )")</f>
        <v>G. DESIGN OF RETURN WALL  ( R/S )</v>
      </c>
      <c r="B1" s="964"/>
      <c r="C1" s="964"/>
      <c r="D1" s="964"/>
      <c r="E1" s="964"/>
      <c r="F1" s="964"/>
      <c r="G1" s="964"/>
      <c r="H1" s="964"/>
      <c r="I1" s="965"/>
      <c r="J1" s="965"/>
      <c r="K1" s="966"/>
    </row>
    <row r="2" spans="1:20" ht="15.75">
      <c r="A2" s="965"/>
      <c r="B2" s="965"/>
      <c r="C2" s="965"/>
      <c r="D2" s="965"/>
      <c r="E2" s="965"/>
      <c r="F2" s="965"/>
      <c r="G2" s="965"/>
      <c r="H2" s="965"/>
      <c r="I2" s="965"/>
      <c r="J2" s="965"/>
      <c r="K2" s="966"/>
      <c r="R2" s="1357" t="s">
        <v>94</v>
      </c>
      <c r="S2" s="669"/>
      <c r="T2" s="2561">
        <v>1</v>
      </c>
    </row>
    <row r="3" spans="1:20">
      <c r="A3" s="22" t="s">
        <v>1151</v>
      </c>
      <c r="K3" s="286"/>
      <c r="L3" s="968"/>
      <c r="M3" s="968"/>
      <c r="N3" s="968"/>
      <c r="O3" s="968"/>
      <c r="P3" s="968"/>
      <c r="Q3" s="968"/>
      <c r="R3" s="1358" t="s">
        <v>1367</v>
      </c>
      <c r="S3" s="673"/>
      <c r="T3" s="1360">
        <v>1</v>
      </c>
    </row>
    <row r="4" spans="1:20">
      <c r="A4" t="s">
        <v>1152</v>
      </c>
      <c r="C4" s="577">
        <f>IF(T2=1,Hydraulic!I54,Hydraulic!D54)</f>
        <v>10</v>
      </c>
      <c r="D4" t="s">
        <v>1153</v>
      </c>
      <c r="G4" s="203" t="s">
        <v>1369</v>
      </c>
      <c r="H4" s="577">
        <f>IF(T2=1,DATA!G104,DATA!F95)</f>
        <v>7.1001367377902378</v>
      </c>
      <c r="I4" t="s">
        <v>1153</v>
      </c>
      <c r="K4" s="286"/>
      <c r="L4" s="969"/>
      <c r="M4" s="969"/>
      <c r="N4" s="969"/>
      <c r="O4" s="969"/>
      <c r="P4" s="969"/>
      <c r="Q4" s="969"/>
      <c r="R4" s="1359" t="s">
        <v>1368</v>
      </c>
      <c r="S4" s="675"/>
      <c r="T4" s="688">
        <v>2</v>
      </c>
    </row>
    <row r="5" spans="1:20">
      <c r="A5" t="s">
        <v>1154</v>
      </c>
      <c r="C5" s="577">
        <f>IF(T2=1,Hydraulic!I43,Hydraulic!D43)</f>
        <v>6.1</v>
      </c>
      <c r="D5" t="s">
        <v>1153</v>
      </c>
      <c r="G5" s="203" t="s">
        <v>886</v>
      </c>
      <c r="H5" s="577">
        <f>IF(T2=1,DATA!I105,DATA!A100)</f>
        <v>6.1</v>
      </c>
      <c r="I5" t="s">
        <v>1153</v>
      </c>
      <c r="K5" s="286"/>
      <c r="L5" s="970" t="str">
        <f>IF(C31&gt;=6000,"Use Counterfort Retaining Wall","Use Cantilever Retaining Wall")</f>
        <v>Use Cantilever Retaining Wall</v>
      </c>
      <c r="M5" s="970"/>
      <c r="N5" s="970"/>
      <c r="O5" s="970"/>
      <c r="P5" s="969"/>
      <c r="Q5" s="969"/>
      <c r="R5" s="16"/>
      <c r="S5" s="16"/>
      <c r="T5" s="16"/>
    </row>
    <row r="6" spans="1:20">
      <c r="A6" s="187" t="s">
        <v>1372</v>
      </c>
      <c r="C6" s="577">
        <f>C5</f>
        <v>6.1</v>
      </c>
      <c r="D6" t="s">
        <v>1153</v>
      </c>
      <c r="F6" s="45"/>
      <c r="G6" s="203" t="s">
        <v>1370</v>
      </c>
      <c r="H6" s="577">
        <f>IF(T2=1,DATA!F126,DATA!F125)</f>
        <v>12.971301600623351</v>
      </c>
      <c r="I6" t="s">
        <v>1153</v>
      </c>
      <c r="K6" s="286"/>
      <c r="R6" s="16"/>
      <c r="S6" s="16"/>
      <c r="T6" s="16"/>
    </row>
    <row r="7" spans="1:20">
      <c r="A7" s="187" t="s">
        <v>1156</v>
      </c>
      <c r="D7" s="971">
        <f>IF(T2=1,Hydraulic!I55,Hydraulic!D55)</f>
        <v>8.4</v>
      </c>
      <c r="E7" s="187" t="s">
        <v>5</v>
      </c>
      <c r="F7" s="45"/>
      <c r="G7" s="203" t="s">
        <v>886</v>
      </c>
      <c r="H7" s="577">
        <f>IF(T2=1,DATA!I130,DATA!A135)</f>
        <v>13.9</v>
      </c>
      <c r="I7" t="s">
        <v>1153</v>
      </c>
      <c r="K7" s="286"/>
      <c r="R7" s="16"/>
      <c r="S7" s="16"/>
      <c r="T7" s="16"/>
    </row>
    <row r="8" spans="1:20">
      <c r="A8" s="187" t="s">
        <v>449</v>
      </c>
      <c r="D8" s="587">
        <f>Hydraulic!C19</f>
        <v>23.6</v>
      </c>
      <c r="E8" t="s">
        <v>1</v>
      </c>
      <c r="K8" s="286"/>
      <c r="R8" s="16"/>
      <c r="S8" s="16"/>
      <c r="T8" s="16"/>
    </row>
    <row r="9" spans="1:20">
      <c r="A9" t="s">
        <v>415</v>
      </c>
      <c r="D9" s="587">
        <f>DATA!D4</f>
        <v>15.7</v>
      </c>
      <c r="E9" t="s">
        <v>1</v>
      </c>
      <c r="K9" s="286"/>
      <c r="O9" s="386"/>
      <c r="R9" s="16"/>
      <c r="S9" s="16"/>
      <c r="T9" s="16"/>
    </row>
    <row r="10" spans="1:20">
      <c r="A10" t="s">
        <v>416</v>
      </c>
      <c r="D10" s="587">
        <f>DATA!D5</f>
        <v>17.3</v>
      </c>
      <c r="E10" t="s">
        <v>1</v>
      </c>
      <c r="F10" s="203" t="s">
        <v>1157</v>
      </c>
      <c r="G10" s="85">
        <f>COS(F14)*(COS(F14)-(COS(F14)^2-COS(F13)^2)^0.5)/(COS(F14)+(COS(F14)^2-COS(F13)^2)^0.5)</f>
        <v>0.36087265271105751</v>
      </c>
      <c r="K10" s="286"/>
      <c r="L10" s="972"/>
      <c r="M10" s="386"/>
      <c r="N10" s="275"/>
      <c r="O10" s="386"/>
      <c r="R10" s="16"/>
      <c r="S10" s="16"/>
      <c r="T10" s="16"/>
    </row>
    <row r="11" spans="1:20">
      <c r="A11" t="s">
        <v>417</v>
      </c>
      <c r="D11" s="587">
        <f>DATA!D6</f>
        <v>18.899999999999999</v>
      </c>
      <c r="E11" t="s">
        <v>1</v>
      </c>
      <c r="F11" s="203" t="s">
        <v>1158</v>
      </c>
      <c r="G11" s="36">
        <f>1/G10</f>
        <v>2.7710606289711768</v>
      </c>
      <c r="K11" s="286"/>
      <c r="L11" s="972"/>
      <c r="M11" s="386"/>
      <c r="N11" s="275"/>
      <c r="O11" s="386"/>
      <c r="R11" s="16"/>
      <c r="S11" s="16"/>
      <c r="T11" s="16"/>
    </row>
    <row r="12" spans="1:20">
      <c r="A12" t="s">
        <v>418</v>
      </c>
      <c r="D12" s="587">
        <f>DATA!D7</f>
        <v>9.81</v>
      </c>
      <c r="E12" t="s">
        <v>1</v>
      </c>
      <c r="K12" s="286"/>
      <c r="L12" s="972"/>
      <c r="M12" s="386"/>
      <c r="N12" s="275"/>
      <c r="O12" s="386"/>
      <c r="R12" s="16"/>
      <c r="S12" s="16"/>
      <c r="T12" s="16"/>
    </row>
    <row r="13" spans="1:20" ht="15.75">
      <c r="A13" s="187" t="s">
        <v>1159</v>
      </c>
      <c r="D13" s="2100">
        <f>DATA!I17</f>
        <v>28</v>
      </c>
      <c r="E13" s="12" t="s">
        <v>321</v>
      </c>
      <c r="F13" s="115">
        <f>+D13*22/7/180</f>
        <v>0.48888888888888887</v>
      </c>
      <c r="G13" t="s">
        <v>322</v>
      </c>
      <c r="K13" s="286"/>
      <c r="R13" s="16"/>
      <c r="S13" s="16"/>
      <c r="T13" s="16"/>
    </row>
    <row r="14" spans="1:20" ht="15.75">
      <c r="A14" s="187" t="s">
        <v>1160</v>
      </c>
      <c r="D14" s="581">
        <v>0</v>
      </c>
      <c r="E14" s="12" t="s">
        <v>321</v>
      </c>
      <c r="F14" s="115">
        <f>+D14*22/7/180</f>
        <v>0</v>
      </c>
      <c r="G14" t="s">
        <v>322</v>
      </c>
      <c r="K14" s="286"/>
      <c r="L14" s="18"/>
      <c r="N14" s="973"/>
      <c r="R14" s="16"/>
      <c r="S14" s="16"/>
      <c r="T14" s="16"/>
    </row>
    <row r="15" spans="1:20" ht="15.75">
      <c r="A15" s="187" t="s">
        <v>1161</v>
      </c>
      <c r="D15" s="2100">
        <f>DATA!D13</f>
        <v>28</v>
      </c>
      <c r="E15" s="12" t="s">
        <v>321</v>
      </c>
      <c r="F15" s="115">
        <f>+D15*22/7/180</f>
        <v>0.48888888888888887</v>
      </c>
      <c r="G15" t="s">
        <v>322</v>
      </c>
      <c r="K15" s="286"/>
    </row>
    <row r="16" spans="1:20">
      <c r="A16" s="187" t="s">
        <v>1162</v>
      </c>
      <c r="D16" s="581">
        <v>0</v>
      </c>
      <c r="E16" t="str">
        <f>"m   Load =  "&amp;D16&amp;" x "&amp;D10&amp;" ="</f>
        <v>m   Load =  0 x 17.3 =</v>
      </c>
      <c r="H16">
        <f>D16*D10</f>
        <v>0</v>
      </c>
      <c r="I16" t="s">
        <v>126</v>
      </c>
      <c r="K16" s="286"/>
      <c r="M16" s="974"/>
      <c r="N16" s="975"/>
    </row>
    <row r="17" spans="1:20">
      <c r="A17" s="187" t="s">
        <v>1866</v>
      </c>
      <c r="E17" s="126">
        <f>'RS Wing'!J66*1000</f>
        <v>650</v>
      </c>
      <c r="F17" s="187" t="s">
        <v>98</v>
      </c>
      <c r="K17" s="286"/>
    </row>
    <row r="18" spans="1:20">
      <c r="K18" s="286"/>
      <c r="R18" s="16"/>
      <c r="S18" s="16"/>
      <c r="T18" s="16"/>
    </row>
    <row r="19" spans="1:20" ht="15.75">
      <c r="A19" s="976" t="s">
        <v>1163</v>
      </c>
      <c r="B19" s="977"/>
      <c r="C19" s="976"/>
      <c r="D19" s="976"/>
      <c r="E19" s="976"/>
      <c r="F19" s="978"/>
      <c r="G19" s="978"/>
      <c r="H19" s="295"/>
      <c r="I19" s="295"/>
      <c r="J19" s="295"/>
      <c r="K19" s="979"/>
      <c r="P19" s="16"/>
      <c r="Q19" s="16"/>
      <c r="R19" s="16"/>
      <c r="S19" s="16"/>
      <c r="T19" s="16"/>
    </row>
    <row r="20" spans="1:20">
      <c r="F20" s="46"/>
      <c r="G20" s="46"/>
      <c r="K20" s="286"/>
      <c r="O20" s="30"/>
      <c r="P20" s="16"/>
      <c r="Q20" s="16"/>
      <c r="R20" s="16"/>
      <c r="S20" s="16"/>
      <c r="T20" s="16"/>
    </row>
    <row r="21" spans="1:20">
      <c r="A21" s="213" t="s">
        <v>1362</v>
      </c>
      <c r="C21" s="46"/>
      <c r="D21" s="46"/>
      <c r="F21" s="1075" t="s">
        <v>1361</v>
      </c>
      <c r="K21" s="286"/>
      <c r="P21" s="16"/>
      <c r="T21" s="16"/>
    </row>
    <row r="22" spans="1:20">
      <c r="F22" s="46"/>
      <c r="G22" s="46"/>
      <c r="K22" s="286"/>
      <c r="O22" s="291"/>
      <c r="P22" s="16"/>
      <c r="T22" s="16"/>
    </row>
    <row r="23" spans="1:20">
      <c r="D23" s="624" t="s">
        <v>1164</v>
      </c>
      <c r="E23" s="980">
        <v>300</v>
      </c>
      <c r="K23" s="286"/>
      <c r="L23" s="981"/>
      <c r="M23" s="2"/>
      <c r="N23" s="981"/>
      <c r="O23" s="982"/>
      <c r="P23" s="386"/>
    </row>
    <row r="24" spans="1:20">
      <c r="B24" s="203" t="s">
        <v>1165</v>
      </c>
      <c r="C24" s="975">
        <f>C4</f>
        <v>10</v>
      </c>
      <c r="E24" s="18">
        <f>+E46-E23</f>
        <v>100</v>
      </c>
      <c r="K24" s="286"/>
      <c r="L24" s="981"/>
      <c r="M24" s="981"/>
      <c r="N24" s="981"/>
      <c r="O24" s="228"/>
      <c r="P24" s="386"/>
      <c r="T24" s="16"/>
    </row>
    <row r="25" spans="1:20">
      <c r="D25" s="18"/>
      <c r="K25" s="286"/>
      <c r="L25" s="981"/>
      <c r="M25" s="981"/>
      <c r="N25" s="983"/>
      <c r="O25" s="967"/>
      <c r="P25" s="386"/>
    </row>
    <row r="26" spans="1:20">
      <c r="D26" s="18"/>
      <c r="K26" s="286"/>
      <c r="L26" s="981"/>
      <c r="M26" s="981"/>
      <c r="N26" s="984"/>
      <c r="O26" s="981"/>
      <c r="P26" s="386"/>
    </row>
    <row r="27" spans="1:20">
      <c r="E27" s="22"/>
      <c r="K27" s="286"/>
      <c r="L27" s="981"/>
      <c r="M27" s="981"/>
      <c r="N27" s="984"/>
      <c r="O27" s="981"/>
      <c r="P27" s="386"/>
    </row>
    <row r="28" spans="1:20">
      <c r="E28" s="22" t="s">
        <v>1166</v>
      </c>
      <c r="K28" s="286"/>
      <c r="R28" s="386"/>
      <c r="S28" s="386"/>
      <c r="T28" s="386"/>
    </row>
    <row r="29" spans="1:20">
      <c r="K29" s="286"/>
      <c r="L29" s="985" t="s">
        <v>1167</v>
      </c>
      <c r="M29" s="986"/>
      <c r="N29" s="987"/>
      <c r="O29" s="986"/>
      <c r="P29" s="988"/>
      <c r="Q29" s="986"/>
      <c r="R29" s="2546" t="s">
        <v>2031</v>
      </c>
      <c r="S29" s="2542"/>
      <c r="T29" s="972"/>
    </row>
    <row r="30" spans="1:20">
      <c r="D30" s="22" t="s">
        <v>1168</v>
      </c>
      <c r="K30" s="286"/>
      <c r="L30" s="990" t="s">
        <v>673</v>
      </c>
      <c r="M30" s="991" t="s">
        <v>1169</v>
      </c>
      <c r="N30" s="992" t="s">
        <v>1170</v>
      </c>
      <c r="O30" s="991" t="s">
        <v>303</v>
      </c>
      <c r="P30" s="992" t="s">
        <v>45</v>
      </c>
      <c r="Q30" s="991" t="s">
        <v>44</v>
      </c>
      <c r="R30" s="2545" t="s">
        <v>2032</v>
      </c>
      <c r="S30" s="2543"/>
    </row>
    <row r="31" spans="1:20">
      <c r="A31" s="9">
        <f>C31+G40</f>
        <v>4300</v>
      </c>
      <c r="C31" s="9">
        <f>(C24-D38)*1000</f>
        <v>3900.0000000000005</v>
      </c>
      <c r="G31" s="720" t="s">
        <v>1171</v>
      </c>
      <c r="H31" s="993">
        <f>C6</f>
        <v>6.1</v>
      </c>
      <c r="K31" s="286"/>
      <c r="L31" s="994" t="s">
        <v>117</v>
      </c>
      <c r="M31" s="995">
        <f>$E$70</f>
        <v>4.8777968264207221</v>
      </c>
      <c r="N31" s="996">
        <f>$E$71</f>
        <v>1.8806434367942741</v>
      </c>
      <c r="O31" s="997">
        <f>$F$77</f>
        <v>1.5902576670029589E-2</v>
      </c>
      <c r="P31" s="996">
        <f>$E$81</f>
        <v>62.925793498801845</v>
      </c>
      <c r="Q31" s="995">
        <f>$E$82</f>
        <v>59.490382971786417</v>
      </c>
      <c r="R31" s="2547">
        <f>DATA!D261</f>
        <v>168.88623529411771</v>
      </c>
      <c r="S31" s="2544" t="str">
        <f>DATA!E261</f>
        <v>Kn/ sq m</v>
      </c>
    </row>
    <row r="32" spans="1:20">
      <c r="E32" s="25" t="s">
        <v>41</v>
      </c>
      <c r="G32" s="4"/>
      <c r="I32" s="30"/>
      <c r="J32" s="30"/>
      <c r="K32" s="998"/>
      <c r="L32" s="999" t="s">
        <v>118</v>
      </c>
      <c r="M32" s="1000">
        <f>$F$154</f>
        <v>2.8660285347480752</v>
      </c>
      <c r="N32" s="1001">
        <f>$F$155</f>
        <v>1.4814445239221705</v>
      </c>
      <c r="O32" s="1002">
        <f>$F$163</f>
        <v>8.8317602451131849E-2</v>
      </c>
      <c r="P32" s="1001">
        <f>$E$167</f>
        <v>57.603554258637352</v>
      </c>
      <c r="Q32" s="1000">
        <f>$E$168</f>
        <v>42.069111540986157</v>
      </c>
    </row>
    <row r="33" spans="1:20">
      <c r="G33" s="4"/>
      <c r="K33" s="286"/>
      <c r="L33" s="1003" t="s">
        <v>301</v>
      </c>
      <c r="M33" s="1004">
        <f>$E$239</f>
        <v>1.4335889970816178</v>
      </c>
      <c r="N33" s="1005">
        <f>$E$240</f>
        <v>2.1372984402852864</v>
      </c>
      <c r="O33" s="1006">
        <f>$F$247</f>
        <v>6.4065455201843147E-2</v>
      </c>
      <c r="P33" s="1005">
        <f>$E$251</f>
        <v>36.205802503485423</v>
      </c>
      <c r="Q33" s="1004">
        <f>$E$252</f>
        <v>28.850726908279295</v>
      </c>
    </row>
    <row r="34" spans="1:20">
      <c r="G34" s="4"/>
      <c r="K34" s="286"/>
    </row>
    <row r="35" spans="1:20">
      <c r="F35" s="223">
        <f>H31-D38</f>
        <v>0</v>
      </c>
      <c r="G35" s="213" t="s">
        <v>1172</v>
      </c>
      <c r="K35" s="286"/>
      <c r="L35" s="1007"/>
      <c r="M35" s="1008"/>
      <c r="N35" s="1008"/>
      <c r="O35" s="989"/>
      <c r="P35" s="1008"/>
      <c r="Q35" s="1008"/>
      <c r="R35" s="1009"/>
      <c r="S35" s="972"/>
      <c r="T35" s="972"/>
    </row>
    <row r="36" spans="1:20">
      <c r="G36" s="4"/>
      <c r="I36" s="36">
        <f>H31-C41</f>
        <v>0.40000000000000036</v>
      </c>
      <c r="J36" s="36"/>
      <c r="K36" s="286"/>
      <c r="L36" s="990" t="s">
        <v>673</v>
      </c>
      <c r="M36" s="1010" t="s">
        <v>1173</v>
      </c>
      <c r="N36" s="1011" t="s">
        <v>1174</v>
      </c>
      <c r="O36" s="1012"/>
      <c r="P36" s="992" t="s">
        <v>676</v>
      </c>
      <c r="Q36" s="1013"/>
      <c r="R36" s="1009"/>
      <c r="S36" s="972"/>
      <c r="T36" s="972"/>
    </row>
    <row r="37" spans="1:20">
      <c r="A37" s="27"/>
      <c r="B37" s="187" t="s">
        <v>1175</v>
      </c>
      <c r="E37" s="1014"/>
      <c r="G37" s="4"/>
      <c r="H37" s="1015" t="s">
        <v>1176</v>
      </c>
      <c r="K37" s="286"/>
      <c r="L37" s="994" t="s">
        <v>117</v>
      </c>
      <c r="M37" s="996">
        <f>$G$63</f>
        <v>208.10750000000002</v>
      </c>
      <c r="N37" s="995">
        <f>$G$67</f>
        <v>58.865615373524996</v>
      </c>
      <c r="O37" s="1016" t="str">
        <f>$F$78</f>
        <v>i,e Resultant is in middle third</v>
      </c>
      <c r="P37" s="1017"/>
      <c r="Q37" s="1018"/>
    </row>
    <row r="38" spans="1:20">
      <c r="C38" s="203" t="s">
        <v>1177</v>
      </c>
      <c r="D38" s="975">
        <f>C5</f>
        <v>6.1</v>
      </c>
      <c r="E38" s="139" t="s">
        <v>42</v>
      </c>
      <c r="G38" s="4"/>
      <c r="K38" s="286"/>
      <c r="L38" s="999" t="s">
        <v>118</v>
      </c>
      <c r="M38" s="1019">
        <f>$F$142</f>
        <v>169.44353185935995</v>
      </c>
      <c r="N38" s="1020">
        <f>$F$150</f>
        <v>60.844317137265357</v>
      </c>
      <c r="O38" s="1021" t="str">
        <f>$F$164</f>
        <v>i,e Resultant is in middle third</v>
      </c>
      <c r="P38" s="1022"/>
      <c r="Q38" s="1023"/>
    </row>
    <row r="39" spans="1:20">
      <c r="G39" s="4"/>
      <c r="K39" s="286"/>
      <c r="L39" s="1003" t="s">
        <v>301</v>
      </c>
      <c r="M39" s="1024">
        <f>$F$228</f>
        <v>110.59610000000001</v>
      </c>
      <c r="N39" s="1025">
        <f>$F$236</f>
        <v>27.526757870123944</v>
      </c>
      <c r="O39" s="1026" t="str">
        <f>$F$248</f>
        <v>i,e Resultant is in middle third</v>
      </c>
      <c r="P39" s="1027"/>
      <c r="Q39" s="1028"/>
    </row>
    <row r="40" spans="1:20">
      <c r="D40" s="25" t="s">
        <v>1178</v>
      </c>
      <c r="G40" s="1029">
        <v>400</v>
      </c>
      <c r="K40" s="286"/>
    </row>
    <row r="41" spans="1:20">
      <c r="C41" s="54">
        <f>D38-G40/1000</f>
        <v>5.6999999999999993</v>
      </c>
      <c r="D41" t="s">
        <v>5</v>
      </c>
      <c r="G41" s="1030"/>
      <c r="K41" s="286"/>
    </row>
    <row r="42" spans="1:20">
      <c r="G42" s="2787">
        <f>'RS Wing'!J53*1000</f>
        <v>300</v>
      </c>
      <c r="H42" s="1015"/>
      <c r="K42" s="286"/>
      <c r="M42" s="2235" t="s">
        <v>1898</v>
      </c>
      <c r="N42" s="2236"/>
      <c r="O42" s="2237"/>
      <c r="P42" s="2241" t="str">
        <f>I375</f>
        <v>O.K</v>
      </c>
    </row>
    <row r="43" spans="1:20">
      <c r="E43" s="25" t="s">
        <v>1179</v>
      </c>
      <c r="G43" s="22" t="s">
        <v>1180</v>
      </c>
      <c r="K43" s="286"/>
      <c r="M43" s="2238" t="s">
        <v>1899</v>
      </c>
      <c r="N43" s="2239"/>
      <c r="O43" s="2239"/>
      <c r="P43" s="2240" t="str">
        <f>IF(AND(F591="O.K",F592="O.K",F593="O.K",F603="O.K",F604="O.K",F605="O.K"),"O.K","not O.K")</f>
        <v>O.K</v>
      </c>
      <c r="S43" s="785">
        <f>+P31+Q31</f>
        <v>122.41617647058825</v>
      </c>
      <c r="T43">
        <f>+S43/2</f>
        <v>61.208088235294127</v>
      </c>
    </row>
    <row r="44" spans="1:20">
      <c r="C44" s="187" t="s">
        <v>1181</v>
      </c>
      <c r="G44" s="2101">
        <f>'RS Wing'!I55*1000</f>
        <v>900</v>
      </c>
      <c r="K44" s="286"/>
    </row>
    <row r="45" spans="1:20">
      <c r="C45" s="1033"/>
      <c r="F45" s="1033"/>
      <c r="G45" s="2101">
        <f>'RS Wing'!O52*1000</f>
        <v>300</v>
      </c>
      <c r="K45" s="286"/>
      <c r="O45" s="33"/>
      <c r="P45" s="33"/>
      <c r="Q45" s="33"/>
      <c r="R45" s="33"/>
      <c r="S45" s="33"/>
      <c r="T45" s="33"/>
    </row>
    <row r="46" spans="1:20">
      <c r="C46" s="980">
        <v>1800</v>
      </c>
      <c r="D46" s="848"/>
      <c r="E46" s="579">
        <v>400</v>
      </c>
      <c r="F46" s="579">
        <v>1200</v>
      </c>
      <c r="K46" s="286"/>
      <c r="O46" s="33"/>
      <c r="P46" s="33"/>
      <c r="Q46" s="33"/>
      <c r="R46" s="33"/>
      <c r="S46" s="33"/>
      <c r="T46" s="33"/>
    </row>
    <row r="47" spans="1:20">
      <c r="K47" s="286"/>
      <c r="O47" s="33"/>
      <c r="P47" s="33"/>
      <c r="Q47" s="33"/>
      <c r="R47" s="33"/>
      <c r="S47" s="33"/>
      <c r="T47" s="33"/>
    </row>
    <row r="48" spans="1:20">
      <c r="D48" s="187">
        <f>$C$46+$E$46+$F$46</f>
        <v>3400</v>
      </c>
      <c r="K48" s="286"/>
      <c r="L48" s="16"/>
      <c r="M48" s="33"/>
      <c r="N48" s="33"/>
      <c r="O48" s="33"/>
      <c r="P48" s="33"/>
      <c r="Q48" s="33"/>
      <c r="R48" s="33"/>
      <c r="S48" s="33"/>
      <c r="T48" s="33"/>
    </row>
    <row r="49" spans="1:20">
      <c r="K49" s="286"/>
      <c r="L49" s="16"/>
      <c r="M49" s="33"/>
      <c r="N49" s="33"/>
      <c r="O49" s="33"/>
      <c r="P49" s="33"/>
      <c r="Q49" s="33"/>
      <c r="R49" s="33"/>
      <c r="S49" s="33"/>
      <c r="T49" s="33"/>
    </row>
    <row r="50" spans="1:20">
      <c r="A50" s="1" t="s">
        <v>1182</v>
      </c>
      <c r="K50" s="286"/>
      <c r="L50" s="16"/>
      <c r="M50" s="16"/>
      <c r="N50" s="16"/>
      <c r="O50" s="16"/>
      <c r="P50" s="16"/>
      <c r="Q50" s="16"/>
      <c r="R50" s="16"/>
    </row>
    <row r="51" spans="1:20">
      <c r="A51" s="1034"/>
      <c r="B51" s="423"/>
      <c r="C51" s="55"/>
      <c r="D51" s="406" t="s">
        <v>1183</v>
      </c>
      <c r="E51" s="55"/>
      <c r="F51" s="56"/>
      <c r="G51" s="355" t="s">
        <v>880</v>
      </c>
      <c r="H51" s="355" t="s">
        <v>1184</v>
      </c>
      <c r="I51" s="516" t="s">
        <v>1185</v>
      </c>
      <c r="J51" s="1343"/>
      <c r="K51" s="1035"/>
      <c r="L51" s="16"/>
      <c r="M51" s="386"/>
      <c r="N51" s="16"/>
      <c r="O51" s="16"/>
      <c r="P51" s="16"/>
      <c r="Q51" s="16"/>
      <c r="R51" s="16"/>
    </row>
    <row r="52" spans="1:20">
      <c r="A52" s="952"/>
      <c r="B52" s="949"/>
      <c r="C52" s="16"/>
      <c r="D52" s="16"/>
      <c r="E52" s="16"/>
      <c r="F52" s="58"/>
      <c r="G52" s="354" t="s">
        <v>1186</v>
      </c>
      <c r="H52" s="365" t="s">
        <v>952</v>
      </c>
      <c r="I52" s="380" t="s">
        <v>1187</v>
      </c>
      <c r="J52" s="1343"/>
      <c r="K52" s="1035"/>
      <c r="L52" s="16"/>
      <c r="M52" s="386"/>
      <c r="N52" s="16"/>
      <c r="O52" s="16"/>
      <c r="P52" s="16"/>
      <c r="Q52" s="16"/>
      <c r="R52" s="16"/>
    </row>
    <row r="53" spans="1:20">
      <c r="A53" s="3085" t="s">
        <v>1188</v>
      </c>
      <c r="B53" s="314" t="s">
        <v>1189</v>
      </c>
      <c r="C53" s="545" t="str">
        <f>"C1 = "&amp;E23&amp;" x "&amp;C31&amp;" x "&amp;D8&amp;"/10^6 ="</f>
        <v>C1 = 300 x 3900 x 23.6/10^6 =</v>
      </c>
      <c r="D53" s="55"/>
      <c r="E53" s="55"/>
      <c r="F53" s="56"/>
      <c r="G53" s="379">
        <f>(E23*C31*D8)/10^6</f>
        <v>27.612000000000009</v>
      </c>
      <c r="H53" s="1036">
        <f>(0.5*E23+F46)/1000</f>
        <v>1.35</v>
      </c>
      <c r="I53" s="379">
        <f>G53*H53</f>
        <v>37.276200000000017</v>
      </c>
      <c r="J53" s="107"/>
      <c r="K53" s="1037"/>
      <c r="L53" s="75"/>
      <c r="M53" s="785"/>
      <c r="N53" s="16"/>
      <c r="O53" s="107"/>
      <c r="P53" s="107"/>
      <c r="Q53" s="107"/>
      <c r="R53" s="16"/>
    </row>
    <row r="54" spans="1:20">
      <c r="A54" s="3200"/>
      <c r="B54" s="1038"/>
      <c r="C54" s="363" t="str">
        <f>"C2 = 0.5 x ("&amp;E46&amp;" - "&amp;E23&amp;")x"&amp;C31&amp;" x "&amp;D8&amp;"/10^6 ="</f>
        <v>C2 = 0.5 x (400 - 300)x3900 x 23.6/10^6 =</v>
      </c>
      <c r="D54" s="16"/>
      <c r="E54" s="16"/>
      <c r="F54" s="58"/>
      <c r="G54" s="103">
        <f>(0.5*(E46-E23)*C31*D8)/10^6</f>
        <v>4.6020000000000012</v>
      </c>
      <c r="H54" s="155">
        <f>((E46-E23)/3+E23+F46)/1000</f>
        <v>1.5333333333333332</v>
      </c>
      <c r="I54" s="103">
        <f>G54*H54</f>
        <v>7.0564000000000009</v>
      </c>
      <c r="J54" s="107"/>
      <c r="K54" s="1037"/>
      <c r="M54" s="785"/>
    </row>
    <row r="55" spans="1:20">
      <c r="A55" s="3200"/>
      <c r="B55" s="1038"/>
      <c r="C55" s="363" t="str">
        <f>"C3 = "&amp;G40&amp;" x "&amp;D48&amp;" x "&amp;D8&amp;"/10^6 ="</f>
        <v>C3 = 400 x 3400 x 23.6/10^6 =</v>
      </c>
      <c r="D55" s="16"/>
      <c r="E55" s="16"/>
      <c r="F55" s="58"/>
      <c r="G55" s="103">
        <f>(G40*D48*D8)/10^6</f>
        <v>32.096000000000004</v>
      </c>
      <c r="H55" s="155">
        <f>0.5*D48/1000</f>
        <v>1.7</v>
      </c>
      <c r="I55" s="103">
        <f>G55*H55</f>
        <v>54.563200000000002</v>
      </c>
      <c r="J55" s="107"/>
      <c r="K55" s="1037"/>
      <c r="M55" s="785"/>
    </row>
    <row r="56" spans="1:20">
      <c r="A56" s="3200"/>
      <c r="B56" s="1038"/>
      <c r="C56" s="363" t="str">
        <f>"C4 ="&amp;G44&amp;" x "&amp;G42&amp;" x "&amp;D8&amp;"/10^6 ="</f>
        <v>C4 =900 x 300 x 23.6/10^6 =</v>
      </c>
      <c r="D56" s="16"/>
      <c r="E56" s="16"/>
      <c r="F56" s="58"/>
      <c r="G56" s="103">
        <f>(G44*G42*D8)/10^6</f>
        <v>6.3719999999999999</v>
      </c>
      <c r="H56" s="155">
        <f>0.5*G44/1000</f>
        <v>0.45</v>
      </c>
      <c r="I56" s="103">
        <f>G56*H56</f>
        <v>2.8673999999999999</v>
      </c>
      <c r="J56" s="107"/>
      <c r="K56" s="1037"/>
      <c r="M56" s="785"/>
    </row>
    <row r="57" spans="1:20">
      <c r="A57" s="1039"/>
      <c r="B57" s="1038"/>
      <c r="C57" s="364" t="str">
        <f>"C5 = 0.5 x "&amp;G45&amp;" x "&amp;G42&amp;" x "&amp;D8&amp;"/10^6 ="</f>
        <v>C5 = 0.5 x 300 x 300 x 23.6/10^6 =</v>
      </c>
      <c r="D57" s="59"/>
      <c r="E57" s="59"/>
      <c r="F57" s="60"/>
      <c r="G57" s="103">
        <f>(0.5*(G45*G42*D8))/10^6</f>
        <v>1.0620000000000001</v>
      </c>
      <c r="H57" s="155">
        <f>(G45/3+G44)/1000</f>
        <v>1</v>
      </c>
      <c r="I57" s="103">
        <f>G57*H57</f>
        <v>1.0620000000000001</v>
      </c>
      <c r="J57" s="107"/>
      <c r="K57" s="1037"/>
      <c r="M57" s="785"/>
    </row>
    <row r="58" spans="1:20">
      <c r="A58" s="1039"/>
      <c r="B58" s="1040"/>
      <c r="C58" s="363"/>
      <c r="D58" s="16"/>
      <c r="E58" s="974"/>
      <c r="F58" s="1041" t="s">
        <v>1190</v>
      </c>
      <c r="G58" s="1042">
        <f>SUM(G53:G57)</f>
        <v>71.744000000000014</v>
      </c>
      <c r="H58" s="1043"/>
      <c r="I58" s="1042">
        <f>SUM(I53:I57)</f>
        <v>102.82520000000002</v>
      </c>
      <c r="J58" s="1348"/>
      <c r="K58" s="1037"/>
      <c r="M58" s="785"/>
    </row>
    <row r="59" spans="1:20">
      <c r="A59" s="1039"/>
      <c r="B59" s="1038" t="s">
        <v>1191</v>
      </c>
      <c r="C59" s="545" t="str">
        <f>"S1 = 0.5x "&amp;FIXED(E24,0)&amp;" x "&amp;C31&amp;" x "&amp;D11&amp;"/10^6 ="</f>
        <v>S1 = 0.5x 100 x 3900 x 18.9/10^6 =</v>
      </c>
      <c r="D59" s="55"/>
      <c r="E59" s="55"/>
      <c r="F59" s="56"/>
      <c r="G59" s="379">
        <f>(0.5*E24*C31*D11)/10^6</f>
        <v>3.6855000000000007</v>
      </c>
      <c r="H59" s="379">
        <f>(E46-E24/3+F46)/1000</f>
        <v>1.5666666666666667</v>
      </c>
      <c r="I59" s="1036">
        <f>G59*H59</f>
        <v>5.773950000000001</v>
      </c>
      <c r="J59" s="107"/>
      <c r="K59" s="1044"/>
      <c r="M59" s="785"/>
      <c r="N59" s="62"/>
    </row>
    <row r="60" spans="1:20">
      <c r="A60" s="952"/>
      <c r="B60" s="1038" t="s">
        <v>1192</v>
      </c>
      <c r="C60" s="363" t="str">
        <f>"S2 = "&amp;C46&amp;" x "&amp;C31&amp;" x "&amp;D11&amp;"/10^6 ="</f>
        <v>S2 = 1800 x 3900 x 18.9/10^6 =</v>
      </c>
      <c r="D60" s="16"/>
      <c r="E60" s="16"/>
      <c r="F60" s="58"/>
      <c r="G60" s="103">
        <f>(C46*C31*D11)/10^6</f>
        <v>132.67800000000003</v>
      </c>
      <c r="H60" s="103">
        <f>(0.5*C46+E46+F46)/1000</f>
        <v>2.5</v>
      </c>
      <c r="I60" s="155">
        <f>G60*H60</f>
        <v>331.69500000000005</v>
      </c>
      <c r="J60" s="107"/>
      <c r="K60" s="1044"/>
      <c r="M60" s="785"/>
    </row>
    <row r="61" spans="1:20">
      <c r="A61" s="952"/>
      <c r="B61" s="1038" t="s">
        <v>1193</v>
      </c>
      <c r="C61" s="1045" t="str">
        <f>IF(F21="n","Passive pressure not considered","S6 = "&amp;F46&amp;" x "&amp;F35&amp;" x "&amp;D11&amp;"/1000 =")</f>
        <v>S6 = 1200 x 0 x 18.9/1000 =</v>
      </c>
      <c r="D61" s="16"/>
      <c r="E61" s="16"/>
      <c r="F61" s="58"/>
      <c r="G61" s="103">
        <f>IF(F21="n",0,F46*F35*D11/1000)</f>
        <v>0</v>
      </c>
      <c r="H61" s="103">
        <f>F46/2/1000</f>
        <v>0.6</v>
      </c>
      <c r="I61" s="155">
        <f>G61*H61</f>
        <v>0</v>
      </c>
      <c r="J61" s="107"/>
      <c r="K61" s="1044"/>
      <c r="M61" s="785"/>
    </row>
    <row r="62" spans="1:20">
      <c r="A62" s="952"/>
      <c r="B62" s="1040" t="s">
        <v>1194</v>
      </c>
      <c r="C62" s="364" t="str">
        <f>"S5 = "&amp;H16&amp;" x "&amp;C46&amp;"/1000 ="</f>
        <v>S5 = 0 x 1800/1000 =</v>
      </c>
      <c r="D62" s="59"/>
      <c r="E62" s="59"/>
      <c r="F62" s="60"/>
      <c r="G62" s="103">
        <f>H16*C46/1000</f>
        <v>0</v>
      </c>
      <c r="H62" s="103">
        <f>(0.5*C46+E46+F46)/1000</f>
        <v>2.5</v>
      </c>
      <c r="I62" s="272">
        <f>G62*H62</f>
        <v>0</v>
      </c>
      <c r="J62" s="368"/>
      <c r="K62" s="1046"/>
      <c r="M62" s="785"/>
    </row>
    <row r="63" spans="1:20">
      <c r="A63" s="1342"/>
      <c r="B63" s="1047"/>
      <c r="C63" s="16"/>
      <c r="D63" s="1048"/>
      <c r="E63" s="1049" t="s">
        <v>1195</v>
      </c>
      <c r="F63" s="58"/>
      <c r="G63" s="1050">
        <f>G58+SUM(G59:G62)</f>
        <v>208.10750000000002</v>
      </c>
      <c r="H63" s="1051" t="s">
        <v>1196</v>
      </c>
      <c r="I63" s="1052">
        <f>I58+SUM(I59:I62)+I66</f>
        <v>440.85279582280066</v>
      </c>
      <c r="J63" s="1063"/>
      <c r="K63" s="1053"/>
      <c r="M63" s="785"/>
    </row>
    <row r="64" spans="1:20">
      <c r="A64" s="1054" t="s">
        <v>1197</v>
      </c>
      <c r="B64" s="56" t="s">
        <v>1363</v>
      </c>
      <c r="C64" s="545" t="str">
        <f>"P = 0.5 x "&amp;FIXED(G10,3)&amp;" x "&amp;D11&amp;" x ("&amp;A31&amp;"/1000)^2 ="</f>
        <v>P = 0.5 x 0.361 x 18.9 x (4300/1000)^2 =</v>
      </c>
      <c r="D64" s="55"/>
      <c r="E64" s="55"/>
      <c r="F64" s="56"/>
      <c r="G64" s="103">
        <f>0.5*G10*D11*(A31/1000)^2</f>
        <v>63.055459044529421</v>
      </c>
      <c r="H64" s="352">
        <f>((C31+G40)/1000)/3</f>
        <v>1.4333333333333333</v>
      </c>
      <c r="I64" s="379">
        <f>G64*H64</f>
        <v>90.379491297158836</v>
      </c>
      <c r="J64" s="107"/>
      <c r="K64" s="1044"/>
      <c r="L64" s="23"/>
      <c r="M64" s="785"/>
    </row>
    <row r="65" spans="1:13">
      <c r="A65" s="1055" t="s">
        <v>1198</v>
      </c>
      <c r="B65" s="58" t="s">
        <v>1364</v>
      </c>
      <c r="C65" s="363" t="str">
        <f>"P5 = "&amp;FIXED(G10,3)&amp;" x "&amp;H16&amp;" x "&amp;A31&amp;"/1000="</f>
        <v>P5 = 0.361 x 0 x 4300/1000=</v>
      </c>
      <c r="D65" s="16"/>
      <c r="E65" s="16"/>
      <c r="F65" s="58"/>
      <c r="G65" s="103">
        <f>G10*H16*(C31+G40)/1000</f>
        <v>0</v>
      </c>
      <c r="H65" s="352">
        <f>(C31+G40)/2/1000</f>
        <v>2.15</v>
      </c>
      <c r="I65" s="103">
        <f>G65*H65</f>
        <v>0</v>
      </c>
      <c r="J65" s="107"/>
      <c r="K65" s="1044"/>
      <c r="L65" s="23"/>
      <c r="M65" s="785"/>
    </row>
    <row r="66" spans="1:13">
      <c r="A66" s="1055"/>
      <c r="B66" s="518" t="s">
        <v>1193</v>
      </c>
      <c r="C66" s="1056" t="str">
        <f>IF(F21="n","Passive pressure not considered","P6 = 0.5 x "&amp;FIXED(G11,3)&amp;" x "&amp;D11&amp;" x "&amp;I36&amp;"^2 =")</f>
        <v>P6 = 0.5 x 2.771 x 18.9 x 0.4^2 =</v>
      </c>
      <c r="D66" s="59"/>
      <c r="E66" s="59"/>
      <c r="F66" s="60"/>
      <c r="G66" s="103">
        <f>IF(F21="n",0,0.5*G11*D11*I36^2)</f>
        <v>4.189843671004426</v>
      </c>
      <c r="H66" s="352">
        <f>I36/3</f>
        <v>0.13333333333333344</v>
      </c>
      <c r="I66" s="138">
        <f>G66*H66</f>
        <v>0.55864582280059061</v>
      </c>
      <c r="J66" s="107"/>
      <c r="K66" s="1044"/>
      <c r="L66" s="23"/>
      <c r="M66" s="785"/>
    </row>
    <row r="67" spans="1:13">
      <c r="A67" s="1058"/>
      <c r="B67" s="1057"/>
      <c r="C67" s="1057"/>
      <c r="D67" s="1059"/>
      <c r="E67" s="280"/>
      <c r="F67" s="95" t="s">
        <v>1199</v>
      </c>
      <c r="G67" s="457">
        <f>G64+G65-G66</f>
        <v>58.865615373524996</v>
      </c>
      <c r="H67" s="1060" t="s">
        <v>1200</v>
      </c>
      <c r="I67" s="170">
        <f>I64+I65</f>
        <v>90.379491297158836</v>
      </c>
      <c r="J67" s="107"/>
      <c r="K67" s="1044"/>
      <c r="M67" s="785"/>
    </row>
    <row r="68" spans="1:13">
      <c r="C68" s="16"/>
      <c r="D68" s="16"/>
      <c r="E68" s="16"/>
      <c r="K68" s="286"/>
      <c r="M68" s="785"/>
    </row>
    <row r="69" spans="1:13">
      <c r="A69" s="1061" t="s">
        <v>1201</v>
      </c>
      <c r="C69" s="386"/>
      <c r="D69" s="386"/>
      <c r="E69" s="386"/>
      <c r="F69" s="386"/>
      <c r="G69" s="16"/>
      <c r="H69" s="16"/>
      <c r="I69" s="16"/>
      <c r="J69" s="16"/>
      <c r="K69" s="1062"/>
      <c r="M69" s="46"/>
    </row>
    <row r="70" spans="1:13">
      <c r="A70" s="385" t="str">
        <f>"Overturning ="&amp;FIXED(I63,2)&amp;"/"&amp;FIXED(I67,2)&amp;" ="</f>
        <v>Overturning =440.85/90.38 =</v>
      </c>
      <c r="C70" s="386"/>
      <c r="D70" s="386"/>
      <c r="E70" s="1063">
        <f>I63/I67</f>
        <v>4.8777968264207221</v>
      </c>
      <c r="F70" s="1064" t="str">
        <f>IF(E70&gt;=1.5,"Ok","Not ok")</f>
        <v>Ok</v>
      </c>
      <c r="G70" s="16"/>
      <c r="H70" s="16"/>
      <c r="I70" s="16"/>
      <c r="J70" s="16"/>
      <c r="K70" s="1062"/>
      <c r="M70" s="46"/>
    </row>
    <row r="71" spans="1:13">
      <c r="A71" s="386" t="str">
        <f>"Sliding = "&amp;FIXED(G63,2)&amp;" x TAN("&amp;D15&amp;") / "&amp;FIXED(G67,2)&amp;" ="</f>
        <v>Sliding = 208.11 x TAN(28) / 58.87 =</v>
      </c>
      <c r="C71" s="386"/>
      <c r="D71" s="386"/>
      <c r="E71" s="1063">
        <f>(TAN(F15)*G63)/G67</f>
        <v>1.8806434367942741</v>
      </c>
      <c r="F71" s="1064" t="str">
        <f>IF(E71&gt;=1.5,"Ok","Not ok")</f>
        <v>Ok</v>
      </c>
      <c r="G71" s="16"/>
      <c r="H71" s="16"/>
      <c r="I71" s="16"/>
      <c r="J71" s="16"/>
      <c r="K71" s="1062"/>
      <c r="M71" s="46"/>
    </row>
    <row r="72" spans="1:13">
      <c r="G72" s="16"/>
      <c r="H72" s="16"/>
      <c r="I72" s="16"/>
      <c r="J72" s="16"/>
      <c r="K72" s="1062"/>
      <c r="M72" s="46"/>
    </row>
    <row r="73" spans="1:13">
      <c r="A73" s="41" t="s">
        <v>1202</v>
      </c>
      <c r="K73" s="286"/>
      <c r="M73" s="46"/>
    </row>
    <row r="74" spans="1:13">
      <c r="A74" s="187" t="s">
        <v>1203</v>
      </c>
      <c r="E74" s="191" t="s">
        <v>35</v>
      </c>
      <c r="F74" s="54">
        <f>D48/1000</f>
        <v>3.4</v>
      </c>
      <c r="G74" s="187" t="s">
        <v>5</v>
      </c>
      <c r="K74" s="286"/>
      <c r="M74" s="224"/>
    </row>
    <row r="75" spans="1:13" ht="15.75">
      <c r="A75" s="187" t="s">
        <v>1204</v>
      </c>
      <c r="D75" s="38"/>
      <c r="E75" s="191" t="s">
        <v>35</v>
      </c>
      <c r="F75" s="54">
        <f>(I63-I67)/G63</f>
        <v>1.6840974233299704</v>
      </c>
      <c r="G75" s="187" t="s">
        <v>1205</v>
      </c>
      <c r="K75" s="286"/>
      <c r="M75" s="224"/>
    </row>
    <row r="76" spans="1:13" ht="15.75">
      <c r="A76" s="187" t="s">
        <v>1206</v>
      </c>
      <c r="D76" s="38"/>
      <c r="E76" s="191" t="s">
        <v>35</v>
      </c>
      <c r="F76" s="54">
        <f>+F74/6</f>
        <v>0.56666666666666665</v>
      </c>
      <c r="G76" s="187" t="s">
        <v>5</v>
      </c>
      <c r="K76" s="286"/>
      <c r="M76" s="224"/>
    </row>
    <row r="77" spans="1:13" ht="15.75">
      <c r="A77" s="187" t="s">
        <v>1207</v>
      </c>
      <c r="E77" s="191" t="s">
        <v>35</v>
      </c>
      <c r="F77" s="84">
        <f>+F74/2-F75</f>
        <v>1.5902576670029589E-2</v>
      </c>
      <c r="G77" s="187" t="s">
        <v>1208</v>
      </c>
      <c r="K77" s="286"/>
      <c r="M77" s="224"/>
    </row>
    <row r="78" spans="1:13">
      <c r="A78" s="1065" t="str">
        <f>IF(F77&lt;0,"Resultant is towards heel","Resultant is towards toe")</f>
        <v>Resultant is towards toe</v>
      </c>
      <c r="B78" s="1065"/>
      <c r="C78" s="1065"/>
      <c r="F78" s="1066" t="str">
        <f>+IF(ABS(F77)&lt;=F76,"i,e Resultant is in middle third","i,e Resultantis outside middle third")</f>
        <v>i,e Resultant is in middle third</v>
      </c>
      <c r="G78" s="1066"/>
      <c r="H78" s="1066"/>
      <c r="I78" s="46"/>
      <c r="J78" s="46"/>
      <c r="K78" s="286"/>
      <c r="M78" s="46"/>
    </row>
    <row r="79" spans="1:13">
      <c r="D79" s="14"/>
      <c r="K79" s="286"/>
      <c r="M79" s="46"/>
    </row>
    <row r="80" spans="1:13">
      <c r="A80" s="1" t="s">
        <v>1209</v>
      </c>
      <c r="D80" s="14"/>
      <c r="K80" s="286"/>
      <c r="M80" s="46"/>
    </row>
    <row r="81" spans="1:20">
      <c r="A81" t="s">
        <v>1210</v>
      </c>
      <c r="D81" s="2" t="s">
        <v>35</v>
      </c>
      <c r="E81" s="10">
        <f>(G63/F74)*(1+(6*F77)/F74)</f>
        <v>62.925793498801845</v>
      </c>
      <c r="F81" t="s">
        <v>1211</v>
      </c>
      <c r="K81" s="286"/>
      <c r="M81" s="224"/>
    </row>
    <row r="82" spans="1:20">
      <c r="A82" t="s">
        <v>1212</v>
      </c>
      <c r="D82" s="2" t="s">
        <v>35</v>
      </c>
      <c r="E82" s="10">
        <f>(G63/F74)*(1-(6*F77)/F74)</f>
        <v>59.490382971786417</v>
      </c>
      <c r="F82" t="s">
        <v>1211</v>
      </c>
      <c r="K82" s="286"/>
      <c r="M82" s="224"/>
    </row>
    <row r="83" spans="1:20">
      <c r="D83" s="582"/>
      <c r="K83" s="286"/>
      <c r="M83" s="46"/>
    </row>
    <row r="84" spans="1:20">
      <c r="A84" s="1"/>
      <c r="B84" s="1"/>
      <c r="C84" s="388"/>
      <c r="D84" s="1067" t="str">
        <f>IF(F77&lt;0,"e = "&amp;FIXED(F77,2),"")</f>
        <v/>
      </c>
      <c r="E84" s="203" t="s">
        <v>1213</v>
      </c>
      <c r="F84" s="85">
        <f>F74/2</f>
        <v>1.7</v>
      </c>
      <c r="K84" s="286"/>
    </row>
    <row r="85" spans="1:20" ht="15.75">
      <c r="B85" s="38"/>
      <c r="D85" s="1068" t="s">
        <v>1214</v>
      </c>
      <c r="E85" s="203"/>
      <c r="F85" s="36"/>
      <c r="I85" s="3277" t="s">
        <v>1181</v>
      </c>
      <c r="J85" s="1344"/>
      <c r="K85" s="286"/>
    </row>
    <row r="86" spans="1:20" ht="15.75">
      <c r="B86" s="1069" t="s">
        <v>1215</v>
      </c>
      <c r="C86" s="1070"/>
      <c r="D86" s="1071"/>
      <c r="E86" s="1070"/>
      <c r="F86" s="1070"/>
      <c r="G86" s="1072" t="s">
        <v>1216</v>
      </c>
      <c r="I86" s="3277"/>
      <c r="J86" s="1344"/>
      <c r="K86" s="286"/>
    </row>
    <row r="87" spans="1:20">
      <c r="B87" s="1073" t="s">
        <v>44</v>
      </c>
      <c r="C87" s="1070"/>
      <c r="D87" s="1071"/>
      <c r="E87" s="1070"/>
      <c r="F87" s="1070"/>
      <c r="G87" s="1072" t="s">
        <v>45</v>
      </c>
      <c r="I87" s="3277"/>
      <c r="J87" s="1344"/>
      <c r="K87" s="286"/>
    </row>
    <row r="88" spans="1:20" ht="15.75">
      <c r="A88" s="1"/>
      <c r="B88" s="38"/>
      <c r="D88" s="14"/>
      <c r="E88" s="2"/>
      <c r="F88" s="17"/>
      <c r="G88" s="2"/>
      <c r="H88" s="18"/>
      <c r="I88" s="18"/>
      <c r="J88" s="18"/>
      <c r="K88" s="286"/>
    </row>
    <row r="89" spans="1:20">
      <c r="C89" s="490"/>
      <c r="D89" s="1074" t="str">
        <f>IF(F77&gt;0,"e = "&amp;FIXED(F77,2),"")</f>
        <v>e = 0.02</v>
      </c>
      <c r="E89" s="203" t="s">
        <v>1217</v>
      </c>
      <c r="F89" s="85">
        <f>F75</f>
        <v>1.6840974233299704</v>
      </c>
      <c r="K89" s="286"/>
    </row>
    <row r="90" spans="1:20">
      <c r="A90" s="27" t="s">
        <v>1218</v>
      </c>
      <c r="B90" s="36">
        <f>+E82</f>
        <v>59.490382971786417</v>
      </c>
      <c r="D90" s="221"/>
      <c r="G90" s="27" t="s">
        <v>1219</v>
      </c>
      <c r="H90" s="36">
        <f>+E81</f>
        <v>62.925793498801845</v>
      </c>
      <c r="I90" s="383"/>
      <c r="J90" s="383"/>
      <c r="K90" s="286"/>
    </row>
    <row r="91" spans="1:20" ht="15.75">
      <c r="B91" s="38"/>
      <c r="K91" s="286"/>
    </row>
    <row r="92" spans="1:20" ht="15.75">
      <c r="A92" s="976" t="s">
        <v>1220</v>
      </c>
      <c r="B92" s="977"/>
      <c r="C92" s="977"/>
      <c r="D92" s="977"/>
      <c r="E92" s="977"/>
      <c r="F92" s="295"/>
      <c r="J92" s="46"/>
      <c r="K92" s="286"/>
      <c r="L92" s="981"/>
      <c r="M92" s="981"/>
      <c r="O92" s="982"/>
      <c r="P92" s="107"/>
      <c r="Q92" s="107"/>
      <c r="R92" s="107"/>
      <c r="S92" s="16"/>
      <c r="T92" s="16"/>
    </row>
    <row r="93" spans="1:20">
      <c r="D93" s="213" t="s">
        <v>1362</v>
      </c>
      <c r="E93" s="213"/>
      <c r="G93" s="46"/>
      <c r="H93" s="46"/>
      <c r="I93" s="1075" t="str">
        <f>F21</f>
        <v>y</v>
      </c>
      <c r="J93" s="234"/>
      <c r="K93" s="286"/>
      <c r="L93" s="981"/>
      <c r="M93" s="268"/>
      <c r="O93" s="981"/>
      <c r="P93" s="107"/>
      <c r="Q93" s="107"/>
      <c r="R93" s="107"/>
      <c r="S93" s="16"/>
      <c r="T93" s="16"/>
    </row>
    <row r="94" spans="1:20">
      <c r="C94" s="219" t="s">
        <v>1164</v>
      </c>
      <c r="D94" s="129">
        <f>$E$123-$E$94-$D$102</f>
        <v>74.355468261788772</v>
      </c>
      <c r="E94" s="187">
        <f>$E$23</f>
        <v>300</v>
      </c>
      <c r="J94" s="46"/>
      <c r="K94" s="286"/>
      <c r="L94" s="981"/>
      <c r="M94" s="981"/>
      <c r="O94" s="967"/>
      <c r="S94" s="16"/>
      <c r="T94" s="16"/>
    </row>
    <row r="95" spans="1:20">
      <c r="B95" s="203" t="s">
        <v>1165</v>
      </c>
      <c r="C95" s="189">
        <f>+C24</f>
        <v>10</v>
      </c>
      <c r="I95" s="320"/>
      <c r="J95" s="1355"/>
      <c r="K95" s="286"/>
      <c r="L95" s="981"/>
      <c r="M95" s="2"/>
      <c r="O95" s="981"/>
    </row>
    <row r="96" spans="1:20">
      <c r="D96" s="30"/>
      <c r="E96" s="492"/>
      <c r="H96" s="9"/>
      <c r="J96" s="46"/>
      <c r="K96" s="286"/>
      <c r="L96" s="981"/>
      <c r="M96" s="981"/>
      <c r="O96" s="1076"/>
    </row>
    <row r="97" spans="1:20">
      <c r="E97" s="1014"/>
      <c r="F97" s="201">
        <f>(C95-D111)*1000</f>
        <v>3900.0000000000005</v>
      </c>
      <c r="J97" s="46"/>
      <c r="K97" s="286"/>
      <c r="L97" s="981"/>
      <c r="M97" s="981"/>
      <c r="O97" s="981"/>
    </row>
    <row r="98" spans="1:20">
      <c r="D98" s="30"/>
      <c r="E98" s="1014"/>
      <c r="J98" s="46"/>
      <c r="K98" s="286"/>
      <c r="L98" s="981"/>
      <c r="M98" s="981"/>
      <c r="O98" s="981"/>
    </row>
    <row r="99" spans="1:20">
      <c r="A99" s="9">
        <f>IF(D104&gt;C95,0,(C95-D104)*1000)</f>
        <v>2899.8632622097621</v>
      </c>
      <c r="E99" s="492"/>
      <c r="J99" s="46"/>
      <c r="K99" s="286"/>
      <c r="L99" s="981"/>
      <c r="M99" s="981"/>
      <c r="N99" s="984"/>
      <c r="O99" s="981"/>
      <c r="P99" s="16"/>
      <c r="Q99" s="16"/>
      <c r="R99" s="386"/>
      <c r="S99" s="386"/>
      <c r="T99" s="46"/>
    </row>
    <row r="100" spans="1:20">
      <c r="C100" s="16"/>
      <c r="D100" s="1077"/>
      <c r="E100" s="1014"/>
      <c r="F100" s="187" t="s">
        <v>1221</v>
      </c>
      <c r="G100" s="187" t="s">
        <v>1222</v>
      </c>
      <c r="H100" s="1078">
        <f>H5</f>
        <v>6.1</v>
      </c>
      <c r="I100" s="1079"/>
      <c r="J100" s="1079"/>
      <c r="K100" s="1080"/>
      <c r="M100" s="241"/>
      <c r="N100" s="107"/>
      <c r="O100" s="107"/>
      <c r="P100" s="107"/>
      <c r="Q100" s="107"/>
      <c r="R100" s="448"/>
      <c r="S100" s="386"/>
      <c r="T100" s="386"/>
    </row>
    <row r="101" spans="1:20">
      <c r="C101" s="1081" t="s">
        <v>1166</v>
      </c>
      <c r="D101" s="22"/>
      <c r="E101" s="1014"/>
      <c r="J101" s="46"/>
      <c r="K101" s="286"/>
      <c r="L101" s="985" t="s">
        <v>1167</v>
      </c>
      <c r="M101" s="986"/>
      <c r="N101" s="987"/>
      <c r="O101" s="986"/>
      <c r="P101" s="988"/>
      <c r="Q101" s="986"/>
      <c r="R101" s="989"/>
      <c r="S101" s="972"/>
      <c r="T101" s="972"/>
    </row>
    <row r="102" spans="1:20">
      <c r="D102" s="294">
        <f>IF(D104&gt;D111,((E123-E94)*C108)/F97,0)</f>
        <v>25.644531738211231</v>
      </c>
      <c r="J102" s="46"/>
      <c r="K102" s="286"/>
      <c r="L102" s="990" t="s">
        <v>673</v>
      </c>
      <c r="M102" s="991" t="s">
        <v>1169</v>
      </c>
      <c r="N102" s="2103" t="s">
        <v>1170</v>
      </c>
      <c r="O102" s="991" t="s">
        <v>303</v>
      </c>
      <c r="P102" s="992" t="s">
        <v>45</v>
      </c>
      <c r="Q102" s="991" t="s">
        <v>44</v>
      </c>
      <c r="R102" s="46"/>
      <c r="S102" s="46"/>
      <c r="T102" s="46"/>
    </row>
    <row r="103" spans="1:20">
      <c r="B103" s="1" t="s">
        <v>45</v>
      </c>
      <c r="H103" s="320">
        <f>IF(H100&gt;C95,(C95-D114)*1000,IF(H100&lt;D114,0,(H100-D114)*1000))</f>
        <v>400.00000000000034</v>
      </c>
      <c r="I103" s="187"/>
      <c r="J103" s="109"/>
      <c r="K103" s="286"/>
      <c r="L103" s="999" t="s">
        <v>117</v>
      </c>
      <c r="M103" s="1000">
        <f>$E$70</f>
        <v>4.8777968264207221</v>
      </c>
      <c r="N103" s="1001">
        <f>$E$71</f>
        <v>1.8806434367942741</v>
      </c>
      <c r="O103" s="1002">
        <f>$F$77</f>
        <v>1.5902576670029589E-2</v>
      </c>
      <c r="P103" s="1001">
        <f>$E$81</f>
        <v>62.925793498801845</v>
      </c>
      <c r="Q103" s="1000">
        <f>$E$82</f>
        <v>59.490382971786417</v>
      </c>
      <c r="R103" s="46"/>
      <c r="S103" s="46"/>
      <c r="T103" s="46"/>
    </row>
    <row r="104" spans="1:20">
      <c r="C104" s="203" t="s">
        <v>885</v>
      </c>
      <c r="D104" s="1078">
        <f>H4</f>
        <v>7.1001367377902378</v>
      </c>
      <c r="H104" s="17"/>
      <c r="I104" t="s">
        <v>1155</v>
      </c>
      <c r="J104" s="1082">
        <f>C6</f>
        <v>6.1</v>
      </c>
      <c r="K104" s="286"/>
      <c r="L104" s="994" t="s">
        <v>118</v>
      </c>
      <c r="M104" s="995">
        <f>$F$154</f>
        <v>2.8660285347480752</v>
      </c>
      <c r="N104" s="996">
        <f>$F$155</f>
        <v>1.4814445239221705</v>
      </c>
      <c r="O104" s="997">
        <f>$F$163</f>
        <v>8.8317602451131849E-2</v>
      </c>
      <c r="P104" s="996">
        <f>$E$167</f>
        <v>57.603554258637352</v>
      </c>
      <c r="Q104" s="995">
        <f>$E$168</f>
        <v>42.069111540986157</v>
      </c>
    </row>
    <row r="105" spans="1:20">
      <c r="A105" s="4"/>
      <c r="G105" s="5"/>
      <c r="J105" s="46"/>
      <c r="K105" s="286"/>
      <c r="L105" s="1003" t="s">
        <v>301</v>
      </c>
      <c r="M105" s="1004">
        <f>$E$239</f>
        <v>1.4335889970816178</v>
      </c>
      <c r="N105" s="1005">
        <f>$E$240</f>
        <v>2.1372984402852864</v>
      </c>
      <c r="O105" s="1006">
        <f>$F$247</f>
        <v>6.4065455201843147E-2</v>
      </c>
      <c r="P105" s="1005">
        <f>$E$251</f>
        <v>36.205802503485423</v>
      </c>
      <c r="Q105" s="1004">
        <f>$E$252</f>
        <v>28.850726908279295</v>
      </c>
    </row>
    <row r="106" spans="1:20">
      <c r="C106" s="203"/>
      <c r="D106" s="22"/>
      <c r="E106" s="1083" t="s">
        <v>1223</v>
      </c>
      <c r="F106" s="187"/>
      <c r="H106" s="197">
        <f>IF(H100&gt;C95,(C95-D111)*1000,IF(H100&lt;D111,0,($H$100-$D$111)*1000))</f>
        <v>0</v>
      </c>
      <c r="I106" s="197"/>
      <c r="J106" s="197"/>
      <c r="K106" s="1084"/>
    </row>
    <row r="107" spans="1:20">
      <c r="C107" s="219" t="s">
        <v>1224</v>
      </c>
      <c r="E107" s="25" t="s">
        <v>41</v>
      </c>
      <c r="G107" s="1015" t="s">
        <v>606</v>
      </c>
      <c r="H107" s="5"/>
      <c r="J107" s="11">
        <f>J104-D114</f>
        <v>0.40000000000000036</v>
      </c>
      <c r="K107" s="1085"/>
      <c r="P107" s="16"/>
    </row>
    <row r="108" spans="1:20">
      <c r="A108" s="9">
        <f>IF(D104&gt;C95,(C95-D114)*1000,(D104-D114)*1000)</f>
        <v>1400.1367377902386</v>
      </c>
      <c r="C108" s="296">
        <f>IF(D104&gt;C95,(C95-D111)*1000,($D$104-$D$111)*1000)</f>
        <v>1000.1367377902382</v>
      </c>
      <c r="G108" s="5"/>
      <c r="H108" s="5"/>
      <c r="I108" s="5"/>
      <c r="J108" s="508"/>
      <c r="K108" s="1085"/>
      <c r="L108" s="990" t="s">
        <v>673</v>
      </c>
      <c r="M108" s="1010" t="s">
        <v>1173</v>
      </c>
      <c r="N108" s="1011" t="s">
        <v>1174</v>
      </c>
      <c r="O108" s="1012"/>
      <c r="P108" s="992" t="s">
        <v>676</v>
      </c>
      <c r="Q108" s="1013"/>
    </row>
    <row r="109" spans="1:20">
      <c r="A109" s="27" t="s">
        <v>44</v>
      </c>
      <c r="F109" s="1014" t="s">
        <v>607</v>
      </c>
      <c r="G109" s="5"/>
      <c r="I109" s="320"/>
      <c r="J109" s="1355"/>
      <c r="K109" s="1086"/>
      <c r="L109" s="999" t="s">
        <v>117</v>
      </c>
      <c r="M109" s="1087">
        <f>$G$63</f>
        <v>208.10750000000002</v>
      </c>
      <c r="N109" s="1088">
        <f>$G$67</f>
        <v>58.865615373524996</v>
      </c>
      <c r="O109" s="1021" t="str">
        <f>$F$78</f>
        <v>i,e Resultant is in middle third</v>
      </c>
      <c r="P109" s="1022"/>
      <c r="Q109" s="1023"/>
    </row>
    <row r="110" spans="1:20">
      <c r="E110" s="1014"/>
      <c r="G110" s="4"/>
      <c r="I110" s="1015" t="s">
        <v>1176</v>
      </c>
      <c r="J110" s="1015"/>
      <c r="K110" s="286"/>
      <c r="L110" s="994" t="s">
        <v>118</v>
      </c>
      <c r="M110" s="996">
        <f>$F$142</f>
        <v>169.44353185935995</v>
      </c>
      <c r="N110" s="995">
        <f>$F$150</f>
        <v>60.844317137265357</v>
      </c>
      <c r="O110" s="1016" t="str">
        <f>$F$164</f>
        <v>i,e Resultant is in middle third</v>
      </c>
      <c r="P110" s="1017"/>
      <c r="Q110" s="1018"/>
    </row>
    <row r="111" spans="1:20">
      <c r="A111" s="27" t="s">
        <v>605</v>
      </c>
      <c r="C111" s="203" t="s">
        <v>1177</v>
      </c>
      <c r="D111" s="189">
        <f>D38</f>
        <v>6.1</v>
      </c>
      <c r="E111" s="187" t="s">
        <v>1225</v>
      </c>
      <c r="G111" s="957" t="s">
        <v>606</v>
      </c>
      <c r="K111" s="286"/>
      <c r="L111" s="1003" t="s">
        <v>301</v>
      </c>
      <c r="M111" s="1024">
        <f>$F$228</f>
        <v>110.59610000000001</v>
      </c>
      <c r="N111" s="1025">
        <f>$F$236</f>
        <v>27.526757870123944</v>
      </c>
      <c r="O111" s="1026" t="str">
        <f>$F$248</f>
        <v>i,e Resultant is in middle third</v>
      </c>
      <c r="P111" s="1027"/>
      <c r="Q111" s="1028"/>
    </row>
    <row r="112" spans="1:20">
      <c r="G112" s="4"/>
      <c r="K112" s="286"/>
    </row>
    <row r="113" spans="1:17">
      <c r="E113" s="1" t="s">
        <v>1178</v>
      </c>
      <c r="G113" s="5"/>
      <c r="H113" s="30">
        <f>G40</f>
        <v>400</v>
      </c>
      <c r="I113" s="30"/>
      <c r="J113" s="30"/>
      <c r="K113" s="998"/>
    </row>
    <row r="114" spans="1:17">
      <c r="C114" s="17" t="s">
        <v>1165</v>
      </c>
      <c r="D114" s="36">
        <f>C41</f>
        <v>5.6999999999999993</v>
      </c>
      <c r="G114" s="5"/>
      <c r="K114" s="286"/>
      <c r="M114" s="1031"/>
      <c r="N114" s="1032"/>
      <c r="O114" s="1031"/>
      <c r="P114" s="1032"/>
      <c r="Q114" s="386"/>
    </row>
    <row r="115" spans="1:17">
      <c r="H115" s="30">
        <f>+G42</f>
        <v>300</v>
      </c>
      <c r="I115" s="1015"/>
      <c r="J115" s="1015"/>
      <c r="K115" s="998"/>
      <c r="N115" s="1032"/>
      <c r="O115" s="1031"/>
      <c r="P115" s="1032"/>
      <c r="Q115" s="386"/>
    </row>
    <row r="116" spans="1:17">
      <c r="E116" s="25" t="s">
        <v>1179</v>
      </c>
      <c r="G116" s="22" t="s">
        <v>1180</v>
      </c>
      <c r="K116" s="286"/>
      <c r="M116" s="1031"/>
      <c r="N116" s="1032"/>
      <c r="O116" s="1031"/>
      <c r="P116" s="1089"/>
      <c r="Q116" s="386"/>
    </row>
    <row r="117" spans="1:17">
      <c r="A117" t="str">
        <f>FIXED(A108/1000,2)&amp;" * "&amp;D12&amp;" ="</f>
        <v>1.40 * 9.81 =</v>
      </c>
      <c r="B117" s="54">
        <f>A108*D12/1000</f>
        <v>13.735341397722241</v>
      </c>
      <c r="C117" t="s">
        <v>725</v>
      </c>
      <c r="G117" s="191">
        <f>$G$44</f>
        <v>900</v>
      </c>
      <c r="K117" s="286"/>
      <c r="M117" s="1032"/>
      <c r="N117" s="1090"/>
      <c r="O117" s="1090"/>
      <c r="P117" s="1090"/>
      <c r="Q117" s="386"/>
    </row>
    <row r="118" spans="1:17">
      <c r="D118" s="187" t="s">
        <v>1226</v>
      </c>
      <c r="G118" s="191">
        <f>$G$45</f>
        <v>300</v>
      </c>
      <c r="K118" s="286"/>
      <c r="M118" s="30"/>
      <c r="N118" s="1090"/>
      <c r="O118" s="1090"/>
      <c r="P118" s="1090"/>
      <c r="Q118" s="386"/>
    </row>
    <row r="119" spans="1:17">
      <c r="G119" s="3"/>
      <c r="K119" s="286"/>
      <c r="M119" s="1091"/>
      <c r="N119" s="1090"/>
      <c r="O119" s="1090"/>
      <c r="P119" s="1090"/>
      <c r="Q119" s="386"/>
    </row>
    <row r="120" spans="1:17">
      <c r="D120" s="187" t="s">
        <v>1227</v>
      </c>
      <c r="G120" t="str">
        <f>H103/1000&amp;"*"&amp;D12&amp;"="</f>
        <v>0.4*9.81=</v>
      </c>
      <c r="H120" s="210">
        <f>H103*D12/1000</f>
        <v>3.9240000000000035</v>
      </c>
      <c r="I120" s="187" t="s">
        <v>1229</v>
      </c>
      <c r="J120" s="187"/>
      <c r="K120" s="286"/>
      <c r="M120" s="1032"/>
      <c r="N120" s="1090"/>
      <c r="O120" s="1090"/>
      <c r="P120" s="1090"/>
      <c r="Q120" s="386"/>
    </row>
    <row r="121" spans="1:17">
      <c r="D121" s="187"/>
      <c r="F121" s="187" t="s">
        <v>1228</v>
      </c>
      <c r="I121" s="187"/>
      <c r="J121" s="187"/>
      <c r="K121" s="325"/>
    </row>
    <row r="122" spans="1:17">
      <c r="G122" s="3"/>
      <c r="K122" s="286"/>
    </row>
    <row r="123" spans="1:17">
      <c r="C123" s="187">
        <f>$C$46</f>
        <v>1800</v>
      </c>
      <c r="E123" s="191">
        <f>$E$46</f>
        <v>400</v>
      </c>
      <c r="F123" s="191">
        <f>$F$46</f>
        <v>1200</v>
      </c>
      <c r="K123" s="286"/>
    </row>
    <row r="124" spans="1:17">
      <c r="K124" s="286"/>
    </row>
    <row r="125" spans="1:17">
      <c r="D125" s="187">
        <f>$D$48</f>
        <v>3400</v>
      </c>
      <c r="K125" s="286"/>
    </row>
    <row r="126" spans="1:17">
      <c r="K126" s="286"/>
    </row>
    <row r="127" spans="1:17">
      <c r="A127" s="1" t="s">
        <v>1182</v>
      </c>
      <c r="K127" s="286"/>
    </row>
    <row r="128" spans="1:17">
      <c r="A128" s="495" t="s">
        <v>1230</v>
      </c>
      <c r="B128" s="423"/>
      <c r="C128" s="406" t="s">
        <v>1183</v>
      </c>
      <c r="D128" s="55"/>
      <c r="E128" s="56"/>
      <c r="F128" s="355" t="s">
        <v>880</v>
      </c>
      <c r="G128" s="355" t="s">
        <v>1184</v>
      </c>
      <c r="H128" s="406"/>
      <c r="I128" s="355" t="s">
        <v>1185</v>
      </c>
      <c r="J128" s="1343"/>
      <c r="K128" s="1035"/>
    </row>
    <row r="129" spans="1:13">
      <c r="A129" s="950" t="s">
        <v>1231</v>
      </c>
      <c r="B129" s="950"/>
      <c r="C129" s="77"/>
      <c r="D129" s="59"/>
      <c r="E129" s="60"/>
      <c r="F129" s="354" t="s">
        <v>725</v>
      </c>
      <c r="G129" s="354" t="s">
        <v>5</v>
      </c>
      <c r="H129" s="204"/>
      <c r="I129" s="354" t="s">
        <v>1232</v>
      </c>
      <c r="J129" s="1343"/>
      <c r="K129" s="1035"/>
    </row>
    <row r="130" spans="1:13">
      <c r="A130" s="363" t="s">
        <v>1189</v>
      </c>
      <c r="B130" s="1092" t="s">
        <v>1233</v>
      </c>
      <c r="C130" s="16"/>
      <c r="D130" s="16"/>
      <c r="E130" s="58"/>
      <c r="F130" s="103">
        <f>G58</f>
        <v>71.744000000000014</v>
      </c>
      <c r="G130" s="123" t="s">
        <v>1003</v>
      </c>
      <c r="H130" s="550" t="s">
        <v>1234</v>
      </c>
      <c r="I130" s="103">
        <f>I58</f>
        <v>102.82520000000002</v>
      </c>
      <c r="J130" s="107"/>
      <c r="K130" s="1044"/>
      <c r="L130" s="187"/>
      <c r="M130" s="107"/>
    </row>
    <row r="131" spans="1:13">
      <c r="A131" s="367"/>
      <c r="B131" s="1092"/>
      <c r="C131" s="16"/>
      <c r="D131" s="16"/>
      <c r="E131" s="58"/>
      <c r="F131" s="952"/>
      <c r="G131" s="952"/>
      <c r="H131" s="268"/>
      <c r="I131" s="952"/>
      <c r="J131" s="16"/>
      <c r="K131" s="1062"/>
      <c r="M131" s="107"/>
    </row>
    <row r="132" spans="1:13">
      <c r="A132" s="363" t="s">
        <v>1252</v>
      </c>
      <c r="B132" s="363" t="str">
        <f>"S1="&amp;FIXED(A99,0)&amp;"X("&amp;C123&amp;"+"&amp;FIXED(D102,0)&amp;")x"&amp;D10&amp;"/10^6="</f>
        <v>S1=2,900X(1800+26)x17.3/10^6=</v>
      </c>
      <c r="C132" s="16"/>
      <c r="D132" s="16"/>
      <c r="E132" s="58"/>
      <c r="F132" s="103">
        <f>($A$99*($C$123+$D$102)*$D$10)/10^6</f>
        <v>91.58826747874285</v>
      </c>
      <c r="G132" s="557">
        <f>((C123+D102)*0.5+D94+E94+F123)/1000</f>
        <v>2.4871777341308943</v>
      </c>
      <c r="H132" s="268" t="s">
        <v>1234</v>
      </c>
      <c r="I132" s="103">
        <f>$F$132*$G$132</f>
        <v>227.79629958075392</v>
      </c>
      <c r="J132" s="107"/>
      <c r="K132" s="1044"/>
      <c r="L132" s="187"/>
      <c r="M132" s="107"/>
    </row>
    <row r="133" spans="1:13">
      <c r="A133" s="363" t="s">
        <v>1252</v>
      </c>
      <c r="B133" s="363" t="str">
        <f>"S2=0.5x"&amp;FIXED(D94,0)&amp;"X"&amp;FIXED(A99,0)&amp;"X"&amp;D10&amp;"/10^6="</f>
        <v>S2=0.5x74X2,900X17.3/10^6=</v>
      </c>
      <c r="C133" s="16"/>
      <c r="D133" s="16"/>
      <c r="E133" s="58"/>
      <c r="F133" s="103">
        <f>0.5*D94*$A$99*$D$10/10^6</f>
        <v>1.8651189750460193</v>
      </c>
      <c r="G133" s="103">
        <f>(D94*2/3+E94+F123)/1000</f>
        <v>1.5495703121745259</v>
      </c>
      <c r="H133" s="268" t="s">
        <v>1234</v>
      </c>
      <c r="I133" s="103">
        <f>$F$133*$G$133</f>
        <v>2.8901329924046921</v>
      </c>
      <c r="J133" s="107"/>
      <c r="K133" s="1044"/>
      <c r="L133" s="187"/>
      <c r="M133" s="107"/>
    </row>
    <row r="134" spans="1:13">
      <c r="A134" s="363" t="s">
        <v>1235</v>
      </c>
      <c r="B134" s="363" t="str">
        <f>"S3="&amp;FIXED(C108,0)&amp;"X"&amp;C123&amp;"X"&amp;D11&amp;"/10^6="</f>
        <v>S3=1,000X1800X18.9/10^6=</v>
      </c>
      <c r="C134" s="16"/>
      <c r="D134" s="16"/>
      <c r="E134" s="58"/>
      <c r="F134" s="103">
        <f>$C$108*$C$123*$D$11/10^6</f>
        <v>34.024651819623898</v>
      </c>
      <c r="G134" s="103">
        <f>($C$123*0.5+$E$123+$F$123)/1000</f>
        <v>2.5</v>
      </c>
      <c r="H134" s="268" t="s">
        <v>1234</v>
      </c>
      <c r="I134" s="103">
        <f>$F$134*$G$134</f>
        <v>85.061629549059745</v>
      </c>
      <c r="J134" s="107"/>
      <c r="K134" s="1044"/>
      <c r="L134" s="187"/>
      <c r="M134" s="107"/>
    </row>
    <row r="135" spans="1:13">
      <c r="A135" s="363" t="s">
        <v>1235</v>
      </c>
      <c r="B135" s="363" t="str">
        <f>"S4=0.5x"&amp;FIXED(D102,0)&amp;"X"&amp;FIXED(C108,0)&amp;"X"&amp;D11&amp;"/10^6="</f>
        <v>S4=0.5x26X1,000X18.9/10^6=</v>
      </c>
      <c r="C135" s="16"/>
      <c r="D135" s="16"/>
      <c r="E135" s="58"/>
      <c r="F135" s="103">
        <f>0.5*$D$102*$C$108*$D$11/10^6</f>
        <v>0.24237396207498099</v>
      </c>
      <c r="G135" s="103">
        <f>($D$102*2/3+$D$94+$E$94+$F$123)/1000</f>
        <v>1.5914518227539298</v>
      </c>
      <c r="H135" s="268" t="s">
        <v>1234</v>
      </c>
      <c r="I135" s="103">
        <f>$F$135*$G$135</f>
        <v>0.38572648373232038</v>
      </c>
      <c r="J135" s="107"/>
      <c r="K135" s="1044"/>
      <c r="L135" s="187"/>
      <c r="M135" s="107"/>
    </row>
    <row r="136" spans="1:13">
      <c r="A136" s="363" t="s">
        <v>1236</v>
      </c>
      <c r="B136" s="363" t="str">
        <f>"W="&amp;H106&amp;"X"&amp;F123&amp;"X"&amp;D12&amp;"/10^6="</f>
        <v>W=0X1200X9.81/10^6=</v>
      </c>
      <c r="C136" s="16"/>
      <c r="D136" s="16"/>
      <c r="E136" s="58"/>
      <c r="F136" s="103">
        <f>$H$106*$F$123*$D$12/10^6</f>
        <v>0</v>
      </c>
      <c r="G136" s="103">
        <f>$F$123*0.5/1000</f>
        <v>0.6</v>
      </c>
      <c r="H136" s="268" t="s">
        <v>1234</v>
      </c>
      <c r="I136" s="103">
        <f>$F$136*$G$136</f>
        <v>0</v>
      </c>
      <c r="J136" s="107"/>
      <c r="K136" s="1044"/>
      <c r="L136" s="187"/>
      <c r="M136" s="107"/>
    </row>
    <row r="137" spans="1:13">
      <c r="A137" s="363" t="s">
        <v>1193</v>
      </c>
      <c r="B137" s="1045" t="str">
        <f>IF(I93="n","Passive pressure not considered","S6 = "&amp;F46&amp;" x "&amp;F35&amp;" x "&amp;D11&amp;"/1000 =")</f>
        <v>S6 = 1200 x 0 x 18.9/1000 =</v>
      </c>
      <c r="C137" s="16"/>
      <c r="D137" s="16"/>
      <c r="E137" s="58"/>
      <c r="F137" s="1093">
        <f>IF(F21="n",0,F46*F35*D11/1000)</f>
        <v>0</v>
      </c>
      <c r="G137" s="1093">
        <f>F46/2/1000</f>
        <v>0.6</v>
      </c>
      <c r="H137" s="268" t="s">
        <v>1234</v>
      </c>
      <c r="I137" s="1093">
        <f>F137*G137</f>
        <v>0</v>
      </c>
      <c r="J137" s="1140"/>
      <c r="K137" s="1044"/>
      <c r="L137" s="187"/>
      <c r="M137" s="107"/>
    </row>
    <row r="138" spans="1:13">
      <c r="A138" s="363" t="s">
        <v>1194</v>
      </c>
      <c r="B138" s="363" t="str">
        <f>"S5 = "&amp;H16&amp;" x "&amp;C46&amp;"/1000 ="</f>
        <v>S5 = 0 x 1800/1000 =</v>
      </c>
      <c r="C138" s="16"/>
      <c r="D138" s="16"/>
      <c r="E138" s="58"/>
      <c r="F138" s="103">
        <f>H16*C46/1000</f>
        <v>0</v>
      </c>
      <c r="G138" s="103">
        <f>(0.5*C46+E46+F46)/1000</f>
        <v>2.5</v>
      </c>
      <c r="H138" s="268" t="s">
        <v>1234</v>
      </c>
      <c r="I138" s="103">
        <f>F138*G138</f>
        <v>0</v>
      </c>
      <c r="J138" s="107"/>
      <c r="K138" s="1044"/>
      <c r="L138" s="187"/>
      <c r="M138" s="107"/>
    </row>
    <row r="139" spans="1:13">
      <c r="A139" s="367"/>
      <c r="B139" s="1092"/>
      <c r="C139" s="16"/>
      <c r="D139" s="16"/>
      <c r="E139" s="58"/>
      <c r="F139" s="952"/>
      <c r="G139" s="952"/>
      <c r="H139" s="268"/>
      <c r="I139" s="103"/>
      <c r="J139" s="107"/>
      <c r="K139" s="1044"/>
      <c r="M139" s="107"/>
    </row>
    <row r="140" spans="1:13">
      <c r="A140" s="348" t="s">
        <v>1237</v>
      </c>
      <c r="B140" s="363" t="str">
        <f>"U1 ="&amp;FIXED(B117,2)&amp;"X"&amp;D125&amp;"/1000 ="</f>
        <v>U1 =13.74X3400/1000 =</v>
      </c>
      <c r="C140" s="16"/>
      <c r="D140" s="16"/>
      <c r="E140" s="58"/>
      <c r="F140" s="103">
        <f>$B$117*$D$125/1000</f>
        <v>46.70016075225562</v>
      </c>
      <c r="G140" s="103">
        <f>$D$125*0.5/1000</f>
        <v>1.7</v>
      </c>
      <c r="H140" s="268" t="s">
        <v>1238</v>
      </c>
      <c r="I140" s="103">
        <f>$F$140*$G$140</f>
        <v>79.390273278834556</v>
      </c>
      <c r="J140" s="107"/>
      <c r="K140" s="1044"/>
      <c r="L140" s="187"/>
      <c r="M140" s="107"/>
    </row>
    <row r="141" spans="1:13">
      <c r="A141" s="348" t="s">
        <v>1237</v>
      </c>
      <c r="B141" s="1094" t="str">
        <f>"U2 =0.5*("&amp;FIXED(H120,2)&amp;"-"&amp;FIXED(B117,2)&amp;")x"&amp;D125&amp;"/1000 ="</f>
        <v>U2 =0.5*(3.92-13.74)x3400/1000 =</v>
      </c>
      <c r="C141" s="16"/>
      <c r="D141" s="16"/>
      <c r="E141" s="58"/>
      <c r="F141" s="138">
        <f>0.5*(H120-B117)*D125/1000</f>
        <v>-16.679280376127803</v>
      </c>
      <c r="G141" s="103">
        <f>D125/3/1000</f>
        <v>1.1333333333333333</v>
      </c>
      <c r="H141" s="268" t="s">
        <v>1238</v>
      </c>
      <c r="I141" s="103">
        <f>F141*G141</f>
        <v>-18.903184426278177</v>
      </c>
      <c r="J141" s="107"/>
      <c r="K141" s="1062"/>
      <c r="M141" s="107"/>
    </row>
    <row r="142" spans="1:13" ht="15.75">
      <c r="A142" s="101"/>
      <c r="B142" s="101"/>
      <c r="C142" s="1095"/>
      <c r="D142" s="102"/>
      <c r="E142" s="1096" t="s">
        <v>1239</v>
      </c>
      <c r="F142" s="1097">
        <f>SUM(F130:F138)-SUM(F140:F141)</f>
        <v>169.44353185935995</v>
      </c>
      <c r="G142" s="1098"/>
      <c r="H142" s="1099" t="s">
        <v>1240</v>
      </c>
      <c r="I142" s="1097">
        <f>SUM(I130:I138)+I149+I148</f>
        <v>419.43695064453573</v>
      </c>
      <c r="J142" s="1349"/>
      <c r="K142" s="1100"/>
      <c r="M142" s="107"/>
    </row>
    <row r="143" spans="1:13">
      <c r="A143" s="1101" t="s">
        <v>1241</v>
      </c>
      <c r="B143" s="16"/>
      <c r="C143" s="16"/>
      <c r="D143" s="16"/>
      <c r="F143" s="172"/>
      <c r="G143" s="93"/>
      <c r="H143" s="102"/>
      <c r="I143" s="172"/>
      <c r="J143" s="16"/>
      <c r="K143" s="1062"/>
      <c r="M143" s="107"/>
    </row>
    <row r="144" spans="1:13">
      <c r="A144" s="363" t="s">
        <v>1252</v>
      </c>
      <c r="B144" s="545" t="str">
        <f>"P1= 0.5x"&amp;FIXED(G10,3)&amp;"x"&amp;D10&amp;"x"&amp;FIXED(A99,0)&amp;"^2/10^6 ="</f>
        <v>P1= 0.5x0.361x17.3x2,900^2/10^6 =</v>
      </c>
      <c r="C144" s="55"/>
      <c r="D144" s="55"/>
      <c r="E144" s="56"/>
      <c r="F144" s="103">
        <f>0.5*$G$10*$D$10*$A$99^2/10^6</f>
        <v>26.249746853716839</v>
      </c>
      <c r="G144" s="107">
        <f>(A99/3+A108)/1000</f>
        <v>2.3667578251934929</v>
      </c>
      <c r="H144" s="1103" t="s">
        <v>1238</v>
      </c>
      <c r="I144" s="103">
        <f>$F$144*$G$144</f>
        <v>62.126793775382602</v>
      </c>
      <c r="J144" s="107"/>
      <c r="K144" s="1044"/>
      <c r="L144" s="187"/>
      <c r="M144" s="107"/>
    </row>
    <row r="145" spans="1:14">
      <c r="A145" s="363" t="s">
        <v>1252</v>
      </c>
      <c r="B145" s="363" t="str">
        <f>"P2="&amp;FIXED(G10,3)&amp;"x"&amp;D10&amp;"x"&amp;FIXED(A99,0)&amp;"x"&amp;FIXED(A108,0)&amp;"/10^6="</f>
        <v>P2=0.361x17.3x2,900x1,400/10^6=</v>
      </c>
      <c r="C145" s="16"/>
      <c r="D145" s="16"/>
      <c r="E145" s="58"/>
      <c r="F145" s="103">
        <f>$G$10*$D$10*$A$99*$A$108/10^6</f>
        <v>25.348253765300559</v>
      </c>
      <c r="G145" s="107">
        <f>(A108*0.5)/1000</f>
        <v>0.70006836889511925</v>
      </c>
      <c r="H145" s="1104" t="s">
        <v>1238</v>
      </c>
      <c r="I145" s="103">
        <f>$F$145*$G$145</f>
        <v>17.745510667813527</v>
      </c>
      <c r="J145" s="107"/>
      <c r="K145" s="1044"/>
      <c r="L145" s="187"/>
      <c r="M145" s="107"/>
      <c r="N145" s="16"/>
    </row>
    <row r="146" spans="1:14">
      <c r="A146" s="363" t="s">
        <v>1235</v>
      </c>
      <c r="B146" s="363" t="str">
        <f>"P3=0.5x["&amp;FIXED(G10,3)&amp;"x("&amp;D11&amp;"-"&amp;D12&amp;")+"&amp;D12&amp;"]*"&amp;FIXED(A108,0)/1000&amp;"^2="</f>
        <v>P3=0.5x[0.361x(18.9-9.81)+9.81]*1.4^2=</v>
      </c>
      <c r="C146" s="16"/>
      <c r="D146" s="16"/>
      <c r="E146" s="58"/>
      <c r="F146" s="103">
        <f>(0.5*($G$10*($D$11-$D$12)+$D$12)*$A$108^2)/10^6</f>
        <v>12.831031807635805</v>
      </c>
      <c r="G146" s="107">
        <f>(A108/3)/1000</f>
        <v>0.46671224593007954</v>
      </c>
      <c r="H146" s="1104" t="s">
        <v>1238</v>
      </c>
      <c r="I146" s="103">
        <f>$F$146*$G$146</f>
        <v>5.9883996725419948</v>
      </c>
      <c r="J146" s="107"/>
      <c r="K146" s="1044"/>
      <c r="L146" s="187"/>
      <c r="M146" s="107"/>
      <c r="N146" s="16"/>
    </row>
    <row r="147" spans="1:14">
      <c r="A147" s="363" t="s">
        <v>1194</v>
      </c>
      <c r="B147" s="1346" t="str">
        <f>"P5 ="&amp;FIXED(G10,3)&amp;" x "&amp;H16&amp;" x( "&amp;C31&amp;" + "&amp;G40&amp;")/1000="</f>
        <v>P5 =0.361 x 0 x( 3900 + 400)/1000=</v>
      </c>
      <c r="C147" s="16"/>
      <c r="D147" s="16"/>
      <c r="E147" s="58"/>
      <c r="F147" s="103">
        <f>G10*H16*(C31+G40)/1000</f>
        <v>0</v>
      </c>
      <c r="G147" s="107">
        <f>(C31+G40)/2/1000</f>
        <v>2.15</v>
      </c>
      <c r="H147" s="1105" t="s">
        <v>1238</v>
      </c>
      <c r="I147" s="103">
        <f>F147*G147</f>
        <v>0</v>
      </c>
      <c r="J147" s="107"/>
      <c r="K147" s="1044"/>
      <c r="L147" s="187"/>
      <c r="M147" s="107"/>
    </row>
    <row r="148" spans="1:14">
      <c r="A148" s="363" t="s">
        <v>1193</v>
      </c>
      <c r="B148" s="2102" t="str">
        <f>IF(I93="n","Passive pressure not considered","P6 = 0.5 x( "&amp;FIXED(G11,3)&amp;" * ("&amp;D11&amp;"-"&amp;D12&amp;")+"&amp;D12&amp;" )x "&amp;I36&amp;"^2 =")</f>
        <v>P6 = 0.5 x( 2.771 * (18.9-9.81)+9.81 )x 0.4^2 =</v>
      </c>
      <c r="C148" s="16"/>
      <c r="D148" s="16"/>
      <c r="E148" s="58"/>
      <c r="F148" s="1093">
        <f>IF(I93="n",0,0.5*(G11*(D11-D12)+D12)*I36^2)</f>
        <v>2.7999152893878443</v>
      </c>
      <c r="G148" s="107">
        <f>I36/3</f>
        <v>0.13333333333333344</v>
      </c>
      <c r="H148" s="1105" t="s">
        <v>1234</v>
      </c>
      <c r="I148" s="1093">
        <f>F148*G148</f>
        <v>0.3733220385850462</v>
      </c>
      <c r="J148" s="1140"/>
      <c r="K148" s="1044"/>
      <c r="L148" s="187"/>
      <c r="M148" s="107"/>
    </row>
    <row r="149" spans="1:14">
      <c r="A149" s="363" t="s">
        <v>1236</v>
      </c>
      <c r="B149" s="364" t="str">
        <f>"P4 = 0.5x"&amp;D12&amp;"x"&amp;H103&amp;"^2/10^6 ="</f>
        <v>P4 = 0.5x9.81x400^2/10^6 =</v>
      </c>
      <c r="C149" s="59"/>
      <c r="D149" s="59"/>
      <c r="E149" s="60"/>
      <c r="F149" s="103">
        <f>0.5*D12*H103^2/10^6</f>
        <v>0.78480000000000127</v>
      </c>
      <c r="G149" s="107">
        <f>H103/(3*1000)</f>
        <v>0.13333333333333344</v>
      </c>
      <c r="H149" s="1104" t="s">
        <v>1234</v>
      </c>
      <c r="I149" s="103">
        <f>$F$149*$G$149</f>
        <v>0.10464000000000026</v>
      </c>
      <c r="J149" s="107"/>
      <c r="K149" s="1044"/>
      <c r="L149" s="187"/>
      <c r="M149" s="107"/>
    </row>
    <row r="150" spans="1:14" ht="15.75">
      <c r="A150" s="101"/>
      <c r="B150" s="101"/>
      <c r="C150" s="102"/>
      <c r="D150" s="102"/>
      <c r="E150" s="1106" t="s">
        <v>1242</v>
      </c>
      <c r="F150" s="1107">
        <f>SUM(F144:F147)-F148-F149</f>
        <v>60.844317137265357</v>
      </c>
      <c r="G150" s="1098"/>
      <c r="H150" s="1099" t="s">
        <v>1243</v>
      </c>
      <c r="I150" s="1097">
        <f>SUM(I144:I147)+SUM(I140:I141)</f>
        <v>146.3477929682945</v>
      </c>
      <c r="J150" s="1349"/>
      <c r="K150" s="1100"/>
      <c r="M150" s="107"/>
    </row>
    <row r="151" spans="1:14">
      <c r="I151" s="27" t="str">
        <f>IF(F150&lt;0,"Horizontal pressure due to R/S Water &amp; soil  is Governing","Horizontal pressure due to C/S Earth  is Governing")</f>
        <v>Horizontal pressure due to C/S Earth  is Governing</v>
      </c>
      <c r="J151" s="27"/>
      <c r="K151" s="286"/>
    </row>
    <row r="152" spans="1:14">
      <c r="K152" s="286"/>
    </row>
    <row r="153" spans="1:14" ht="15">
      <c r="A153" s="387" t="s">
        <v>1201</v>
      </c>
      <c r="C153" s="46"/>
      <c r="D153" s="46"/>
      <c r="E153" s="46"/>
      <c r="F153" s="46"/>
      <c r="K153" s="286"/>
    </row>
    <row r="154" spans="1:14">
      <c r="A154" s="385" t="str">
        <f>"Overturning ="&amp;FIXED(I142,2)&amp;"/"&amp;FIXED(I150,2)&amp;" ="</f>
        <v>Overturning =419.44/146.35 =</v>
      </c>
      <c r="C154" s="109"/>
      <c r="D154" s="201"/>
      <c r="F154" s="1108">
        <f>$I$142/$I$150</f>
        <v>2.8660285347480752</v>
      </c>
      <c r="G154" s="1109" t="str">
        <f>IF(F154&gt;=1.5,"Ok","Not ok")</f>
        <v>Ok</v>
      </c>
      <c r="K154" s="286"/>
      <c r="M154" s="33"/>
    </row>
    <row r="155" spans="1:14">
      <c r="A155" s="386" t="str">
        <f>"Sliding = "&amp;FIXED(F142,2)&amp;" x TAN("&amp;D15&amp;") / "&amp;ABS(FIXED(F150,2))&amp;" ="</f>
        <v>Sliding = 169.44 x TAN(28) / 60.84 =</v>
      </c>
      <c r="C155" s="46"/>
      <c r="D155" s="90"/>
      <c r="F155" s="1108">
        <f>$F$142*TAN(F15)/ABS($F$150)</f>
        <v>1.4814445239221705</v>
      </c>
      <c r="G155" s="1109" t="str">
        <f>IF(F155&gt;=1.5,"Ok","Not ok")</f>
        <v>Not ok</v>
      </c>
      <c r="K155" s="286"/>
      <c r="M155" s="33"/>
    </row>
    <row r="156" spans="1:14">
      <c r="A156" s="109" t="str">
        <f>"Uplift=("&amp;FIXED(F142,2)&amp;"+"&amp;FIXED(F140,2)&amp;"+"&amp;FIXED(F141,2)&amp;")/("&amp;FIXED(F140,2)&amp;"+"&amp;FIXED(F141,2)&amp;")="</f>
        <v>Uplift=(169.44+46.70+-16.68)/(46.70+-16.68)=</v>
      </c>
      <c r="C156" s="46"/>
      <c r="D156" s="90"/>
      <c r="F156" s="1108">
        <f>(F142+F140+F141)/(F140+F141)</f>
        <v>6.6441893021264988</v>
      </c>
      <c r="G156" s="1109" t="str">
        <f>IF(F156&gt;=1.1,"Ok","Not ok")</f>
        <v>Ok</v>
      </c>
      <c r="K156" s="286"/>
      <c r="M156" s="33"/>
    </row>
    <row r="157" spans="1:14">
      <c r="K157" s="286"/>
      <c r="M157" s="33"/>
    </row>
    <row r="158" spans="1:14">
      <c r="A158" s="41" t="s">
        <v>1202</v>
      </c>
      <c r="K158" s="286"/>
      <c r="M158" s="33"/>
    </row>
    <row r="159" spans="1:14">
      <c r="H159" s="1110"/>
      <c r="I159" s="1110"/>
      <c r="J159" s="1110"/>
      <c r="K159" s="1111"/>
      <c r="M159" s="33"/>
    </row>
    <row r="160" spans="1:14">
      <c r="A160" s="187" t="s">
        <v>1203</v>
      </c>
      <c r="E160" s="191" t="s">
        <v>35</v>
      </c>
      <c r="F160" s="54">
        <f>+D125/1000</f>
        <v>3.4</v>
      </c>
      <c r="G160" s="187" t="s">
        <v>5</v>
      </c>
      <c r="K160" s="286"/>
      <c r="M160" s="33"/>
    </row>
    <row r="161" spans="1:18" ht="15.75">
      <c r="A161" s="187" t="s">
        <v>1204</v>
      </c>
      <c r="D161" s="38"/>
      <c r="E161" s="191" t="s">
        <v>35</v>
      </c>
      <c r="F161" s="54">
        <f>($I$142-$I$150)/$F$142</f>
        <v>1.6116823975488681</v>
      </c>
      <c r="G161" s="187" t="s">
        <v>1205</v>
      </c>
      <c r="K161" s="286"/>
      <c r="M161" s="33"/>
    </row>
    <row r="162" spans="1:18" ht="15.75">
      <c r="A162" s="187" t="s">
        <v>1206</v>
      </c>
      <c r="D162" s="38"/>
      <c r="E162" s="191" t="s">
        <v>35</v>
      </c>
      <c r="F162" s="54">
        <f>F160/6</f>
        <v>0.56666666666666665</v>
      </c>
      <c r="G162" s="187" t="s">
        <v>5</v>
      </c>
      <c r="K162" s="286"/>
      <c r="M162" s="33"/>
    </row>
    <row r="163" spans="1:18" ht="15.75">
      <c r="A163" s="187" t="s">
        <v>1207</v>
      </c>
      <c r="E163" s="191" t="s">
        <v>35</v>
      </c>
      <c r="F163" s="84">
        <f>F160/2-F161</f>
        <v>8.8317602451131849E-2</v>
      </c>
      <c r="G163" s="187" t="s">
        <v>1208</v>
      </c>
      <c r="K163" s="286"/>
      <c r="M163" s="33"/>
    </row>
    <row r="164" spans="1:18">
      <c r="A164" s="126" t="str">
        <f>IF(F163&lt;0,"Resultant is towards heel","Resultant is towards toe")</f>
        <v>Resultant is towards toe</v>
      </c>
      <c r="B164" s="126"/>
      <c r="C164" s="1065"/>
      <c r="F164" s="1066" t="str">
        <f>+IF(ABS(F163)&lt;=F162,"i,e Resultant is in middle third","i,e Resultantis outside middle third")</f>
        <v>i,e Resultant is in middle third</v>
      </c>
      <c r="G164" s="1066"/>
      <c r="H164" s="1066"/>
      <c r="I164" s="46"/>
      <c r="J164" s="46"/>
      <c r="K164" s="286"/>
      <c r="L164" s="1112"/>
      <c r="M164" s="1112"/>
      <c r="N164" s="1112"/>
      <c r="O164" s="1112"/>
      <c r="P164" s="1112"/>
      <c r="Q164" s="1112"/>
      <c r="R164" s="1112"/>
    </row>
    <row r="165" spans="1:18">
      <c r="K165" s="286"/>
      <c r="L165" s="1113"/>
      <c r="M165" s="1112"/>
      <c r="N165" s="1112"/>
      <c r="O165" s="1112"/>
      <c r="P165" s="1112"/>
      <c r="Q165" s="1112"/>
      <c r="R165" s="1112"/>
    </row>
    <row r="166" spans="1:18">
      <c r="A166" s="1" t="s">
        <v>1209</v>
      </c>
      <c r="K166" s="286"/>
      <c r="L166" s="1113"/>
      <c r="M166" s="1112"/>
      <c r="N166" s="1112"/>
      <c r="O166" s="1112"/>
      <c r="P166" s="1112"/>
      <c r="Q166" s="1112"/>
      <c r="R166" s="1112"/>
    </row>
    <row r="167" spans="1:18">
      <c r="A167" t="s">
        <v>1210</v>
      </c>
      <c r="D167" s="2" t="s">
        <v>35</v>
      </c>
      <c r="E167" s="10">
        <f>($F$142/F160)*(1+6*F163/F160)</f>
        <v>57.603554258637352</v>
      </c>
      <c r="F167" t="s">
        <v>1211</v>
      </c>
      <c r="K167" s="286"/>
      <c r="L167" s="1113"/>
      <c r="M167" s="1114"/>
      <c r="N167" s="1112"/>
      <c r="O167" s="1112"/>
      <c r="P167" s="1112"/>
      <c r="Q167" s="1112"/>
      <c r="R167" s="1112"/>
    </row>
    <row r="168" spans="1:18">
      <c r="A168" t="s">
        <v>1212</v>
      </c>
      <c r="D168" s="2" t="s">
        <v>35</v>
      </c>
      <c r="E168" s="10">
        <f>($F$142/F160)*(1-6*F163/F160)</f>
        <v>42.069111540986157</v>
      </c>
      <c r="F168" t="s">
        <v>1211</v>
      </c>
      <c r="K168" s="286"/>
      <c r="L168" s="1113"/>
      <c r="M168" s="1112"/>
      <c r="N168" s="1112"/>
      <c r="O168" s="1112"/>
      <c r="P168" s="1112"/>
      <c r="Q168" s="1112"/>
      <c r="R168" s="1112"/>
    </row>
    <row r="169" spans="1:18">
      <c r="K169" s="286"/>
      <c r="L169" s="1112"/>
      <c r="M169" s="1112"/>
      <c r="N169" s="1112"/>
      <c r="O169" s="1112"/>
      <c r="P169" s="1112"/>
      <c r="Q169" s="1112"/>
      <c r="R169" s="1112"/>
    </row>
    <row r="170" spans="1:18">
      <c r="K170" s="286"/>
      <c r="L170" s="1115"/>
      <c r="M170" s="1115"/>
      <c r="N170" s="1115"/>
      <c r="O170" s="1115"/>
      <c r="P170" s="1115"/>
      <c r="Q170" s="1115"/>
      <c r="R170" s="1115"/>
    </row>
    <row r="171" spans="1:18">
      <c r="B171" s="203" t="s">
        <v>1218</v>
      </c>
      <c r="C171" s="36">
        <f>+E168</f>
        <v>42.069111540986157</v>
      </c>
      <c r="F171" s="203" t="s">
        <v>1219</v>
      </c>
      <c r="G171" s="36">
        <f>+E167</f>
        <v>57.603554258637352</v>
      </c>
      <c r="K171" s="286"/>
    </row>
    <row r="172" spans="1:18">
      <c r="C172" s="187" t="s">
        <v>1244</v>
      </c>
      <c r="F172" s="187" t="s">
        <v>1245</v>
      </c>
      <c r="J172" s="46"/>
      <c r="K172" s="286"/>
    </row>
    <row r="173" spans="1:18">
      <c r="C173" s="187"/>
      <c r="F173" s="187"/>
      <c r="J173" s="46"/>
      <c r="K173" s="286"/>
      <c r="L173" s="109"/>
      <c r="M173" s="46"/>
    </row>
    <row r="174" spans="1:18" ht="15.75">
      <c r="A174" s="976" t="s">
        <v>1246</v>
      </c>
      <c r="B174" s="977"/>
      <c r="C174" s="977"/>
      <c r="D174" s="977"/>
      <c r="F174" s="295"/>
      <c r="G174" s="295"/>
      <c r="H174" s="295"/>
      <c r="I174" s="295"/>
      <c r="J174" s="295"/>
      <c r="K174" s="979"/>
    </row>
    <row r="175" spans="1:18">
      <c r="D175" s="213" t="s">
        <v>1362</v>
      </c>
      <c r="E175" s="213"/>
      <c r="G175" s="46"/>
      <c r="H175" s="46"/>
      <c r="I175" s="1075" t="str">
        <f>F21</f>
        <v>y</v>
      </c>
      <c r="J175" s="234"/>
      <c r="K175" s="286"/>
    </row>
    <row r="176" spans="1:18">
      <c r="J176" s="46"/>
      <c r="K176" s="286"/>
      <c r="L176" s="981"/>
      <c r="M176" s="981"/>
      <c r="N176" s="984"/>
      <c r="O176" s="981"/>
      <c r="P176" s="386"/>
    </row>
    <row r="177" spans="1:20">
      <c r="C177" s="1130" t="s">
        <v>1164</v>
      </c>
      <c r="D177" s="129">
        <f>E203-E177-D186</f>
        <v>0</v>
      </c>
      <c r="E177" s="187">
        <f>$E$23</f>
        <v>300</v>
      </c>
      <c r="J177" s="46"/>
      <c r="K177" s="286"/>
      <c r="L177" s="981"/>
      <c r="M177" s="981"/>
      <c r="N177" s="984"/>
      <c r="O177" s="981"/>
      <c r="P177" s="386"/>
    </row>
    <row r="178" spans="1:20">
      <c r="C178" s="1077">
        <f>+C24</f>
        <v>10</v>
      </c>
      <c r="J178" s="46"/>
      <c r="K178" s="286"/>
      <c r="L178" s="981"/>
      <c r="M178" s="981"/>
      <c r="N178" s="984"/>
      <c r="O178" s="981"/>
      <c r="P178" s="386"/>
    </row>
    <row r="179" spans="1:20">
      <c r="D179" s="18"/>
      <c r="E179" s="1014"/>
      <c r="K179" s="286"/>
      <c r="L179" s="1116" t="s">
        <v>1167</v>
      </c>
      <c r="M179" s="1022"/>
      <c r="N179" s="1117"/>
      <c r="O179" s="1022"/>
      <c r="P179" s="1001"/>
      <c r="Q179" s="986"/>
      <c r="R179" s="989"/>
      <c r="S179" s="972"/>
      <c r="T179" s="972"/>
    </row>
    <row r="180" spans="1:20">
      <c r="D180" s="18"/>
      <c r="E180" s="1014"/>
      <c r="K180" s="286"/>
      <c r="L180" s="990" t="s">
        <v>673</v>
      </c>
      <c r="M180" s="991" t="s">
        <v>1169</v>
      </c>
      <c r="N180" s="992" t="s">
        <v>1170</v>
      </c>
      <c r="O180" s="991" t="s">
        <v>303</v>
      </c>
      <c r="P180" s="992" t="s">
        <v>45</v>
      </c>
      <c r="Q180" s="991" t="s">
        <v>44</v>
      </c>
    </row>
    <row r="181" spans="1:20">
      <c r="D181" s="18"/>
      <c r="E181" s="1014"/>
      <c r="K181" s="286"/>
      <c r="L181" s="999" t="s">
        <v>117</v>
      </c>
      <c r="M181" s="1000">
        <f>$E$70</f>
        <v>4.8777968264207221</v>
      </c>
      <c r="N181" s="1001">
        <f>$E$71</f>
        <v>1.8806434367942741</v>
      </c>
      <c r="O181" s="1002">
        <f>$F$77</f>
        <v>1.5902576670029589E-2</v>
      </c>
      <c r="P181" s="1001">
        <f>$E$81</f>
        <v>62.925793498801845</v>
      </c>
      <c r="Q181" s="1000">
        <f>$E$82</f>
        <v>59.490382971786417</v>
      </c>
    </row>
    <row r="182" spans="1:20">
      <c r="E182" s="1014"/>
      <c r="F182" s="191">
        <f>(C178-D195)*1000</f>
        <v>3900.0000000000005</v>
      </c>
      <c r="G182" s="1118"/>
      <c r="H182" s="1118"/>
      <c r="I182" s="1119"/>
      <c r="J182" s="1344"/>
      <c r="K182" s="286"/>
      <c r="L182" s="999" t="s">
        <v>118</v>
      </c>
      <c r="M182" s="1000">
        <f>$F$154</f>
        <v>2.8660285347480752</v>
      </c>
      <c r="N182" s="1001">
        <f>$F$155</f>
        <v>1.4814445239221705</v>
      </c>
      <c r="O182" s="1002">
        <f>$F$163</f>
        <v>8.8317602451131849E-2</v>
      </c>
      <c r="P182" s="1001">
        <f>$E$167</f>
        <v>57.603554258637352</v>
      </c>
      <c r="Q182" s="1000">
        <f>$E$168</f>
        <v>42.069111540986157</v>
      </c>
    </row>
    <row r="183" spans="1:20">
      <c r="A183" s="9">
        <f>IF(D188&gt;C178,0,(C178-D188)*1000)</f>
        <v>0</v>
      </c>
      <c r="E183" s="1014"/>
      <c r="G183" s="1118"/>
      <c r="I183" s="1119"/>
      <c r="J183" s="1344"/>
      <c r="K183" s="286"/>
      <c r="L183" s="1120" t="s">
        <v>301</v>
      </c>
      <c r="M183" s="1121">
        <f>$E$239</f>
        <v>1.4335889970816178</v>
      </c>
      <c r="N183" s="1122">
        <f>$E$240</f>
        <v>2.1372984402852864</v>
      </c>
      <c r="O183" s="1123">
        <f>$F$247</f>
        <v>6.4065455201843147E-2</v>
      </c>
      <c r="P183" s="1122">
        <f>$E$251</f>
        <v>36.205802503485423</v>
      </c>
      <c r="Q183" s="1121">
        <f>$E$252</f>
        <v>28.850726908279295</v>
      </c>
    </row>
    <row r="184" spans="1:20">
      <c r="E184" s="1014"/>
      <c r="G184" s="1118"/>
      <c r="H184" s="1118"/>
      <c r="I184" s="1119"/>
      <c r="J184" s="1344"/>
      <c r="K184" s="1124"/>
    </row>
    <row r="185" spans="1:20">
      <c r="D185" s="22" t="s">
        <v>1166</v>
      </c>
      <c r="E185" s="1014"/>
      <c r="G185" s="187" t="s">
        <v>1247</v>
      </c>
      <c r="H185" s="1078">
        <f>H7</f>
        <v>13.9</v>
      </c>
      <c r="I185" s="1119"/>
      <c r="J185" s="1344"/>
      <c r="K185" s="286"/>
    </row>
    <row r="186" spans="1:20">
      <c r="D186" s="514">
        <f>IF(D188&gt;D195,((E203-E177)*C192)/F182,0)</f>
        <v>100</v>
      </c>
      <c r="G186" s="1118"/>
      <c r="H186" s="1118"/>
      <c r="I186" s="1119"/>
      <c r="J186" s="1344"/>
      <c r="K186" s="325"/>
      <c r="L186" s="990" t="s">
        <v>673</v>
      </c>
      <c r="M186" s="1010" t="s">
        <v>1173</v>
      </c>
      <c r="N186" s="1011" t="s">
        <v>1174</v>
      </c>
      <c r="O186" s="1012"/>
      <c r="P186" s="992" t="s">
        <v>676</v>
      </c>
      <c r="Q186" s="1013"/>
    </row>
    <row r="187" spans="1:20">
      <c r="B187" s="1" t="s">
        <v>45</v>
      </c>
      <c r="G187" s="1118"/>
      <c r="H187" s="1118"/>
      <c r="I187" s="1119"/>
      <c r="J187" s="1344"/>
      <c r="K187" s="286"/>
      <c r="L187" s="999" t="s">
        <v>117</v>
      </c>
      <c r="M187" s="1087">
        <f>$G$63</f>
        <v>208.10750000000002</v>
      </c>
      <c r="N187" s="1088">
        <f>$G$67</f>
        <v>58.865615373524996</v>
      </c>
      <c r="O187" s="1021" t="str">
        <f>$F$78</f>
        <v>i,e Resultant is in middle third</v>
      </c>
      <c r="P187" s="1022"/>
      <c r="Q187" s="1023"/>
    </row>
    <row r="188" spans="1:20">
      <c r="C188" s="203" t="s">
        <v>1248</v>
      </c>
      <c r="D188" s="1078">
        <f>H6</f>
        <v>12.971301600623351</v>
      </c>
      <c r="H188" s="1118"/>
      <c r="I188" s="1118"/>
      <c r="J188" s="1353"/>
      <c r="K188" s="286"/>
      <c r="L188" s="999" t="s">
        <v>118</v>
      </c>
      <c r="M188" s="1087">
        <f>$F$142</f>
        <v>169.44353185935995</v>
      </c>
      <c r="N188" s="1088">
        <f>$F$150</f>
        <v>60.844317137265357</v>
      </c>
      <c r="O188" s="1021" t="str">
        <f>$F$164</f>
        <v>i,e Resultant is in middle third</v>
      </c>
      <c r="P188" s="1022"/>
      <c r="Q188" s="1023"/>
    </row>
    <row r="189" spans="1:20">
      <c r="A189" s="4"/>
      <c r="G189" s="5"/>
      <c r="H189" s="287" t="s">
        <v>1171</v>
      </c>
      <c r="I189" s="1125">
        <f>C6</f>
        <v>6.1</v>
      </c>
      <c r="J189" s="1354"/>
      <c r="K189" s="286"/>
      <c r="L189" s="1120" t="s">
        <v>301</v>
      </c>
      <c r="M189" s="1122">
        <f>$F$228</f>
        <v>110.59610000000001</v>
      </c>
      <c r="N189" s="1121">
        <f>$F$236</f>
        <v>27.526757870123944</v>
      </c>
      <c r="O189" s="1126" t="str">
        <f>$F$248</f>
        <v>i,e Resultant is in middle third</v>
      </c>
      <c r="P189" s="1127"/>
      <c r="Q189" s="1128"/>
    </row>
    <row r="190" spans="1:20">
      <c r="D190" s="22" t="s">
        <v>1224</v>
      </c>
      <c r="E190" s="1083"/>
      <c r="F190" s="202">
        <f>IF(H185&gt;C178,(C178-D195)*1000,IF(H185&lt;D195,0,(H185-D195)*1000))</f>
        <v>3900.0000000000005</v>
      </c>
      <c r="I190" s="17"/>
      <c r="J190" s="388"/>
      <c r="K190" s="1129"/>
      <c r="R190" s="46"/>
    </row>
    <row r="191" spans="1:20">
      <c r="E191" s="25" t="s">
        <v>41</v>
      </c>
      <c r="F191" s="187" t="s">
        <v>1221</v>
      </c>
      <c r="G191" s="1130" t="s">
        <v>606</v>
      </c>
      <c r="I191" s="1131"/>
      <c r="J191" s="1131"/>
      <c r="K191" s="1080"/>
      <c r="Q191" s="1132"/>
      <c r="R191" s="1133"/>
    </row>
    <row r="192" spans="1:20">
      <c r="A192" s="9">
        <f>IF(D188&gt;C178,(C178-D198)*1000,(D188-D198)*1000)</f>
        <v>4300.0000000000009</v>
      </c>
      <c r="C192" s="296">
        <f>IF(D188&gt;C178,(C178-D195)*1000,(D188-D195)*1000)</f>
        <v>3900.0000000000005</v>
      </c>
      <c r="F192" s="1014"/>
      <c r="G192" s="5"/>
      <c r="H192" s="508"/>
      <c r="I192" s="16">
        <f>IF(I189&lt;=(D195-C197/1000),0,(I189-D195)*1000+C197)</f>
        <v>400</v>
      </c>
      <c r="J192" s="16"/>
      <c r="K192" s="1085"/>
      <c r="Q192" s="1132"/>
      <c r="R192" s="785"/>
    </row>
    <row r="193" spans="1:18">
      <c r="A193" s="27" t="s">
        <v>44</v>
      </c>
      <c r="G193" s="5"/>
      <c r="K193" s="1084"/>
      <c r="N193" s="9"/>
      <c r="O193" s="386"/>
      <c r="P193" s="785"/>
      <c r="Q193" s="1132"/>
      <c r="R193" s="785"/>
    </row>
    <row r="194" spans="1:18">
      <c r="E194" s="1014"/>
      <c r="G194" s="4"/>
      <c r="H194" s="1134">
        <f>IF(H185&gt;C178,(C178-D198)*1000,IF(H185&lt;D198,0,(H185-D198)*1000))</f>
        <v>4300.0000000000009</v>
      </c>
      <c r="I194" s="1135" t="s">
        <v>1176</v>
      </c>
      <c r="J194" s="1135"/>
      <c r="K194" s="1136"/>
      <c r="N194" s="9"/>
    </row>
    <row r="195" spans="1:18">
      <c r="A195" s="27" t="s">
        <v>605</v>
      </c>
      <c r="D195" s="189">
        <f>$D$38</f>
        <v>6.1</v>
      </c>
      <c r="E195" s="213" t="s">
        <v>1249</v>
      </c>
      <c r="F195" s="1014"/>
      <c r="G195" s="957"/>
      <c r="H195" s="46"/>
      <c r="I195" s="109"/>
      <c r="J195" s="109"/>
      <c r="K195" s="286"/>
    </row>
    <row r="196" spans="1:18">
      <c r="G196" s="4"/>
      <c r="K196" s="286"/>
    </row>
    <row r="197" spans="1:18">
      <c r="C197" s="191">
        <f>$G$40</f>
        <v>400</v>
      </c>
      <c r="E197" s="139" t="s">
        <v>1178</v>
      </c>
      <c r="G197" s="5"/>
      <c r="H197" s="30"/>
      <c r="I197" s="30"/>
      <c r="J197" s="30"/>
      <c r="K197" s="998"/>
      <c r="M197" s="241"/>
      <c r="N197" s="17"/>
    </row>
    <row r="198" spans="1:18">
      <c r="D198" s="33">
        <f>C41</f>
        <v>5.6999999999999993</v>
      </c>
      <c r="G198" s="5"/>
      <c r="K198" s="286"/>
      <c r="M198" s="434"/>
    </row>
    <row r="199" spans="1:18">
      <c r="G199" s="30">
        <f>G42</f>
        <v>300</v>
      </c>
      <c r="K199" s="286"/>
      <c r="M199" s="16"/>
      <c r="N199" s="1137"/>
    </row>
    <row r="200" spans="1:18">
      <c r="E200" s="25" t="s">
        <v>1179</v>
      </c>
      <c r="G200" s="22" t="s">
        <v>1180</v>
      </c>
      <c r="K200" s="286"/>
      <c r="M200" s="16"/>
    </row>
    <row r="201" spans="1:18">
      <c r="G201" s="191">
        <f>$G$44</f>
        <v>900</v>
      </c>
      <c r="K201" s="286"/>
      <c r="M201" s="1031"/>
      <c r="N201" s="1032"/>
      <c r="O201" s="1031"/>
      <c r="P201" s="1032"/>
    </row>
    <row r="202" spans="1:18">
      <c r="G202" s="191">
        <f>$G$45</f>
        <v>300</v>
      </c>
      <c r="K202" s="286"/>
      <c r="M202" s="1031"/>
      <c r="N202" s="9"/>
      <c r="O202" s="1031"/>
      <c r="P202" s="1032"/>
    </row>
    <row r="203" spans="1:18">
      <c r="C203" s="187">
        <f>$C$46</f>
        <v>1800</v>
      </c>
      <c r="E203" s="191">
        <f>$E$46</f>
        <v>400</v>
      </c>
      <c r="F203" s="191">
        <f>$F$46</f>
        <v>1200</v>
      </c>
      <c r="K203" s="286"/>
      <c r="M203" s="1031"/>
      <c r="N203" s="1032"/>
      <c r="O203" s="1031"/>
      <c r="P203" s="1089"/>
    </row>
    <row r="204" spans="1:18">
      <c r="K204" s="286"/>
      <c r="M204" s="1032"/>
      <c r="O204" s="1090"/>
      <c r="P204" s="1090"/>
    </row>
    <row r="205" spans="1:18">
      <c r="D205" s="187">
        <f>$D$48</f>
        <v>3400</v>
      </c>
      <c r="K205" s="286"/>
      <c r="M205" s="1032"/>
      <c r="N205" s="1090"/>
      <c r="O205" s="1090"/>
      <c r="P205" s="1090"/>
    </row>
    <row r="206" spans="1:18">
      <c r="A206" s="18" t="str">
        <f>IF(D188&gt;D195,A192/1000&amp;" x "&amp;D12,"")&amp;" ="</f>
        <v>4.3 x 9.81 =</v>
      </c>
      <c r="K206" s="286"/>
      <c r="M206" s="1032"/>
      <c r="N206" s="1090"/>
      <c r="O206" s="1090"/>
      <c r="P206" s="1090"/>
    </row>
    <row r="207" spans="1:18">
      <c r="A207" s="203">
        <f>IF(D188&gt;D195,A192*$D$12/1000,0)</f>
        <v>42.183000000000014</v>
      </c>
      <c r="B207" s="187" t="s">
        <v>1229</v>
      </c>
      <c r="D207" s="187" t="s">
        <v>1226</v>
      </c>
      <c r="G207" s="30" t="str">
        <f>IF(H185&gt;D195,H194/1000&amp;" x "&amp;D12,"")&amp;"="</f>
        <v>4.3 x 9.81=</v>
      </c>
      <c r="K207" s="286"/>
      <c r="M207" s="1032"/>
      <c r="N207" s="1090"/>
      <c r="O207" s="1090"/>
      <c r="P207" s="1090"/>
    </row>
    <row r="208" spans="1:18">
      <c r="D208" s="191" t="s">
        <v>1227</v>
      </c>
      <c r="G208" s="203">
        <f>IF(H185&gt;D195,H194*$D$12/1000,0)</f>
        <v>42.183000000000014</v>
      </c>
      <c r="H208" s="187" t="s">
        <v>725</v>
      </c>
      <c r="I208" s="187"/>
      <c r="J208" s="187"/>
      <c r="K208" s="286"/>
      <c r="M208" s="386"/>
      <c r="N208" s="386"/>
      <c r="O208" s="386"/>
      <c r="P208" s="386"/>
    </row>
    <row r="209" spans="1:13">
      <c r="D209" s="191"/>
      <c r="K209" s="325"/>
    </row>
    <row r="210" spans="1:13">
      <c r="C210" s="187" t="s">
        <v>1250</v>
      </c>
      <c r="G210" s="3"/>
      <c r="K210" s="286"/>
    </row>
    <row r="211" spans="1:13">
      <c r="K211" s="286"/>
    </row>
    <row r="212" spans="1:13">
      <c r="K212" s="286"/>
    </row>
    <row r="213" spans="1:13">
      <c r="A213" s="1" t="s">
        <v>1182</v>
      </c>
      <c r="K213" s="286"/>
    </row>
    <row r="214" spans="1:13">
      <c r="A214" s="314" t="s">
        <v>1230</v>
      </c>
      <c r="B214" s="423"/>
      <c r="C214" s="406" t="s">
        <v>1183</v>
      </c>
      <c r="D214" s="55"/>
      <c r="E214" s="56"/>
      <c r="F214" s="355" t="s">
        <v>880</v>
      </c>
      <c r="G214" s="347" t="s">
        <v>1184</v>
      </c>
      <c r="H214" s="314"/>
      <c r="I214" s="516" t="s">
        <v>1185</v>
      </c>
      <c r="J214" s="1343"/>
      <c r="K214" s="1035"/>
    </row>
    <row r="215" spans="1:13">
      <c r="A215" s="953" t="s">
        <v>1231</v>
      </c>
      <c r="B215" s="950"/>
      <c r="C215" s="77"/>
      <c r="D215" s="59"/>
      <c r="E215" s="60"/>
      <c r="F215" s="354" t="s">
        <v>725</v>
      </c>
      <c r="G215" s="280" t="s">
        <v>5</v>
      </c>
      <c r="H215" s="1040"/>
      <c r="I215" s="517" t="s">
        <v>1232</v>
      </c>
      <c r="J215" s="1343"/>
      <c r="K215" s="1035"/>
    </row>
    <row r="216" spans="1:13">
      <c r="A216" s="363" t="s">
        <v>1189</v>
      </c>
      <c r="B216" s="348" t="s">
        <v>1251</v>
      </c>
      <c r="C216" s="16"/>
      <c r="D216" s="16"/>
      <c r="E216" s="16"/>
      <c r="F216" s="379">
        <f>G58</f>
        <v>71.744000000000014</v>
      </c>
      <c r="G216" s="252" t="s">
        <v>1003</v>
      </c>
      <c r="H216" s="1138" t="s">
        <v>1234</v>
      </c>
      <c r="I216" s="1036">
        <f>I58</f>
        <v>102.82520000000002</v>
      </c>
      <c r="J216" s="107"/>
      <c r="K216" s="1044"/>
      <c r="M216" s="33"/>
    </row>
    <row r="217" spans="1:13">
      <c r="A217" s="1092"/>
      <c r="B217" s="367"/>
      <c r="C217" s="16"/>
      <c r="D217" s="16"/>
      <c r="E217" s="16"/>
      <c r="F217" s="952"/>
      <c r="G217" s="16"/>
      <c r="H217" s="1104"/>
      <c r="I217" s="58"/>
      <c r="J217" s="16"/>
      <c r="K217" s="1062"/>
      <c r="M217" s="33"/>
    </row>
    <row r="218" spans="1:13">
      <c r="A218" s="363" t="s">
        <v>1252</v>
      </c>
      <c r="B218" s="363" t="str">
        <f>"S1="&amp;A183&amp;"x("&amp;C203&amp;"+"&amp;FIXED(D186,0)&amp;")x"&amp;D10&amp;"/10^6 ="</f>
        <v>S1=0x(1800+100)x17.3/10^6 =</v>
      </c>
      <c r="C218" s="16"/>
      <c r="D218" s="16"/>
      <c r="E218" s="16"/>
      <c r="F218" s="103">
        <f>(A183*(C203+D186)*D10)/10^6</f>
        <v>0</v>
      </c>
      <c r="G218" s="448">
        <f>((C203+D186)*0.5+D177+E177+F203)/1000</f>
        <v>2.4500000000000002</v>
      </c>
      <c r="H218" s="1104" t="s">
        <v>1234</v>
      </c>
      <c r="I218" s="155">
        <f t="shared" ref="I218:I224" si="0">F218*G218</f>
        <v>0</v>
      </c>
      <c r="J218" s="107"/>
      <c r="K218" s="1044"/>
      <c r="M218" s="33"/>
    </row>
    <row r="219" spans="1:13">
      <c r="A219" s="363" t="s">
        <v>1252</v>
      </c>
      <c r="B219" s="363" t="str">
        <f>"S2=0.5x"&amp;FIXED(D177,0)&amp;"x"&amp;A183&amp;"x"&amp;D10&amp;"/10^6 ="</f>
        <v>S2=0.5x0x0x17.3/10^6 =</v>
      </c>
      <c r="C219" s="16"/>
      <c r="D219" s="16"/>
      <c r="E219" s="16"/>
      <c r="F219" s="103">
        <f>0.5*D177*A183*D10/10^6</f>
        <v>0</v>
      </c>
      <c r="G219" s="107">
        <f>(D177+E177-D177/3+F203)/1000</f>
        <v>1.5</v>
      </c>
      <c r="H219" s="1104" t="s">
        <v>1234</v>
      </c>
      <c r="I219" s="155">
        <f t="shared" si="0"/>
        <v>0</v>
      </c>
      <c r="J219" s="107"/>
      <c r="K219" s="1044"/>
      <c r="M219" s="33"/>
    </row>
    <row r="220" spans="1:13">
      <c r="A220" s="2104" t="s">
        <v>1253</v>
      </c>
      <c r="B220" s="2104" t="str">
        <f>"S3="&amp;C192&amp;"x"&amp;C203&amp;"x"&amp;D11&amp;"/10^6 ="</f>
        <v>S3=3900x1800x18.9/10^6 =</v>
      </c>
      <c r="C220" s="2105"/>
      <c r="D220" s="2105"/>
      <c r="E220" s="2105"/>
      <c r="F220" s="2106">
        <f>C192*C203*D11/10^6</f>
        <v>132.67800000000003</v>
      </c>
      <c r="G220" s="2107">
        <f>(C203*0.5+E203+F203)/1000</f>
        <v>2.5</v>
      </c>
      <c r="H220" s="2108" t="s">
        <v>1234</v>
      </c>
      <c r="I220" s="2109">
        <f t="shared" si="0"/>
        <v>331.69500000000005</v>
      </c>
      <c r="J220" s="107"/>
      <c r="K220" s="1044"/>
      <c r="M220" s="33"/>
    </row>
    <row r="221" spans="1:13">
      <c r="A221" s="363" t="s">
        <v>1253</v>
      </c>
      <c r="B221" s="363" t="str">
        <f>"S4= 0.5x"&amp;C192&amp;"x"&amp;FIXED(D186,0)&amp;"x"&amp;D11&amp;"/10^6 ="</f>
        <v>S4= 0.5x3900x100x18.9/10^6 =</v>
      </c>
      <c r="C221" s="16"/>
      <c r="D221" s="16"/>
      <c r="E221" s="16"/>
      <c r="F221" s="103">
        <f>0.5*C192*D186*D11/10^6</f>
        <v>3.6855000000000007</v>
      </c>
      <c r="G221" s="107">
        <f>(D186*2/3+D177+E177+F203)/1000</f>
        <v>1.5666666666666667</v>
      </c>
      <c r="H221" s="1104" t="s">
        <v>1234</v>
      </c>
      <c r="I221" s="155">
        <f t="shared" si="0"/>
        <v>5.773950000000001</v>
      </c>
      <c r="J221" s="107"/>
      <c r="K221" s="1044"/>
      <c r="M221" s="33"/>
    </row>
    <row r="222" spans="1:13">
      <c r="A222" s="1045" t="s">
        <v>1254</v>
      </c>
      <c r="B222" s="1045" t="str">
        <f>IF(I175="n","Passive pressure not considered","S6 = "&amp;F46&amp;" x "&amp;F35&amp;" x "&amp;D11&amp;"/1000 =")</f>
        <v>S6 = 1200 x 0 x 18.9/1000 =</v>
      </c>
      <c r="C222" s="1139"/>
      <c r="D222" s="1139"/>
      <c r="E222" s="1139"/>
      <c r="F222" s="1093">
        <f>IF(I175="n",0,(I189-D195)*F203*D11/1000)</f>
        <v>0</v>
      </c>
      <c r="G222" s="1140">
        <f>F203/2/1000</f>
        <v>0.6</v>
      </c>
      <c r="H222" s="1141" t="s">
        <v>1234</v>
      </c>
      <c r="I222" s="1142">
        <f t="shared" si="0"/>
        <v>0</v>
      </c>
      <c r="J222" s="1140"/>
      <c r="K222" s="1044"/>
      <c r="L222" s="187"/>
      <c r="M222" s="33"/>
    </row>
    <row r="223" spans="1:13">
      <c r="A223" s="2104" t="s">
        <v>1839</v>
      </c>
      <c r="B223" s="2104" t="str">
        <f>"W="&amp;F190&amp;"x"&amp;F203&amp;"x"&amp;D12&amp;"/10^6="</f>
        <v>W=3900x1200x9.81/10^6=</v>
      </c>
      <c r="C223" s="2105"/>
      <c r="D223" s="2105"/>
      <c r="E223" s="2105"/>
      <c r="F223" s="2106">
        <f>F190*F203*$D$12/10^6</f>
        <v>45.910800000000016</v>
      </c>
      <c r="G223" s="2107">
        <f>F203/2/1000</f>
        <v>0.6</v>
      </c>
      <c r="H223" s="2108" t="s">
        <v>1234</v>
      </c>
      <c r="I223" s="2109">
        <f t="shared" si="0"/>
        <v>27.54648000000001</v>
      </c>
      <c r="J223" s="107"/>
      <c r="K223" s="1044"/>
      <c r="M223" s="33"/>
    </row>
    <row r="224" spans="1:13">
      <c r="A224" s="1094" t="s">
        <v>1194</v>
      </c>
      <c r="B224" s="363" t="str">
        <f>"S5 = "&amp;H16&amp;" x "&amp;C46&amp;"/1000 ="</f>
        <v>S5 = 0 x 1800/1000 =</v>
      </c>
      <c r="C224" s="16"/>
      <c r="D224" s="16"/>
      <c r="E224" s="16"/>
      <c r="F224" s="103">
        <f>H16*C46/1000</f>
        <v>0</v>
      </c>
      <c r="G224" s="107">
        <f>(0.5*C46+E46+F46)/1000</f>
        <v>2.5</v>
      </c>
      <c r="H224" s="1104" t="s">
        <v>1234</v>
      </c>
      <c r="I224" s="155">
        <f t="shared" si="0"/>
        <v>0</v>
      </c>
      <c r="J224" s="107"/>
      <c r="K224" s="1044"/>
      <c r="M224" s="33"/>
    </row>
    <row r="225" spans="1:14">
      <c r="A225" s="1092"/>
      <c r="B225" s="363"/>
      <c r="C225" s="16"/>
      <c r="D225" s="16"/>
      <c r="E225" s="16"/>
      <c r="F225" s="103"/>
      <c r="G225" s="107"/>
      <c r="H225" s="1104"/>
      <c r="I225" s="155"/>
      <c r="J225" s="107"/>
      <c r="K225" s="1044"/>
      <c r="M225" s="33"/>
    </row>
    <row r="226" spans="1:14">
      <c r="A226" s="363" t="s">
        <v>1237</v>
      </c>
      <c r="B226" s="363" t="str">
        <f>"U1 ="&amp;G208&amp;"x"&amp;D205&amp;"/1000="</f>
        <v>U1 =42.183x3400/1000=</v>
      </c>
      <c r="C226" s="16"/>
      <c r="D226" s="16"/>
      <c r="E226" s="16"/>
      <c r="F226" s="103">
        <f>G208*D205/1000</f>
        <v>143.42220000000003</v>
      </c>
      <c r="G226" s="107">
        <f>+D205/2/1000</f>
        <v>1.7</v>
      </c>
      <c r="H226" s="1104" t="s">
        <v>1238</v>
      </c>
      <c r="I226" s="155">
        <f>F226*G226</f>
        <v>243.81774000000004</v>
      </c>
      <c r="J226" s="107"/>
      <c r="K226" s="1044"/>
      <c r="M226" s="33"/>
    </row>
    <row r="227" spans="1:14">
      <c r="A227" s="1092" t="s">
        <v>1237</v>
      </c>
      <c r="B227" s="364" t="str">
        <f>"U2 =0.5x("&amp;A207&amp;"-"&amp;G208&amp;")x"&amp;D205&amp;"/1000="</f>
        <v>U2 =0.5x(42.183-42.183)x3400/1000=</v>
      </c>
      <c r="C227" s="59"/>
      <c r="D227" s="59"/>
      <c r="E227" s="59"/>
      <c r="F227" s="104">
        <f>0.5*(A207-G208)*D205/1000</f>
        <v>0</v>
      </c>
      <c r="G227" s="107">
        <f>2*D205/3/1000</f>
        <v>2.2666666666666666</v>
      </c>
      <c r="H227" s="1104" t="s">
        <v>1238</v>
      </c>
      <c r="I227" s="155">
        <f>F227*G227</f>
        <v>0</v>
      </c>
      <c r="J227" s="107"/>
      <c r="K227" s="1044"/>
      <c r="M227" s="33"/>
    </row>
    <row r="228" spans="1:14" ht="15.75">
      <c r="A228" s="101"/>
      <c r="B228" s="59"/>
      <c r="C228" s="59"/>
      <c r="D228" s="1143" t="s">
        <v>1239</v>
      </c>
      <c r="E228" s="93"/>
      <c r="F228" s="1144">
        <f>SUM(F216:F224)-SUM(F226:F227)</f>
        <v>110.59610000000001</v>
      </c>
      <c r="G228" s="1145"/>
      <c r="H228" s="1146" t="s">
        <v>1240</v>
      </c>
      <c r="I228" s="1147">
        <f>SUM(I216:I224)+I234+I235</f>
        <v>598.2078970385852</v>
      </c>
      <c r="J228" s="1349"/>
      <c r="K228" s="1100"/>
      <c r="M228" s="33"/>
    </row>
    <row r="229" spans="1:14">
      <c r="A229" s="1148" t="s">
        <v>1256</v>
      </c>
      <c r="B229" s="423"/>
      <c r="C229" s="55"/>
      <c r="D229" s="16"/>
      <c r="F229" s="102"/>
      <c r="G229" s="102"/>
      <c r="H229" s="102"/>
      <c r="I229" s="93"/>
      <c r="J229" s="16"/>
      <c r="K229" s="1062"/>
      <c r="M229" s="33"/>
    </row>
    <row r="230" spans="1:14">
      <c r="A230" s="363" t="s">
        <v>1252</v>
      </c>
      <c r="B230" s="545" t="str">
        <f>"P1=0.5x"&amp;FIXED(G10,3)&amp;"x"&amp;D10&amp;"x"&amp;A183&amp;"^2/10^6="</f>
        <v>P1=0.5x0.361x17.3x0^2/10^6=</v>
      </c>
      <c r="C230" s="55"/>
      <c r="D230" s="55"/>
      <c r="E230" s="56"/>
      <c r="F230" s="379">
        <f>0.5*G10*D10*A183^2/10^6</f>
        <v>0</v>
      </c>
      <c r="G230" s="379">
        <f>(A183/3+A192)/1000</f>
        <v>4.3000000000000007</v>
      </c>
      <c r="H230" s="268" t="s">
        <v>1238</v>
      </c>
      <c r="I230" s="379">
        <f t="shared" ref="I230:I235" si="1">F230*G230</f>
        <v>0</v>
      </c>
      <c r="J230" s="107"/>
      <c r="K230" s="1044"/>
      <c r="M230" s="33"/>
    </row>
    <row r="231" spans="1:14">
      <c r="A231" s="363" t="s">
        <v>1252</v>
      </c>
      <c r="B231" s="363" t="str">
        <f>"P2="&amp;FIXED(G10,3)&amp;"x"&amp;D10&amp;"x"&amp;A183&amp;"x"&amp;A192&amp;"/10^6="</f>
        <v>P2=0.361x17.3x0x4300/10^6=</v>
      </c>
      <c r="C231" s="16"/>
      <c r="D231" s="16"/>
      <c r="E231" s="58"/>
      <c r="F231" s="103">
        <f>G10*D10*A183*A192/10^6</f>
        <v>0</v>
      </c>
      <c r="G231" s="103">
        <f>(A192*0.5)/1000</f>
        <v>2.1500000000000004</v>
      </c>
      <c r="H231" s="268" t="s">
        <v>1238</v>
      </c>
      <c r="I231" s="103">
        <f t="shared" si="1"/>
        <v>0</v>
      </c>
      <c r="J231" s="107"/>
      <c r="K231" s="1044"/>
      <c r="M231" s="33"/>
      <c r="N231" s="33"/>
    </row>
    <row r="232" spans="1:14">
      <c r="A232" s="2104" t="s">
        <v>1253</v>
      </c>
      <c r="B232" s="2104" t="str">
        <f>"P3=(0.5x("&amp;FIXED(G10,3)&amp;"x("&amp;D11&amp;"-"&amp;D12&amp;")+"&amp;D12&amp;")x"&amp;FIXED(A192/10^3,2)&amp;"^2) ="</f>
        <v>P3=(0.5x(0.361x(18.9-9.81)+9.81)x4.30^2) =</v>
      </c>
      <c r="C232" s="2105"/>
      <c r="D232" s="2105"/>
      <c r="E232" s="2110"/>
      <c r="F232" s="2106">
        <f>(0.5*(G10*(D11-D12)+D12)*A192^2)/10^6</f>
        <v>121.02012315951183</v>
      </c>
      <c r="G232" s="2106">
        <f>(A192/3)/1000</f>
        <v>1.4333333333333338</v>
      </c>
      <c r="H232" s="2111" t="s">
        <v>1238</v>
      </c>
      <c r="I232" s="2106">
        <f t="shared" si="1"/>
        <v>173.46217652863368</v>
      </c>
      <c r="J232" s="107"/>
      <c r="K232" s="1044"/>
      <c r="M232" s="224"/>
    </row>
    <row r="233" spans="1:14">
      <c r="A233" s="1094" t="s">
        <v>1194</v>
      </c>
      <c r="B233" s="363" t="str">
        <f>"P5 ="&amp;FIXED(G10,3)&amp;" x "&amp;H16&amp;" x( "&amp;C31&amp;" + "&amp;G40&amp;")/1000="</f>
        <v>P5 =0.361 x 0 x( 3900 + 400)/1000=</v>
      </c>
      <c r="C233" s="16"/>
      <c r="D233" s="16"/>
      <c r="E233" s="58"/>
      <c r="F233" s="103">
        <f>G10*H16*(C31+G40)/1000</f>
        <v>0</v>
      </c>
      <c r="G233" s="103">
        <f>(C31+G40)/2/1000</f>
        <v>2.15</v>
      </c>
      <c r="H233" s="268" t="s">
        <v>1238</v>
      </c>
      <c r="I233" s="103">
        <f t="shared" si="1"/>
        <v>0</v>
      </c>
      <c r="J233" s="107"/>
      <c r="K233" s="1044"/>
      <c r="M233" s="224"/>
    </row>
    <row r="234" spans="1:14">
      <c r="A234" s="2104" t="s">
        <v>1254</v>
      </c>
      <c r="B234" s="2112" t="str">
        <f>IF(I175="n","Passive pressure not considered","P6=0.5x("&amp;FIXED(G11,3)&amp;"x("&amp;D11&amp;"-"&amp;D12&amp;")+"&amp;D12&amp;")x"&amp;I192&amp;"/1000^2 =")</f>
        <v>P6=0.5x(2.771x(18.9-9.81)+9.81)x400/1000^2 =</v>
      </c>
      <c r="C234" s="2105"/>
      <c r="D234" s="2105"/>
      <c r="E234" s="2110"/>
      <c r="F234" s="2106">
        <f>IF(I175="n",0,0.5*(G11*(D11-D12)+D12)*I192^2/10^6)</f>
        <v>2.7999152893878394</v>
      </c>
      <c r="G234" s="2106">
        <f>I192/3/1000</f>
        <v>0.13333333333333333</v>
      </c>
      <c r="H234" s="2111" t="s">
        <v>1234</v>
      </c>
      <c r="I234" s="2106">
        <f t="shared" si="1"/>
        <v>0.37332203858504526</v>
      </c>
      <c r="J234" s="1140"/>
      <c r="K234" s="1044"/>
      <c r="L234" s="187"/>
      <c r="M234" s="224"/>
    </row>
    <row r="235" spans="1:14">
      <c r="A235" s="2104" t="s">
        <v>1839</v>
      </c>
      <c r="B235" s="2113" t="str">
        <f>"P4=0.5x"&amp;D12&amp;"x"&amp;H194&amp;"^2/10^6="</f>
        <v>P4=0.5x9.81x4300^2/10^6=</v>
      </c>
      <c r="C235" s="2114"/>
      <c r="D235" s="2114"/>
      <c r="E235" s="2115"/>
      <c r="F235" s="2106">
        <f>0.5*$D$12*H194^2/10^6</f>
        <v>90.693450000000041</v>
      </c>
      <c r="G235" s="2116">
        <f>H194/(3*1000)</f>
        <v>1.4333333333333336</v>
      </c>
      <c r="H235" s="2111" t="s">
        <v>1234</v>
      </c>
      <c r="I235" s="2106">
        <f t="shared" si="1"/>
        <v>129.99394500000008</v>
      </c>
      <c r="J235" s="107"/>
      <c r="K235" s="1044"/>
      <c r="M235" s="224"/>
    </row>
    <row r="236" spans="1:14" ht="15.75">
      <c r="A236" s="101"/>
      <c r="B236" s="59"/>
      <c r="C236" s="517"/>
      <c r="D236" s="1151" t="s">
        <v>1242</v>
      </c>
      <c r="E236" s="172"/>
      <c r="F236" s="1097">
        <f>SUM(F230:F233)-F234-F235</f>
        <v>27.526757870123944</v>
      </c>
      <c r="G236" s="1145"/>
      <c r="H236" s="1099" t="s">
        <v>1243</v>
      </c>
      <c r="I236" s="1097">
        <f>SUM(I230:I233)+SUM(I226:I227)</f>
        <v>417.27991652863375</v>
      </c>
      <c r="J236" s="1349"/>
      <c r="K236" s="1100"/>
      <c r="M236" s="224"/>
    </row>
    <row r="237" spans="1:14">
      <c r="A237" s="16"/>
      <c r="B237" s="16"/>
      <c r="C237" s="75"/>
      <c r="K237" s="286"/>
      <c r="M237" s="46"/>
    </row>
    <row r="238" spans="1:14">
      <c r="A238" s="391" t="s">
        <v>1201</v>
      </c>
      <c r="C238" s="46"/>
      <c r="D238" s="46"/>
      <c r="E238" s="46"/>
      <c r="F238" s="46"/>
      <c r="K238" s="286"/>
      <c r="M238" s="46"/>
    </row>
    <row r="239" spans="1:14">
      <c r="A239" s="385" t="str">
        <f>"Overturning ="&amp;FIXED(I228,2)&amp;"/"&amp;FIXED(I236,2)&amp;" ="</f>
        <v>Overturning =598.21/417.28 =</v>
      </c>
      <c r="C239" s="46"/>
      <c r="D239" s="46"/>
      <c r="E239" s="1108">
        <f>I228/I236</f>
        <v>1.4335889970816178</v>
      </c>
      <c r="F239" s="1109" t="str">
        <f>IF(E239&gt;=1.5,"Ok","Not ok")</f>
        <v>Not ok</v>
      </c>
      <c r="K239" s="286"/>
      <c r="M239" s="224"/>
    </row>
    <row r="240" spans="1:14">
      <c r="A240" s="386" t="str">
        <f>"Sliding = "&amp;FIXED(F228,2)&amp;" x TAN("&amp;D15&amp;") / "&amp;ABS(FIXED(F236,2))&amp;" ="</f>
        <v>Sliding = 110.60 x TAN(28) / 27.53 =</v>
      </c>
      <c r="C240" s="46"/>
      <c r="D240" s="90"/>
      <c r="E240" s="1108">
        <f>F228*TAN(F13)/ABS(F236)</f>
        <v>2.1372984402852864</v>
      </c>
      <c r="F240" s="1109" t="str">
        <f>IF(E240&gt;=1.5,"Ok","Not ok")</f>
        <v>Ok</v>
      </c>
      <c r="K240" s="286"/>
      <c r="M240" s="224"/>
    </row>
    <row r="241" spans="1:13">
      <c r="A241" s="109" t="str">
        <f>"Uplift=("&amp;FIXED(F226,2)&amp;"+"&amp;FIXED(F227,2)&amp;"+"&amp;FIXED(F228,2)&amp;")/("&amp;FIXED(F226,2)&amp;"+"&amp;FIXED(F227,2)&amp;")="</f>
        <v>Uplift=(143.42+0.00+110.60)/(143.42+0.00)=</v>
      </c>
      <c r="C241" s="46"/>
      <c r="D241" s="90"/>
      <c r="E241" s="1108">
        <f>IF(A207&gt;0,(F228+F226)/F226,"N / A")</f>
        <v>1.7711226016613884</v>
      </c>
      <c r="F241" s="1109" t="str">
        <f>IF(E241&gt;=1.1,"Ok","Not ok")</f>
        <v>Ok</v>
      </c>
      <c r="K241" s="286"/>
      <c r="M241" s="224"/>
    </row>
    <row r="242" spans="1:13">
      <c r="K242" s="286"/>
      <c r="M242" s="46"/>
    </row>
    <row r="243" spans="1:13">
      <c r="A243" s="41" t="s">
        <v>1202</v>
      </c>
      <c r="K243" s="286"/>
      <c r="M243" s="46"/>
    </row>
    <row r="244" spans="1:13">
      <c r="A244" s="187" t="s">
        <v>1203</v>
      </c>
      <c r="E244" s="191" t="s">
        <v>35</v>
      </c>
      <c r="F244" s="54">
        <f>D205/1000</f>
        <v>3.4</v>
      </c>
      <c r="G244" s="187" t="s">
        <v>5</v>
      </c>
      <c r="K244" s="286"/>
      <c r="M244" s="224"/>
    </row>
    <row r="245" spans="1:13" ht="15.75">
      <c r="A245" s="187" t="s">
        <v>1204</v>
      </c>
      <c r="D245" s="38"/>
      <c r="E245" s="191" t="s">
        <v>35</v>
      </c>
      <c r="F245" s="54">
        <f>(I228-I236)/F228</f>
        <v>1.6359345447981568</v>
      </c>
      <c r="G245" s="187" t="s">
        <v>1205</v>
      </c>
      <c r="K245" s="286"/>
      <c r="M245" s="224"/>
    </row>
    <row r="246" spans="1:13" ht="15.75">
      <c r="A246" s="187" t="s">
        <v>1206</v>
      </c>
      <c r="D246" s="38"/>
      <c r="E246" s="191" t="s">
        <v>35</v>
      </c>
      <c r="F246" s="54">
        <f>F244/6</f>
        <v>0.56666666666666665</v>
      </c>
      <c r="G246" s="187" t="s">
        <v>5</v>
      </c>
      <c r="K246" s="286"/>
      <c r="M246" s="224"/>
    </row>
    <row r="247" spans="1:13" ht="15.75">
      <c r="A247" s="187" t="s">
        <v>1207</v>
      </c>
      <c r="E247" s="191" t="s">
        <v>35</v>
      </c>
      <c r="F247" s="84">
        <f>F244/2-F245</f>
        <v>6.4065455201843147E-2</v>
      </c>
      <c r="G247" s="187" t="s">
        <v>1208</v>
      </c>
      <c r="K247" s="286"/>
      <c r="M247" s="224"/>
    </row>
    <row r="248" spans="1:13">
      <c r="A248" s="1065" t="str">
        <f>IF(F247&lt;0,"Resultant is towards heel","Resultant is towards toe")</f>
        <v>Resultant is towards toe</v>
      </c>
      <c r="B248" s="1065"/>
      <c r="C248" s="1065"/>
      <c r="F248" s="1066" t="str">
        <f>IF(ABS(F247)&lt;=F246,"i,e Resultant is in middle third","i,e Resultantis outside middle third")</f>
        <v>i,e Resultant is in middle third</v>
      </c>
      <c r="G248" s="1066"/>
      <c r="H248" s="1066"/>
      <c r="I248" s="46"/>
      <c r="J248" s="46"/>
      <c r="K248" s="286"/>
      <c r="M248" s="46"/>
    </row>
    <row r="249" spans="1:13">
      <c r="K249" s="286"/>
      <c r="M249" s="46"/>
    </row>
    <row r="250" spans="1:13">
      <c r="A250" s="1" t="s">
        <v>1209</v>
      </c>
      <c r="K250" s="286"/>
      <c r="M250" s="46"/>
    </row>
    <row r="251" spans="1:13">
      <c r="A251" t="s">
        <v>1210</v>
      </c>
      <c r="D251" s="2" t="s">
        <v>35</v>
      </c>
      <c r="E251" s="10">
        <f>(F228/F244)*(1+6*F247/F244)</f>
        <v>36.205802503485423</v>
      </c>
      <c r="F251" t="s">
        <v>1211</v>
      </c>
      <c r="K251" s="286"/>
      <c r="M251" s="224"/>
    </row>
    <row r="252" spans="1:13">
      <c r="A252" t="s">
        <v>1212</v>
      </c>
      <c r="D252" s="2" t="s">
        <v>35</v>
      </c>
      <c r="E252" s="10">
        <f>(F228/F244)*(1-6*F247/F244)</f>
        <v>28.850726908279295</v>
      </c>
      <c r="F252" t="s">
        <v>1211</v>
      </c>
      <c r="K252" s="286"/>
      <c r="M252" s="46"/>
    </row>
    <row r="253" spans="1:13">
      <c r="K253" s="286"/>
      <c r="M253" s="46"/>
    </row>
    <row r="254" spans="1:13">
      <c r="K254" s="286"/>
      <c r="M254" s="46"/>
    </row>
    <row r="255" spans="1:13">
      <c r="B255" s="203" t="s">
        <v>1218</v>
      </c>
      <c r="C255" s="36">
        <f>+E252</f>
        <v>28.850726908279295</v>
      </c>
      <c r="D255" s="187" t="s">
        <v>1244</v>
      </c>
      <c r="F255" s="30" t="s">
        <v>1257</v>
      </c>
      <c r="G255" s="36">
        <f>+E251</f>
        <v>36.205802503485423</v>
      </c>
      <c r="K255" s="286"/>
      <c r="M255" s="46"/>
    </row>
    <row r="256" spans="1:13">
      <c r="B256" s="203"/>
      <c r="C256" s="36"/>
      <c r="D256" s="187"/>
      <c r="F256" s="30"/>
      <c r="G256" s="36"/>
      <c r="K256" s="286"/>
      <c r="M256" s="46"/>
    </row>
    <row r="257" spans="1:13">
      <c r="F257" s="187"/>
      <c r="K257" s="286"/>
      <c r="M257" s="46"/>
    </row>
    <row r="258" spans="1:13">
      <c r="B258" s="1152" t="s">
        <v>1258</v>
      </c>
      <c r="C258" s="1152"/>
      <c r="D258" s="1152"/>
      <c r="E258" s="1153">
        <f>MAX(E81,E82,E167,E168,E251,E252)</f>
        <v>62.925793498801845</v>
      </c>
      <c r="F258" s="1152" t="s">
        <v>1259</v>
      </c>
      <c r="G258" s="1154">
        <f>E258*0.00948</f>
        <v>0.59653652236864152</v>
      </c>
      <c r="H258" s="1152" t="s">
        <v>817</v>
      </c>
      <c r="I258" s="1152"/>
      <c r="J258" s="1152"/>
      <c r="K258" s="286"/>
      <c r="M258" s="224"/>
    </row>
    <row r="259" spans="1:13">
      <c r="K259" s="286"/>
      <c r="L259" s="46"/>
      <c r="M259" s="46"/>
    </row>
    <row r="260" spans="1:13" ht="15.75">
      <c r="A260" s="1155" t="s">
        <v>1260</v>
      </c>
      <c r="B260" s="1155"/>
      <c r="C260" s="1155"/>
      <c r="D260" s="1155"/>
      <c r="E260" s="1155"/>
      <c r="F260" s="1155"/>
      <c r="G260" s="1155"/>
      <c r="H260" s="1155"/>
      <c r="I260" s="1155"/>
      <c r="J260" s="1155"/>
      <c r="K260" s="286"/>
      <c r="L260" s="1156"/>
      <c r="M260" s="46"/>
    </row>
    <row r="261" spans="1:13" hidden="1">
      <c r="K261" s="286"/>
      <c r="L261" s="46"/>
      <c r="M261" s="46"/>
    </row>
    <row r="262" spans="1:13" hidden="1">
      <c r="K262" s="286"/>
      <c r="M262" s="46"/>
    </row>
    <row r="263" spans="1:13" hidden="1">
      <c r="A263" s="187" t="s">
        <v>1261</v>
      </c>
      <c r="D263" s="190">
        <f>D8</f>
        <v>23.6</v>
      </c>
      <c r="E263" t="s">
        <v>1</v>
      </c>
      <c r="K263" s="286"/>
      <c r="M263" s="46"/>
    </row>
    <row r="264" spans="1:13" hidden="1">
      <c r="A264" t="s">
        <v>415</v>
      </c>
      <c r="D264" s="190">
        <f>D9</f>
        <v>15.7</v>
      </c>
      <c r="E264" t="s">
        <v>1</v>
      </c>
      <c r="K264" s="286"/>
      <c r="M264" s="46"/>
    </row>
    <row r="265" spans="1:13" hidden="1">
      <c r="A265" t="s">
        <v>416</v>
      </c>
      <c r="D265" s="190">
        <f>D10</f>
        <v>17.3</v>
      </c>
      <c r="E265" t="s">
        <v>1</v>
      </c>
      <c r="K265" s="286"/>
      <c r="L265" s="46"/>
      <c r="M265" s="46"/>
    </row>
    <row r="266" spans="1:13" hidden="1">
      <c r="A266" t="s">
        <v>417</v>
      </c>
      <c r="D266" s="190">
        <f>D11</f>
        <v>18.899999999999999</v>
      </c>
      <c r="E266" t="s">
        <v>1</v>
      </c>
      <c r="H266" s="17" t="s">
        <v>43</v>
      </c>
      <c r="I266" s="85">
        <f>COS(F270)*(COS(F270)-(COS(F270)^2-COS(F269)^2)^0.5)/(COS(F270)+(COS(F270)^2-COS(F269)^2)^0.5)</f>
        <v>0.36087265271105751</v>
      </c>
      <c r="J266" s="85"/>
      <c r="K266" s="286"/>
      <c r="L266" s="46"/>
      <c r="M266" s="46"/>
    </row>
    <row r="267" spans="1:13" hidden="1">
      <c r="A267" t="s">
        <v>418</v>
      </c>
      <c r="D267" s="190">
        <f>D12</f>
        <v>9.81</v>
      </c>
      <c r="E267" t="s">
        <v>1</v>
      </c>
      <c r="H267" s="203" t="s">
        <v>1158</v>
      </c>
      <c r="I267" s="85">
        <f>1/I266</f>
        <v>2.7710606289711768</v>
      </c>
      <c r="J267" s="85"/>
      <c r="K267" s="286"/>
      <c r="L267" s="46"/>
      <c r="M267" s="46"/>
    </row>
    <row r="268" spans="1:13" hidden="1">
      <c r="A268" s="187" t="s">
        <v>1262</v>
      </c>
      <c r="D268" s="190">
        <f>D266-D267</f>
        <v>9.0899999999999981</v>
      </c>
      <c r="E268" t="s">
        <v>1</v>
      </c>
      <c r="K268" s="286"/>
      <c r="L268" s="46"/>
      <c r="M268" s="46"/>
    </row>
    <row r="269" spans="1:13" ht="15.75" hidden="1">
      <c r="A269" s="187" t="s">
        <v>1159</v>
      </c>
      <c r="D269" s="296">
        <f>D13</f>
        <v>28</v>
      </c>
      <c r="E269" s="12" t="s">
        <v>321</v>
      </c>
      <c r="F269" s="115">
        <f>+D269*22/7/180</f>
        <v>0.48888888888888887</v>
      </c>
      <c r="G269" t="s">
        <v>322</v>
      </c>
      <c r="K269" s="286"/>
      <c r="L269" s="46"/>
      <c r="M269" s="46"/>
    </row>
    <row r="270" spans="1:13" ht="15.75" hidden="1">
      <c r="A270" t="s">
        <v>1263</v>
      </c>
      <c r="D270" s="296">
        <f>D14</f>
        <v>0</v>
      </c>
      <c r="E270" s="12" t="s">
        <v>321</v>
      </c>
      <c r="F270" s="115">
        <f>+D270*22/7/180</f>
        <v>0</v>
      </c>
      <c r="G270" t="s">
        <v>322</v>
      </c>
      <c r="K270" s="286"/>
      <c r="L270" s="46"/>
      <c r="M270" s="46"/>
    </row>
    <row r="271" spans="1:13" ht="15.75" hidden="1">
      <c r="A271" s="187" t="s">
        <v>1161</v>
      </c>
      <c r="D271" s="296">
        <f>D15</f>
        <v>28</v>
      </c>
      <c r="E271" s="12" t="s">
        <v>321</v>
      </c>
      <c r="F271" s="115">
        <f>+D271*22/7/180</f>
        <v>0.48888888888888887</v>
      </c>
      <c r="G271" t="s">
        <v>322</v>
      </c>
      <c r="K271" s="286"/>
      <c r="L271" s="46"/>
      <c r="M271" s="46"/>
    </row>
    <row r="272" spans="1:13" hidden="1">
      <c r="A272" s="187" t="s">
        <v>1162</v>
      </c>
      <c r="D272" s="190">
        <f>D16</f>
        <v>0</v>
      </c>
      <c r="E272" s="187" t="s">
        <v>323</v>
      </c>
      <c r="F272">
        <f>D272*D265</f>
        <v>0</v>
      </c>
      <c r="G272" t="s">
        <v>126</v>
      </c>
      <c r="K272" s="286"/>
      <c r="L272" s="46"/>
      <c r="M272" s="46"/>
    </row>
    <row r="273" spans="1:13">
      <c r="K273" s="286"/>
      <c r="L273" s="46"/>
      <c r="M273" s="46"/>
    </row>
    <row r="274" spans="1:13" ht="15">
      <c r="A274" s="29" t="s">
        <v>6</v>
      </c>
      <c r="K274" s="286"/>
      <c r="L274" s="46"/>
      <c r="M274" s="46"/>
    </row>
    <row r="275" spans="1:13" ht="14.25">
      <c r="A275" s="187" t="s">
        <v>420</v>
      </c>
      <c r="C275" s="579">
        <f>HeadWall!C13</f>
        <v>22</v>
      </c>
      <c r="D275" s="187" t="s">
        <v>421</v>
      </c>
      <c r="F275" s="1157"/>
      <c r="G275" s="386"/>
      <c r="H275" s="386"/>
      <c r="I275" s="274"/>
      <c r="J275" s="274"/>
      <c r="K275" s="286"/>
      <c r="L275" s="386"/>
      <c r="M275" s="46"/>
    </row>
    <row r="276" spans="1:13" ht="14.25">
      <c r="A276" t="s">
        <v>8</v>
      </c>
      <c r="C276" s="579">
        <f>HeadWall!C14</f>
        <v>414</v>
      </c>
      <c r="D276" s="187" t="s">
        <v>421</v>
      </c>
      <c r="F276" s="386"/>
      <c r="G276" s="386"/>
      <c r="H276" s="386"/>
      <c r="I276" s="386"/>
      <c r="J276" s="386"/>
      <c r="K276" s="286"/>
      <c r="L276" s="386"/>
      <c r="M276" s="46"/>
    </row>
    <row r="277" spans="1:13" ht="14.25">
      <c r="A277" t="s">
        <v>11</v>
      </c>
      <c r="C277" s="234">
        <f>2*10^5</f>
        <v>200000</v>
      </c>
      <c r="D277" s="187" t="s">
        <v>421</v>
      </c>
      <c r="F277" s="386"/>
      <c r="G277" s="386"/>
      <c r="H277" s="386"/>
      <c r="I277" s="1158"/>
      <c r="J277" s="1158"/>
      <c r="K277" s="286"/>
      <c r="L277" s="386"/>
      <c r="M277" s="46"/>
    </row>
    <row r="278" spans="1:13" ht="14.25">
      <c r="A278" s="187" t="s">
        <v>446</v>
      </c>
      <c r="C278" s="1159">
        <f>4.73*10^3*(C275)^0.5</f>
        <v>22185.666543964824</v>
      </c>
      <c r="D278" s="187" t="s">
        <v>421</v>
      </c>
      <c r="F278" s="386"/>
      <c r="G278" s="386"/>
      <c r="H278" s="386"/>
      <c r="I278" s="386"/>
      <c r="J278" s="386"/>
      <c r="K278" s="286"/>
      <c r="L278" s="386"/>
      <c r="M278" s="46"/>
    </row>
    <row r="279" spans="1:13">
      <c r="F279" s="385"/>
      <c r="G279" s="386"/>
      <c r="H279" s="386"/>
      <c r="I279" s="547"/>
      <c r="J279" s="547"/>
      <c r="K279" s="286"/>
      <c r="L279" s="386"/>
      <c r="M279" s="46"/>
    </row>
    <row r="280" spans="1:13" ht="14.25">
      <c r="A280" t="s">
        <v>425</v>
      </c>
      <c r="C280" s="10">
        <f>0.45*C275</f>
        <v>9.9</v>
      </c>
      <c r="D280" s="187" t="s">
        <v>421</v>
      </c>
      <c r="F280" s="386"/>
      <c r="G280" s="386"/>
      <c r="H280" s="386"/>
      <c r="I280" s="448"/>
      <c r="J280" s="448"/>
      <c r="K280" s="286"/>
      <c r="L280" s="386"/>
      <c r="M280" s="46"/>
    </row>
    <row r="281" spans="1:13" ht="14.25">
      <c r="A281" s="187" t="s">
        <v>426</v>
      </c>
      <c r="C281" s="10">
        <f>0.45*C276</f>
        <v>186.3</v>
      </c>
      <c r="D281" s="187" t="s">
        <v>421</v>
      </c>
      <c r="E281" s="144" t="s">
        <v>422</v>
      </c>
      <c r="K281" s="286"/>
      <c r="M281" s="46"/>
    </row>
    <row r="282" spans="1:13">
      <c r="A282" t="s">
        <v>10</v>
      </c>
      <c r="C282" s="190">
        <f>+C277/C278</f>
        <v>9.0148294442118573</v>
      </c>
      <c r="E282" t="s">
        <v>423</v>
      </c>
      <c r="I282" s="233">
        <f>HeadWall!H14</f>
        <v>60</v>
      </c>
      <c r="J282" t="s">
        <v>98</v>
      </c>
      <c r="K282" s="286"/>
      <c r="M282" s="46"/>
    </row>
    <row r="283" spans="1:13">
      <c r="A283" t="s">
        <v>427</v>
      </c>
      <c r="C283" s="10">
        <f>+C281/C280</f>
        <v>18.81818181818182</v>
      </c>
      <c r="E283" t="s">
        <v>424</v>
      </c>
      <c r="I283" s="233">
        <f>HeadWall!H15</f>
        <v>50</v>
      </c>
      <c r="J283" t="s">
        <v>98</v>
      </c>
      <c r="K283" s="286"/>
      <c r="M283" s="46"/>
    </row>
    <row r="284" spans="1:13">
      <c r="A284" t="s">
        <v>428</v>
      </c>
      <c r="C284" s="14">
        <f>C282/(C282+C283)</f>
        <v>0.32388983567840407</v>
      </c>
      <c r="E284" s="241" t="s">
        <v>2134</v>
      </c>
      <c r="F284" s="16"/>
      <c r="G284" s="16"/>
      <c r="I284" s="16">
        <f>IF(Hydraulic!O2="y",Hydraulic!O3,0)</f>
        <v>0</v>
      </c>
      <c r="J284" t="s">
        <v>98</v>
      </c>
      <c r="K284" s="286"/>
      <c r="M284" s="46"/>
    </row>
    <row r="285" spans="1:13">
      <c r="A285" t="s">
        <v>12</v>
      </c>
      <c r="C285" s="14">
        <f>1-C284/3</f>
        <v>0.89203672144053203</v>
      </c>
      <c r="K285" s="286"/>
      <c r="M285" s="46"/>
    </row>
    <row r="286" spans="1:13" ht="14.25">
      <c r="A286" t="s">
        <v>429</v>
      </c>
      <c r="C286" s="10">
        <f>0.5*C280*C284*C285</f>
        <v>1.4301620542760574</v>
      </c>
      <c r="D286" s="187" t="s">
        <v>421</v>
      </c>
      <c r="F286" s="18"/>
      <c r="K286" s="286"/>
      <c r="M286" s="46"/>
    </row>
    <row r="287" spans="1:13" ht="14.25">
      <c r="A287" s="187" t="s">
        <v>452</v>
      </c>
      <c r="C287" s="14">
        <f>9.1*10^(-2)*C275^0.5</f>
        <v>0.42682783414393211</v>
      </c>
      <c r="D287" s="187" t="s">
        <v>421</v>
      </c>
      <c r="E287" s="30" t="s">
        <v>430</v>
      </c>
      <c r="H287" s="115">
        <f>0.17*C275^0.5</f>
        <v>0.79737067916998317</v>
      </c>
      <c r="I287" s="187" t="s">
        <v>421</v>
      </c>
      <c r="J287" s="187"/>
      <c r="K287" s="286"/>
      <c r="M287" s="46"/>
    </row>
    <row r="288" spans="1:13">
      <c r="E288" s="2"/>
      <c r="K288" s="286"/>
      <c r="L288" s="46"/>
      <c r="M288" s="46"/>
    </row>
    <row r="289" spans="1:13" ht="15.75">
      <c r="B289" s="238" t="s">
        <v>431</v>
      </c>
      <c r="C289" s="239"/>
      <c r="D289" s="240"/>
      <c r="K289" s="286"/>
      <c r="L289" s="46"/>
      <c r="M289" s="46"/>
    </row>
    <row r="290" spans="1:13">
      <c r="K290" s="286"/>
      <c r="L290" s="46"/>
      <c r="M290" s="46"/>
    </row>
    <row r="291" spans="1:13" ht="14.25">
      <c r="B291" s="241" t="s">
        <v>432</v>
      </c>
      <c r="C291" s="16"/>
      <c r="D291" s="241" t="s">
        <v>433</v>
      </c>
      <c r="E291" s="16"/>
      <c r="F291" s="16"/>
      <c r="G291" s="16">
        <f>0.1/100</f>
        <v>1E-3</v>
      </c>
      <c r="H291" s="241" t="s">
        <v>1264</v>
      </c>
      <c r="K291" s="286"/>
      <c r="L291" s="46"/>
      <c r="M291" s="46"/>
    </row>
    <row r="292" spans="1:13" ht="14.25">
      <c r="B292" s="16"/>
      <c r="C292" s="16"/>
      <c r="D292" s="241" t="s">
        <v>435</v>
      </c>
      <c r="E292" s="16"/>
      <c r="F292" s="16"/>
      <c r="G292" s="16">
        <f>0.2/100</f>
        <v>2E-3</v>
      </c>
      <c r="H292" s="241" t="s">
        <v>1264</v>
      </c>
      <c r="K292" s="286"/>
      <c r="L292" s="46"/>
      <c r="M292" s="46"/>
    </row>
    <row r="293" spans="1:13" ht="14.25">
      <c r="B293" s="16"/>
      <c r="C293" s="16"/>
      <c r="D293" s="241" t="s">
        <v>436</v>
      </c>
      <c r="E293" s="16"/>
      <c r="F293" s="16"/>
      <c r="G293" s="16">
        <f>0.15/100</f>
        <v>1.5E-3</v>
      </c>
      <c r="H293" s="241" t="s">
        <v>1264</v>
      </c>
      <c r="K293" s="286"/>
      <c r="L293" s="46"/>
      <c r="M293" s="46"/>
    </row>
    <row r="294" spans="1:13">
      <c r="B294" s="241"/>
      <c r="C294" s="242"/>
      <c r="D294" s="16"/>
      <c r="E294" s="16"/>
      <c r="F294" s="16"/>
      <c r="G294" s="16"/>
      <c r="H294" s="16"/>
      <c r="K294" s="286"/>
      <c r="L294" s="46"/>
      <c r="M294" s="46"/>
    </row>
    <row r="295" spans="1:13">
      <c r="B295" s="241" t="s">
        <v>437</v>
      </c>
      <c r="C295" s="242"/>
      <c r="D295" s="16"/>
      <c r="E295" s="16"/>
      <c r="F295" s="16"/>
      <c r="G295" s="16"/>
      <c r="H295" s="16"/>
      <c r="K295" s="286"/>
      <c r="L295" s="46"/>
      <c r="M295" s="46"/>
    </row>
    <row r="296" spans="1:13" ht="14.25">
      <c r="B296" s="241"/>
      <c r="C296" s="242"/>
      <c r="D296" s="241" t="s">
        <v>433</v>
      </c>
      <c r="E296" s="16"/>
      <c r="F296" s="16"/>
      <c r="G296" s="16">
        <f>0.15/100</f>
        <v>1.5E-3</v>
      </c>
      <c r="H296" s="241" t="s">
        <v>1264</v>
      </c>
      <c r="K296" s="286"/>
      <c r="L296" s="46"/>
      <c r="M296" s="46"/>
    </row>
    <row r="297" spans="1:13" ht="14.25">
      <c r="B297" s="16"/>
      <c r="C297" s="16"/>
      <c r="D297" s="241" t="s">
        <v>435</v>
      </c>
      <c r="E297" s="16"/>
      <c r="F297" s="16"/>
      <c r="G297" s="16">
        <f>0.25/100</f>
        <v>2.5000000000000001E-3</v>
      </c>
      <c r="H297" s="241" t="s">
        <v>1264</v>
      </c>
      <c r="K297" s="286"/>
      <c r="L297" s="46"/>
      <c r="M297" s="46"/>
    </row>
    <row r="298" spans="1:13" ht="14.25">
      <c r="B298" s="16"/>
      <c r="C298" s="16"/>
      <c r="D298" s="241" t="s">
        <v>436</v>
      </c>
      <c r="E298" s="16"/>
      <c r="F298" s="16"/>
      <c r="G298" s="16">
        <f>0.2/100</f>
        <v>2E-3</v>
      </c>
      <c r="H298" s="241" t="s">
        <v>1264</v>
      </c>
      <c r="K298" s="286"/>
      <c r="L298" s="46"/>
      <c r="M298" s="46"/>
    </row>
    <row r="299" spans="1:13">
      <c r="B299" s="16"/>
      <c r="C299" s="16"/>
      <c r="D299" s="16"/>
      <c r="H299" s="16"/>
      <c r="K299" s="286"/>
      <c r="L299" s="46"/>
      <c r="M299" s="46"/>
    </row>
    <row r="300" spans="1:13">
      <c r="A300" s="243" t="s">
        <v>1265</v>
      </c>
      <c r="B300" s="241" t="s">
        <v>1114</v>
      </c>
      <c r="D300" s="16"/>
      <c r="F300" s="241" t="s">
        <v>1113</v>
      </c>
      <c r="G300" s="16"/>
      <c r="H300" s="241"/>
      <c r="K300" s="286"/>
      <c r="L300" s="46"/>
      <c r="M300" s="46"/>
    </row>
    <row r="301" spans="1:13" ht="14.25">
      <c r="B301" s="241" t="s">
        <v>111</v>
      </c>
      <c r="C301" s="16">
        <f>G291</f>
        <v>1E-3</v>
      </c>
      <c r="D301" s="241" t="s">
        <v>1264</v>
      </c>
      <c r="F301" s="241" t="s">
        <v>111</v>
      </c>
      <c r="G301" s="16">
        <f>G292</f>
        <v>2E-3</v>
      </c>
      <c r="H301" s="241" t="s">
        <v>1264</v>
      </c>
      <c r="K301" s="286"/>
      <c r="L301" s="46"/>
      <c r="M301" s="46"/>
    </row>
    <row r="302" spans="1:13" ht="14.25">
      <c r="B302" s="241" t="s">
        <v>110</v>
      </c>
      <c r="C302" s="16">
        <f>IF(D7&lt;=9,G291,G296)</f>
        <v>1E-3</v>
      </c>
      <c r="D302" s="241" t="s">
        <v>1264</v>
      </c>
      <c r="F302" s="241" t="s">
        <v>110</v>
      </c>
      <c r="G302" s="16">
        <f>IF(D7&lt;=9,G292,G297)</f>
        <v>2E-3</v>
      </c>
      <c r="H302" s="241" t="s">
        <v>1264</v>
      </c>
      <c r="K302" s="286"/>
      <c r="L302" s="46"/>
      <c r="M302" s="46"/>
    </row>
    <row r="303" spans="1:13">
      <c r="B303" s="16"/>
      <c r="D303" s="16"/>
      <c r="H303" s="16"/>
      <c r="K303" s="286"/>
      <c r="L303" s="46"/>
      <c r="M303" s="46"/>
    </row>
    <row r="304" spans="1:13">
      <c r="A304" s="243" t="s">
        <v>1266</v>
      </c>
      <c r="B304" s="241" t="s">
        <v>1267</v>
      </c>
      <c r="C304" s="16"/>
      <c r="D304" s="241"/>
      <c r="F304" s="241" t="s">
        <v>1108</v>
      </c>
      <c r="G304" s="16"/>
      <c r="H304" s="241"/>
      <c r="I304" s="16"/>
      <c r="J304" s="16"/>
      <c r="K304" s="286"/>
      <c r="L304" s="46"/>
      <c r="M304" s="46"/>
    </row>
    <row r="305" spans="1:18" ht="14.25">
      <c r="B305" s="241" t="s">
        <v>441</v>
      </c>
      <c r="C305" s="16">
        <f>G291</f>
        <v>1E-3</v>
      </c>
      <c r="D305" s="241" t="s">
        <v>1264</v>
      </c>
      <c r="F305" s="241" t="s">
        <v>441</v>
      </c>
      <c r="G305" s="16">
        <f>G291</f>
        <v>1E-3</v>
      </c>
      <c r="H305" s="241" t="s">
        <v>1264</v>
      </c>
      <c r="I305" s="16"/>
      <c r="J305" s="16"/>
      <c r="K305" s="286"/>
      <c r="L305" s="46"/>
      <c r="M305" s="46"/>
    </row>
    <row r="306" spans="1:18" ht="14.25">
      <c r="B306" s="241" t="s">
        <v>442</v>
      </c>
      <c r="C306" s="16">
        <f>IF(D7&lt;=9,G291,G296)</f>
        <v>1E-3</v>
      </c>
      <c r="D306" s="241" t="s">
        <v>1264</v>
      </c>
      <c r="F306" s="241" t="s">
        <v>442</v>
      </c>
      <c r="G306" s="16">
        <f>IF(D7&lt;=9,G291,G296)</f>
        <v>1E-3</v>
      </c>
      <c r="H306" s="241" t="s">
        <v>1264</v>
      </c>
      <c r="I306" s="16"/>
      <c r="J306" s="16"/>
      <c r="K306" s="286"/>
      <c r="L306" s="46"/>
      <c r="M306" s="46"/>
    </row>
    <row r="307" spans="1:18">
      <c r="B307" s="16"/>
      <c r="C307" s="16"/>
      <c r="D307" s="16"/>
      <c r="H307" s="16"/>
      <c r="K307" s="286"/>
      <c r="L307" s="46"/>
      <c r="M307" s="46"/>
    </row>
    <row r="308" spans="1:18">
      <c r="B308" s="241" t="s">
        <v>444</v>
      </c>
      <c r="D308" s="16"/>
      <c r="E308" s="16"/>
      <c r="H308" s="16">
        <v>380</v>
      </c>
      <c r="I308" s="241" t="s">
        <v>98</v>
      </c>
      <c r="J308" s="241"/>
      <c r="K308" s="286"/>
      <c r="L308" s="46"/>
      <c r="M308" s="46"/>
    </row>
    <row r="309" spans="1:18">
      <c r="E309" s="2"/>
      <c r="K309" s="286"/>
      <c r="L309" s="46"/>
      <c r="M309" s="46"/>
    </row>
    <row r="310" spans="1:18" ht="15">
      <c r="A310" s="1160" t="s">
        <v>1268</v>
      </c>
      <c r="B310" s="1161"/>
      <c r="C310" s="1162"/>
      <c r="D310" s="1161"/>
      <c r="E310" s="1163"/>
      <c r="K310" s="286"/>
      <c r="L310" s="46"/>
      <c r="M310" s="46"/>
    </row>
    <row r="311" spans="1:18">
      <c r="C311" s="17"/>
      <c r="E311" s="188">
        <f>E23/1000</f>
        <v>0.3</v>
      </c>
      <c r="K311" s="286"/>
      <c r="L311" s="46"/>
      <c r="M311" s="46"/>
    </row>
    <row r="312" spans="1:18">
      <c r="C312" s="1164" t="s">
        <v>1177</v>
      </c>
      <c r="D312" s="189">
        <f>C24</f>
        <v>10</v>
      </c>
      <c r="K312" s="286"/>
      <c r="L312" s="46"/>
      <c r="M312" s="46"/>
    </row>
    <row r="313" spans="1:18">
      <c r="E313" s="1014"/>
      <c r="K313" s="286"/>
      <c r="L313" s="46"/>
      <c r="M313" s="46"/>
    </row>
    <row r="314" spans="1:18">
      <c r="E314" s="1014"/>
      <c r="K314" s="286"/>
      <c r="L314" s="46"/>
      <c r="M314" s="46"/>
    </row>
    <row r="315" spans="1:18">
      <c r="D315" s="22"/>
      <c r="K315" s="286"/>
      <c r="L315" s="46"/>
      <c r="M315" s="46"/>
      <c r="O315" s="189"/>
    </row>
    <row r="316" spans="1:18">
      <c r="A316" s="54">
        <f>IF(O317=1,A99,A183)/1000</f>
        <v>2.8998632622097622</v>
      </c>
      <c r="B316" s="187" t="s">
        <v>5</v>
      </c>
      <c r="D316" s="40"/>
      <c r="G316" s="187" t="s">
        <v>1222</v>
      </c>
      <c r="H316" s="1165">
        <f>IF(O317=1,H5,H7)</f>
        <v>6.1</v>
      </c>
      <c r="K316" s="286"/>
      <c r="L316" s="46"/>
      <c r="M316" s="46"/>
      <c r="Q316" s="2099" t="s">
        <v>1849</v>
      </c>
      <c r="R316" s="2124" t="s">
        <v>1850</v>
      </c>
    </row>
    <row r="317" spans="1:18">
      <c r="B317" s="187" t="s">
        <v>45</v>
      </c>
      <c r="E317" s="1166"/>
      <c r="G317" s="187"/>
      <c r="I317" s="203"/>
      <c r="J317" s="203"/>
      <c r="K317" s="286"/>
      <c r="L317" s="1167" t="s">
        <v>1269</v>
      </c>
      <c r="M317" s="1167"/>
      <c r="N317" s="670"/>
      <c r="O317" s="1168">
        <v>1</v>
      </c>
      <c r="Q317" s="256" t="s">
        <v>1848</v>
      </c>
      <c r="R317" s="256" t="s">
        <v>1848</v>
      </c>
    </row>
    <row r="318" spans="1:18">
      <c r="A318" s="4"/>
      <c r="C318" s="203" t="s">
        <v>885</v>
      </c>
      <c r="D318" s="1165">
        <f>IF(O317=1,H4,H6)</f>
        <v>7.1001367377902378</v>
      </c>
      <c r="G318" s="5"/>
      <c r="I318" t="s">
        <v>1155</v>
      </c>
      <c r="J318" s="1356">
        <f>I189</f>
        <v>6.1</v>
      </c>
      <c r="K318" s="286"/>
      <c r="L318" s="1169" t="s">
        <v>1270</v>
      </c>
      <c r="M318" s="1169"/>
      <c r="N318" s="1170"/>
      <c r="O318" s="1171">
        <v>1</v>
      </c>
      <c r="Q318" s="3257">
        <f>G343</f>
        <v>67.430805391426759</v>
      </c>
      <c r="R318" s="103">
        <f>IF(O317=1,H366,"")</f>
        <v>62.864051543931474</v>
      </c>
    </row>
    <row r="319" spans="1:18">
      <c r="D319" s="22"/>
      <c r="E319" s="1083"/>
      <c r="F319" s="187"/>
      <c r="G319" s="203" t="s">
        <v>1271</v>
      </c>
      <c r="H319" s="220">
        <f>IF(O317=1,H106,F190)/1000</f>
        <v>0</v>
      </c>
      <c r="K319" s="286"/>
      <c r="L319" s="1172" t="s">
        <v>1272</v>
      </c>
      <c r="M319" s="1172"/>
      <c r="N319" s="1173"/>
      <c r="O319" s="1174">
        <v>2</v>
      </c>
      <c r="Q319" s="3258"/>
      <c r="R319" s="138" t="str">
        <f>IF(O317=2,H366,"")</f>
        <v/>
      </c>
    </row>
    <row r="320" spans="1:18">
      <c r="E320" s="25"/>
      <c r="G320" t="s">
        <v>606</v>
      </c>
      <c r="K320" s="286"/>
      <c r="L320" s="46"/>
      <c r="M320" s="46"/>
      <c r="Q320" s="2125" t="s">
        <v>1851</v>
      </c>
      <c r="R320" s="2126"/>
    </row>
    <row r="321" spans="1:17">
      <c r="A321" s="10">
        <f>IF(O317=1,A108,A192)/1000</f>
        <v>1.4001367377902385</v>
      </c>
      <c r="F321" s="10">
        <f>D312-D325</f>
        <v>3.9000000000000004</v>
      </c>
      <c r="G321" s="5"/>
      <c r="H321" s="5"/>
      <c r="K321" s="286"/>
      <c r="L321" s="46"/>
      <c r="M321" s="46"/>
    </row>
    <row r="322" spans="1:17">
      <c r="A322" s="27" t="s">
        <v>44</v>
      </c>
      <c r="C322" s="17" t="s">
        <v>121</v>
      </c>
      <c r="D322" s="220">
        <f>IF(O317=1,C108,C192)/1000</f>
        <v>1.0001367377902382</v>
      </c>
      <c r="F322" s="1014"/>
      <c r="H322" s="54">
        <f>IF(J318&gt;D325,J318-D325,0)</f>
        <v>0</v>
      </c>
      <c r="K322" s="286"/>
      <c r="L322" s="46"/>
      <c r="M322" s="46"/>
    </row>
    <row r="323" spans="1:17">
      <c r="E323" s="1014"/>
      <c r="G323" s="5"/>
      <c r="K323" s="286"/>
      <c r="L323" s="190"/>
      <c r="M323" s="46"/>
      <c r="P323" s="223"/>
    </row>
    <row r="324" spans="1:17">
      <c r="A324" s="27" t="s">
        <v>605</v>
      </c>
      <c r="G324" s="957"/>
      <c r="K324" s="286"/>
      <c r="L324" s="46"/>
      <c r="M324" s="46"/>
    </row>
    <row r="325" spans="1:17">
      <c r="C325" s="203" t="s">
        <v>1273</v>
      </c>
      <c r="D325" s="189">
        <f>D38</f>
        <v>6.1</v>
      </c>
      <c r="G325" s="4"/>
      <c r="H325" s="191"/>
      <c r="K325" s="286"/>
      <c r="L325" s="224"/>
      <c r="M325" s="46"/>
    </row>
    <row r="326" spans="1:17">
      <c r="E326" s="1"/>
      <c r="G326" s="5"/>
      <c r="I326" s="268" t="s">
        <v>1274</v>
      </c>
      <c r="J326" s="268"/>
      <c r="K326" s="286"/>
      <c r="L326" s="17"/>
      <c r="M326" s="46"/>
      <c r="N326" s="18"/>
    </row>
    <row r="327" spans="1:17">
      <c r="D327" s="189">
        <f>G40/1000</f>
        <v>0.4</v>
      </c>
      <c r="G327" s="5"/>
      <c r="K327" s="286"/>
      <c r="L327" s="385"/>
      <c r="M327" s="386"/>
    </row>
    <row r="328" spans="1:17">
      <c r="G328" s="5"/>
      <c r="K328" s="286"/>
      <c r="L328" s="46"/>
      <c r="M328" s="46"/>
    </row>
    <row r="329" spans="1:17">
      <c r="E329" s="25"/>
      <c r="H329" s="220">
        <f>G42/1000</f>
        <v>0.3</v>
      </c>
      <c r="K329" s="286"/>
      <c r="L329" s="46"/>
      <c r="M329" s="385"/>
      <c r="N329" s="189"/>
    </row>
    <row r="330" spans="1:17">
      <c r="K330" s="286"/>
      <c r="L330" s="46"/>
      <c r="M330" s="386"/>
      <c r="N330" s="1"/>
    </row>
    <row r="331" spans="1:17">
      <c r="G331" s="190">
        <f>G44/1000</f>
        <v>0.9</v>
      </c>
      <c r="K331" s="286"/>
      <c r="L331" s="46"/>
      <c r="M331" s="46"/>
    </row>
    <row r="332" spans="1:17">
      <c r="G332" s="190">
        <f>G45/1000</f>
        <v>0.3</v>
      </c>
      <c r="K332" s="286"/>
      <c r="L332" s="46"/>
      <c r="M332" s="46"/>
    </row>
    <row r="333" spans="1:17">
      <c r="C333" s="109">
        <f>C46/1000</f>
        <v>1.8</v>
      </c>
      <c r="E333" s="190">
        <f>E46/1000</f>
        <v>0.4</v>
      </c>
      <c r="F333" s="190">
        <f>F46/1000</f>
        <v>1.2</v>
      </c>
      <c r="K333" s="286"/>
      <c r="L333" s="46"/>
      <c r="M333" s="46"/>
      <c r="P333" s="10"/>
      <c r="Q333" s="36"/>
    </row>
    <row r="334" spans="1:17">
      <c r="K334" s="286"/>
      <c r="L334" s="46"/>
      <c r="M334" s="46"/>
      <c r="N334" s="187"/>
      <c r="P334" s="33"/>
      <c r="Q334" s="187"/>
    </row>
    <row r="335" spans="1:17">
      <c r="D335" s="206">
        <f>C333+E333+F333</f>
        <v>3.4000000000000004</v>
      </c>
      <c r="E335" t="s">
        <v>5</v>
      </c>
      <c r="K335" s="286"/>
      <c r="L335" s="46"/>
      <c r="M335" s="46"/>
    </row>
    <row r="336" spans="1:17">
      <c r="K336" s="286"/>
      <c r="L336" s="46"/>
      <c r="M336" s="46"/>
    </row>
    <row r="337" spans="1:20">
      <c r="K337" s="286"/>
      <c r="L337" s="46"/>
      <c r="M337" s="46"/>
    </row>
    <row r="338" spans="1:20">
      <c r="K338" s="286"/>
      <c r="L338" s="46"/>
      <c r="M338" s="46"/>
    </row>
    <row r="339" spans="1:20" ht="20.25">
      <c r="A339" s="1175" t="s">
        <v>1163</v>
      </c>
      <c r="B339" s="46"/>
      <c r="C339" s="46"/>
      <c r="D339" s="90"/>
      <c r="E339" s="44"/>
      <c r="F339" s="187" t="s">
        <v>593</v>
      </c>
      <c r="H339" s="38" t="s">
        <v>594</v>
      </c>
      <c r="I339" s="46"/>
      <c r="J339" s="46"/>
      <c r="K339" s="286"/>
      <c r="M339" s="46"/>
    </row>
    <row r="340" spans="1:20">
      <c r="A340" s="289"/>
      <c r="B340" s="46"/>
      <c r="C340" s="46"/>
      <c r="D340" s="90"/>
      <c r="E340" s="44"/>
      <c r="K340" s="286"/>
      <c r="L340" s="46"/>
      <c r="M340" s="46"/>
    </row>
    <row r="341" spans="1:20">
      <c r="A341" s="289"/>
      <c r="B341" s="109" t="s">
        <v>1275</v>
      </c>
      <c r="C341" s="46"/>
      <c r="D341" s="90"/>
      <c r="E341" s="44"/>
      <c r="F341" s="33">
        <f>F321</f>
        <v>3.9000000000000004</v>
      </c>
      <c r="G341" s="187" t="s">
        <v>5</v>
      </c>
      <c r="K341" s="286"/>
      <c r="L341" s="46"/>
      <c r="M341" s="46"/>
    </row>
    <row r="342" spans="1:20">
      <c r="A342" s="46"/>
      <c r="B342" s="46" t="str">
        <f>"P = 0.5x"&amp;FIXED(I266,3)&amp;" x "&amp;D266&amp;" x "&amp;F321&amp;"^2 + "&amp;FIXED(I266,3)&amp;" x "&amp;F272&amp;" x "&amp;F321&amp;" = "</f>
        <v xml:space="preserve">P = 0.5x0.361 x 18.9 x 3.9^2 + 0.361 x 0 x 3.9 = </v>
      </c>
      <c r="C342" s="46"/>
      <c r="D342" s="46"/>
      <c r="E342" s="46"/>
      <c r="G342" s="54">
        <f>0.5*I266*D266*F321^2+I266*F272*F321</f>
        <v>51.8698503010975</v>
      </c>
      <c r="H342" t="s">
        <v>21</v>
      </c>
      <c r="K342" s="286"/>
      <c r="L342" s="46"/>
      <c r="M342" s="46"/>
      <c r="N342" s="187"/>
      <c r="O342" s="33"/>
      <c r="P342" s="2"/>
      <c r="Q342" s="10"/>
      <c r="R342" s="191"/>
      <c r="S342" s="10"/>
      <c r="T342" s="191"/>
    </row>
    <row r="343" spans="1:20" ht="15.75">
      <c r="A343" s="46"/>
      <c r="B343" s="46" t="str">
        <f>"M = (1/6)"&amp;FIXED(I266,3)&amp;" x"&amp;D266&amp;" x"&amp;F321&amp;"^3 +"&amp;FIXED(I266,3)&amp;" x"&amp;F272&amp;" x"&amp;F321&amp;"^2/2 ="</f>
        <v>M = (1/6)0.361 x18.9 x3.9^3 +0.361 x0 x3.9^2/2 =</v>
      </c>
      <c r="C343" s="46"/>
      <c r="D343" s="46"/>
      <c r="E343" s="46"/>
      <c r="G343" s="54">
        <f>(1/6)*I266*D266*F321^3+I266*F272*F321*F321/2</f>
        <v>67.430805391426759</v>
      </c>
      <c r="H343" t="s">
        <v>107</v>
      </c>
      <c r="K343" s="286"/>
      <c r="L343" s="46"/>
      <c r="M343" s="46"/>
      <c r="N343" s="38"/>
      <c r="O343" s="33"/>
      <c r="P343" s="2"/>
      <c r="Q343" s="10"/>
      <c r="R343" s="191"/>
      <c r="S343" s="10"/>
      <c r="T343" s="191"/>
    </row>
    <row r="344" spans="1:20">
      <c r="A344" s="46"/>
      <c r="B344" s="46"/>
      <c r="C344" s="46"/>
      <c r="D344" s="46"/>
      <c r="E344" s="46"/>
      <c r="K344" s="286"/>
      <c r="L344" s="46"/>
      <c r="M344" s="46"/>
      <c r="O344" s="33"/>
    </row>
    <row r="345" spans="1:20">
      <c r="A345" s="46"/>
      <c r="B345" s="46" t="s">
        <v>1276</v>
      </c>
      <c r="C345" s="90"/>
      <c r="D345" s="160">
        <f>'Calc-2'!C20</f>
        <v>3.3800000000000221</v>
      </c>
      <c r="E345" s="201" t="s">
        <v>1277</v>
      </c>
      <c r="G345" s="33">
        <f>F321-D345</f>
        <v>0.51999999999997826</v>
      </c>
      <c r="H345" s="191" t="s">
        <v>1278</v>
      </c>
      <c r="K345" s="286"/>
      <c r="L345" s="46"/>
      <c r="M345" s="46"/>
      <c r="O345" s="33"/>
    </row>
    <row r="346" spans="1:20">
      <c r="A346" s="46"/>
      <c r="B346" s="46" t="str">
        <f>"P = 0.5x"&amp;FIXED(I266,3)&amp;" x "&amp;D266&amp;" x "&amp;FIXED(D345,2)&amp;"^2 + "&amp;FIXED(I266,3)&amp;" x "&amp;F272&amp;" x "&amp;FIXED(D345,2)&amp;" = "</f>
        <v xml:space="preserve">P = 0.5x0.361 x 18.9 x 3.38^2 + 0.361 x 0 x 3.38 = </v>
      </c>
      <c r="C346" s="90"/>
      <c r="D346" s="44"/>
      <c r="E346" s="201"/>
      <c r="F346" s="10"/>
      <c r="G346" s="54">
        <f>0.5*I266*D266*D345^2+I266*F272*D345</f>
        <v>38.960020892824851</v>
      </c>
      <c r="H346" t="s">
        <v>21</v>
      </c>
      <c r="K346" s="286"/>
      <c r="L346" s="46"/>
      <c r="M346" s="1176" t="s">
        <v>1340</v>
      </c>
      <c r="O346" s="33"/>
    </row>
    <row r="347" spans="1:20">
      <c r="A347" s="289"/>
      <c r="B347" s="46" t="str">
        <f>"M = (1/6)"&amp;FIXED(I266,3)&amp;" x"&amp;D266&amp;" x"&amp;FIXED(D345,2)&amp;"^3 +"&amp;FIXED(I266,3)&amp;" x"&amp;F272&amp;" x"&amp;FIXED(D345,2)&amp;"^2/2 ="</f>
        <v>M = (1/6)0.361 x18.9 x3.38^3 +0.361 x0 x3.38^2/2 =</v>
      </c>
      <c r="C347" s="90"/>
      <c r="D347" s="44"/>
      <c r="E347" s="201"/>
      <c r="F347" s="10"/>
      <c r="G347" s="54">
        <f>(1/6)*I266*D266*D345^3+I266*F272*D345^2/2</f>
        <v>43.894956872582952</v>
      </c>
      <c r="H347" t="s">
        <v>107</v>
      </c>
      <c r="K347" s="286"/>
      <c r="L347" s="46"/>
      <c r="M347" s="46"/>
      <c r="O347" s="33"/>
    </row>
    <row r="348" spans="1:20">
      <c r="A348" s="46"/>
      <c r="B348" s="46"/>
      <c r="C348" s="46"/>
      <c r="D348" s="46"/>
      <c r="E348" s="46"/>
      <c r="K348" s="286"/>
      <c r="L348" s="46"/>
      <c r="M348" s="46"/>
      <c r="O348" s="33"/>
    </row>
    <row r="349" spans="1:20">
      <c r="A349" s="46"/>
      <c r="B349" s="46" t="s">
        <v>1279</v>
      </c>
      <c r="C349" s="90"/>
      <c r="D349" s="160">
        <f>'Calc-2'!C21</f>
        <v>2.6100000000000385</v>
      </c>
      <c r="E349" s="201" t="s">
        <v>1277</v>
      </c>
      <c r="G349" s="33">
        <f>F321-D349</f>
        <v>1.2899999999999618</v>
      </c>
      <c r="H349" s="191" t="s">
        <v>1278</v>
      </c>
      <c r="K349" s="286"/>
      <c r="L349" s="46"/>
      <c r="M349" s="46"/>
      <c r="O349" s="33"/>
    </row>
    <row r="350" spans="1:20">
      <c r="A350" s="46"/>
      <c r="B350" s="46" t="str">
        <f>"P = 0.5x"&amp;FIXED(I266,3)&amp;" x "&amp;D266&amp;" x "&amp;FIXED(D349,2)&amp;"^2 + "&amp;FIXED(I266,3)&amp;" x "&amp;F272&amp;" x "&amp;FIXED(D349,2)&amp;" = "</f>
        <v xml:space="preserve">P = 0.5x0.361 x 18.9 x 2.61^2 + 0.361 x 0 x 2.61 = </v>
      </c>
      <c r="C350" s="46"/>
      <c r="D350" s="46"/>
      <c r="E350" s="46"/>
      <c r="G350" s="33">
        <f>0.5*I266*D266*D349^2+I266*F272*D349</f>
        <v>23.230940646687483</v>
      </c>
      <c r="H350" t="s">
        <v>21</v>
      </c>
      <c r="K350" s="286"/>
      <c r="L350" s="46"/>
      <c r="M350" s="46"/>
      <c r="O350" s="33"/>
    </row>
    <row r="351" spans="1:20">
      <c r="A351" s="46"/>
      <c r="B351" s="46" t="str">
        <f>"M = (1/6)"&amp;FIXED(I266,3)&amp;" x"&amp;D266&amp;" x"&amp;FIXED(D349,2)&amp;"^3 +"&amp;FIXED(I266,3)&amp;" x"&amp;F272&amp;" x"&amp;FIXED(D349,2)&amp;"^2/2 ="</f>
        <v>M = (1/6)0.361 x18.9 x2.61^3 +0.361 x0 x2.61^2/2 =</v>
      </c>
      <c r="C351" s="46"/>
      <c r="D351" s="46"/>
      <c r="E351" s="46"/>
      <c r="G351" s="33">
        <f>(1/6)*I266*D266*D349^3+I266*F272*D349^2/2</f>
        <v>20.210918362618408</v>
      </c>
      <c r="H351" t="s">
        <v>107</v>
      </c>
      <c r="K351" s="286"/>
      <c r="L351" s="46"/>
      <c r="M351" s="46"/>
    </row>
    <row r="352" spans="1:20">
      <c r="A352" s="46"/>
      <c r="B352" s="46"/>
      <c r="C352" s="46"/>
      <c r="D352" s="46"/>
      <c r="E352" s="46"/>
      <c r="K352" s="286"/>
      <c r="L352" s="46"/>
      <c r="M352" s="46"/>
    </row>
    <row r="353" spans="1:20">
      <c r="A353" s="1175" t="str">
        <f>IF(O317=1,"b) During Operation : Pre-monsoon","c) During Operation : Monsoon")</f>
        <v>b) During Operation : Pre-monsoon</v>
      </c>
      <c r="B353" s="46"/>
      <c r="C353" s="46"/>
      <c r="D353" s="46"/>
      <c r="E353" s="46"/>
      <c r="K353" s="286"/>
      <c r="L353" s="46"/>
      <c r="M353" s="46"/>
    </row>
    <row r="354" spans="1:20">
      <c r="A354" s="187" t="s">
        <v>1280</v>
      </c>
      <c r="C354" s="2"/>
      <c r="D354" s="10"/>
      <c r="K354" s="286"/>
      <c r="L354" s="46"/>
      <c r="M354" s="46"/>
    </row>
    <row r="355" spans="1:20" ht="20.25">
      <c r="A355" s="17" t="s">
        <v>35</v>
      </c>
      <c r="B355" s="38" t="s">
        <v>1281</v>
      </c>
      <c r="C355" s="2"/>
      <c r="D355" s="10"/>
      <c r="I355" s="46"/>
      <c r="J355" s="46"/>
      <c r="K355" s="286"/>
      <c r="M355" s="46"/>
    </row>
    <row r="356" spans="1:20" ht="18.75">
      <c r="A356" s="203" t="s">
        <v>1282</v>
      </c>
      <c r="B356" s="38" t="s">
        <v>1283</v>
      </c>
      <c r="C356" s="2"/>
      <c r="D356" s="10"/>
      <c r="I356" s="46"/>
      <c r="J356" s="46"/>
      <c r="K356" s="286"/>
      <c r="M356" s="46"/>
    </row>
    <row r="357" spans="1:20" ht="15.75">
      <c r="B357" s="17"/>
      <c r="C357" s="38"/>
      <c r="D357" s="2"/>
      <c r="E357" s="10"/>
      <c r="H357" s="203" t="s">
        <v>1284</v>
      </c>
      <c r="K357" s="286"/>
      <c r="L357" s="46"/>
      <c r="M357" s="46"/>
    </row>
    <row r="358" spans="1:20" ht="12.75" customHeight="1">
      <c r="B358" s="951" t="s">
        <v>613</v>
      </c>
      <c r="C358" s="3069" t="s">
        <v>1285</v>
      </c>
      <c r="D358" s="3070"/>
      <c r="E358" s="3070"/>
      <c r="F358" s="3070"/>
      <c r="G358" s="3070"/>
      <c r="H358" s="3071"/>
      <c r="K358" s="286"/>
      <c r="M358" s="46"/>
    </row>
    <row r="359" spans="1:20" ht="15.75">
      <c r="B359" s="1177"/>
      <c r="C359" s="1178" t="s">
        <v>45</v>
      </c>
      <c r="D359" s="1178" t="s">
        <v>44</v>
      </c>
      <c r="E359" s="1178" t="s">
        <v>605</v>
      </c>
      <c r="F359" s="1178" t="s">
        <v>606</v>
      </c>
      <c r="G359" s="1178" t="s">
        <v>1274</v>
      </c>
      <c r="H359" s="1179" t="s">
        <v>1286</v>
      </c>
      <c r="K359" s="286"/>
      <c r="M359" s="46"/>
      <c r="N359" s="785"/>
      <c r="O359" s="386"/>
      <c r="P359" s="386"/>
      <c r="Q359" s="386"/>
      <c r="R359" s="386"/>
      <c r="S359" s="386"/>
      <c r="T359" s="386"/>
    </row>
    <row r="360" spans="1:20">
      <c r="B360" s="1180">
        <v>0</v>
      </c>
      <c r="C360" s="1181">
        <f>IF(B360&gt;$D$322,0.5*$I$266*$D$265*($F$321-B360)^2,0.5*$I$266*$D$265*$A$316^2)</f>
        <v>26.249746853716843</v>
      </c>
      <c r="D360" s="1181">
        <f>IF(B360&gt;=$D$322,0,$I$266*$D$265*$A$316*($D$322-B360))</f>
        <v>18.106602837604342</v>
      </c>
      <c r="E360" s="1181">
        <f>IF(B360&gt;$D$322,0,0.5*($I$266*$D$268+$D$267)*($D$322-B360)^2)</f>
        <v>6.546956272075847</v>
      </c>
      <c r="F360" s="1181">
        <f>IF(B360&gt;$H$319,0,0.5*$D$267*($H$319-B360)^2)</f>
        <v>0</v>
      </c>
      <c r="G360" s="1181">
        <f>IF(B360&gt;$H$322,0,0.5*$I$267*IF($H$316&gt;=$J$318,$D$268,$D$266)*($H$322-B360)^2)</f>
        <v>0</v>
      </c>
      <c r="H360" s="1182">
        <f>C360+D360+E360-F360-G360+$I$266*$F$272*($F$321-B360)</f>
        <v>50.903305963397031</v>
      </c>
      <c r="K360" s="286"/>
      <c r="M360" s="46"/>
      <c r="N360" s="785"/>
      <c r="O360" s="503"/>
      <c r="P360" s="503"/>
      <c r="Q360" s="503"/>
      <c r="R360" s="503"/>
      <c r="S360" s="503"/>
      <c r="T360" s="503"/>
    </row>
    <row r="361" spans="1:20">
      <c r="B361" s="1183">
        <f>F341-D345</f>
        <v>0.51999999999997826</v>
      </c>
      <c r="C361" s="368">
        <f>IF(B361&gt;$D$322,0.5*$I$266*$D$265*($F$321-B361)^2,0.5*$I$266*$D$265*$A$316^2)</f>
        <v>26.249746853716843</v>
      </c>
      <c r="D361" s="368">
        <f>IF(B361&gt;=$D$322,0,$I$266*$D$265*$A$316*($D$322-B361))</f>
        <v>8.692456631599665</v>
      </c>
      <c r="E361" s="368">
        <f>IF(B361&gt;$D$322,0,0.5*($I$266*$D$268+$D$267)*($D$322-B361)^2)</f>
        <v>1.5088655890719782</v>
      </c>
      <c r="F361" s="368">
        <f>IF(B361&gt;$H$319,0,0.5*$D$267*($H$319-B361)^2)</f>
        <v>0</v>
      </c>
      <c r="G361" s="368">
        <f>IF(B361&gt;$H$322,0,0.5*$I$267*IF($H$316&gt;=$J$318,$D$268,$D$266)*($H$322-B361)^2)</f>
        <v>0</v>
      </c>
      <c r="H361" s="272">
        <f>C361+D361+E361-F361-G361+$I$266*$F$272*($F$321-B361)</f>
        <v>36.451069074388492</v>
      </c>
      <c r="K361" s="286"/>
      <c r="M361" s="46"/>
      <c r="N361" s="785"/>
      <c r="O361" s="503"/>
      <c r="P361" s="503"/>
      <c r="Q361" s="503"/>
      <c r="R361" s="503"/>
      <c r="S361" s="503"/>
      <c r="T361" s="503"/>
    </row>
    <row r="362" spans="1:20">
      <c r="B362" s="929">
        <f>F341-D349</f>
        <v>1.2899999999999618</v>
      </c>
      <c r="C362" s="1184">
        <f>IF(B362&gt;$D$322,0.5*$I$266*$D$265*($F$321-B362)^2,0.5*$I$266*$D$265*$A$316^2)</f>
        <v>21.264300168661034</v>
      </c>
      <c r="D362" s="1184">
        <f>IF(B362&gt;=$D$322,0,$I$266*$D$265*$A$316*($D$322-B362))</f>
        <v>0</v>
      </c>
      <c r="E362" s="1184">
        <f>IF(B362&gt;$D$322,0,0.5*($I$266*$D$268+$D$267)*($D$322-B362)^2)</f>
        <v>0</v>
      </c>
      <c r="F362" s="1184">
        <f>IF(B362&gt;$H$319,0,0.5*$D$267*($H$319-B362)^2)</f>
        <v>0</v>
      </c>
      <c r="G362" s="1184">
        <f>IF(B362&gt;$H$322,0,0.5*$I$267*IF($H$316&gt;=$J$318,$D$268,$D$266)*($H$322-B362)^2)</f>
        <v>0</v>
      </c>
      <c r="H362" s="282">
        <f>C362+D362+E362-F362-G362+$I$266*$F$272*($F$321-B362)</f>
        <v>21.264300168661034</v>
      </c>
      <c r="K362" s="286"/>
      <c r="M362" s="46"/>
      <c r="N362" s="785"/>
      <c r="O362" s="503"/>
      <c r="P362" s="503"/>
      <c r="Q362" s="503"/>
      <c r="R362" s="503"/>
      <c r="S362" s="503"/>
      <c r="T362" s="503"/>
    </row>
    <row r="363" spans="1:20">
      <c r="K363" s="286"/>
      <c r="L363" s="275"/>
      <c r="M363" s="46"/>
      <c r="N363" s="785"/>
      <c r="O363" s="503"/>
      <c r="P363" s="503"/>
      <c r="Q363" s="503"/>
      <c r="R363" s="503"/>
      <c r="S363" s="503"/>
      <c r="T363" s="503"/>
    </row>
    <row r="364" spans="1:20" ht="12.75" customHeight="1">
      <c r="B364" s="951" t="s">
        <v>613</v>
      </c>
      <c r="C364" s="3278" t="s">
        <v>1287</v>
      </c>
      <c r="D364" s="3279"/>
      <c r="E364" s="3279"/>
      <c r="F364" s="3279"/>
      <c r="G364" s="3280"/>
      <c r="H364" s="256" t="s">
        <v>1185</v>
      </c>
      <c r="K364" s="286"/>
      <c r="M364" s="46"/>
      <c r="N364" s="785"/>
      <c r="O364" s="386"/>
      <c r="P364" s="386"/>
      <c r="Q364" s="386"/>
      <c r="R364" s="386"/>
      <c r="S364" s="386"/>
      <c r="T364" s="386"/>
    </row>
    <row r="365" spans="1:20">
      <c r="B365" s="1177"/>
      <c r="C365" s="1185" t="s">
        <v>1288</v>
      </c>
      <c r="D365" s="1186" t="s">
        <v>1289</v>
      </c>
      <c r="E365" s="1178" t="s">
        <v>1290</v>
      </c>
      <c r="F365" s="1185" t="s">
        <v>1291</v>
      </c>
      <c r="G365" s="1178" t="s">
        <v>1292</v>
      </c>
      <c r="H365" s="1178" t="s">
        <v>1293</v>
      </c>
      <c r="K365" s="286"/>
      <c r="M365" s="46"/>
      <c r="N365" s="785"/>
      <c r="O365" s="503"/>
      <c r="P365" s="1187"/>
      <c r="Q365" s="503"/>
      <c r="R365" s="503"/>
      <c r="S365" s="503"/>
      <c r="T365" s="448"/>
    </row>
    <row r="366" spans="1:20">
      <c r="B366" s="660">
        <f>B360</f>
        <v>0</v>
      </c>
      <c r="C366" s="1181">
        <f>IF(B366&gt;$D$322,($F$321-B366)/3,$A$316/3+($D$322-B366))</f>
        <v>1.9667578251934921</v>
      </c>
      <c r="D366" s="1188">
        <f>IF(B366&gt;$D$322,0,($D$322-B366)/2)</f>
        <v>0.50006836889511908</v>
      </c>
      <c r="E366" s="1181">
        <f>IF(B366&gt;$D$322,0,($D$322-B366)/3)</f>
        <v>0.33337891259674607</v>
      </c>
      <c r="F366" s="1181">
        <f>IF(B366&gt;$H$319,0,($H$319-B366)/3)</f>
        <v>0</v>
      </c>
      <c r="G366" s="1181">
        <f>IF(B366&gt;$H$322,0,($H$322-B366)/3)</f>
        <v>0</v>
      </c>
      <c r="H366" s="1036">
        <f>C360*C366+D360*D366+E360*E366-F360*F366-G360*G366+$I$266*$F$272*($F$321-B360)^2/2</f>
        <v>62.864051543931474</v>
      </c>
      <c r="K366" s="286"/>
      <c r="M366" s="46"/>
      <c r="N366" s="785"/>
      <c r="O366" s="503"/>
      <c r="P366" s="1187"/>
      <c r="Q366" s="503"/>
      <c r="R366" s="503"/>
      <c r="S366" s="503"/>
      <c r="T366" s="448"/>
    </row>
    <row r="367" spans="1:20">
      <c r="B367" s="352">
        <f>B361</f>
        <v>0.51999999999997826</v>
      </c>
      <c r="C367" s="368">
        <f>IF(B367&gt;$D$322,($F$321-B367)/3,$A$316/3+($D$322-B367))</f>
        <v>1.4467578251935138</v>
      </c>
      <c r="D367" s="1189">
        <f>IF(B367&gt;$D$322,0,($D$322-B367)/2)</f>
        <v>0.24006836889512995</v>
      </c>
      <c r="E367" s="368">
        <f>IF(B367&gt;$D$322,0,($D$322-B367)/3)</f>
        <v>0.16004557926341997</v>
      </c>
      <c r="F367" s="368">
        <f>IF(B367&gt;$H$319,0,($H$319-B367)/3)</f>
        <v>0</v>
      </c>
      <c r="G367" s="368">
        <f>IF(B367&gt;$H$322,0,($H$322-B367)/3)</f>
        <v>0</v>
      </c>
      <c r="H367" s="155">
        <f>C361*C367+D361*D367+E361*E367-F361*F367-G361*G367+$I$266*$F$272*($F$321-B361)^2/2</f>
        <v>40.305297822437119</v>
      </c>
      <c r="K367" s="286"/>
      <c r="M367" s="46"/>
      <c r="N367" s="785"/>
      <c r="O367" s="503"/>
      <c r="P367" s="1187"/>
      <c r="Q367" s="503"/>
      <c r="R367" s="503"/>
      <c r="S367" s="503"/>
      <c r="T367" s="448"/>
    </row>
    <row r="368" spans="1:20">
      <c r="B368" s="353">
        <f>B362</f>
        <v>1.2899999999999618</v>
      </c>
      <c r="C368" s="1184">
        <f>IF(B368&gt;$D$322,($F$321-B368)/3,$A$316/3+($D$322-B368))</f>
        <v>0.87000000000001287</v>
      </c>
      <c r="D368" s="1190">
        <f>IF(B368&gt;$D$322,0,($D$322-B368)/2)</f>
        <v>0</v>
      </c>
      <c r="E368" s="1184">
        <f>IF(B368&gt;$D$322,0,($D$322-B368)/3)</f>
        <v>0</v>
      </c>
      <c r="F368" s="1184">
        <f>IF(B368&gt;$H$319,0,($H$319-B368)/3)</f>
        <v>0</v>
      </c>
      <c r="G368" s="1184">
        <f>IF(B368&gt;$H$322,0,($H$322-B368)/3)</f>
        <v>0</v>
      </c>
      <c r="H368" s="170">
        <f>C362*C368+D362*D368+E362*E368-F362*F368-G362*G368+$I$266*$F$272*($F$321-B362)^2/2</f>
        <v>18.499941146735374</v>
      </c>
      <c r="K368" s="286"/>
      <c r="M368" s="46"/>
      <c r="N368" s="448"/>
      <c r="O368" s="503"/>
      <c r="P368" s="1187"/>
      <c r="Q368" s="503"/>
      <c r="R368" s="503"/>
      <c r="S368" s="503"/>
      <c r="T368" s="448"/>
    </row>
    <row r="369" spans="1:20">
      <c r="K369" s="286"/>
      <c r="L369" s="1191"/>
      <c r="M369" s="46"/>
      <c r="N369" s="386"/>
      <c r="O369" s="386"/>
      <c r="P369" s="386"/>
      <c r="Q369" s="386"/>
      <c r="R369" s="386"/>
      <c r="S369" s="386"/>
      <c r="T369" s="386"/>
    </row>
    <row r="370" spans="1:20">
      <c r="A370" s="383" t="s">
        <v>1294</v>
      </c>
      <c r="B370" s="223"/>
      <c r="C370" s="1192"/>
      <c r="D370" s="191"/>
      <c r="E370" s="223"/>
      <c r="F370" s="187"/>
      <c r="K370" s="286"/>
      <c r="L370" s="46"/>
      <c r="M370" s="46"/>
      <c r="N370" s="386"/>
      <c r="O370" s="386"/>
      <c r="P370" s="386"/>
      <c r="Q370" s="386"/>
      <c r="R370" s="386"/>
      <c r="S370" s="386"/>
      <c r="T370" s="386"/>
    </row>
    <row r="371" spans="1:20" ht="15.75">
      <c r="A371" s="1193"/>
      <c r="B371" s="1194"/>
      <c r="C371" s="9"/>
      <c r="D371" s="1195"/>
      <c r="E371" s="14"/>
      <c r="F371" s="10"/>
      <c r="G371" s="10"/>
      <c r="H371" s="2"/>
      <c r="I371" s="10"/>
      <c r="J371" s="10"/>
      <c r="K371" s="286"/>
      <c r="L371" s="44"/>
      <c r="M371" s="46"/>
      <c r="N371" s="386"/>
      <c r="O371" s="386"/>
      <c r="P371" s="386"/>
      <c r="Q371" s="386"/>
      <c r="R371" s="386"/>
      <c r="S371" s="386"/>
      <c r="T371" s="386"/>
    </row>
    <row r="372" spans="1:20">
      <c r="B372" s="3281" t="s">
        <v>613</v>
      </c>
      <c r="C372" s="1196" t="s">
        <v>619</v>
      </c>
      <c r="D372" s="1196" t="s">
        <v>1295</v>
      </c>
      <c r="E372" s="1196" t="s">
        <v>1296</v>
      </c>
      <c r="F372" s="1197" t="s">
        <v>1297</v>
      </c>
      <c r="G372" s="1196" t="s">
        <v>1185</v>
      </c>
      <c r="H372" s="1197" t="s">
        <v>1297</v>
      </c>
      <c r="I372" s="1196" t="s">
        <v>676</v>
      </c>
      <c r="J372" s="1350"/>
      <c r="K372" s="286"/>
      <c r="L372" s="46"/>
      <c r="M372" s="46"/>
      <c r="N372" s="3268"/>
      <c r="O372" s="3265"/>
      <c r="P372" s="3265"/>
      <c r="Q372" s="3265"/>
      <c r="R372" s="1198"/>
      <c r="S372" s="3265"/>
      <c r="T372" s="1198"/>
    </row>
    <row r="373" spans="1:20" ht="25.5">
      <c r="B373" s="3282"/>
      <c r="C373" s="1199"/>
      <c r="D373" s="1199"/>
      <c r="E373" s="1199"/>
      <c r="F373" s="1200" t="s">
        <v>1298</v>
      </c>
      <c r="G373" s="1199"/>
      <c r="H373" s="1200" t="s">
        <v>1299</v>
      </c>
      <c r="I373" s="1199"/>
      <c r="J373" s="1350"/>
      <c r="K373" s="286"/>
      <c r="L373" s="46"/>
      <c r="M373" s="46"/>
      <c r="N373" s="3268"/>
      <c r="O373" s="3265"/>
      <c r="P373" s="3265"/>
      <c r="Q373" s="3265"/>
      <c r="R373" s="1201"/>
      <c r="S373" s="3265"/>
      <c r="T373" s="1201"/>
    </row>
    <row r="374" spans="1:20" ht="15.75">
      <c r="B374" s="1202" t="s">
        <v>5</v>
      </c>
      <c r="C374" s="355" t="s">
        <v>98</v>
      </c>
      <c r="D374" s="355" t="s">
        <v>98</v>
      </c>
      <c r="E374" s="1203" t="s">
        <v>21</v>
      </c>
      <c r="F374" s="355" t="s">
        <v>98</v>
      </c>
      <c r="G374" s="381" t="s">
        <v>107</v>
      </c>
      <c r="H374" s="355" t="s">
        <v>98</v>
      </c>
      <c r="I374" s="381"/>
      <c r="J374" s="75"/>
      <c r="K374" s="286"/>
      <c r="L374" s="46"/>
      <c r="M374" s="46"/>
      <c r="N374" s="1204"/>
      <c r="O374" s="408"/>
      <c r="P374" s="408"/>
      <c r="Q374" s="1205"/>
      <c r="R374" s="408"/>
      <c r="S374" s="275"/>
      <c r="T374" s="408"/>
    </row>
    <row r="375" spans="1:20">
      <c r="B375" s="1206">
        <f>B366</f>
        <v>0</v>
      </c>
      <c r="C375" s="1207">
        <f>E333*1000</f>
        <v>400</v>
      </c>
      <c r="D375" s="1207">
        <f>+C375-($I$282+$B$391/2)</f>
        <v>332</v>
      </c>
      <c r="E375" s="1208">
        <f>MAX(G342,H360)</f>
        <v>51.8698503010975</v>
      </c>
      <c r="F375" s="1208">
        <f>+E375*1000/(1000*$C$287)</f>
        <v>121.52405759837653</v>
      </c>
      <c r="G375" s="1208">
        <f>MAX(G343,H366)</f>
        <v>67.430805391426759</v>
      </c>
      <c r="H375" s="1208">
        <f>+(G375*10^6/($C$286*1000))^0.5</f>
        <v>217.13835730319994</v>
      </c>
      <c r="I375" s="1209" t="str">
        <f>+IF((H375&lt;=D375)*AND(F375&lt;=D375),"O.K","Not O.K")</f>
        <v>O.K</v>
      </c>
      <c r="J375" s="1232"/>
      <c r="K375" s="286"/>
      <c r="L375" s="46"/>
      <c r="M375" s="46"/>
      <c r="N375" s="1210"/>
      <c r="O375" s="1211"/>
      <c r="P375" s="1211"/>
      <c r="Q375" s="1210"/>
      <c r="R375" s="1210"/>
      <c r="S375" s="1210"/>
      <c r="T375" s="1210"/>
    </row>
    <row r="376" spans="1:20">
      <c r="B376" s="1212">
        <f>B367</f>
        <v>0.51999999999997826</v>
      </c>
      <c r="C376" s="1213">
        <f>C375-1000*(E333-E311)*B376/(D312-D325)</f>
        <v>386.6666666666672</v>
      </c>
      <c r="D376" s="1214">
        <f>+C376-($I$282+$B$391/2)</f>
        <v>318.6666666666672</v>
      </c>
      <c r="E376" s="1215">
        <f>MAX(G346,H361)</f>
        <v>38.960020892824851</v>
      </c>
      <c r="F376" s="368">
        <f>+E376*1000/(1000*$C$287)</f>
        <v>91.278069929448449</v>
      </c>
      <c r="G376" s="1215">
        <f>MAX(G347,H367)</f>
        <v>43.894956872582952</v>
      </c>
      <c r="H376" s="368">
        <f>+(G376*10^6/($C$286*1000))^0.5</f>
        <v>175.19216832529139</v>
      </c>
      <c r="I376" s="380" t="str">
        <f>+IF((H376&lt;=D376)*AND(F376&lt;=D376),"O.K","Not O.K")</f>
        <v>O.K</v>
      </c>
      <c r="J376" s="1343"/>
      <c r="K376" s="286"/>
      <c r="L376" s="46"/>
      <c r="M376" s="46"/>
      <c r="N376" s="1210"/>
      <c r="O376" s="1211"/>
      <c r="P376" s="1211"/>
      <c r="Q376" s="1210"/>
      <c r="R376" s="1210"/>
      <c r="S376" s="1210"/>
      <c r="T376" s="1210"/>
    </row>
    <row r="377" spans="1:20">
      <c r="B377" s="566">
        <f>B368</f>
        <v>1.2899999999999618</v>
      </c>
      <c r="C377" s="372">
        <f>C375-1000*(E333-E311)*B377/(D312-D325)</f>
        <v>366.92307692307787</v>
      </c>
      <c r="D377" s="1216">
        <f>+C377-($I$282+$B$391/2)</f>
        <v>298.92307692307787</v>
      </c>
      <c r="E377" s="1217">
        <f>MAX(G350,H362)</f>
        <v>23.230940646687483</v>
      </c>
      <c r="F377" s="1184">
        <f>+E377*1000/(1000*$C$287)</f>
        <v>54.426958104268564</v>
      </c>
      <c r="G377" s="1217">
        <f>MAX(G351,H368)</f>
        <v>20.210918362618408</v>
      </c>
      <c r="H377" s="1184">
        <f>+(G377*10^6/($C$286*1000))^0.5</f>
        <v>118.87770123414622</v>
      </c>
      <c r="I377" s="517" t="str">
        <f>+IF((H377&lt;=D377)*AND(F377&lt;=D377),"O.K","Not O.K")</f>
        <v>O.K</v>
      </c>
      <c r="J377" s="1343"/>
      <c r="K377" s="286"/>
      <c r="L377" s="46"/>
      <c r="M377" s="46"/>
      <c r="N377" s="1210"/>
      <c r="O377" s="1211"/>
      <c r="P377" s="1211"/>
      <c r="Q377" s="1210"/>
      <c r="R377" s="1210"/>
      <c r="S377" s="1210"/>
      <c r="T377" s="1210"/>
    </row>
    <row r="378" spans="1:20" ht="15.75">
      <c r="A378" s="1193"/>
      <c r="B378" s="1194"/>
      <c r="C378" s="9"/>
      <c r="D378" s="1195"/>
      <c r="E378" s="14"/>
      <c r="F378" s="10"/>
      <c r="G378" s="10"/>
      <c r="H378" s="2"/>
      <c r="I378" s="10"/>
      <c r="J378" s="44"/>
      <c r="K378" s="286"/>
      <c r="L378" s="44"/>
      <c r="M378" s="46"/>
      <c r="N378" s="386"/>
      <c r="O378" s="386"/>
      <c r="P378" s="386"/>
      <c r="Q378" s="386"/>
      <c r="R378" s="386"/>
      <c r="S378" s="386"/>
      <c r="T378" s="386"/>
    </row>
    <row r="379" spans="1:20">
      <c r="A379" s="3266" t="s">
        <v>613</v>
      </c>
      <c r="B379" s="1178" t="s">
        <v>1300</v>
      </c>
      <c r="C379" s="1218" t="s">
        <v>1301</v>
      </c>
      <c r="D379" s="1219" t="s">
        <v>946</v>
      </c>
      <c r="E379" s="1220" t="s">
        <v>1302</v>
      </c>
      <c r="F379" s="101"/>
      <c r="G379" s="1221"/>
      <c r="H379" s="1222" t="s">
        <v>1303</v>
      </c>
      <c r="I379" s="1341"/>
      <c r="J379" s="275"/>
      <c r="K379" s="286"/>
      <c r="L379" s="107"/>
      <c r="M379" s="46"/>
      <c r="N379" s="386"/>
      <c r="O379" s="386"/>
      <c r="P379" s="386"/>
      <c r="Q379" s="386"/>
      <c r="R379" s="386"/>
      <c r="S379" s="386"/>
      <c r="T379" s="386"/>
    </row>
    <row r="380" spans="1:20">
      <c r="A380" s="3267"/>
      <c r="B380" s="1223" t="s">
        <v>1185</v>
      </c>
      <c r="C380" s="1224"/>
      <c r="D380" s="1225">
        <f>C301</f>
        <v>1E-3</v>
      </c>
      <c r="E380" s="1226"/>
      <c r="F380" s="1351">
        <v>12</v>
      </c>
      <c r="G380" s="1227">
        <v>16</v>
      </c>
      <c r="H380" s="1228">
        <v>20</v>
      </c>
      <c r="I380" s="1352">
        <v>22</v>
      </c>
      <c r="J380" s="1229"/>
      <c r="K380" s="286"/>
      <c r="L380" s="1229"/>
      <c r="M380" s="46"/>
      <c r="N380" s="386"/>
      <c r="O380" s="386"/>
      <c r="P380" s="386"/>
      <c r="Q380" s="386"/>
      <c r="R380" s="386"/>
      <c r="S380" s="386"/>
      <c r="T380" s="386"/>
    </row>
    <row r="381" spans="1:20" ht="14.25">
      <c r="A381" s="1230" t="s">
        <v>5</v>
      </c>
      <c r="B381" s="944" t="s">
        <v>1293</v>
      </c>
      <c r="C381" s="1231" t="s">
        <v>491</v>
      </c>
      <c r="D381" s="1231" t="s">
        <v>491</v>
      </c>
      <c r="E381" s="1231" t="s">
        <v>491</v>
      </c>
      <c r="F381" s="1339" t="s">
        <v>98</v>
      </c>
      <c r="G381" s="1339" t="s">
        <v>98</v>
      </c>
      <c r="H381" s="1339" t="s">
        <v>98</v>
      </c>
      <c r="I381" s="1340" t="s">
        <v>98</v>
      </c>
      <c r="J381" s="1345"/>
      <c r="K381" s="286"/>
      <c r="L381" s="1232"/>
      <c r="M381" s="46"/>
      <c r="N381" s="386"/>
      <c r="O381" s="386"/>
      <c r="P381" s="386"/>
      <c r="Q381" s="386"/>
      <c r="R381" s="386"/>
      <c r="S381" s="386"/>
      <c r="T381" s="386"/>
    </row>
    <row r="382" spans="1:20">
      <c r="A382" s="1233">
        <f>+B375</f>
        <v>0</v>
      </c>
      <c r="B382" s="251">
        <f>MAX(G343,H366)</f>
        <v>67.430805391426759</v>
      </c>
      <c r="C382" s="1234">
        <f>(B382*10^6/($C$281*$C$285*D375))</f>
        <v>1222.1504597151422</v>
      </c>
      <c r="D382" s="1234">
        <f>$D$380*1000*IF(C375&gt;=380,380,C375)</f>
        <v>380</v>
      </c>
      <c r="E382" s="1234">
        <f t="shared" ref="E382:E384" si="2">+MAX(C382,D382)</f>
        <v>1222.1504597151422</v>
      </c>
      <c r="F382" s="1234">
        <f>PI()*($F$380/2)^2*1000/E382</f>
        <v>92.539617057946515</v>
      </c>
      <c r="G382" s="1234">
        <f>PI()*($G$380/2)^2*1000/E382</f>
        <v>164.51487476968268</v>
      </c>
      <c r="H382" s="1234">
        <f>PI()*($H$380/2)^2*1000/E382</f>
        <v>257.05449182762925</v>
      </c>
      <c r="I382" s="1235">
        <f>PI()*($I$380/2)^2*1000/E382</f>
        <v>311.03593511143134</v>
      </c>
      <c r="J382" s="786"/>
      <c r="K382" s="286"/>
      <c r="L382" s="1213"/>
      <c r="M382" s="46"/>
      <c r="N382" s="503"/>
      <c r="O382" s="448"/>
      <c r="P382" s="448"/>
      <c r="Q382" s="448"/>
      <c r="R382" s="503"/>
      <c r="S382" s="786"/>
      <c r="T382" s="786"/>
    </row>
    <row r="383" spans="1:20">
      <c r="A383" s="561">
        <f>+B376</f>
        <v>0.51999999999997826</v>
      </c>
      <c r="B383" s="107">
        <f>MAX(G376,H367)</f>
        <v>43.894956872582952</v>
      </c>
      <c r="C383" s="786">
        <f>(B383*10^6/($C$281*$C$285*D376))</f>
        <v>828.86232814326308</v>
      </c>
      <c r="D383" s="786">
        <f>$D$380*1000*IF(C376&gt;=380,380,C376)</f>
        <v>380</v>
      </c>
      <c r="E383" s="786">
        <f t="shared" si="2"/>
        <v>828.86232814326308</v>
      </c>
      <c r="F383" s="786">
        <f>PI()*($F$380/2)^2*1000/E383</f>
        <v>136.44887901056165</v>
      </c>
      <c r="G383" s="786">
        <f>PI()*($G$380/2)^2*1000/E383</f>
        <v>242.57578490766514</v>
      </c>
      <c r="H383" s="786">
        <f>PI()*($H$380/2)^2*1000/E383</f>
        <v>379.02466391822685</v>
      </c>
      <c r="I383" s="1213">
        <f>PI()*($I$380/2)^2*1000/E383</f>
        <v>458.61984334105443</v>
      </c>
      <c r="J383" s="1213"/>
      <c r="K383" s="286"/>
      <c r="L383" s="1213"/>
      <c r="M383" s="46"/>
      <c r="N383" s="503"/>
      <c r="O383" s="448"/>
      <c r="P383" s="448"/>
      <c r="Q383" s="448"/>
      <c r="R383" s="503"/>
      <c r="S383" s="786"/>
      <c r="T383" s="786"/>
    </row>
    <row r="384" spans="1:20">
      <c r="A384" s="1236">
        <f>+B377</f>
        <v>1.2899999999999618</v>
      </c>
      <c r="B384" s="121">
        <f>MAX(G377,H368)</f>
        <v>20.210918362618408</v>
      </c>
      <c r="C384" s="1237">
        <f>(B384*10^6/($C$281*$C$285*D377))</f>
        <v>406.84690463066113</v>
      </c>
      <c r="D384" s="1237">
        <f>$D$380*1000*IF(C377&gt;=380,380,C377)</f>
        <v>366.92307692307787</v>
      </c>
      <c r="E384" s="1237">
        <f t="shared" si="2"/>
        <v>406.84690463066113</v>
      </c>
      <c r="F384" s="1237">
        <f>PI()*($F$380/2)^2*1000/E384</f>
        <v>277.98499691647703</v>
      </c>
      <c r="G384" s="1237">
        <f>PI()*($G$380/2)^2*1000/E384</f>
        <v>494.19555007373691</v>
      </c>
      <c r="H384" s="1237">
        <f>PI()*($H$380/2)^2*1000/E384</f>
        <v>772.180546990214</v>
      </c>
      <c r="I384" s="372">
        <f>PI()*($I$380/2)^2*1000/E384</f>
        <v>934.33846185815889</v>
      </c>
      <c r="J384" s="1213"/>
      <c r="K384" s="286"/>
      <c r="L384" s="1213"/>
      <c r="M384" s="46"/>
      <c r="N384" s="503"/>
      <c r="O384" s="448"/>
      <c r="P384" s="448"/>
      <c r="Q384" s="448"/>
      <c r="R384" s="503"/>
      <c r="S384" s="786"/>
      <c r="T384" s="786"/>
    </row>
    <row r="385" spans="1:20">
      <c r="K385" s="286"/>
      <c r="L385" s="786"/>
      <c r="M385" s="46"/>
      <c r="N385" s="503"/>
      <c r="O385" s="448"/>
      <c r="P385" s="503"/>
      <c r="Q385" s="503"/>
      <c r="R385" s="503"/>
      <c r="S385" s="786"/>
      <c r="T385" s="786"/>
    </row>
    <row r="386" spans="1:20">
      <c r="B386" s="187" t="s">
        <v>1304</v>
      </c>
      <c r="E386">
        <f>A383+40*B391/1000</f>
        <v>1.1599999999999784</v>
      </c>
      <c r="F386" s="187" t="s">
        <v>1305</v>
      </c>
      <c r="K386" s="286"/>
      <c r="L386" s="786"/>
      <c r="M386" s="46"/>
    </row>
    <row r="387" spans="1:20">
      <c r="B387" s="187" t="s">
        <v>1306</v>
      </c>
      <c r="E387">
        <f>A384+B391*40/1000</f>
        <v>1.929999999999962</v>
      </c>
      <c r="F387" s="187" t="s">
        <v>1305</v>
      </c>
      <c r="K387" s="286"/>
      <c r="L387" s="786"/>
      <c r="M387" s="46"/>
    </row>
    <row r="388" spans="1:20">
      <c r="B388" s="16"/>
      <c r="C388" s="16"/>
      <c r="D388" s="16"/>
      <c r="E388" s="16"/>
      <c r="F388" s="16"/>
      <c r="G388" s="16"/>
      <c r="H388" s="16"/>
      <c r="I388" s="16"/>
      <c r="J388" s="16"/>
      <c r="K388" s="286"/>
      <c r="L388" s="786"/>
      <c r="M388" s="46"/>
    </row>
    <row r="389" spans="1:20">
      <c r="A389" s="545" t="s">
        <v>1114</v>
      </c>
      <c r="B389" s="406"/>
      <c r="C389" s="347"/>
      <c r="D389" s="1181"/>
      <c r="E389" s="1181"/>
      <c r="F389" s="406"/>
      <c r="G389" s="406"/>
      <c r="H389" s="406"/>
      <c r="I389" s="1238"/>
      <c r="J389" s="386"/>
      <c r="K389" s="286"/>
      <c r="M389" s="46"/>
    </row>
    <row r="390" spans="1:20">
      <c r="A390" s="363" t="s">
        <v>1307</v>
      </c>
      <c r="B390" s="241" t="s">
        <v>1308</v>
      </c>
      <c r="C390" s="958"/>
      <c r="D390" s="368"/>
      <c r="E390" s="368"/>
      <c r="F390" s="241"/>
      <c r="G390" s="241"/>
      <c r="H390" s="241"/>
      <c r="I390" s="1239"/>
      <c r="J390" s="386"/>
      <c r="K390" s="286"/>
      <c r="M390" s="1157"/>
    </row>
    <row r="391" spans="1:20">
      <c r="A391" s="259" t="s">
        <v>136</v>
      </c>
      <c r="B391" s="409">
        <v>16</v>
      </c>
      <c r="C391" s="958" t="s">
        <v>481</v>
      </c>
      <c r="D391" s="271">
        <v>100</v>
      </c>
      <c r="E391" s="368" t="s">
        <v>482</v>
      </c>
      <c r="F391" s="241"/>
      <c r="G391" s="241"/>
      <c r="H391" s="241"/>
      <c r="I391" s="1239"/>
      <c r="J391" s="386"/>
      <c r="K391" s="286"/>
      <c r="M391" s="46"/>
    </row>
    <row r="392" spans="1:20">
      <c r="A392" s="259" t="s">
        <v>136</v>
      </c>
      <c r="B392" s="541">
        <f>IF(F392="","",B391)</f>
        <v>16</v>
      </c>
      <c r="C392" s="958" t="s">
        <v>481</v>
      </c>
      <c r="D392" s="1240">
        <f>IF(F392="","",D391*2)</f>
        <v>200</v>
      </c>
      <c r="E392" s="368" t="s">
        <v>482</v>
      </c>
      <c r="F392" s="1241">
        <v>1.8</v>
      </c>
      <c r="G392" s="241" t="s">
        <v>1309</v>
      </c>
      <c r="H392" s="241"/>
      <c r="I392" s="1239"/>
      <c r="J392" s="386"/>
      <c r="K392" s="286"/>
      <c r="M392" s="46"/>
    </row>
    <row r="393" spans="1:20">
      <c r="A393" s="262" t="s">
        <v>136</v>
      </c>
      <c r="B393" s="542" t="str">
        <f>IF(F393="","",B392)</f>
        <v/>
      </c>
      <c r="C393" s="280" t="s">
        <v>481</v>
      </c>
      <c r="D393" s="1242" t="str">
        <f>IF(F393="","",D392*2)</f>
        <v/>
      </c>
      <c r="E393" s="1184" t="s">
        <v>482</v>
      </c>
      <c r="F393" s="1243"/>
      <c r="G393" s="204" t="s">
        <v>1310</v>
      </c>
      <c r="H393" s="59"/>
      <c r="I393" s="1244"/>
      <c r="J393" s="386"/>
      <c r="K393" s="286"/>
      <c r="M393" s="46"/>
    </row>
    <row r="394" spans="1:20">
      <c r="K394" s="286"/>
      <c r="L394" s="46"/>
      <c r="M394" s="46"/>
    </row>
    <row r="395" spans="1:20">
      <c r="A395" s="187" t="s">
        <v>635</v>
      </c>
      <c r="D395" s="2"/>
      <c r="E395" s="10"/>
      <c r="K395" s="286"/>
      <c r="L395" s="46"/>
      <c r="M395" s="46"/>
    </row>
    <row r="396" spans="1:20">
      <c r="B396" s="203"/>
      <c r="C396" s="223"/>
      <c r="D396" s="18"/>
      <c r="E396" s="10"/>
      <c r="K396" s="286"/>
      <c r="L396" s="46"/>
      <c r="M396" s="46"/>
    </row>
    <row r="397" spans="1:20">
      <c r="A397" s="3269" t="s">
        <v>486</v>
      </c>
      <c r="B397" s="3270"/>
      <c r="C397" s="3275" t="s">
        <v>1311</v>
      </c>
      <c r="D397" s="3243"/>
      <c r="E397" s="3276" t="s">
        <v>490</v>
      </c>
      <c r="F397" s="3150"/>
      <c r="G397" s="3150"/>
      <c r="H397" s="3150"/>
      <c r="I397" s="3150"/>
      <c r="J397" s="330"/>
      <c r="K397" s="286"/>
      <c r="L397" s="330"/>
      <c r="M397" s="46"/>
    </row>
    <row r="398" spans="1:20">
      <c r="A398" s="3271"/>
      <c r="B398" s="3272"/>
      <c r="C398" s="949"/>
      <c r="D398" s="1245"/>
      <c r="E398" s="1246">
        <v>12</v>
      </c>
      <c r="F398" s="1247">
        <v>16</v>
      </c>
      <c r="G398" s="1247">
        <v>20</v>
      </c>
      <c r="H398" s="1247">
        <v>22</v>
      </c>
      <c r="I398" s="1247">
        <v>25</v>
      </c>
      <c r="J398" s="547"/>
      <c r="K398" s="286"/>
      <c r="L398" s="547"/>
      <c r="M398" s="46"/>
    </row>
    <row r="399" spans="1:20" ht="14.25">
      <c r="A399" s="3273"/>
      <c r="B399" s="3274"/>
      <c r="C399" s="101"/>
      <c r="D399" s="256" t="s">
        <v>491</v>
      </c>
      <c r="E399" s="313" t="s">
        <v>98</v>
      </c>
      <c r="F399" s="943" t="s">
        <v>98</v>
      </c>
      <c r="G399" s="943" t="s">
        <v>98</v>
      </c>
      <c r="H399" s="943" t="s">
        <v>98</v>
      </c>
      <c r="I399" s="943" t="s">
        <v>98</v>
      </c>
      <c r="J399" s="1345"/>
      <c r="K399" s="286"/>
      <c r="L399" s="759"/>
      <c r="M399" s="46"/>
    </row>
    <row r="400" spans="1:20">
      <c r="A400" s="3262" t="s">
        <v>492</v>
      </c>
      <c r="B400" s="55"/>
      <c r="C400" s="75"/>
      <c r="D400" s="16"/>
      <c r="E400" s="55"/>
      <c r="F400" s="55"/>
      <c r="G400" s="55"/>
      <c r="H400" s="55"/>
      <c r="I400" s="56"/>
      <c r="J400" s="16"/>
      <c r="K400" s="286"/>
      <c r="L400" s="386"/>
      <c r="M400" s="46"/>
    </row>
    <row r="401" spans="1:13">
      <c r="A401" s="3231"/>
      <c r="B401" s="958" t="s">
        <v>110</v>
      </c>
      <c r="C401" s="75">
        <f>C302</f>
        <v>1E-3</v>
      </c>
      <c r="D401" s="318">
        <f>IF(1000*(E333+E311)/2&gt;380,C401*1000*380,C401*1000*1000*(E333+E311)/2)</f>
        <v>350</v>
      </c>
      <c r="E401" s="328">
        <f>PI()*(E398/2)^2*1000/$D401</f>
        <v>323.13524436923586</v>
      </c>
      <c r="F401" s="328">
        <f>PI()*(F398/2)^2*1000/$D401</f>
        <v>574.46265665641931</v>
      </c>
      <c r="G401" s="328">
        <f>PI()*(G398/2)^2*1000/$D401</f>
        <v>897.59790102565523</v>
      </c>
      <c r="H401" s="328">
        <f>PI()*(H398/2)^2*1000/$D401</f>
        <v>1086.0934602410427</v>
      </c>
      <c r="I401" s="1248">
        <f>PI()*(I398/2)^2*1000/$D401</f>
        <v>1402.4967203525862</v>
      </c>
      <c r="J401" s="328"/>
      <c r="K401" s="286"/>
      <c r="L401" s="327"/>
      <c r="M401" s="46"/>
    </row>
    <row r="402" spans="1:13">
      <c r="A402" s="369"/>
      <c r="B402" s="75"/>
      <c r="C402" s="75"/>
      <c r="D402" s="318"/>
      <c r="E402" s="328"/>
      <c r="F402" s="328"/>
      <c r="G402" s="328"/>
      <c r="H402" s="328"/>
      <c r="I402" s="1248"/>
      <c r="J402" s="328"/>
      <c r="K402" s="286"/>
      <c r="L402" s="330"/>
      <c r="M402" s="46"/>
    </row>
    <row r="403" spans="1:13">
      <c r="A403" s="3263" t="s">
        <v>493</v>
      </c>
      <c r="B403" s="958" t="s">
        <v>111</v>
      </c>
      <c r="C403" s="75">
        <f>G301</f>
        <v>2E-3</v>
      </c>
      <c r="D403" s="318">
        <f>IF(1000*(E333+E311)/2&gt;380,C403*1000*380,C403*1000*1000*(E333+E311)/2)</f>
        <v>700</v>
      </c>
      <c r="E403" s="328">
        <f>PI()*(E398/2)^2*1000/$D403</f>
        <v>161.56762218461793</v>
      </c>
      <c r="F403" s="328">
        <f>PI()*(F398/2)^2*1000/$D403</f>
        <v>287.23132832820966</v>
      </c>
      <c r="G403" s="328">
        <f>PI()*(G398/2)^2*1000/$D403</f>
        <v>448.79895051282762</v>
      </c>
      <c r="H403" s="328">
        <f>PI()*(H398/2)^2*1000/$D403</f>
        <v>543.04673012052137</v>
      </c>
      <c r="I403" s="1248">
        <f>PI()*(I398/2)^2*1000/$D403</f>
        <v>701.24836017629309</v>
      </c>
      <c r="J403" s="328"/>
      <c r="K403" s="286"/>
      <c r="L403" s="327"/>
      <c r="M403" s="46"/>
    </row>
    <row r="404" spans="1:13">
      <c r="A404" s="3264"/>
      <c r="B404" s="280" t="s">
        <v>110</v>
      </c>
      <c r="C404" s="77">
        <f>G302</f>
        <v>2E-3</v>
      </c>
      <c r="D404" s="319">
        <f>IF(1000*(E333+E311)/2&gt;380,C404*1000*380,C404*1000*1000*(E333+E311)/2)</f>
        <v>700</v>
      </c>
      <c r="E404" s="1249">
        <f>PI()*(E398/2)^2*1000/$D404</f>
        <v>161.56762218461793</v>
      </c>
      <c r="F404" s="1249">
        <f>PI()*(F398/2)^2*1000/$D404</f>
        <v>287.23132832820966</v>
      </c>
      <c r="G404" s="1249">
        <f>PI()*(G398/2)^2*1000/$D404</f>
        <v>448.79895051282762</v>
      </c>
      <c r="H404" s="1249">
        <f>PI()*(H398/2)^2*1000/$D404</f>
        <v>543.04673012052137</v>
      </c>
      <c r="I404" s="1250">
        <f>PI()*(I398/2)^2*1000/$D404</f>
        <v>701.24836017629309</v>
      </c>
      <c r="J404" s="328"/>
      <c r="K404" s="286"/>
      <c r="L404" s="327"/>
      <c r="M404" s="46"/>
    </row>
    <row r="405" spans="1:13">
      <c r="A405" s="45"/>
      <c r="C405" s="17"/>
      <c r="D405" s="2"/>
      <c r="E405" s="10"/>
      <c r="K405" s="286"/>
      <c r="L405" s="46"/>
      <c r="M405" s="46"/>
    </row>
    <row r="406" spans="1:13">
      <c r="B406" s="545" t="s">
        <v>1114</v>
      </c>
      <c r="C406" s="55"/>
      <c r="D406" s="252"/>
      <c r="E406" s="55"/>
      <c r="F406" s="1251"/>
      <c r="G406" s="56"/>
      <c r="K406" s="286"/>
      <c r="L406" s="46"/>
      <c r="M406" s="46"/>
    </row>
    <row r="407" spans="1:13" ht="15.75">
      <c r="B407" s="259" t="s">
        <v>110</v>
      </c>
      <c r="C407" s="268" t="s">
        <v>136</v>
      </c>
      <c r="D407" s="269">
        <v>16</v>
      </c>
      <c r="E407" s="958" t="s">
        <v>481</v>
      </c>
      <c r="F407" s="271">
        <v>250</v>
      </c>
      <c r="G407" s="272" t="s">
        <v>482</v>
      </c>
      <c r="K407" s="286"/>
      <c r="L407" s="46"/>
      <c r="M407" s="46"/>
    </row>
    <row r="408" spans="1:13" ht="15">
      <c r="B408" s="363" t="s">
        <v>1113</v>
      </c>
      <c r="C408" s="273"/>
      <c r="D408" s="274"/>
      <c r="E408" s="275"/>
      <c r="F408" s="276"/>
      <c r="G408" s="277"/>
      <c r="K408" s="286"/>
      <c r="L408" s="46"/>
      <c r="M408" s="46"/>
    </row>
    <row r="409" spans="1:13" ht="15.75">
      <c r="B409" s="259" t="s">
        <v>111</v>
      </c>
      <c r="C409" s="268" t="s">
        <v>136</v>
      </c>
      <c r="D409" s="269">
        <v>16</v>
      </c>
      <c r="E409" s="958" t="s">
        <v>481</v>
      </c>
      <c r="F409" s="271">
        <v>200</v>
      </c>
      <c r="G409" s="272" t="s">
        <v>482</v>
      </c>
      <c r="K409" s="286"/>
      <c r="L409" s="46"/>
      <c r="M409" s="46"/>
    </row>
    <row r="410" spans="1:13" ht="15.75">
      <c r="B410" s="262" t="s">
        <v>110</v>
      </c>
      <c r="C410" s="278" t="s">
        <v>136</v>
      </c>
      <c r="D410" s="279">
        <v>16</v>
      </c>
      <c r="E410" s="280" t="s">
        <v>481</v>
      </c>
      <c r="F410" s="281">
        <v>200</v>
      </c>
      <c r="G410" s="282" t="s">
        <v>482</v>
      </c>
      <c r="K410" s="286"/>
      <c r="L410" s="46"/>
      <c r="M410" s="46"/>
    </row>
    <row r="411" spans="1:13">
      <c r="C411" s="17"/>
      <c r="D411" s="2"/>
      <c r="E411" s="10"/>
      <c r="K411" s="286"/>
      <c r="L411" s="46"/>
      <c r="M411" s="46"/>
    </row>
    <row r="412" spans="1:13" ht="15">
      <c r="A412" s="1160" t="s">
        <v>1312</v>
      </c>
      <c r="B412" s="1161"/>
      <c r="C412" s="1162"/>
      <c r="D412" s="1161"/>
      <c r="K412" s="286"/>
      <c r="M412" s="46"/>
    </row>
    <row r="413" spans="1:13">
      <c r="A413" s="1252" t="s">
        <v>1163</v>
      </c>
      <c r="B413" s="1253"/>
      <c r="C413" s="1253"/>
      <c r="D413" s="1253"/>
      <c r="E413" s="109"/>
      <c r="K413" s="286"/>
      <c r="L413" s="46"/>
      <c r="M413" s="46"/>
    </row>
    <row r="414" spans="1:13">
      <c r="E414" s="187"/>
      <c r="F414" s="187"/>
      <c r="G414" s="187"/>
      <c r="H414" s="187"/>
      <c r="K414" s="286"/>
      <c r="L414" s="46"/>
      <c r="M414" s="46"/>
    </row>
    <row r="415" spans="1:13">
      <c r="A415" s="4"/>
      <c r="B415" s="17" t="s">
        <v>1313</v>
      </c>
      <c r="C415" s="220">
        <f>D312</f>
        <v>10</v>
      </c>
      <c r="K415" s="286"/>
      <c r="L415" s="46"/>
      <c r="M415" s="46"/>
    </row>
    <row r="416" spans="1:13">
      <c r="F416" t="s">
        <v>1314</v>
      </c>
      <c r="H416" s="1254">
        <f>E81</f>
        <v>62.925793498801845</v>
      </c>
      <c r="I416" s="487" t="s">
        <v>3</v>
      </c>
      <c r="J416" s="487"/>
      <c r="K416" s="286"/>
      <c r="L416" s="46"/>
      <c r="M416" s="46"/>
    </row>
    <row r="417" spans="1:13">
      <c r="F417" t="s">
        <v>1315</v>
      </c>
      <c r="H417" s="1254">
        <f>E82</f>
        <v>59.490382971786417</v>
      </c>
      <c r="I417" s="487" t="s">
        <v>3</v>
      </c>
      <c r="J417" s="487"/>
      <c r="K417" s="286"/>
      <c r="L417" s="46"/>
      <c r="M417" s="46"/>
    </row>
    <row r="418" spans="1:13">
      <c r="D418" s="17"/>
      <c r="K418" s="286"/>
      <c r="L418" s="46"/>
      <c r="M418" s="46"/>
    </row>
    <row r="419" spans="1:13">
      <c r="A419" s="10"/>
      <c r="B419" s="17"/>
      <c r="F419" s="957"/>
      <c r="K419" s="286"/>
      <c r="L419" s="46"/>
      <c r="M419" s="46"/>
    </row>
    <row r="420" spans="1:13">
      <c r="A420" s="54">
        <f>C415-C423</f>
        <v>3.9000000000000004</v>
      </c>
      <c r="E420" s="17"/>
      <c r="K420" s="286"/>
      <c r="L420" s="46"/>
      <c r="M420" s="46"/>
    </row>
    <row r="421" spans="1:13">
      <c r="B421" s="27"/>
      <c r="C421" s="18">
        <f>C333</f>
        <v>1.8</v>
      </c>
      <c r="I421" s="62"/>
      <c r="J421" s="62"/>
      <c r="K421" s="286"/>
      <c r="L421" s="62"/>
      <c r="M421" s="46"/>
    </row>
    <row r="422" spans="1:13">
      <c r="D422">
        <f>F333</f>
        <v>1.2</v>
      </c>
      <c r="E422" t="s">
        <v>5</v>
      </c>
      <c r="K422" s="286"/>
      <c r="L422" s="46"/>
      <c r="M422" s="46"/>
    </row>
    <row r="423" spans="1:13">
      <c r="A423" s="957"/>
      <c r="B423" s="17" t="s">
        <v>1177</v>
      </c>
      <c r="C423" s="220">
        <f>D325</f>
        <v>6.1</v>
      </c>
      <c r="D423" s="1255">
        <f>E333</f>
        <v>0.4</v>
      </c>
      <c r="K423" s="286"/>
      <c r="L423" s="46"/>
      <c r="M423" s="46"/>
    </row>
    <row r="424" spans="1:13">
      <c r="D424" s="17"/>
      <c r="E424" s="10">
        <f>D327</f>
        <v>0.4</v>
      </c>
      <c r="K424" s="286"/>
      <c r="L424" s="46"/>
      <c r="M424" s="46"/>
    </row>
    <row r="425" spans="1:13">
      <c r="C425" s="957"/>
      <c r="K425" s="286"/>
      <c r="L425" s="46"/>
      <c r="M425" s="46"/>
    </row>
    <row r="426" spans="1:13">
      <c r="A426" s="191" t="s">
        <v>1316</v>
      </c>
      <c r="E426" s="10">
        <f>H329</f>
        <v>0.3</v>
      </c>
      <c r="F426" s="187"/>
      <c r="K426" s="286"/>
      <c r="L426" s="46"/>
      <c r="M426" s="46"/>
    </row>
    <row r="427" spans="1:13">
      <c r="A427" s="33">
        <f>H417</f>
        <v>59.490382971786417</v>
      </c>
      <c r="E427" s="17" t="s">
        <v>1317</v>
      </c>
      <c r="F427" s="10">
        <f>H416</f>
        <v>62.925793498801845</v>
      </c>
      <c r="G427" t="s">
        <v>3</v>
      </c>
      <c r="K427" s="286"/>
      <c r="L427" s="46"/>
      <c r="M427" s="46"/>
    </row>
    <row r="428" spans="1:13">
      <c r="F428" s="10">
        <f>F427-A427</f>
        <v>3.4354105270154278</v>
      </c>
      <c r="G428" t="s">
        <v>3</v>
      </c>
      <c r="K428" s="286"/>
      <c r="L428" s="46"/>
      <c r="M428" s="46"/>
    </row>
    <row r="429" spans="1:13">
      <c r="K429" s="286"/>
      <c r="L429" s="46"/>
      <c r="M429" s="46"/>
    </row>
    <row r="430" spans="1:13" ht="15">
      <c r="A430" s="29"/>
      <c r="B430" s="54">
        <f>F428*C421/C434+A427</f>
        <v>61.309129721382817</v>
      </c>
      <c r="F430" s="10">
        <f>F427-C431</f>
        <v>1.2124978330642691</v>
      </c>
      <c r="G430" t="s">
        <v>3</v>
      </c>
      <c r="K430" s="286"/>
      <c r="L430" s="46"/>
      <c r="M430" s="46"/>
    </row>
    <row r="431" spans="1:13">
      <c r="C431" s="54">
        <f>F428*(C421+D423)/C434+A427</f>
        <v>61.713295665737576</v>
      </c>
      <c r="K431" s="286"/>
      <c r="L431" s="46"/>
      <c r="M431" s="46"/>
    </row>
    <row r="432" spans="1:13">
      <c r="D432" s="33">
        <f>G331</f>
        <v>0.9</v>
      </c>
      <c r="F432" s="10"/>
      <c r="K432" s="286"/>
      <c r="L432" s="46"/>
      <c r="M432" s="46"/>
    </row>
    <row r="433" spans="1:15">
      <c r="D433" s="36">
        <f>G332</f>
        <v>0.3</v>
      </c>
      <c r="H433" s="33"/>
      <c r="K433" s="286"/>
      <c r="L433" s="46"/>
      <c r="M433" s="46"/>
    </row>
    <row r="434" spans="1:15">
      <c r="C434" s="10">
        <f>D335</f>
        <v>3.4000000000000004</v>
      </c>
      <c r="K434" s="286"/>
      <c r="L434" s="46"/>
      <c r="M434" s="46"/>
    </row>
    <row r="435" spans="1:15">
      <c r="K435" s="286"/>
      <c r="L435" s="46"/>
      <c r="M435" s="46"/>
    </row>
    <row r="436" spans="1:15">
      <c r="K436" s="286"/>
      <c r="M436" s="46"/>
    </row>
    <row r="437" spans="1:15" ht="15">
      <c r="A437" s="29" t="s">
        <v>1318</v>
      </c>
      <c r="K437" s="286"/>
      <c r="L437" s="46"/>
      <c r="M437" s="46"/>
    </row>
    <row r="438" spans="1:15">
      <c r="K438" s="286"/>
      <c r="L438" s="46"/>
      <c r="M438" s="46"/>
      <c r="N438" s="2"/>
      <c r="O438" s="2"/>
    </row>
    <row r="439" spans="1:15">
      <c r="A439" s="3085" t="s">
        <v>1319</v>
      </c>
      <c r="B439" s="948"/>
      <c r="C439" s="252" t="s">
        <v>1183</v>
      </c>
      <c r="D439" s="406"/>
      <c r="E439" s="56"/>
      <c r="F439" s="347" t="s">
        <v>880</v>
      </c>
      <c r="G439" s="355" t="s">
        <v>1184</v>
      </c>
      <c r="H439" s="406"/>
      <c r="I439" s="355" t="s">
        <v>1185</v>
      </c>
      <c r="J439" s="1343"/>
      <c r="K439" s="286"/>
      <c r="L439" s="46"/>
      <c r="M439" s="46"/>
      <c r="O439" s="221"/>
    </row>
    <row r="440" spans="1:15">
      <c r="A440" s="3086"/>
      <c r="B440" s="955"/>
      <c r="C440" s="77"/>
      <c r="D440" s="59"/>
      <c r="E440" s="60"/>
      <c r="F440" s="280" t="s">
        <v>725</v>
      </c>
      <c r="G440" s="354" t="s">
        <v>5</v>
      </c>
      <c r="H440" s="204"/>
      <c r="I440" s="354" t="s">
        <v>1232</v>
      </c>
      <c r="J440" s="1343"/>
      <c r="K440" s="286"/>
      <c r="L440" s="46"/>
      <c r="M440" s="288"/>
      <c r="O440" s="10"/>
    </row>
    <row r="441" spans="1:15">
      <c r="A441" s="423"/>
      <c r="B441" s="545" t="str">
        <f>"Concrete :C3 ="&amp;D422&amp;"x"&amp;E424&amp;"x"&amp;D263&amp;" ="</f>
        <v>Concrete :C3 =1.2x0.4x23.6 =</v>
      </c>
      <c r="C441" s="347"/>
      <c r="D441" s="347"/>
      <c r="E441" s="55"/>
      <c r="F441" s="379">
        <f>D422*E424*D263</f>
        <v>11.327999999999999</v>
      </c>
      <c r="G441" s="1256">
        <f>D422/2</f>
        <v>0.6</v>
      </c>
      <c r="H441" s="1257"/>
      <c r="I441" s="1036">
        <f t="shared" ref="I441:I446" si="3">F441*G441</f>
        <v>6.7967999999999993</v>
      </c>
      <c r="J441" s="107"/>
      <c r="K441" s="286"/>
      <c r="L441" s="46"/>
      <c r="M441" s="288"/>
      <c r="N441" s="33"/>
      <c r="O441" s="10"/>
    </row>
    <row r="442" spans="1:15">
      <c r="A442" s="954"/>
      <c r="B442" s="363" t="str">
        <f>"Concrete : C4="&amp;E426&amp;"x"&amp;D432&amp;"x"&amp;D263&amp;" ="</f>
        <v>Concrete : C4=0.3x0.9x23.6 =</v>
      </c>
      <c r="C442" s="958"/>
      <c r="D442" s="958"/>
      <c r="E442" s="16"/>
      <c r="F442" s="103">
        <f>E426*D432*D263</f>
        <v>6.3720000000000008</v>
      </c>
      <c r="G442" s="1258">
        <f>D422-D432/2</f>
        <v>0.75</v>
      </c>
      <c r="H442" s="1259"/>
      <c r="I442" s="155">
        <f t="shared" si="3"/>
        <v>4.7790000000000008</v>
      </c>
      <c r="J442" s="107"/>
      <c r="K442" s="286"/>
      <c r="L442" s="46"/>
      <c r="M442" s="46"/>
      <c r="N442" s="33"/>
      <c r="O442" s="1"/>
    </row>
    <row r="443" spans="1:15">
      <c r="A443" s="949"/>
      <c r="B443" s="363" t="str">
        <f>"Concrete : C5=0.5x"&amp;D433&amp;"x"&amp;E426&amp;"x"&amp;D263&amp;" ="</f>
        <v>Concrete : C5=0.5x0.3x0.3x23.6 =</v>
      </c>
      <c r="C443" s="958"/>
      <c r="D443" s="958"/>
      <c r="E443" s="16"/>
      <c r="F443" s="103">
        <f>0.5*D433*E426*D263</f>
        <v>1.0620000000000001</v>
      </c>
      <c r="G443" s="505">
        <f>D422-(D433/3+D432)</f>
        <v>0.19999999999999996</v>
      </c>
      <c r="H443" s="1259"/>
      <c r="I443" s="155">
        <f t="shared" si="3"/>
        <v>0.21239999999999998</v>
      </c>
      <c r="J443" s="107"/>
      <c r="K443" s="286"/>
      <c r="L443" s="46"/>
      <c r="M443" s="46"/>
      <c r="N443" s="33"/>
      <c r="O443" s="2"/>
    </row>
    <row r="444" spans="1:15">
      <c r="A444" s="949"/>
      <c r="B444" s="1056" t="str">
        <f>"R/S Soil  : "&amp;C61</f>
        <v>R/S Soil  : S6 = 1200 x 0 x 18.9/1000 =</v>
      </c>
      <c r="C444" s="1260"/>
      <c r="D444" s="1260"/>
      <c r="E444" s="1261"/>
      <c r="F444" s="1262">
        <f>G61</f>
        <v>0</v>
      </c>
      <c r="G444" s="1263">
        <f>H61</f>
        <v>0.6</v>
      </c>
      <c r="H444" s="1264"/>
      <c r="I444" s="1265">
        <f t="shared" si="3"/>
        <v>0</v>
      </c>
      <c r="J444" s="1140"/>
      <c r="K444" s="286"/>
      <c r="L444" s="46"/>
      <c r="M444" s="46"/>
      <c r="N444" s="33"/>
      <c r="O444" s="2"/>
    </row>
    <row r="445" spans="1:15">
      <c r="A445" s="952"/>
      <c r="B445" s="1102" t="str">
        <f>"Foundation  Pressure="&amp;FIXED(C431,2)&amp;"x"&amp;D422&amp;" ="</f>
        <v>Foundation  Pressure=61.71x1.2 =</v>
      </c>
      <c r="C445" s="958"/>
      <c r="D445" s="958"/>
      <c r="F445" s="103">
        <f>C431*D422</f>
        <v>74.055954798885082</v>
      </c>
      <c r="G445" s="441">
        <f>D422/2</f>
        <v>0.6</v>
      </c>
      <c r="H445" s="1266"/>
      <c r="I445" s="103">
        <f t="shared" si="3"/>
        <v>44.433572879331045</v>
      </c>
      <c r="J445" s="107"/>
      <c r="K445" s="286"/>
      <c r="L445" s="46"/>
      <c r="M445" s="46"/>
      <c r="N445" s="33"/>
      <c r="O445" s="14"/>
    </row>
    <row r="446" spans="1:15">
      <c r="A446" s="952"/>
      <c r="B446" s="1102" t="str">
        <f>"Foundation  Pressure = 0.5x"&amp;FIXED(F430,2)&amp;"x"&amp;D422&amp;" ="</f>
        <v>Foundation  Pressure = 0.5x1.21x1.2 =</v>
      </c>
      <c r="C446" s="958"/>
      <c r="D446" s="958"/>
      <c r="F446" s="138">
        <f>0.5*F430*D422</f>
        <v>0.72749869983856141</v>
      </c>
      <c r="G446" s="658">
        <f>2*D422/3</f>
        <v>0.79999999999999993</v>
      </c>
      <c r="H446" s="1267"/>
      <c r="I446" s="138">
        <f t="shared" si="3"/>
        <v>0.58199895987084904</v>
      </c>
      <c r="J446" s="107"/>
      <c r="K446" s="286"/>
      <c r="L446" s="46"/>
      <c r="M446" s="288"/>
      <c r="N446" s="33"/>
      <c r="O446" s="14"/>
    </row>
    <row r="447" spans="1:15" ht="15.75">
      <c r="A447" s="148"/>
      <c r="B447" s="1268"/>
      <c r="C447" s="102"/>
      <c r="D447" s="102"/>
      <c r="E447" s="1096" t="s">
        <v>1239</v>
      </c>
      <c r="F447" s="1147">
        <f>SUM(F441:F444)-SUM(F445:F446)</f>
        <v>-56.021453498723645</v>
      </c>
      <c r="G447" s="1269"/>
      <c r="H447" s="1099" t="s">
        <v>1240</v>
      </c>
      <c r="I447" s="1097">
        <f>SUM(I445:I446)-SUM(I441:I444)</f>
        <v>33.227371839201894</v>
      </c>
      <c r="J447" s="1349"/>
      <c r="K447" s="286"/>
      <c r="L447" s="46"/>
      <c r="M447" s="46"/>
      <c r="N447" s="33"/>
      <c r="O447" s="2"/>
    </row>
    <row r="448" spans="1:15">
      <c r="H448" s="23" t="str">
        <f>IF(I447&gt;0,"Tension at bottom","Tension at top")</f>
        <v>Tension at bottom</v>
      </c>
      <c r="K448" s="286"/>
      <c r="L448" s="46"/>
      <c r="M448" s="46"/>
      <c r="N448" s="33"/>
      <c r="O448" s="10"/>
    </row>
    <row r="449" spans="1:15" ht="15">
      <c r="A449" s="29" t="s">
        <v>1320</v>
      </c>
      <c r="K449" s="286"/>
      <c r="L449" s="46"/>
      <c r="M449" s="46"/>
      <c r="N449" s="2"/>
      <c r="O449" s="2"/>
    </row>
    <row r="450" spans="1:15">
      <c r="K450" s="286"/>
      <c r="L450" s="46"/>
      <c r="M450" s="46"/>
      <c r="N450" s="2"/>
    </row>
    <row r="451" spans="1:15">
      <c r="A451" s="3085" t="s">
        <v>1319</v>
      </c>
      <c r="B451" s="948"/>
      <c r="C451" s="252" t="s">
        <v>1183</v>
      </c>
      <c r="D451" s="406"/>
      <c r="E451" s="56"/>
      <c r="F451" s="347" t="s">
        <v>880</v>
      </c>
      <c r="G451" s="355" t="s">
        <v>1184</v>
      </c>
      <c r="H451" s="406"/>
      <c r="I451" s="355" t="s">
        <v>1185</v>
      </c>
      <c r="J451" s="1343"/>
      <c r="K451" s="286"/>
      <c r="L451" s="46"/>
      <c r="M451" s="46"/>
      <c r="O451" s="221"/>
    </row>
    <row r="452" spans="1:15">
      <c r="A452" s="3086"/>
      <c r="B452" s="954"/>
      <c r="C452" s="75"/>
      <c r="D452" s="16"/>
      <c r="E452" s="58"/>
      <c r="F452" s="280" t="s">
        <v>725</v>
      </c>
      <c r="G452" s="354" t="s">
        <v>5</v>
      </c>
      <c r="H452" s="204"/>
      <c r="I452" s="354" t="s">
        <v>1232</v>
      </c>
      <c r="J452" s="1343"/>
      <c r="K452" s="286"/>
      <c r="L452" s="46"/>
      <c r="M452" s="288"/>
      <c r="O452" s="10"/>
    </row>
    <row r="453" spans="1:15">
      <c r="A453" s="423"/>
      <c r="B453" s="545" t="str">
        <f>"Concrete : C3 = "&amp;C421&amp;"x"&amp;E424&amp;"x"&amp;D263&amp;" ="</f>
        <v>Concrete : C3 = 1.8x0.4x23.6 =</v>
      </c>
      <c r="C453" s="516"/>
      <c r="D453" s="347"/>
      <c r="E453" s="56"/>
      <c r="F453" s="251">
        <f>C421*E424*D263</f>
        <v>16.992000000000004</v>
      </c>
      <c r="G453" s="663">
        <f>C421/2</f>
        <v>0.9</v>
      </c>
      <c r="H453" s="1270"/>
      <c r="I453" s="379">
        <f>F453*G453</f>
        <v>15.292800000000005</v>
      </c>
      <c r="J453" s="107"/>
      <c r="K453" s="286"/>
      <c r="L453" s="46"/>
      <c r="M453" s="288"/>
      <c r="N453" s="33"/>
      <c r="O453" s="10"/>
    </row>
    <row r="454" spans="1:15">
      <c r="A454" s="954"/>
      <c r="B454" s="363" t="str">
        <f>"Saturated Soil : S2 ="&amp;C421&amp;"x"&amp;A420&amp;"x"&amp;D266&amp;" ="</f>
        <v>Saturated Soil : S2 =1.8x3.9x18.9 =</v>
      </c>
      <c r="C454" s="380"/>
      <c r="D454" s="958"/>
      <c r="E454" s="58"/>
      <c r="F454" s="107">
        <f>C421*A420*D266</f>
        <v>132.678</v>
      </c>
      <c r="G454" s="1271">
        <f>C421/2</f>
        <v>0.9</v>
      </c>
      <c r="H454" s="1266"/>
      <c r="I454" s="103">
        <f>F454*G454</f>
        <v>119.4102</v>
      </c>
      <c r="J454" s="107"/>
      <c r="K454" s="286"/>
      <c r="L454" s="46"/>
      <c r="M454" s="46"/>
      <c r="N454" s="33"/>
      <c r="O454" s="221"/>
    </row>
    <row r="455" spans="1:15">
      <c r="A455" s="950"/>
      <c r="B455" s="364" t="str">
        <f>"Sursharge : S5= "&amp;F272&amp;"x"&amp;C333&amp;" ="</f>
        <v>Sursharge : S5= 0x1.8 =</v>
      </c>
      <c r="C455" s="517"/>
      <c r="D455" s="280"/>
      <c r="E455" s="60"/>
      <c r="F455" s="121">
        <f>F272*C333</f>
        <v>0</v>
      </c>
      <c r="G455" s="658">
        <f>$C$333/2</f>
        <v>0.9</v>
      </c>
      <c r="H455" s="1267"/>
      <c r="I455" s="138">
        <f>F455*G455</f>
        <v>0</v>
      </c>
      <c r="J455" s="107"/>
      <c r="K455" s="286"/>
      <c r="L455" s="46"/>
      <c r="M455" s="288"/>
      <c r="N455" s="33"/>
      <c r="O455" s="14"/>
    </row>
    <row r="456" spans="1:15">
      <c r="A456" s="1034"/>
      <c r="B456" s="495" t="str">
        <f>"Foundation  Pressure = "&amp;FIXED(A427,2)&amp;"x"&amp;C421&amp;" ="</f>
        <v>Foundation  Pressure = 59.49x1.8 =</v>
      </c>
      <c r="C456" s="516"/>
      <c r="D456" s="516"/>
      <c r="E456" s="56"/>
      <c r="F456" s="251">
        <f>A427*C421</f>
        <v>107.08268934921556</v>
      </c>
      <c r="G456" s="663">
        <f>C421/2</f>
        <v>0.9</v>
      </c>
      <c r="H456" s="1272"/>
      <c r="I456" s="379">
        <f>F456*G456</f>
        <v>96.374420414294008</v>
      </c>
      <c r="J456" s="107"/>
      <c r="K456" s="286"/>
      <c r="L456" s="46"/>
      <c r="M456" s="46"/>
      <c r="N456" s="33"/>
      <c r="O456" s="14"/>
    </row>
    <row r="457" spans="1:15">
      <c r="A457" s="953"/>
      <c r="B457" s="371" t="str">
        <f>"Found Pressure=0.5x("&amp;FIXED(B430,2)&amp;"-"&amp;FIXED(A427,2)&amp;")x"&amp;C421&amp;" ="</f>
        <v>Found Pressure=0.5x(61.31-59.49)x1.8 =</v>
      </c>
      <c r="C457" s="517"/>
      <c r="D457" s="517"/>
      <c r="E457" s="60"/>
      <c r="F457" s="121">
        <f>0.5*(B430-A427)*C421</f>
        <v>1.63687207463676</v>
      </c>
      <c r="G457" s="658">
        <f>C421/3</f>
        <v>0.6</v>
      </c>
      <c r="H457" s="1267"/>
      <c r="I457" s="138">
        <f>F457*G457</f>
        <v>0.98212324478205593</v>
      </c>
      <c r="J457" s="107"/>
      <c r="K457" s="286"/>
      <c r="L457" s="46"/>
      <c r="M457" s="46"/>
      <c r="N457" s="33"/>
      <c r="O457" s="14"/>
    </row>
    <row r="458" spans="1:15" ht="15.75">
      <c r="A458" s="148"/>
      <c r="B458" s="1273"/>
      <c r="C458" s="59"/>
      <c r="D458" s="59"/>
      <c r="E458" s="1151" t="s">
        <v>1239</v>
      </c>
      <c r="F458" s="1274">
        <f>SUM(F453:F455)-SUM(F456:F457)</f>
        <v>40.950438576147704</v>
      </c>
      <c r="G458" s="1275"/>
      <c r="H458" s="1276" t="s">
        <v>1321</v>
      </c>
      <c r="I458" s="1144">
        <f>SUM(I456:I457)-SUM(I453:I455)</f>
        <v>-37.346456340923936</v>
      </c>
      <c r="J458" s="1349"/>
      <c r="K458" s="286"/>
      <c r="L458" s="46"/>
      <c r="M458" s="46"/>
    </row>
    <row r="459" spans="1:15">
      <c r="H459" s="23" t="str">
        <f>IF(I458&gt;0,"Tension at bottom","Tension at top")</f>
        <v>Tension at top</v>
      </c>
      <c r="K459" s="286"/>
      <c r="L459" s="46"/>
      <c r="M459" s="46"/>
    </row>
    <row r="460" spans="1:15">
      <c r="A460" s="1277" t="s">
        <v>1220</v>
      </c>
      <c r="B460" s="1253"/>
      <c r="C460" s="1253"/>
      <c r="D460" s="1253"/>
      <c r="E460" s="109"/>
      <c r="K460" s="286"/>
      <c r="L460" s="46"/>
      <c r="M460" s="46"/>
    </row>
    <row r="461" spans="1:15">
      <c r="K461" s="286"/>
      <c r="L461" s="46"/>
      <c r="M461" s="46"/>
    </row>
    <row r="462" spans="1:15">
      <c r="B462" s="17" t="s">
        <v>51</v>
      </c>
      <c r="C462" s="220">
        <f>D312</f>
        <v>10</v>
      </c>
      <c r="E462" s="187" t="s">
        <v>23</v>
      </c>
      <c r="K462" s="286"/>
      <c r="L462" s="46"/>
      <c r="M462" s="46"/>
    </row>
    <row r="463" spans="1:15">
      <c r="F463" t="s">
        <v>1314</v>
      </c>
      <c r="H463" s="190">
        <f>E167</f>
        <v>57.603554258637352</v>
      </c>
      <c r="I463" s="187" t="s">
        <v>3</v>
      </c>
      <c r="J463" s="187"/>
      <c r="K463" s="286"/>
      <c r="M463" s="46"/>
    </row>
    <row r="464" spans="1:15">
      <c r="D464" s="17" t="s">
        <v>1322</v>
      </c>
      <c r="E464" s="220">
        <f>H100</f>
        <v>6.1</v>
      </c>
      <c r="F464" t="s">
        <v>1315</v>
      </c>
      <c r="H464" s="190">
        <f>E168</f>
        <v>42.069111540986157</v>
      </c>
      <c r="I464" s="187" t="s">
        <v>3</v>
      </c>
      <c r="J464" s="187"/>
      <c r="K464" s="286"/>
      <c r="M464" s="46"/>
    </row>
    <row r="465" spans="1:13">
      <c r="A465" s="14">
        <f>A99/1000</f>
        <v>2.8998632622097622</v>
      </c>
      <c r="F465" s="957"/>
      <c r="K465" s="286"/>
      <c r="L465" s="46"/>
      <c r="M465" s="46"/>
    </row>
    <row r="466" spans="1:13">
      <c r="B466" s="17"/>
      <c r="E466" s="17"/>
      <c r="K466" s="286"/>
      <c r="L466" s="46"/>
      <c r="M466" s="1278"/>
    </row>
    <row r="467" spans="1:13">
      <c r="A467" s="54">
        <f>C462-C471</f>
        <v>3.9000000000000004</v>
      </c>
      <c r="B467" s="203" t="s">
        <v>1248</v>
      </c>
      <c r="C467" s="189">
        <f>D104</f>
        <v>7.1001367377902378</v>
      </c>
      <c r="D467" s="17"/>
      <c r="E467" s="162">
        <f>H106/1000</f>
        <v>0</v>
      </c>
      <c r="F467" t="s">
        <v>5</v>
      </c>
      <c r="I467" s="62"/>
      <c r="J467" s="62"/>
      <c r="K467" s="286"/>
      <c r="L467" s="62"/>
      <c r="M467" s="46"/>
    </row>
    <row r="468" spans="1:13">
      <c r="B468" s="10">
        <f>C108/1000</f>
        <v>1.0001367377902382</v>
      </c>
      <c r="D468" s="203"/>
      <c r="I468" s="62"/>
      <c r="J468" s="62"/>
      <c r="K468" s="286"/>
      <c r="L468" s="62"/>
      <c r="M468" s="46"/>
    </row>
    <row r="469" spans="1:13">
      <c r="D469" s="1279"/>
      <c r="K469" s="286"/>
      <c r="L469" s="46"/>
      <c r="M469" s="46"/>
    </row>
    <row r="470" spans="1:13">
      <c r="A470" s="10">
        <f>A108/1000</f>
        <v>1.4001367377902385</v>
      </c>
      <c r="B470">
        <f>C333</f>
        <v>1.8</v>
      </c>
      <c r="C470" s="187" t="s">
        <v>5</v>
      </c>
      <c r="K470" s="286"/>
      <c r="L470" s="46"/>
      <c r="M470" s="46"/>
    </row>
    <row r="471" spans="1:13">
      <c r="C471" s="223">
        <f>D325</f>
        <v>6.1</v>
      </c>
      <c r="D471">
        <f>F333</f>
        <v>1.2</v>
      </c>
      <c r="E471" s="30" t="s">
        <v>5</v>
      </c>
      <c r="K471" s="286"/>
      <c r="L471" s="46"/>
      <c r="M471" s="46"/>
    </row>
    <row r="472" spans="1:13">
      <c r="C472" s="957"/>
      <c r="D472" s="1279">
        <f>E333</f>
        <v>0.4</v>
      </c>
      <c r="K472" s="286"/>
      <c r="L472" s="46"/>
      <c r="M472" s="61"/>
    </row>
    <row r="473" spans="1:13">
      <c r="E473" s="33">
        <f>D327</f>
        <v>0.4</v>
      </c>
      <c r="F473" t="s">
        <v>5</v>
      </c>
      <c r="K473" s="286"/>
      <c r="L473" s="46"/>
      <c r="M473" s="46"/>
    </row>
    <row r="474" spans="1:13">
      <c r="E474" s="33">
        <f>H329</f>
        <v>0.3</v>
      </c>
      <c r="F474" s="187" t="s">
        <v>5</v>
      </c>
      <c r="K474" s="286"/>
      <c r="L474" s="46"/>
      <c r="M474" s="46"/>
    </row>
    <row r="475" spans="1:13">
      <c r="E475" s="17" t="s">
        <v>1317</v>
      </c>
      <c r="F475" s="36">
        <f>H463</f>
        <v>57.603554258637352</v>
      </c>
      <c r="G475" t="s">
        <v>3</v>
      </c>
      <c r="K475" s="286"/>
      <c r="L475" s="46"/>
      <c r="M475" s="46"/>
    </row>
    <row r="476" spans="1:13">
      <c r="A476" s="10">
        <f>H464</f>
        <v>42.069111540986157</v>
      </c>
      <c r="F476" s="10">
        <f>F475-A476</f>
        <v>15.534442717651196</v>
      </c>
      <c r="G476" t="s">
        <v>3</v>
      </c>
      <c r="K476" s="286"/>
      <c r="L476" s="46"/>
      <c r="M476" s="46"/>
    </row>
    <row r="477" spans="1:13">
      <c r="K477" s="286"/>
      <c r="L477" s="46"/>
      <c r="M477" s="46"/>
    </row>
    <row r="478" spans="1:13">
      <c r="B478" s="54">
        <f>F476*B470/C483+A476</f>
        <v>50.293228273860322</v>
      </c>
      <c r="G478" s="10">
        <f>F475-C479</f>
        <v>5.4827444885827745</v>
      </c>
      <c r="H478" t="s">
        <v>3</v>
      </c>
      <c r="K478" s="286"/>
      <c r="L478" s="46"/>
      <c r="M478" s="46"/>
    </row>
    <row r="479" spans="1:13">
      <c r="C479" s="54">
        <f>F476*(B470+D472)/C483+A476</f>
        <v>52.120809770054578</v>
      </c>
      <c r="K479" s="286"/>
      <c r="L479" s="46"/>
      <c r="M479" s="46"/>
    </row>
    <row r="480" spans="1:13">
      <c r="D480" s="33">
        <f>G331</f>
        <v>0.9</v>
      </c>
      <c r="K480" s="286"/>
      <c r="L480" s="46"/>
      <c r="M480" s="46"/>
    </row>
    <row r="481" spans="1:15">
      <c r="D481" s="36">
        <f>G332</f>
        <v>0.3</v>
      </c>
      <c r="K481" s="286"/>
      <c r="L481" s="46"/>
      <c r="M481" s="46"/>
    </row>
    <row r="482" spans="1:15">
      <c r="K482" s="286"/>
      <c r="L482" s="46"/>
      <c r="M482" s="46"/>
    </row>
    <row r="483" spans="1:15">
      <c r="A483" t="str">
        <f>FIXED(A470,2)&amp;" x "&amp;D267&amp;" ="</f>
        <v>1.40 x 9.81 =</v>
      </c>
      <c r="C483" s="33">
        <f>D335</f>
        <v>3.4000000000000004</v>
      </c>
      <c r="D483" t="s">
        <v>5</v>
      </c>
      <c r="K483" s="286"/>
      <c r="L483" s="46"/>
      <c r="M483" s="46"/>
    </row>
    <row r="484" spans="1:15">
      <c r="A484" s="54">
        <f>A470*D267</f>
        <v>13.735341397722241</v>
      </c>
      <c r="F484" t="str">
        <f>"("&amp;E467&amp;" + "&amp;E473&amp;") x "&amp;D267&amp;" ="</f>
        <v>(0 + 0.4) x 9.81 =</v>
      </c>
      <c r="H484" s="33">
        <f>(E467+E473)*D267</f>
        <v>3.9240000000000004</v>
      </c>
      <c r="I484" t="s">
        <v>3</v>
      </c>
      <c r="K484" s="286"/>
      <c r="L484" s="46"/>
      <c r="M484" s="46"/>
    </row>
    <row r="485" spans="1:15">
      <c r="K485" s="286"/>
      <c r="L485" s="46"/>
      <c r="M485" s="46"/>
    </row>
    <row r="486" spans="1:15">
      <c r="B486" s="33">
        <f>A484+B470*(H484-A484)/C483</f>
        <v>8.5411018342222302</v>
      </c>
      <c r="H486" s="33"/>
      <c r="K486" s="286"/>
      <c r="L486" s="46"/>
      <c r="M486" s="46"/>
    </row>
    <row r="487" spans="1:15">
      <c r="B487" s="2"/>
      <c r="C487" s="33">
        <f>A484+(B470+D472)*(H484-A484)/C483</f>
        <v>7.386826375666673</v>
      </c>
      <c r="H487" s="33"/>
      <c r="K487" s="286"/>
      <c r="L487" s="46"/>
      <c r="M487" s="46"/>
    </row>
    <row r="488" spans="1:15">
      <c r="B488" s="2"/>
      <c r="C488" s="2"/>
      <c r="D488" s="10"/>
      <c r="K488" s="286"/>
      <c r="L488" s="46"/>
      <c r="M488" s="46"/>
    </row>
    <row r="489" spans="1:15" ht="15">
      <c r="A489" s="29" t="s">
        <v>1323</v>
      </c>
      <c r="K489" s="286"/>
      <c r="L489" s="46"/>
      <c r="M489" s="275"/>
      <c r="N489" s="75"/>
      <c r="O489" s="107"/>
    </row>
    <row r="490" spans="1:15">
      <c r="K490" s="286"/>
      <c r="L490" s="46"/>
      <c r="M490" s="386"/>
      <c r="N490" s="16"/>
      <c r="O490" s="16"/>
    </row>
    <row r="491" spans="1:15">
      <c r="A491" s="3085" t="s">
        <v>1319</v>
      </c>
      <c r="B491" s="948"/>
      <c r="C491" s="252" t="s">
        <v>1183</v>
      </c>
      <c r="D491" s="406"/>
      <c r="E491" s="56"/>
      <c r="F491" s="347" t="s">
        <v>880</v>
      </c>
      <c r="G491" s="355" t="s">
        <v>1184</v>
      </c>
      <c r="H491" s="406"/>
      <c r="I491" s="355" t="s">
        <v>1185</v>
      </c>
      <c r="J491" s="1343"/>
      <c r="K491" s="286"/>
      <c r="L491" s="46"/>
      <c r="M491" s="46"/>
      <c r="N491" s="221"/>
      <c r="O491" s="223"/>
    </row>
    <row r="492" spans="1:15">
      <c r="A492" s="3200"/>
      <c r="B492" s="954"/>
      <c r="C492" s="75"/>
      <c r="D492" s="16"/>
      <c r="E492" s="58"/>
      <c r="F492" s="280" t="s">
        <v>725</v>
      </c>
      <c r="G492" s="354" t="s">
        <v>5</v>
      </c>
      <c r="H492" s="241"/>
      <c r="I492" s="365" t="s">
        <v>1232</v>
      </c>
      <c r="J492" s="1343"/>
      <c r="K492" s="286"/>
      <c r="L492" s="46"/>
      <c r="M492" s="288"/>
      <c r="N492" s="10"/>
      <c r="O492" s="10"/>
    </row>
    <row r="493" spans="1:15">
      <c r="A493" s="423"/>
      <c r="B493" s="545" t="str">
        <f>"Concrete : C3 ="&amp;D471&amp;"x"&amp;E473&amp;"x"&amp;D263&amp;" ="</f>
        <v>Concrete : C3 =1.2x0.4x23.6 =</v>
      </c>
      <c r="C493" s="347"/>
      <c r="D493" s="1280"/>
      <c r="E493" s="56"/>
      <c r="F493" s="107">
        <f>D471*E473*D263</f>
        <v>11.327999999999999</v>
      </c>
      <c r="G493" s="441">
        <f>D471/2</f>
        <v>0.6</v>
      </c>
      <c r="H493" s="1281"/>
      <c r="I493" s="379">
        <f t="shared" ref="I493:I501" si="4">F493*G493</f>
        <v>6.7967999999999993</v>
      </c>
      <c r="J493" s="107"/>
      <c r="K493" s="286"/>
      <c r="L493" s="46"/>
      <c r="M493" s="288"/>
      <c r="N493" s="10"/>
      <c r="O493" s="10"/>
    </row>
    <row r="494" spans="1:15">
      <c r="A494" s="954"/>
      <c r="B494" s="363" t="str">
        <f>"Concrete : C4="&amp;E474&amp;"x"&amp;D480&amp;"x"&amp;D263&amp;" ="</f>
        <v>Concrete : C4=0.3x0.9x23.6 =</v>
      </c>
      <c r="C494" s="958"/>
      <c r="D494" s="1102"/>
      <c r="E494" s="58"/>
      <c r="F494" s="107">
        <f>E474*D480*D263</f>
        <v>6.3720000000000008</v>
      </c>
      <c r="G494" s="441">
        <f>D471-D480/2</f>
        <v>0.75</v>
      </c>
      <c r="H494" s="1266"/>
      <c r="I494" s="103">
        <f t="shared" si="4"/>
        <v>4.7790000000000008</v>
      </c>
      <c r="J494" s="107"/>
      <c r="K494" s="286"/>
      <c r="L494" s="46"/>
      <c r="M494" s="386"/>
      <c r="N494" s="10"/>
      <c r="O494" s="75"/>
    </row>
    <row r="495" spans="1:15">
      <c r="A495" s="949"/>
      <c r="B495" s="363" t="str">
        <f>"Concrete : C5=0.5x"&amp;E474&amp;"x"&amp;D481&amp;"x"&amp;D263&amp;" ="</f>
        <v>Concrete : C5=0.5x0.3x0.3x23.6 =</v>
      </c>
      <c r="C495" s="958"/>
      <c r="D495" s="1102"/>
      <c r="E495" s="58"/>
      <c r="F495" s="107">
        <f>0.5*E474*D481*D263</f>
        <v>1.0620000000000001</v>
      </c>
      <c r="G495" s="1271">
        <f>D471-(D480+D481/3)</f>
        <v>0.19999999999999996</v>
      </c>
      <c r="H495" s="1266"/>
      <c r="I495" s="103">
        <f t="shared" si="4"/>
        <v>0.21239999999999998</v>
      </c>
      <c r="J495" s="107"/>
      <c r="K495" s="286"/>
      <c r="L495" s="46"/>
      <c r="M495" s="386"/>
      <c r="N495" s="10"/>
      <c r="O495" s="16"/>
    </row>
    <row r="496" spans="1:15">
      <c r="A496" s="949"/>
      <c r="B496" s="1045" t="str">
        <f>"R/S Soil  : "&amp;B137</f>
        <v>R/S Soil  : S6 = 1200 x 0 x 18.9/1000 =</v>
      </c>
      <c r="C496" s="1282"/>
      <c r="D496" s="1283"/>
      <c r="E496" s="1149"/>
      <c r="F496" s="1140">
        <f>F137</f>
        <v>0</v>
      </c>
      <c r="G496" s="1284">
        <f>D471/2</f>
        <v>0.6</v>
      </c>
      <c r="H496" s="1285"/>
      <c r="I496" s="1093">
        <f>F496*G496</f>
        <v>0</v>
      </c>
      <c r="J496" s="1140"/>
      <c r="K496" s="286"/>
      <c r="L496" s="46"/>
      <c r="M496" s="386"/>
      <c r="N496" s="10"/>
      <c r="O496" s="16"/>
    </row>
    <row r="497" spans="1:15">
      <c r="A497" s="950"/>
      <c r="B497" s="364" t="str">
        <f>"Water : W ="&amp;D471&amp;"x"&amp;E467&amp;"x"&amp;D267&amp;" ="</f>
        <v>Water : W =1.2x0x9.81 =</v>
      </c>
      <c r="C497" s="280"/>
      <c r="D497" s="1286"/>
      <c r="E497" s="60"/>
      <c r="F497" s="121">
        <f>D471*E467*D267</f>
        <v>0</v>
      </c>
      <c r="G497" s="658">
        <f>D471/2</f>
        <v>0.6</v>
      </c>
      <c r="H497" s="1267"/>
      <c r="I497" s="138">
        <f t="shared" si="4"/>
        <v>0</v>
      </c>
      <c r="J497" s="107"/>
      <c r="K497" s="286"/>
      <c r="L497" s="46"/>
      <c r="M497" s="386"/>
      <c r="N497" s="10"/>
      <c r="O497" s="505"/>
    </row>
    <row r="498" spans="1:15">
      <c r="A498" s="949"/>
      <c r="B498" s="369" t="str">
        <f>"Foundation  Pressure="&amp;FIXED(D471,2)&amp;"x"&amp;FIXED(C479,2)&amp;" ="</f>
        <v>Foundation  Pressure=1.20x52.12 =</v>
      </c>
      <c r="C498" s="958"/>
      <c r="D498" s="1102"/>
      <c r="E498" s="58"/>
      <c r="F498" s="107">
        <f>D471*C479</f>
        <v>62.544971724065491</v>
      </c>
      <c r="G498" s="441">
        <f>D471/2</f>
        <v>0.6</v>
      </c>
      <c r="H498" s="1266"/>
      <c r="I498" s="103">
        <f>F498*G498</f>
        <v>37.52698303443929</v>
      </c>
      <c r="J498" s="107"/>
      <c r="K498" s="286"/>
      <c r="L498" s="46"/>
      <c r="M498" s="386"/>
      <c r="N498" s="10"/>
      <c r="O498" s="505"/>
    </row>
    <row r="499" spans="1:15">
      <c r="A499" s="949"/>
      <c r="B499" s="369" t="str">
        <f>"Foundation  Pressure=0.5x"&amp;D471&amp;"x"&amp;FIXED(G478,2)&amp;" ="</f>
        <v>Foundation  Pressure=0.5x1.2x5.48 =</v>
      </c>
      <c r="C499" s="958"/>
      <c r="D499" s="1102"/>
      <c r="E499" s="58"/>
      <c r="F499" s="107">
        <f>IF(I275="y","",0.5*D471*G478)</f>
        <v>3.2896466931496646</v>
      </c>
      <c r="G499" s="441">
        <f>2*D471/3</f>
        <v>0.79999999999999993</v>
      </c>
      <c r="H499" s="1266"/>
      <c r="I499" s="103">
        <f>F499*G499</f>
        <v>2.6317173545197314</v>
      </c>
      <c r="J499" s="107"/>
      <c r="K499" s="286"/>
      <c r="L499" s="46"/>
      <c r="M499" s="386"/>
      <c r="N499" s="10"/>
      <c r="O499" s="16"/>
    </row>
    <row r="500" spans="1:15">
      <c r="A500" s="949"/>
      <c r="B500" s="369" t="str">
        <f>"Uplift = "&amp;FIXED(C487,2)&amp;"x"&amp;D471&amp;" ="</f>
        <v>Uplift = 7.39x1.2 =</v>
      </c>
      <c r="C500" s="75"/>
      <c r="D500" s="1102"/>
      <c r="E500" s="58"/>
      <c r="F500" s="107">
        <f>C487*D471</f>
        <v>8.8641916508000076</v>
      </c>
      <c r="G500" s="441">
        <f>D471/2</f>
        <v>0.6</v>
      </c>
      <c r="H500" s="1287"/>
      <c r="I500" s="103">
        <f t="shared" si="4"/>
        <v>5.3185149904800042</v>
      </c>
      <c r="J500" s="107"/>
      <c r="K500" s="286"/>
      <c r="L500" s="46"/>
      <c r="M500" s="46"/>
      <c r="N500" s="10"/>
    </row>
    <row r="501" spans="1:15">
      <c r="A501" s="949"/>
      <c r="B501" s="369" t="str">
        <f>"Uplift =0.5x("&amp;FIXED(H484,2)&amp;"-"&amp;FIXED(C487,2)&amp;")x"&amp;D471&amp;" ="</f>
        <v>Uplift =0.5x(3.92-7.39)x1.2 =</v>
      </c>
      <c r="C501" s="16"/>
      <c r="D501" s="418"/>
      <c r="E501" s="58"/>
      <c r="F501" s="10">
        <f>0.5*(H484-C487)*D471</f>
        <v>-2.0776958254000033</v>
      </c>
      <c r="G501" s="658">
        <f>2*D471/3</f>
        <v>0.79999999999999993</v>
      </c>
      <c r="I501" s="138">
        <f t="shared" si="4"/>
        <v>-1.6621566603200024</v>
      </c>
      <c r="J501" s="107"/>
      <c r="K501" s="286"/>
      <c r="L501" s="46"/>
      <c r="M501" s="224"/>
      <c r="N501" s="10"/>
    </row>
    <row r="502" spans="1:15" ht="15.75">
      <c r="A502" s="148"/>
      <c r="B502" s="1101"/>
      <c r="C502" s="102"/>
      <c r="D502" s="102"/>
      <c r="E502" s="1096" t="s">
        <v>1239</v>
      </c>
      <c r="F502" s="1147">
        <f>SUM(F493:F497)-SUM(F498:F501)</f>
        <v>-53.859114242615163</v>
      </c>
      <c r="G502" s="1145"/>
      <c r="H502" s="1099" t="s">
        <v>1321</v>
      </c>
      <c r="I502" s="1097">
        <f>SUM(I498:I501)-SUM(I493:I497)</f>
        <v>32.026858719119019</v>
      </c>
      <c r="J502" s="1349"/>
      <c r="K502" s="286"/>
      <c r="L502" s="46"/>
      <c r="M502" s="46"/>
      <c r="N502" s="10"/>
      <c r="O502" s="10"/>
    </row>
    <row r="503" spans="1:15">
      <c r="C503" s="187"/>
      <c r="I503" s="39" t="str">
        <f>IF(I502&gt;0,"Bottom tension"," Tension at Top")</f>
        <v>Bottom tension</v>
      </c>
      <c r="J503" s="39"/>
      <c r="K503" s="286"/>
      <c r="L503" s="46"/>
      <c r="M503" s="46"/>
    </row>
    <row r="504" spans="1:15" ht="15">
      <c r="A504" s="29"/>
      <c r="B504" s="2"/>
      <c r="C504" s="2"/>
      <c r="K504" s="286"/>
      <c r="L504" s="46"/>
      <c r="M504" s="46"/>
    </row>
    <row r="505" spans="1:15" ht="15">
      <c r="A505" s="29" t="s">
        <v>1324</v>
      </c>
      <c r="K505" s="286"/>
      <c r="L505" s="46"/>
      <c r="M505" s="387"/>
    </row>
    <row r="506" spans="1:15">
      <c r="K506" s="286"/>
      <c r="L506" s="46"/>
      <c r="M506" s="46"/>
    </row>
    <row r="507" spans="1:15">
      <c r="A507" s="3085" t="s">
        <v>1319</v>
      </c>
      <c r="B507" s="948"/>
      <c r="C507" s="252" t="s">
        <v>1183</v>
      </c>
      <c r="D507" s="406"/>
      <c r="E507" s="56"/>
      <c r="F507" s="347" t="s">
        <v>880</v>
      </c>
      <c r="G507" s="355" t="s">
        <v>1184</v>
      </c>
      <c r="H507" s="406"/>
      <c r="I507" s="355" t="s">
        <v>1185</v>
      </c>
      <c r="J507" s="1343"/>
      <c r="K507" s="286"/>
      <c r="L507" s="46"/>
      <c r="M507" s="46"/>
      <c r="O507" s="221"/>
    </row>
    <row r="508" spans="1:15">
      <c r="A508" s="3086"/>
      <c r="B508" s="954"/>
      <c r="C508" s="75"/>
      <c r="D508" s="16"/>
      <c r="E508" s="58"/>
      <c r="F508" s="958" t="s">
        <v>725</v>
      </c>
      <c r="G508" s="354" t="s">
        <v>5</v>
      </c>
      <c r="H508" s="204"/>
      <c r="I508" s="354" t="s">
        <v>1232</v>
      </c>
      <c r="J508" s="1343"/>
      <c r="K508" s="286"/>
      <c r="L508" s="46"/>
      <c r="M508" s="288"/>
      <c r="N508" s="84"/>
      <c r="O508" s="10"/>
    </row>
    <row r="509" spans="1:15">
      <c r="A509" s="423"/>
      <c r="B509" s="545" t="str">
        <f>"Concrete : C3 ="&amp;B470&amp;"x"&amp;E473&amp;"x"&amp;D263&amp;" ="</f>
        <v>Concrete : C3 =1.8x0.4x23.6 =</v>
      </c>
      <c r="C509" s="347"/>
      <c r="D509" s="1280"/>
      <c r="E509" s="56"/>
      <c r="F509" s="1036">
        <f>B470*E473*D263</f>
        <v>16.992000000000004</v>
      </c>
      <c r="G509" s="663">
        <f>B470/2</f>
        <v>0.9</v>
      </c>
      <c r="H509" s="1281"/>
      <c r="I509" s="379">
        <f t="shared" ref="I509:I516" si="5">F509*G509</f>
        <v>15.292800000000005</v>
      </c>
      <c r="J509" s="107"/>
      <c r="K509" s="286"/>
      <c r="L509" s="46"/>
      <c r="M509" s="288"/>
      <c r="N509" s="33"/>
      <c r="O509" s="10"/>
    </row>
    <row r="510" spans="1:15">
      <c r="A510" s="954"/>
      <c r="B510" s="363" t="str">
        <f>"Moist Soil : S1="&amp;B470&amp;"x"&amp;FIXED(A465,2)&amp;"x"&amp;D265&amp;" ="</f>
        <v>Moist Soil : S1=1.8x2.90x17.3 =</v>
      </c>
      <c r="C510" s="958"/>
      <c r="D510" s="1102"/>
      <c r="E510" s="58"/>
      <c r="F510" s="155">
        <f>B470*A465*D265</f>
        <v>90.30174198521199</v>
      </c>
      <c r="G510" s="1271">
        <f>B470/2</f>
        <v>0.9</v>
      </c>
      <c r="H510" s="1266"/>
      <c r="I510" s="103">
        <f t="shared" si="5"/>
        <v>81.271567786690795</v>
      </c>
      <c r="J510" s="107"/>
      <c r="K510" s="286"/>
      <c r="L510" s="46"/>
      <c r="M510" s="46"/>
      <c r="N510" s="33"/>
      <c r="O510" s="1"/>
    </row>
    <row r="511" spans="1:15">
      <c r="A511" s="949"/>
      <c r="B511" s="363" t="str">
        <f>"Saturated Soil : S3="&amp;FIXED(B470,2)&amp;"x"&amp;FIXED(B468,2)&amp;"x"&amp;D266&amp;" ="</f>
        <v>Saturated Soil : S3=1.80x1.00x18.9 =</v>
      </c>
      <c r="C511" s="958"/>
      <c r="D511" s="1102"/>
      <c r="E511" s="58"/>
      <c r="F511" s="155">
        <f>B470*B468*D266</f>
        <v>34.024651819623898</v>
      </c>
      <c r="G511" s="441">
        <f>B470/2</f>
        <v>0.9</v>
      </c>
      <c r="H511" s="1266"/>
      <c r="I511" s="103">
        <f t="shared" si="5"/>
        <v>30.62218663766151</v>
      </c>
      <c r="J511" s="107"/>
      <c r="K511" s="286"/>
      <c r="L511" s="46"/>
      <c r="M511" s="46"/>
      <c r="N511" s="33"/>
      <c r="O511" s="1"/>
    </row>
    <row r="512" spans="1:15">
      <c r="A512" s="950"/>
      <c r="B512" s="364" t="str">
        <f>"Sursharge : S5 ="&amp;F272&amp;"x"&amp;C333&amp;" ="</f>
        <v>Sursharge : S5 =0x1.8 =</v>
      </c>
      <c r="C512" s="280"/>
      <c r="D512" s="1286"/>
      <c r="E512" s="60"/>
      <c r="F512" s="170">
        <f>F272*C333</f>
        <v>0</v>
      </c>
      <c r="G512" s="658">
        <f>$C$333/2</f>
        <v>0.9</v>
      </c>
      <c r="H512" s="1267"/>
      <c r="I512" s="138">
        <f t="shared" si="5"/>
        <v>0</v>
      </c>
      <c r="J512" s="107"/>
      <c r="K512" s="286"/>
      <c r="L512" s="46"/>
      <c r="M512" s="46"/>
      <c r="N512" s="33"/>
      <c r="O512" s="2"/>
    </row>
    <row r="513" spans="1:15">
      <c r="A513" s="952"/>
      <c r="B513" s="369" t="str">
        <f>"Foundation  Pressure="&amp;B470&amp;"x"&amp;FIXED(A476,2)&amp;" ="</f>
        <v>Foundation  Pressure=1.8x42.07 =</v>
      </c>
      <c r="C513" s="958"/>
      <c r="D513" s="1102"/>
      <c r="E513" s="58"/>
      <c r="F513" s="107">
        <f>B470*A476</f>
        <v>75.724400773775088</v>
      </c>
      <c r="G513" s="441">
        <f>B470/2</f>
        <v>0.9</v>
      </c>
      <c r="H513" s="1266"/>
      <c r="I513" s="103">
        <f>F513*G513</f>
        <v>68.15196069639758</v>
      </c>
      <c r="J513" s="107"/>
      <c r="K513" s="286"/>
      <c r="L513" s="46"/>
      <c r="M513" s="46"/>
      <c r="N513" s="33"/>
    </row>
    <row r="514" spans="1:15">
      <c r="A514" s="952"/>
      <c r="B514" s="369" t="str">
        <f>"Found Pressure=0.5x"&amp;B470&amp;"x("&amp;FIXED(B478,2)&amp;"-"&amp;FIXED(A476,2)&amp;") ="</f>
        <v>Found Pressure=0.5x1.8x(50.29-42.07) =</v>
      </c>
      <c r="C514" s="958"/>
      <c r="D514" s="1102"/>
      <c r="E514" s="58"/>
      <c r="F514" s="107">
        <f>0.5*B470*(B478-A476)</f>
        <v>7.4017050595867486</v>
      </c>
      <c r="G514" s="441">
        <f>B470/3</f>
        <v>0.6</v>
      </c>
      <c r="H514" s="1266"/>
      <c r="I514" s="103">
        <f>F514*G514</f>
        <v>4.4410230357520488</v>
      </c>
      <c r="J514" s="107"/>
      <c r="K514" s="286"/>
      <c r="L514" s="224"/>
      <c r="M514" s="46"/>
      <c r="N514" s="33"/>
      <c r="O514" s="14"/>
    </row>
    <row r="515" spans="1:15">
      <c r="A515" s="952"/>
      <c r="B515" s="369" t="str">
        <f>"Uplift = "&amp;B470&amp;"x"&amp;FIXED(A484,2)&amp;" ="</f>
        <v>Uplift = 1.8x13.74 =</v>
      </c>
      <c r="C515" s="75"/>
      <c r="D515" s="1102"/>
      <c r="E515" s="58"/>
      <c r="F515" s="107">
        <f>B470*A484</f>
        <v>24.723614515900035</v>
      </c>
      <c r="G515" s="441">
        <f>B470/2</f>
        <v>0.9</v>
      </c>
      <c r="H515" s="1266"/>
      <c r="I515" s="103">
        <f t="shared" si="5"/>
        <v>22.251253064310031</v>
      </c>
      <c r="J515" s="107"/>
      <c r="K515" s="286"/>
      <c r="L515" s="46"/>
      <c r="M515" s="46"/>
      <c r="N515" s="33"/>
      <c r="O515" s="14"/>
    </row>
    <row r="516" spans="1:15">
      <c r="A516" s="952"/>
      <c r="B516" s="369" t="str">
        <f>"Uplift = 0.5x("&amp;FIXED(B486,2)&amp;"-"&amp;FIXED(A484,2)&amp;")x"&amp;B470&amp;" ="</f>
        <v>Uplift = 0.5x(8.54-13.74)x1.8 =</v>
      </c>
      <c r="C516" s="16"/>
      <c r="D516" s="418"/>
      <c r="E516" s="58"/>
      <c r="F516" s="121">
        <f>0.5*(B486-A484)*B470</f>
        <v>-4.67481560715001</v>
      </c>
      <c r="G516" s="658">
        <f>B470/3</f>
        <v>0.6</v>
      </c>
      <c r="H516" s="121"/>
      <c r="I516" s="138">
        <f t="shared" si="5"/>
        <v>-2.8048893642900059</v>
      </c>
      <c r="J516" s="107"/>
      <c r="K516" s="286"/>
      <c r="L516" s="46"/>
      <c r="M516" s="46"/>
      <c r="N516" s="33"/>
    </row>
    <row r="517" spans="1:15">
      <c r="A517" s="953"/>
      <c r="B517" s="1288"/>
      <c r="C517" s="956"/>
      <c r="D517" s="956"/>
      <c r="E517" s="1289"/>
      <c r="F517" s="1290"/>
      <c r="G517" s="1291"/>
      <c r="H517" s="1292"/>
      <c r="I517" s="1293"/>
      <c r="J517" s="448"/>
      <c r="K517" s="286"/>
      <c r="L517" s="46"/>
      <c r="M517" s="46"/>
    </row>
    <row r="518" spans="1:15" ht="15.75">
      <c r="A518" s="148"/>
      <c r="B518" s="1273"/>
      <c r="C518" s="59"/>
      <c r="D518" s="59"/>
      <c r="E518" s="1151" t="s">
        <v>1239</v>
      </c>
      <c r="F518" s="1274">
        <f>SUM(F509:F512)-SUM(F513:F516)</f>
        <v>38.143489062724029</v>
      </c>
      <c r="G518" s="1294"/>
      <c r="H518" s="1276" t="s">
        <v>1321</v>
      </c>
      <c r="I518" s="1144">
        <f>SUM(I513:I516)-SUM(I509:I512)</f>
        <v>-35.147206992182646</v>
      </c>
      <c r="J518" s="1349"/>
      <c r="K518" s="286"/>
      <c r="L518" s="46"/>
      <c r="M518" s="46"/>
      <c r="N518" s="10"/>
      <c r="O518" s="10"/>
    </row>
    <row r="519" spans="1:15">
      <c r="C519" s="187"/>
      <c r="I519" s="39" t="str">
        <f>IF(I518&gt;0,"Tension at Bottom ","Tension at Top")</f>
        <v>Tension at Top</v>
      </c>
      <c r="J519" s="39"/>
      <c r="K519" s="286"/>
      <c r="L519" s="46"/>
      <c r="M519" s="46"/>
    </row>
    <row r="520" spans="1:15">
      <c r="K520" s="286"/>
      <c r="M520" s="46"/>
    </row>
    <row r="521" spans="1:15" ht="15">
      <c r="A521" s="1295" t="s">
        <v>1246</v>
      </c>
      <c r="B521" s="977"/>
      <c r="C521" s="977"/>
      <c r="D521" s="174"/>
      <c r="K521" s="286"/>
      <c r="L521" s="46"/>
      <c r="M521" s="46"/>
    </row>
    <row r="522" spans="1:15">
      <c r="K522" s="286"/>
      <c r="L522" s="46"/>
      <c r="M522" s="46"/>
    </row>
    <row r="523" spans="1:15">
      <c r="B523" s="17" t="s">
        <v>51</v>
      </c>
      <c r="C523" s="220">
        <f>D312</f>
        <v>10</v>
      </c>
      <c r="E523" s="44"/>
      <c r="K523" s="286"/>
      <c r="L523" s="46"/>
      <c r="M523" s="46"/>
    </row>
    <row r="524" spans="1:15">
      <c r="B524" s="10"/>
      <c r="C524" s="957"/>
      <c r="E524" s="44"/>
      <c r="F524" t="s">
        <v>1314</v>
      </c>
      <c r="H524" s="190">
        <f>E251</f>
        <v>36.205802503485423</v>
      </c>
      <c r="I524" s="187" t="s">
        <v>3</v>
      </c>
      <c r="J524" s="187"/>
      <c r="K524" s="286"/>
      <c r="L524" s="46"/>
      <c r="M524" s="46"/>
    </row>
    <row r="525" spans="1:15">
      <c r="A525" s="10">
        <f>A183/1000</f>
        <v>0</v>
      </c>
      <c r="B525" s="17"/>
      <c r="E525" s="44"/>
      <c r="F525" t="s">
        <v>1315</v>
      </c>
      <c r="H525" s="190">
        <f>E252</f>
        <v>28.850726908279295</v>
      </c>
      <c r="I525" s="187" t="s">
        <v>3</v>
      </c>
      <c r="J525" s="187"/>
      <c r="K525" s="286"/>
      <c r="L525" s="46"/>
      <c r="M525" s="46"/>
    </row>
    <row r="526" spans="1:15">
      <c r="B526" s="36">
        <f>C523-C534</f>
        <v>3.9000000000000004</v>
      </c>
      <c r="C526" s="190"/>
      <c r="E526" s="44"/>
      <c r="K526" s="286"/>
      <c r="L526" s="46"/>
      <c r="M526" s="46"/>
    </row>
    <row r="527" spans="1:15">
      <c r="B527" s="203" t="s">
        <v>1248</v>
      </c>
      <c r="C527" s="189">
        <f>D188</f>
        <v>12.971301600623351</v>
      </c>
      <c r="D527" s="187" t="s">
        <v>1221</v>
      </c>
      <c r="K527" s="286"/>
      <c r="L527" s="46"/>
      <c r="M527" s="46"/>
    </row>
    <row r="528" spans="1:15">
      <c r="K528" s="286"/>
      <c r="L528" s="46"/>
      <c r="M528" s="46"/>
    </row>
    <row r="529" spans="1:13">
      <c r="A529" s="54"/>
      <c r="B529" s="54">
        <f>C192/1000</f>
        <v>3.9000000000000004</v>
      </c>
      <c r="E529" s="187" t="s">
        <v>1247</v>
      </c>
      <c r="F529" s="220">
        <f>H185</f>
        <v>13.9</v>
      </c>
      <c r="K529" s="286"/>
      <c r="L529" s="46"/>
      <c r="M529" s="46"/>
    </row>
    <row r="530" spans="1:13">
      <c r="B530" s="27"/>
      <c r="I530" s="62"/>
      <c r="J530" s="62"/>
      <c r="K530" s="286"/>
      <c r="L530" s="62"/>
      <c r="M530" s="46"/>
    </row>
    <row r="531" spans="1:13">
      <c r="E531" s="10">
        <f>F190/1000</f>
        <v>3.9000000000000004</v>
      </c>
      <c r="G531" t="s">
        <v>1171</v>
      </c>
      <c r="H531" s="220">
        <f>I189</f>
        <v>6.1</v>
      </c>
      <c r="J531" s="62"/>
      <c r="K531" s="286"/>
      <c r="L531" s="62"/>
      <c r="M531" s="46"/>
    </row>
    <row r="532" spans="1:13">
      <c r="C532" s="18">
        <f>C333</f>
        <v>1.8</v>
      </c>
      <c r="D532" s="1279"/>
      <c r="K532" s="286"/>
      <c r="L532" s="46"/>
      <c r="M532" s="46"/>
    </row>
    <row r="533" spans="1:13">
      <c r="A533" s="10">
        <f>A192/1000</f>
        <v>4.3000000000000007</v>
      </c>
      <c r="D533" s="607">
        <f>F333</f>
        <v>1.2</v>
      </c>
      <c r="H533" s="54">
        <f>IF(H531&gt;C534,H531-C534,0)</f>
        <v>0</v>
      </c>
      <c r="I533" s="187" t="s">
        <v>5</v>
      </c>
      <c r="K533" s="286"/>
      <c r="L533" s="46"/>
      <c r="M533" s="46"/>
    </row>
    <row r="534" spans="1:13">
      <c r="C534" s="223">
        <f>D325</f>
        <v>6.1</v>
      </c>
      <c r="H534" s="17"/>
      <c r="K534" s="286"/>
      <c r="L534" s="46"/>
      <c r="M534" s="46"/>
    </row>
    <row r="535" spans="1:13">
      <c r="C535" s="957"/>
      <c r="F535" s="187"/>
      <c r="K535" s="286"/>
      <c r="L535" s="46"/>
      <c r="M535" s="46"/>
    </row>
    <row r="536" spans="1:13">
      <c r="C536" s="957"/>
      <c r="D536" s="1255">
        <f>E333</f>
        <v>0.4</v>
      </c>
      <c r="E536" s="33">
        <f>D327</f>
        <v>0.4</v>
      </c>
      <c r="F536" s="187" t="s">
        <v>5</v>
      </c>
      <c r="K536" s="286"/>
      <c r="L536" s="46"/>
      <c r="M536" s="46"/>
    </row>
    <row r="537" spans="1:13">
      <c r="K537" s="286"/>
      <c r="L537" s="46"/>
      <c r="M537" s="46"/>
    </row>
    <row r="538" spans="1:13">
      <c r="E538" s="33">
        <f>H329</f>
        <v>0.3</v>
      </c>
      <c r="F538" s="187" t="s">
        <v>5</v>
      </c>
      <c r="K538" s="286"/>
      <c r="L538" s="46"/>
      <c r="M538" s="46"/>
    </row>
    <row r="539" spans="1:13">
      <c r="A539" s="187" t="s">
        <v>1316</v>
      </c>
      <c r="E539" s="17" t="s">
        <v>1219</v>
      </c>
      <c r="F539" s="36">
        <f>H524</f>
        <v>36.205802503485423</v>
      </c>
      <c r="G539" t="s">
        <v>3</v>
      </c>
      <c r="K539" s="286"/>
      <c r="L539" s="46"/>
      <c r="M539" s="46"/>
    </row>
    <row r="540" spans="1:13">
      <c r="A540" s="36">
        <f>H525</f>
        <v>28.850726908279295</v>
      </c>
      <c r="F540" s="54">
        <f>F539-A540</f>
        <v>7.3550755952061273</v>
      </c>
      <c r="G540" t="s">
        <v>3</v>
      </c>
      <c r="K540" s="286"/>
      <c r="L540" s="46"/>
      <c r="M540" s="46"/>
    </row>
    <row r="541" spans="1:13">
      <c r="K541" s="286"/>
      <c r="L541" s="46"/>
      <c r="M541" s="46"/>
    </row>
    <row r="542" spans="1:13" ht="15">
      <c r="A542" s="29"/>
      <c r="G542" s="54">
        <f>F539-C544</f>
        <v>2.5959090336021617</v>
      </c>
      <c r="H542" t="s">
        <v>3</v>
      </c>
      <c r="K542" s="286"/>
      <c r="L542" s="46"/>
      <c r="M542" s="46"/>
    </row>
    <row r="543" spans="1:13">
      <c r="B543" s="54">
        <f>F540*C532/C547+A540</f>
        <v>32.744590458682538</v>
      </c>
      <c r="K543" s="286"/>
      <c r="L543" s="46"/>
      <c r="M543" s="46"/>
    </row>
    <row r="544" spans="1:13">
      <c r="C544" s="10">
        <f>F540*(C532+D536)/C547+A540</f>
        <v>33.609893469883261</v>
      </c>
      <c r="D544" s="33">
        <f>G331</f>
        <v>0.9</v>
      </c>
      <c r="F544" s="10"/>
      <c r="K544" s="286"/>
      <c r="L544" s="46"/>
      <c r="M544" s="46"/>
    </row>
    <row r="545" spans="1:20">
      <c r="C545" s="33"/>
      <c r="D545" s="36">
        <f>G332</f>
        <v>0.3</v>
      </c>
      <c r="K545" s="286"/>
      <c r="L545" s="46"/>
      <c r="M545" s="46"/>
    </row>
    <row r="546" spans="1:20">
      <c r="K546" s="286"/>
      <c r="L546" s="46"/>
      <c r="M546" s="46"/>
    </row>
    <row r="547" spans="1:20">
      <c r="C547" s="33">
        <f>D335</f>
        <v>3.4000000000000004</v>
      </c>
      <c r="D547" t="s">
        <v>5</v>
      </c>
      <c r="F547" t="str">
        <f>"( "&amp;FIXED(E531,2)&amp;"+"&amp;FIXED(E536,2)&amp;" ) x "&amp;D267&amp;" ="</f>
        <v>( 3.90+0.40 ) x 9.81 =</v>
      </c>
      <c r="H547" s="17">
        <f>(E531+E536)*D267</f>
        <v>42.183000000000007</v>
      </c>
      <c r="I547" t="s">
        <v>3</v>
      </c>
      <c r="K547" s="286"/>
      <c r="L547" s="46"/>
      <c r="M547" s="46"/>
    </row>
    <row r="548" spans="1:20">
      <c r="A548" t="str">
        <f>A533&amp;"x"&amp;D267&amp;"="</f>
        <v>4.3x9.81=</v>
      </c>
      <c r="K548" s="286"/>
      <c r="L548" s="46"/>
      <c r="M548" s="46"/>
    </row>
    <row r="549" spans="1:20">
      <c r="A549" s="54">
        <f>A533*D267</f>
        <v>42.183000000000007</v>
      </c>
      <c r="K549" s="286"/>
      <c r="L549" s="46"/>
      <c r="M549" s="46"/>
    </row>
    <row r="550" spans="1:20">
      <c r="E550" s="33">
        <f>H547+D533*(A549-H547)/C547</f>
        <v>42.183000000000007</v>
      </c>
      <c r="F550" t="s">
        <v>3</v>
      </c>
      <c r="K550" s="286"/>
      <c r="L550" s="46"/>
      <c r="M550" s="46"/>
    </row>
    <row r="551" spans="1:20">
      <c r="E551" s="36">
        <f>H547+(D533+D536)*(A549-H547)/C547</f>
        <v>42.183000000000007</v>
      </c>
      <c r="K551" s="286"/>
      <c r="L551" s="46"/>
      <c r="M551" s="46"/>
    </row>
    <row r="552" spans="1:20">
      <c r="K552" s="286"/>
      <c r="M552" s="46"/>
    </row>
    <row r="553" spans="1:20" ht="15">
      <c r="A553" s="29" t="s">
        <v>1325</v>
      </c>
      <c r="K553" s="286"/>
      <c r="L553" s="46"/>
      <c r="M553" s="46"/>
    </row>
    <row r="554" spans="1:20">
      <c r="K554" s="286"/>
      <c r="L554" s="46"/>
      <c r="M554" s="386"/>
      <c r="N554" s="75"/>
      <c r="O554" s="75"/>
      <c r="P554" s="107"/>
      <c r="Q554" s="16"/>
      <c r="R554" s="16"/>
      <c r="S554" s="16"/>
      <c r="T554" s="16"/>
    </row>
    <row r="555" spans="1:20">
      <c r="A555" s="3085" t="s">
        <v>1319</v>
      </c>
      <c r="B555" s="948"/>
      <c r="C555" s="252" t="s">
        <v>1183</v>
      </c>
      <c r="D555" s="406"/>
      <c r="E555" s="56"/>
      <c r="F555" s="347" t="s">
        <v>880</v>
      </c>
      <c r="G555" s="355" t="s">
        <v>1184</v>
      </c>
      <c r="H555" s="406"/>
      <c r="I555" s="355" t="s">
        <v>1185</v>
      </c>
      <c r="J555" s="1343"/>
      <c r="K555" s="286"/>
      <c r="L555" s="46"/>
      <c r="M555" s="46"/>
      <c r="O555" s="221"/>
      <c r="P555" s="223"/>
      <c r="Q555" s="16"/>
      <c r="R555" s="16"/>
      <c r="S555" s="16"/>
      <c r="T555" s="16"/>
    </row>
    <row r="556" spans="1:20">
      <c r="A556" s="3200"/>
      <c r="B556" s="954"/>
      <c r="C556" s="75"/>
      <c r="D556" s="16"/>
      <c r="E556" s="58"/>
      <c r="F556" s="958" t="s">
        <v>725</v>
      </c>
      <c r="G556" s="365" t="s">
        <v>5</v>
      </c>
      <c r="H556" s="241"/>
      <c r="I556" s="365" t="s">
        <v>1232</v>
      </c>
      <c r="J556" s="1343"/>
      <c r="K556" s="286"/>
      <c r="L556" s="46"/>
      <c r="M556" s="288"/>
      <c r="O556" s="10"/>
      <c r="P556" s="10"/>
      <c r="Q556" s="16"/>
      <c r="R556" s="16"/>
      <c r="S556" s="16"/>
      <c r="T556" s="16"/>
    </row>
    <row r="557" spans="1:20">
      <c r="A557" s="423"/>
      <c r="B557" s="545" t="str">
        <f>"Concrete : C3 ="&amp;D533&amp;"x"&amp;E536&amp;"x"&amp;D263&amp;" ="</f>
        <v>Concrete : C3 =1.2x0.4x23.6 =</v>
      </c>
      <c r="C557" s="347"/>
      <c r="D557" s="1280"/>
      <c r="E557" s="56"/>
      <c r="F557" s="251">
        <f>D533*E536*D263</f>
        <v>11.327999999999999</v>
      </c>
      <c r="G557" s="663">
        <f>D533/2</f>
        <v>0.6</v>
      </c>
      <c r="H557" s="1281"/>
      <c r="I557" s="379">
        <f t="shared" ref="I557:I565" si="6">F557*G557</f>
        <v>6.7967999999999993</v>
      </c>
      <c r="J557" s="107"/>
      <c r="K557" s="286"/>
      <c r="L557" s="46"/>
      <c r="M557" s="288"/>
      <c r="N557" s="33"/>
      <c r="O557" s="10"/>
      <c r="P557" s="10"/>
      <c r="Q557" s="16"/>
      <c r="R557" s="16"/>
      <c r="S557" s="16"/>
      <c r="T557" s="16"/>
    </row>
    <row r="558" spans="1:20">
      <c r="A558" s="954"/>
      <c r="B558" s="363" t="str">
        <f>"Concrete : C4="&amp;E538&amp;"x"&amp;D544&amp;"x"&amp;D263&amp;" ="</f>
        <v>Concrete : C4=0.3x0.9x23.6 =</v>
      </c>
      <c r="C558" s="958"/>
      <c r="D558" s="1102"/>
      <c r="E558" s="58"/>
      <c r="F558" s="107">
        <f>E538*D544*D263</f>
        <v>6.3720000000000008</v>
      </c>
      <c r="G558" s="1271">
        <f>D533-D544/2</f>
        <v>0.75</v>
      </c>
      <c r="H558" s="1266"/>
      <c r="I558" s="103">
        <f t="shared" si="6"/>
        <v>4.7790000000000008</v>
      </c>
      <c r="J558" s="107"/>
      <c r="K558" s="286"/>
      <c r="L558" s="46"/>
      <c r="M558" s="386"/>
      <c r="N558" s="33"/>
      <c r="O558" s="1296"/>
      <c r="P558" s="1296"/>
      <c r="Q558" s="1296"/>
      <c r="R558" s="1296"/>
      <c r="S558" s="16"/>
      <c r="T558" s="16"/>
    </row>
    <row r="559" spans="1:20">
      <c r="A559" s="949"/>
      <c r="B559" s="363" t="str">
        <f>"Concrete : C5=0.5x"&amp;E538&amp;"x"&amp;D545&amp;"x"&amp;D263&amp;" ="</f>
        <v>Concrete : C5=0.5x0.3x0.3x23.6 =</v>
      </c>
      <c r="C559" s="958"/>
      <c r="D559" s="1102"/>
      <c r="E559" s="58"/>
      <c r="F559" s="107">
        <f>0.5*E538*D545*D263</f>
        <v>1.0620000000000001</v>
      </c>
      <c r="G559" s="441">
        <f>D533-(D544+D545/3)</f>
        <v>0.19999999999999996</v>
      </c>
      <c r="H559" s="1266"/>
      <c r="I559" s="103">
        <f t="shared" si="6"/>
        <v>0.21239999999999998</v>
      </c>
      <c r="J559" s="107"/>
      <c r="K559" s="286"/>
      <c r="L559" s="46"/>
      <c r="M559" s="46"/>
      <c r="N559" s="33"/>
      <c r="O559" s="75"/>
      <c r="P559" s="75"/>
      <c r="Q559" s="75"/>
      <c r="R559" s="75"/>
      <c r="S559" s="16"/>
      <c r="T559" s="16"/>
    </row>
    <row r="560" spans="1:20">
      <c r="A560" s="949"/>
      <c r="B560" s="1045" t="str">
        <f>"R/S Soil : S6 = "&amp;D533&amp;"x"&amp;H533&amp;"x"&amp;D266&amp;" ="</f>
        <v>R/S Soil : S6 = 1.2x0x18.9 =</v>
      </c>
      <c r="C560" s="1282"/>
      <c r="D560" s="1283"/>
      <c r="E560" s="1149"/>
      <c r="F560" s="1140">
        <f>D533*H533*D266</f>
        <v>0</v>
      </c>
      <c r="G560" s="1297">
        <f>D533/2</f>
        <v>0.6</v>
      </c>
      <c r="H560" s="1285"/>
      <c r="I560" s="1093">
        <f t="shared" si="6"/>
        <v>0</v>
      </c>
      <c r="J560" s="1140"/>
      <c r="K560" s="286"/>
      <c r="L560" s="46"/>
      <c r="M560" s="386"/>
      <c r="N560" s="33"/>
      <c r="O560" s="505"/>
      <c r="P560" s="505"/>
      <c r="Q560" s="16"/>
      <c r="R560" s="107"/>
      <c r="S560" s="16"/>
      <c r="T560" s="16"/>
    </row>
    <row r="561" spans="1:20">
      <c r="A561" s="950"/>
      <c r="B561" s="364" t="str">
        <f>" R/S water : W ="&amp;D533&amp;"x"&amp;E531&amp;"x"&amp;D267&amp;" ="</f>
        <v xml:space="preserve"> R/S water : W =1.2x3.9x9.81 =</v>
      </c>
      <c r="C561" s="280"/>
      <c r="D561" s="1286"/>
      <c r="E561" s="60"/>
      <c r="F561" s="121">
        <f>D533*E531*D267</f>
        <v>45.910800000000009</v>
      </c>
      <c r="G561" s="658">
        <f>D533/2</f>
        <v>0.6</v>
      </c>
      <c r="H561" s="1267"/>
      <c r="I561" s="138">
        <f t="shared" si="6"/>
        <v>27.546480000000006</v>
      </c>
      <c r="J561" s="107"/>
      <c r="K561" s="286"/>
      <c r="L561" s="46"/>
      <c r="M561" s="386"/>
      <c r="N561" s="33"/>
      <c r="O561" s="505"/>
      <c r="P561" s="505"/>
      <c r="Q561" s="1298"/>
      <c r="R561" s="107"/>
      <c r="S561" s="16"/>
      <c r="T561" s="16"/>
    </row>
    <row r="562" spans="1:20">
      <c r="A562" s="952"/>
      <c r="B562" s="363" t="str">
        <f>"Foundation  Pressure= "&amp;FIXED(C544,2)&amp;"x"&amp;D533&amp;" ="</f>
        <v>Foundation  Pressure= 33.61x1.2 =</v>
      </c>
      <c r="C562" s="958"/>
      <c r="D562" s="1102"/>
      <c r="E562" s="58"/>
      <c r="F562" s="107">
        <f>C544*D533</f>
        <v>40.331872163859913</v>
      </c>
      <c r="G562" s="441">
        <f>D533/2</f>
        <v>0.6</v>
      </c>
      <c r="H562" s="1266"/>
      <c r="I562" s="103">
        <f>F562*G562</f>
        <v>24.199123298315946</v>
      </c>
      <c r="J562" s="107"/>
      <c r="K562" s="286"/>
      <c r="L562" s="46"/>
      <c r="M562" s="386"/>
      <c r="N562" s="33"/>
      <c r="O562" s="16"/>
      <c r="P562" s="16"/>
      <c r="Q562" s="1298"/>
      <c r="R562" s="107"/>
      <c r="S562" s="1299"/>
      <c r="T562" s="16"/>
    </row>
    <row r="563" spans="1:20">
      <c r="A563" s="952"/>
      <c r="B563" s="363" t="str">
        <f>"Foundation  Pressure=0.5x"&amp;D533&amp;"x"&amp;FIXED(G542,2)&amp;" ="</f>
        <v>Foundation  Pressure=0.5x1.2x2.60 =</v>
      </c>
      <c r="C563" s="958"/>
      <c r="D563" s="1102"/>
      <c r="E563" s="58"/>
      <c r="F563" s="107">
        <f>0.5*D533*G542</f>
        <v>1.557545420161297</v>
      </c>
      <c r="G563" s="441">
        <f>2*D533/3</f>
        <v>0.79999999999999993</v>
      </c>
      <c r="H563" s="1266"/>
      <c r="I563" s="103">
        <f>F563*G563</f>
        <v>1.2460363361290376</v>
      </c>
      <c r="J563" s="107"/>
      <c r="K563" s="286"/>
      <c r="L563" s="46"/>
      <c r="M563" s="46"/>
      <c r="N563" s="33"/>
      <c r="P563" s="268"/>
    </row>
    <row r="564" spans="1:20">
      <c r="A564" s="952"/>
      <c r="B564" s="363" t="str">
        <f>"Uplift="&amp;FIXED(H547,2)&amp;"x"&amp;D533&amp;" ="</f>
        <v>Uplift=42.18x1.2 =</v>
      </c>
      <c r="C564" s="75"/>
      <c r="D564" s="1102"/>
      <c r="E564" s="58"/>
      <c r="F564" s="107">
        <f>H547*D533</f>
        <v>50.619600000000005</v>
      </c>
      <c r="G564" s="441">
        <f>D533/2</f>
        <v>0.6</v>
      </c>
      <c r="H564" s="1287"/>
      <c r="I564" s="103">
        <f t="shared" si="6"/>
        <v>30.371760000000002</v>
      </c>
      <c r="J564" s="107"/>
      <c r="K564" s="286"/>
      <c r="L564" s="46"/>
      <c r="M564" s="46"/>
      <c r="N564" s="33"/>
    </row>
    <row r="565" spans="1:20">
      <c r="A565" s="952"/>
      <c r="B565" s="363" t="str">
        <f>"Uplift=0.5x("&amp;FIXED(E550,2)&amp;"-"&amp;FIXED(H547,2)&amp;")x"&amp;D533&amp;" ="</f>
        <v>Uplift=0.5x(42.18-42.18)x1.2 =</v>
      </c>
      <c r="C565" s="16"/>
      <c r="D565" s="418"/>
      <c r="E565" s="58"/>
      <c r="F565" s="107">
        <f>0.5*(E550-H547)*D533</f>
        <v>0</v>
      </c>
      <c r="G565" s="138">
        <f>D533/3</f>
        <v>0.39999999999999997</v>
      </c>
      <c r="H565" s="121"/>
      <c r="I565" s="138">
        <f t="shared" si="6"/>
        <v>0</v>
      </c>
      <c r="J565" s="107"/>
      <c r="K565" s="286"/>
      <c r="L565" s="46"/>
      <c r="M565" s="46"/>
      <c r="N565" s="33"/>
    </row>
    <row r="566" spans="1:20" ht="15.75">
      <c r="A566" s="148"/>
      <c r="B566" s="1101"/>
      <c r="C566" s="102"/>
      <c r="D566" s="102"/>
      <c r="E566" s="1096" t="s">
        <v>1239</v>
      </c>
      <c r="F566" s="1147">
        <f>SUM(F557:F561)-SUM(F562:F565)</f>
        <v>-27.836217584021213</v>
      </c>
      <c r="G566" s="1275"/>
      <c r="H566" s="1276" t="s">
        <v>1321</v>
      </c>
      <c r="I566" s="1144">
        <f>SUM(I562:I565)-SUM(I557:I561)</f>
        <v>16.48223963444498</v>
      </c>
      <c r="J566" s="1349"/>
      <c r="K566" s="286"/>
      <c r="L566" s="46"/>
      <c r="M566" s="46"/>
      <c r="N566" s="10"/>
      <c r="O566" s="10"/>
    </row>
    <row r="567" spans="1:20">
      <c r="C567" s="187"/>
      <c r="I567" s="39" t="str">
        <f>IF(I566&gt;0,"Bottom tension","Top tension")</f>
        <v>Bottom tension</v>
      </c>
      <c r="J567" s="39"/>
      <c r="K567" s="286"/>
      <c r="L567" s="46"/>
      <c r="M567" s="46"/>
    </row>
    <row r="568" spans="1:20">
      <c r="K568" s="286"/>
      <c r="L568" s="46"/>
      <c r="M568" s="46"/>
    </row>
    <row r="569" spans="1:20" ht="15">
      <c r="A569" s="29" t="s">
        <v>1326</v>
      </c>
      <c r="C569" s="33"/>
      <c r="K569" s="286"/>
      <c r="L569" s="46"/>
      <c r="M569" s="46"/>
      <c r="N569" s="2"/>
      <c r="P569" s="10"/>
    </row>
    <row r="570" spans="1:20">
      <c r="K570" s="286"/>
      <c r="L570" s="46"/>
      <c r="M570" s="46"/>
    </row>
    <row r="571" spans="1:20">
      <c r="A571" s="3085" t="s">
        <v>1319</v>
      </c>
      <c r="B571" s="948"/>
      <c r="C571" s="252" t="s">
        <v>1183</v>
      </c>
      <c r="D571" s="406"/>
      <c r="E571" s="56"/>
      <c r="F571" s="347" t="s">
        <v>880</v>
      </c>
      <c r="G571" s="355" t="s">
        <v>1184</v>
      </c>
      <c r="H571" s="406"/>
      <c r="I571" s="355" t="s">
        <v>1185</v>
      </c>
      <c r="J571" s="1343"/>
      <c r="K571" s="286"/>
      <c r="L571" s="46"/>
      <c r="M571" s="46"/>
      <c r="O571" s="221"/>
      <c r="P571" s="223"/>
    </row>
    <row r="572" spans="1:20">
      <c r="A572" s="3086"/>
      <c r="B572" s="954"/>
      <c r="C572" s="75"/>
      <c r="D572" s="16"/>
      <c r="E572" s="58"/>
      <c r="F572" s="958" t="s">
        <v>725</v>
      </c>
      <c r="G572" s="354" t="s">
        <v>5</v>
      </c>
      <c r="H572" s="204"/>
      <c r="I572" s="365" t="s">
        <v>1232</v>
      </c>
      <c r="J572" s="1343"/>
      <c r="K572" s="286"/>
      <c r="L572" s="46"/>
      <c r="M572" s="288"/>
      <c r="O572" s="10"/>
      <c r="P572" s="10"/>
    </row>
    <row r="573" spans="1:20">
      <c r="A573" s="423"/>
      <c r="B573" s="545" t="str">
        <f>"Concrete : C3 ="&amp;C532&amp;"x"&amp;E536&amp;"x"&amp;D263&amp;" ="</f>
        <v>Concrete : C3 =1.8x0.4x23.6 =</v>
      </c>
      <c r="C573" s="1280"/>
      <c r="D573" s="545"/>
      <c r="E573" s="56"/>
      <c r="F573" s="1036">
        <f>C532*E536*D263</f>
        <v>16.992000000000004</v>
      </c>
      <c r="G573" s="663">
        <f>C532/2</f>
        <v>0.9</v>
      </c>
      <c r="H573" s="1281"/>
      <c r="I573" s="379">
        <f t="shared" ref="I573:I580" si="7">F573*G573</f>
        <v>15.292800000000005</v>
      </c>
      <c r="J573" s="107"/>
      <c r="K573" s="286"/>
      <c r="L573" s="46"/>
      <c r="M573" s="288"/>
      <c r="N573" s="33"/>
      <c r="O573" s="10"/>
      <c r="P573" s="10"/>
      <c r="Q573" s="1"/>
      <c r="R573" s="1"/>
    </row>
    <row r="574" spans="1:20">
      <c r="A574" s="954"/>
      <c r="B574" s="363" t="str">
        <f>"Moist Soil : S1= "&amp;C532&amp;"x"&amp;A525&amp;"x"&amp;D265&amp;" ="</f>
        <v>Moist Soil : S1= 1.8x0x17.3 =</v>
      </c>
      <c r="C574" s="1102"/>
      <c r="D574" s="1102"/>
      <c r="E574" s="58"/>
      <c r="F574" s="155">
        <f>C532*A525*D265</f>
        <v>0</v>
      </c>
      <c r="G574" s="1271">
        <f>C532/2</f>
        <v>0.9</v>
      </c>
      <c r="H574" s="1266"/>
      <c r="I574" s="103">
        <f t="shared" si="7"/>
        <v>0</v>
      </c>
      <c r="J574" s="107"/>
      <c r="K574" s="286"/>
      <c r="L574" s="46"/>
      <c r="M574" s="46"/>
      <c r="N574" s="33"/>
      <c r="O574" s="2"/>
      <c r="P574" s="2"/>
      <c r="Q574" s="2"/>
      <c r="R574" s="2"/>
    </row>
    <row r="575" spans="1:20">
      <c r="A575" s="949"/>
      <c r="B575" s="363" t="str">
        <f>"Saturated Soil : S3 ="&amp;C532&amp;"x"&amp;B529&amp;"x"&amp;D266&amp;" ="</f>
        <v>Saturated Soil : S3 =1.8x3.9x18.9 =</v>
      </c>
      <c r="C575" s="1102"/>
      <c r="D575" s="1102"/>
      <c r="E575" s="58"/>
      <c r="F575" s="155">
        <f>C532*B529*D266</f>
        <v>132.678</v>
      </c>
      <c r="G575" s="441">
        <f>C532/2</f>
        <v>0.9</v>
      </c>
      <c r="H575" s="1266"/>
      <c r="I575" s="103">
        <f t="shared" si="7"/>
        <v>119.4102</v>
      </c>
      <c r="J575" s="107"/>
      <c r="K575" s="286"/>
      <c r="L575" s="46"/>
      <c r="M575" s="46"/>
      <c r="N575" s="33"/>
      <c r="O575" s="2"/>
      <c r="P575" s="2"/>
      <c r="Q575" s="2"/>
      <c r="R575" s="2"/>
    </row>
    <row r="576" spans="1:20">
      <c r="A576" s="950"/>
      <c r="B576" s="364" t="str">
        <f>"Sursharge : S5 = "&amp;F272&amp;"x"&amp;C333&amp;" ="</f>
        <v>Sursharge : S5 = 0x1.8 =</v>
      </c>
      <c r="C576" s="1286"/>
      <c r="D576" s="364"/>
      <c r="E576" s="60"/>
      <c r="F576" s="170">
        <f>F272*C333</f>
        <v>0</v>
      </c>
      <c r="G576" s="658">
        <f>$C$333/2</f>
        <v>0.9</v>
      </c>
      <c r="H576" s="1267"/>
      <c r="I576" s="138">
        <f t="shared" si="7"/>
        <v>0</v>
      </c>
      <c r="J576" s="107"/>
      <c r="K576" s="286"/>
      <c r="L576" s="46"/>
      <c r="M576" s="46"/>
      <c r="N576" s="33"/>
      <c r="P576" s="2"/>
      <c r="R576" s="10"/>
    </row>
    <row r="577" spans="1:19">
      <c r="A577" s="952"/>
      <c r="B577" s="363" t="str">
        <f>"Foundation  Pressure = "&amp;C532&amp;"x"&amp;FIXED(A540,2)&amp;" ="</f>
        <v>Foundation  Pressure = 1.8x28.85 =</v>
      </c>
      <c r="C577" s="1102"/>
      <c r="D577" s="363"/>
      <c r="E577" s="58"/>
      <c r="F577" s="107">
        <f>C532*A540</f>
        <v>51.931308434902732</v>
      </c>
      <c r="G577" s="441">
        <f>C532/2</f>
        <v>0.9</v>
      </c>
      <c r="H577" s="1266"/>
      <c r="I577" s="103">
        <f>F577*G577</f>
        <v>46.738177591412459</v>
      </c>
      <c r="J577" s="107"/>
      <c r="K577" s="286"/>
      <c r="L577" s="46"/>
      <c r="M577" s="46"/>
      <c r="N577" s="33"/>
      <c r="O577" s="14"/>
      <c r="P577" s="14"/>
      <c r="Q577" s="27"/>
      <c r="R577" s="10"/>
    </row>
    <row r="578" spans="1:19">
      <c r="A578" s="952"/>
      <c r="B578" s="363" t="str">
        <f>"Found  Pressure=0.5x"&amp;C532&amp;"("&amp;FIXED(B543,2)&amp;"-"&amp;FIXED(A540,2)&amp;")="</f>
        <v>Found  Pressure=0.5x1.8(32.74-28.85)=</v>
      </c>
      <c r="C578" s="1102"/>
      <c r="D578" s="1102"/>
      <c r="E578" s="58"/>
      <c r="F578" s="107">
        <f>0.5*C532*(B543-A540)</f>
        <v>3.5044771953629184</v>
      </c>
      <c r="G578" s="441">
        <f>C532/3</f>
        <v>0.6</v>
      </c>
      <c r="H578" s="1266"/>
      <c r="I578" s="103">
        <f>F578*G578</f>
        <v>2.102686317217751</v>
      </c>
      <c r="J578" s="107"/>
      <c r="K578" s="286"/>
      <c r="L578" s="46"/>
      <c r="M578" s="46"/>
      <c r="N578" s="33"/>
      <c r="Q578" s="27"/>
      <c r="R578" s="10"/>
      <c r="S578" s="23"/>
    </row>
    <row r="579" spans="1:19">
      <c r="A579" s="952"/>
      <c r="B579" s="363" t="str">
        <f>"Uplift = "&amp;FIXED(E551,2)&amp;"x"&amp;C532&amp;" ="</f>
        <v>Uplift = 42.18x1.8 =</v>
      </c>
      <c r="C579" s="1048"/>
      <c r="D579" s="1102"/>
      <c r="E579" s="58"/>
      <c r="F579" s="107">
        <f>E551*C532</f>
        <v>75.929400000000015</v>
      </c>
      <c r="G579" s="103">
        <f>C532/2</f>
        <v>0.9</v>
      </c>
      <c r="H579" s="1287"/>
      <c r="I579" s="103">
        <f t="shared" si="7"/>
        <v>68.336460000000017</v>
      </c>
      <c r="J579" s="107"/>
      <c r="K579" s="286"/>
      <c r="L579" s="46"/>
      <c r="M579" s="46"/>
      <c r="N579" s="33"/>
      <c r="Q579" s="27"/>
      <c r="R579" s="10"/>
    </row>
    <row r="580" spans="1:19">
      <c r="A580" s="952"/>
      <c r="B580" s="363" t="str">
        <f>"Uplift=0.5x("&amp;FIXED(A549,2)&amp;"-"&amp;FIXED(E551,2)&amp;")x"&amp;C532&amp;" ="</f>
        <v>Uplift=0.5x(42.18-42.18)x1.8 =</v>
      </c>
      <c r="C580" s="1048"/>
      <c r="D580" s="421"/>
      <c r="E580" s="58"/>
      <c r="F580" s="107">
        <f>0.5*(A549-E551)*C532</f>
        <v>0</v>
      </c>
      <c r="G580" s="138">
        <f>2*C532/3</f>
        <v>1.2</v>
      </c>
      <c r="H580" s="121"/>
      <c r="I580" s="138">
        <f t="shared" si="7"/>
        <v>0</v>
      </c>
      <c r="J580" s="107"/>
      <c r="K580" s="286"/>
      <c r="L580" s="46"/>
      <c r="M580" s="46"/>
      <c r="N580" s="33"/>
      <c r="P580" s="2"/>
      <c r="Q580" s="10"/>
      <c r="R580" s="36"/>
    </row>
    <row r="581" spans="1:19" ht="15.75">
      <c r="A581" s="148"/>
      <c r="B581" s="1101"/>
      <c r="C581" s="102"/>
      <c r="D581" s="102"/>
      <c r="E581" s="1096" t="s">
        <v>1239</v>
      </c>
      <c r="F581" s="1147">
        <f>SUM(F573:F576)-SUM(F577:F580)</f>
        <v>18.304814369734345</v>
      </c>
      <c r="G581" s="1275"/>
      <c r="H581" s="1276" t="s">
        <v>1321</v>
      </c>
      <c r="I581" s="1144">
        <f>SUM(I577:I580)-SUM(I573:I576)</f>
        <v>-17.525676091369775</v>
      </c>
      <c r="J581" s="1349"/>
      <c r="K581" s="286"/>
      <c r="L581" s="46"/>
      <c r="M581" s="46"/>
      <c r="N581" s="10"/>
      <c r="O581" s="10"/>
      <c r="P581" s="2"/>
      <c r="Q581" s="10"/>
      <c r="R581" s="36"/>
    </row>
    <row r="582" spans="1:19">
      <c r="C582" s="187"/>
      <c r="I582" s="39" t="str">
        <f>IF(I581&gt;0,"Bottom tension","Top tension")</f>
        <v>Top tension</v>
      </c>
      <c r="J582" s="39"/>
      <c r="K582" s="286"/>
      <c r="L582" s="46"/>
      <c r="M582" s="46"/>
    </row>
    <row r="583" spans="1:19">
      <c r="K583" s="286"/>
      <c r="L583" s="46"/>
      <c r="M583" s="46"/>
    </row>
    <row r="584" spans="1:19">
      <c r="A584" s="41" t="s">
        <v>1327</v>
      </c>
      <c r="I584" s="1300"/>
      <c r="J584" s="1300"/>
      <c r="K584" s="286"/>
      <c r="L584" s="1301"/>
      <c r="M584" s="224"/>
    </row>
    <row r="585" spans="1:19">
      <c r="E585" s="1300"/>
      <c r="K585" s="286"/>
      <c r="L585" s="46"/>
      <c r="M585" s="46"/>
    </row>
    <row r="586" spans="1:19">
      <c r="B586" s="1302" t="s">
        <v>1328</v>
      </c>
      <c r="C586" s="18">
        <f>D327*1000</f>
        <v>400</v>
      </c>
      <c r="E586" s="187" t="str">
        <f>"d provided ="&amp;C586&amp;"-("&amp;I282&amp;"+"&amp;MAX(D624,D621)&amp;"/2)="</f>
        <v>d provided =400-(60+16/2)=</v>
      </c>
      <c r="H586" s="18">
        <f>C586-(I282+MAX(D624,D621)/2)</f>
        <v>332</v>
      </c>
      <c r="K586" s="286"/>
      <c r="L586" s="46"/>
      <c r="M586" s="46"/>
    </row>
    <row r="587" spans="1:19">
      <c r="B587" s="958"/>
      <c r="E587" s="187" t="s">
        <v>2139</v>
      </c>
      <c r="H587" s="129">
        <f>H586-$I$284</f>
        <v>332</v>
      </c>
      <c r="I587" s="187" t="s">
        <v>98</v>
      </c>
      <c r="K587" s="286"/>
      <c r="L587" s="46"/>
      <c r="M587" s="46"/>
    </row>
    <row r="588" spans="1:19">
      <c r="A588" s="374" t="s">
        <v>673</v>
      </c>
      <c r="B588" s="3260" t="s">
        <v>1296</v>
      </c>
      <c r="C588" s="1197" t="s">
        <v>1297</v>
      </c>
      <c r="D588" s="3260" t="s">
        <v>1185</v>
      </c>
      <c r="E588" s="1303" t="s">
        <v>1297</v>
      </c>
      <c r="F588" s="3259" t="s">
        <v>676</v>
      </c>
      <c r="G588" s="1178" t="s">
        <v>1301</v>
      </c>
      <c r="H588" s="1209" t="s">
        <v>1301</v>
      </c>
      <c r="K588" s="286"/>
      <c r="L588" s="46"/>
      <c r="M588" s="46"/>
    </row>
    <row r="589" spans="1:19" ht="25.5">
      <c r="A589" s="949"/>
      <c r="B589" s="3260"/>
      <c r="C589" s="1200" t="s">
        <v>1298</v>
      </c>
      <c r="D589" s="3260"/>
      <c r="E589" s="1304" t="s">
        <v>1299</v>
      </c>
      <c r="F589" s="3259"/>
      <c r="G589" s="1305" t="s">
        <v>1329</v>
      </c>
      <c r="H589" s="1306" t="s">
        <v>1330</v>
      </c>
      <c r="K589" s="286"/>
      <c r="L589" s="46"/>
      <c r="M589" s="46"/>
    </row>
    <row r="590" spans="1:19" ht="15.75">
      <c r="A590" s="172"/>
      <c r="B590" s="1307" t="s">
        <v>21</v>
      </c>
      <c r="C590" s="256" t="s">
        <v>98</v>
      </c>
      <c r="D590" s="94" t="s">
        <v>107</v>
      </c>
      <c r="E590" s="946" t="s">
        <v>98</v>
      </c>
      <c r="F590" s="945"/>
      <c r="G590" s="355" t="s">
        <v>491</v>
      </c>
      <c r="H590" s="516" t="s">
        <v>491</v>
      </c>
      <c r="K590" s="286"/>
      <c r="L590" s="46"/>
      <c r="M590" s="46"/>
      <c r="N590" s="10"/>
      <c r="O590" s="10"/>
      <c r="P590" s="10"/>
      <c r="Q590" s="10"/>
      <c r="R590" s="10"/>
      <c r="S590" s="10"/>
    </row>
    <row r="591" spans="1:19">
      <c r="A591" s="348" t="s">
        <v>1331</v>
      </c>
      <c r="B591" s="103">
        <f>F447</f>
        <v>-56.021453498723645</v>
      </c>
      <c r="C591" s="107">
        <f>ABS(B591)*1000/($C$287*1000)</f>
        <v>131.25070348582858</v>
      </c>
      <c r="D591" s="103">
        <f>I447</f>
        <v>33.227371839201894</v>
      </c>
      <c r="E591" s="107">
        <f>(ABS(D591)*10^6/($C$286*1000))^0.5</f>
        <v>152.42470750512837</v>
      </c>
      <c r="F591" s="367" t="str">
        <f>IF((C591&lt;=$H$586)*AND(E591&lt;=$H$586),"O.K","Not O.K")</f>
        <v>O.K</v>
      </c>
      <c r="G591" s="379">
        <f>IF(D591&lt;0,ABS(D591)*10^6/($C$281*$C$285*$H$586),0)</f>
        <v>0</v>
      </c>
      <c r="H591" s="1036">
        <f>IF(D591&gt;0,D591*10^6/($C$281*$C$285*$H$587),0)</f>
        <v>602.22990861042911</v>
      </c>
      <c r="K591" s="286"/>
      <c r="L591" s="46"/>
      <c r="M591" s="46"/>
      <c r="N591" s="10"/>
      <c r="O591" s="10"/>
      <c r="P591" s="10"/>
      <c r="Q591" s="10"/>
      <c r="R591" s="10"/>
      <c r="S591" s="10"/>
    </row>
    <row r="592" spans="1:19">
      <c r="A592" s="558" t="s">
        <v>1332</v>
      </c>
      <c r="B592" s="103">
        <f>F502</f>
        <v>-53.859114242615163</v>
      </c>
      <c r="C592" s="107">
        <f>ABS(B592)*1000/($C$287*1000)</f>
        <v>126.18463449235399</v>
      </c>
      <c r="D592" s="103">
        <f>I502</f>
        <v>32.026858719119019</v>
      </c>
      <c r="E592" s="107">
        <f>(ABS(D592)*10^6/($C$286*1000))^0.5</f>
        <v>149.64580488987238</v>
      </c>
      <c r="F592" s="367" t="str">
        <f>IF((C592&lt;=$H$586)*AND(E592&lt;=$H$586),"O.K","Not O.K")</f>
        <v>O.K</v>
      </c>
      <c r="G592" s="103">
        <f>IF(D592&lt;0,ABS(D592)*10^6/($C$281*$C$285*$H$586),0)</f>
        <v>0</v>
      </c>
      <c r="H592" s="155">
        <f>IF(D592&gt;0,D592*10^6/($C$281*$C$285*$H$587),0)</f>
        <v>580.47119383479503</v>
      </c>
      <c r="K592" s="286"/>
      <c r="L592" s="46"/>
      <c r="M592" s="46"/>
      <c r="N592" s="10"/>
      <c r="O592" s="10"/>
      <c r="P592" s="10"/>
      <c r="Q592" s="10"/>
      <c r="R592" s="10"/>
      <c r="S592" s="10"/>
    </row>
    <row r="593" spans="1:19">
      <c r="A593" s="573" t="s">
        <v>1333</v>
      </c>
      <c r="B593" s="138">
        <f>F566</f>
        <v>-27.836217584021213</v>
      </c>
      <c r="C593" s="121">
        <f>ABS(B593)*1000/($C$287*1000)</f>
        <v>65.216500324658938</v>
      </c>
      <c r="D593" s="138">
        <f>I566</f>
        <v>16.48223963444498</v>
      </c>
      <c r="E593" s="121">
        <f>(ABS(D593)*10^6/($C$286*1000))^0.5</f>
        <v>107.35332163263232</v>
      </c>
      <c r="F593" s="156" t="str">
        <f>IF((C593&lt;=$H$586)*AND(E593&lt;=$H$586),"O.K","Not O.K")</f>
        <v>O.K</v>
      </c>
      <c r="G593" s="103">
        <f>IF(D593&lt;0,ABS(D593)*10^6/($C$281*$C$285*$H$586),0)</f>
        <v>0</v>
      </c>
      <c r="H593" s="155">
        <f>IF(D593&gt;0,D593*10^6/($C$281*$C$285*$H$587),0)</f>
        <v>298.73255449701594</v>
      </c>
      <c r="K593" s="286"/>
      <c r="L593" s="46"/>
      <c r="M593" s="46"/>
      <c r="N593" s="10"/>
      <c r="O593" s="10"/>
      <c r="P593" s="10"/>
      <c r="Q593" s="10"/>
      <c r="R593" s="10"/>
      <c r="S593" s="10"/>
    </row>
    <row r="594" spans="1:19">
      <c r="B594" s="94" t="s">
        <v>1334</v>
      </c>
      <c r="C594" s="457">
        <f>MAX(C591:C593)</f>
        <v>131.25070348582858</v>
      </c>
      <c r="D594" s="102"/>
      <c r="E594" s="457">
        <f>MAX(E591:E593)</f>
        <v>152.42470750512837</v>
      </c>
      <c r="F594" s="93"/>
      <c r="G594" s="457">
        <f>MAX(G591:G593)</f>
        <v>0</v>
      </c>
      <c r="H594" s="1043">
        <f>MAX(H591:H593)</f>
        <v>602.22990861042911</v>
      </c>
      <c r="K594" s="286"/>
      <c r="L594" s="46"/>
      <c r="M594" s="46"/>
      <c r="N594" s="10"/>
      <c r="O594" s="10"/>
      <c r="P594" s="10"/>
      <c r="Q594" s="10"/>
      <c r="R594" s="10"/>
      <c r="S594" s="10"/>
    </row>
    <row r="595" spans="1:19">
      <c r="K595" s="286"/>
      <c r="L595" s="46"/>
      <c r="M595" s="46"/>
    </row>
    <row r="596" spans="1:19">
      <c r="A596" s="41" t="s">
        <v>1335</v>
      </c>
      <c r="K596" s="286"/>
      <c r="L596" s="46"/>
      <c r="M596" s="46"/>
      <c r="N596" s="10"/>
    </row>
    <row r="597" spans="1:19">
      <c r="E597" s="1300"/>
      <c r="K597" s="286"/>
      <c r="L597" s="46"/>
      <c r="M597" s="46"/>
      <c r="N597" s="10"/>
    </row>
    <row r="598" spans="1:19">
      <c r="B598" s="1302" t="s">
        <v>1328</v>
      </c>
      <c r="C598" s="228">
        <f>D327*1000</f>
        <v>400</v>
      </c>
      <c r="E598" s="187" t="str">
        <f>"d provided ="&amp;C598&amp;"-("&amp;I282&amp;"+"&amp;MAX(D624,D621)&amp;"/2)="</f>
        <v>d provided =400-(60+16/2)=</v>
      </c>
      <c r="H598" s="228">
        <f>C598-(I282+MAX(D621,D624)/2)</f>
        <v>332</v>
      </c>
      <c r="K598" s="286"/>
      <c r="L598" s="46"/>
      <c r="M598" s="46"/>
      <c r="N598" s="10"/>
    </row>
    <row r="599" spans="1:19">
      <c r="B599" s="958"/>
      <c r="E599" s="187" t="s">
        <v>2139</v>
      </c>
      <c r="H599" s="129">
        <f>H598-$I$284</f>
        <v>332</v>
      </c>
      <c r="I599" s="187" t="s">
        <v>98</v>
      </c>
      <c r="K599" s="286"/>
      <c r="L599" s="46"/>
      <c r="M599" s="46"/>
      <c r="N599" s="10"/>
    </row>
    <row r="600" spans="1:19">
      <c r="A600" s="374" t="s">
        <v>673</v>
      </c>
      <c r="B600" s="3260" t="s">
        <v>1296</v>
      </c>
      <c r="C600" s="1197" t="s">
        <v>1297</v>
      </c>
      <c r="D600" s="3260" t="s">
        <v>1185</v>
      </c>
      <c r="E600" s="1303" t="s">
        <v>1297</v>
      </c>
      <c r="F600" s="1196" t="s">
        <v>676</v>
      </c>
      <c r="G600" s="1178" t="s">
        <v>1301</v>
      </c>
      <c r="H600" s="1209" t="s">
        <v>1301</v>
      </c>
      <c r="K600" s="286"/>
      <c r="L600" s="46"/>
      <c r="M600" s="46"/>
      <c r="N600" s="10"/>
    </row>
    <row r="601" spans="1:19" ht="25.5">
      <c r="A601" s="949"/>
      <c r="B601" s="3261"/>
      <c r="C601" s="951" t="s">
        <v>1298</v>
      </c>
      <c r="D601" s="3261"/>
      <c r="E601" s="948" t="s">
        <v>1299</v>
      </c>
      <c r="F601" s="1308"/>
      <c r="G601" s="1223" t="s">
        <v>1329</v>
      </c>
      <c r="H601" s="1306" t="s">
        <v>1330</v>
      </c>
      <c r="K601" s="286"/>
      <c r="L601" s="46"/>
      <c r="M601" s="46"/>
    </row>
    <row r="602" spans="1:19" ht="15.75">
      <c r="A602" s="101"/>
      <c r="B602" s="1307" t="s">
        <v>21</v>
      </c>
      <c r="C602" s="256" t="s">
        <v>98</v>
      </c>
      <c r="D602" s="94" t="s">
        <v>107</v>
      </c>
      <c r="E602" s="946" t="s">
        <v>98</v>
      </c>
      <c r="F602" s="1309"/>
      <c r="G602" s="256" t="s">
        <v>491</v>
      </c>
      <c r="H602" s="947" t="s">
        <v>491</v>
      </c>
      <c r="K602" s="286"/>
      <c r="L602" s="46"/>
      <c r="M602" s="46"/>
      <c r="N602" s="2"/>
      <c r="O602" s="2"/>
    </row>
    <row r="603" spans="1:19">
      <c r="A603" s="348" t="s">
        <v>1336</v>
      </c>
      <c r="B603" s="103">
        <f>F458</f>
        <v>40.950438576147704</v>
      </c>
      <c r="C603" s="107">
        <f>ABS(B603)*1000/($C$287*1000)</f>
        <v>95.941349884737519</v>
      </c>
      <c r="D603" s="103">
        <f>I458</f>
        <v>-37.346456340923936</v>
      </c>
      <c r="E603" s="107">
        <f>(ABS(D603)*10^6/($C$286*1000))^0.5</f>
        <v>161.59654618293746</v>
      </c>
      <c r="F603" s="123" t="str">
        <f>IF((C603&lt;=$H$598)*AND(E603&lt;=$H$598),"O.K","Not O.K")</f>
        <v>O.K</v>
      </c>
      <c r="G603" s="103">
        <f>IF(D603&lt;0,ABS(D603)*10^6/($C$281*$C$285*$H$598),0)</f>
        <v>676.88630620441597</v>
      </c>
      <c r="H603" s="155">
        <f>IF(D603&gt;0,D603*10^6/($C$281*$C$285*$H$599),0)</f>
        <v>0</v>
      </c>
      <c r="K603" s="286"/>
      <c r="L603" s="46"/>
      <c r="M603" s="46"/>
      <c r="N603" s="10"/>
      <c r="O603" s="10"/>
      <c r="P603" s="10"/>
      <c r="Q603" s="10"/>
      <c r="R603" s="10"/>
      <c r="S603" s="10"/>
    </row>
    <row r="604" spans="1:19">
      <c r="A604" s="558" t="s">
        <v>1337</v>
      </c>
      <c r="B604" s="103">
        <f>F518</f>
        <v>38.143489062724029</v>
      </c>
      <c r="C604" s="107">
        <f>ABS(B604)*1000/($C$287*1000)</f>
        <v>89.365046071155547</v>
      </c>
      <c r="D604" s="103">
        <f>I518</f>
        <v>-35.147206992182646</v>
      </c>
      <c r="E604" s="107">
        <f>(ABS(D604)*10^6/($C$286*1000))^0.5</f>
        <v>156.76632737023121</v>
      </c>
      <c r="F604" s="123" t="str">
        <f>IF((C604&lt;=$H$598)*AND(E604&lt;=$H$598),"O.K","Not O.K")</f>
        <v>O.K</v>
      </c>
      <c r="G604" s="103">
        <f>IF(D604&lt;0,ABS(D604)*10^6/($C$281*$C$285*$H$598),0)</f>
        <v>637.02598439763949</v>
      </c>
      <c r="H604" s="155">
        <f>IF(D604&gt;0,D604*10^6/($C$281*$C$285*$H$599),0)</f>
        <v>0</v>
      </c>
      <c r="K604" s="286"/>
      <c r="L604" s="46"/>
      <c r="M604" s="46"/>
      <c r="N604" s="10"/>
      <c r="O604" s="10"/>
      <c r="P604" s="10"/>
      <c r="Q604" s="10"/>
      <c r="R604" s="10"/>
      <c r="S604" s="10"/>
    </row>
    <row r="605" spans="1:19">
      <c r="A605" s="573" t="s">
        <v>1338</v>
      </c>
      <c r="B605" s="138">
        <f>F581</f>
        <v>18.304814369734345</v>
      </c>
      <c r="C605" s="121">
        <f>ABS(B605)*1000/($C$287*1000)</f>
        <v>42.88570919103114</v>
      </c>
      <c r="D605" s="138">
        <f>I581</f>
        <v>-17.525676091369775</v>
      </c>
      <c r="E605" s="121">
        <f>(ABS(D605)*10^6/($C$286*1000))^0.5</f>
        <v>110.69927203310488</v>
      </c>
      <c r="F605" s="104" t="str">
        <f>IF((C605&lt;=$H$598)*AND(E605&lt;=$H$598),"O.K","Not O.K")</f>
        <v>O.K</v>
      </c>
      <c r="G605" s="103">
        <f>IF(D605&lt;0,ABS(D605)*10^6/($C$281*$C$285*$H$598),0)</f>
        <v>317.64433136385895</v>
      </c>
      <c r="H605" s="155">
        <f>IF(D605&gt;0,D605*10^6/($C$281*$C$285*$H$599),0)</f>
        <v>0</v>
      </c>
      <c r="K605" s="286"/>
      <c r="L605" s="46"/>
      <c r="M605" s="46"/>
      <c r="N605" s="10"/>
      <c r="O605" s="10"/>
      <c r="P605" s="10"/>
      <c r="Q605" s="10"/>
      <c r="R605" s="10"/>
      <c r="S605" s="10"/>
    </row>
    <row r="606" spans="1:19">
      <c r="B606" s="945" t="s">
        <v>1334</v>
      </c>
      <c r="C606" s="457">
        <f>MAX(C603:C605)</f>
        <v>95.941349884737519</v>
      </c>
      <c r="D606" s="102"/>
      <c r="E606" s="457">
        <f>MAX(E603:E605)</f>
        <v>161.59654618293746</v>
      </c>
      <c r="F606" s="156" t="s">
        <v>1334</v>
      </c>
      <c r="G606" s="457">
        <f>MAX(G603:G605)</f>
        <v>676.88630620441597</v>
      </c>
      <c r="H606" s="1043">
        <f>MAX(H603:H605)</f>
        <v>0</v>
      </c>
      <c r="K606" s="286"/>
      <c r="L606" s="46"/>
      <c r="M606" s="46"/>
      <c r="N606" s="10"/>
      <c r="O606" s="10"/>
      <c r="P606" s="10"/>
      <c r="Q606" s="10"/>
      <c r="R606" s="10"/>
      <c r="S606" s="10"/>
    </row>
    <row r="607" spans="1:19">
      <c r="K607" s="286"/>
      <c r="L607" s="46"/>
      <c r="M607" s="46"/>
      <c r="N607" s="10"/>
      <c r="O607" s="10"/>
      <c r="P607" s="10"/>
      <c r="Q607" s="10"/>
      <c r="R607" s="10"/>
      <c r="S607" s="10"/>
    </row>
    <row r="608" spans="1:19">
      <c r="A608" s="255" t="s">
        <v>1339</v>
      </c>
      <c r="G608" s="107"/>
      <c r="H608" s="107"/>
      <c r="K608" s="286"/>
      <c r="L608" s="46"/>
      <c r="M608" s="46"/>
    </row>
    <row r="609" spans="1:20">
      <c r="K609" s="286"/>
      <c r="L609" s="46"/>
      <c r="M609" s="46"/>
    </row>
    <row r="610" spans="1:20">
      <c r="A610" s="3147" t="s">
        <v>486</v>
      </c>
      <c r="B610" s="3148" t="s">
        <v>487</v>
      </c>
      <c r="C610" s="3148" t="s">
        <v>488</v>
      </c>
      <c r="D610" s="3148" t="s">
        <v>489</v>
      </c>
      <c r="E610" s="3149" t="s">
        <v>490</v>
      </c>
      <c r="F610" s="3150"/>
      <c r="G610" s="3150"/>
      <c r="H610" s="3150"/>
      <c r="I610" s="3150"/>
      <c r="J610" s="496"/>
      <c r="K610" s="286"/>
      <c r="L610" s="330"/>
      <c r="M610" s="46"/>
      <c r="N610" s="187"/>
      <c r="S610" s="33"/>
      <c r="T610" s="187"/>
    </row>
    <row r="611" spans="1:20">
      <c r="A611" s="3147"/>
      <c r="B611" s="3148"/>
      <c r="C611" s="3148"/>
      <c r="D611" s="3148"/>
      <c r="E611" s="94">
        <v>12</v>
      </c>
      <c r="F611" s="94">
        <v>16</v>
      </c>
      <c r="G611" s="94">
        <v>20</v>
      </c>
      <c r="H611" s="94">
        <v>22</v>
      </c>
      <c r="I611" s="94">
        <v>25</v>
      </c>
      <c r="J611" s="275"/>
      <c r="K611" s="286"/>
      <c r="L611" s="275"/>
      <c r="M611" s="46"/>
      <c r="O611" s="187"/>
    </row>
    <row r="612" spans="1:20" ht="14.25">
      <c r="A612" s="172"/>
      <c r="B612" s="256" t="s">
        <v>491</v>
      </c>
      <c r="C612" s="256" t="s">
        <v>491</v>
      </c>
      <c r="D612" s="256" t="s">
        <v>491</v>
      </c>
      <c r="E612" s="943" t="s">
        <v>98</v>
      </c>
      <c r="F612" s="943" t="s">
        <v>98</v>
      </c>
      <c r="G612" s="943" t="s">
        <v>98</v>
      </c>
      <c r="H612" s="943" t="s">
        <v>98</v>
      </c>
      <c r="I612" s="943" t="s">
        <v>98</v>
      </c>
      <c r="J612" s="1345"/>
      <c r="K612" s="286"/>
      <c r="L612" s="759"/>
      <c r="M612" s="46"/>
    </row>
    <row r="613" spans="1:20">
      <c r="A613" s="258" t="s">
        <v>440</v>
      </c>
      <c r="B613" s="55"/>
      <c r="C613" s="55"/>
      <c r="D613" s="55"/>
      <c r="E613" s="55"/>
      <c r="F613" s="55"/>
      <c r="G613" s="55"/>
      <c r="H613" s="55"/>
      <c r="I613" s="56"/>
      <c r="J613" s="386"/>
      <c r="K613" s="286"/>
      <c r="L613" s="386"/>
      <c r="M613" s="46"/>
    </row>
    <row r="614" spans="1:20">
      <c r="A614" s="259" t="s">
        <v>441</v>
      </c>
      <c r="B614" s="318">
        <f>MAX(G594,G606)</f>
        <v>676.88630620441597</v>
      </c>
      <c r="C614" s="318">
        <f>IF($H$598&gt;380,C305*1000*380,C305*1000*$H$598)</f>
        <v>332</v>
      </c>
      <c r="D614" s="318">
        <f>MAX(B614:C614)</f>
        <v>676.88630620441597</v>
      </c>
      <c r="E614" s="261">
        <f t="shared" ref="E614:I615" si="8">PI()*(E$611/2)^2*1000/$D614</f>
        <v>167.08468540812493</v>
      </c>
      <c r="F614" s="261">
        <f t="shared" si="8"/>
        <v>297.03944072555538</v>
      </c>
      <c r="G614" s="261">
        <f t="shared" si="8"/>
        <v>464.12412613368036</v>
      </c>
      <c r="H614" s="261">
        <f t="shared" si="8"/>
        <v>561.5901926217532</v>
      </c>
      <c r="I614" s="283">
        <f t="shared" si="8"/>
        <v>725.19394708387551</v>
      </c>
      <c r="J614" s="328"/>
      <c r="K614" s="286"/>
      <c r="L614" s="327"/>
      <c r="M614" s="46"/>
      <c r="N614" s="33"/>
      <c r="O614" s="33"/>
      <c r="P614" s="33"/>
    </row>
    <row r="615" spans="1:20">
      <c r="A615" s="262" t="s">
        <v>442</v>
      </c>
      <c r="B615" s="319">
        <v>0</v>
      </c>
      <c r="C615" s="318">
        <f>IF($H$598&gt;380,C306*1000*380,C306*1000*$H$598)</f>
        <v>332</v>
      </c>
      <c r="D615" s="319">
        <f>MAX(B615:C615)</f>
        <v>332</v>
      </c>
      <c r="E615" s="261">
        <f t="shared" si="8"/>
        <v>340.6546250880499</v>
      </c>
      <c r="F615" s="261">
        <f t="shared" si="8"/>
        <v>605.60822237875527</v>
      </c>
      <c r="G615" s="261">
        <f t="shared" si="8"/>
        <v>946.26284746680528</v>
      </c>
      <c r="H615" s="261">
        <f t="shared" si="8"/>
        <v>1144.9780454348343</v>
      </c>
      <c r="I615" s="283">
        <f t="shared" si="8"/>
        <v>1478.5356991668832</v>
      </c>
      <c r="J615" s="328"/>
      <c r="K615" s="286"/>
      <c r="L615" s="327"/>
      <c r="M615" s="46"/>
      <c r="N615" s="33"/>
      <c r="O615" s="33"/>
      <c r="P615" s="33"/>
    </row>
    <row r="616" spans="1:20">
      <c r="A616" s="264" t="s">
        <v>443</v>
      </c>
      <c r="B616" s="322"/>
      <c r="C616" s="322"/>
      <c r="D616" s="322"/>
      <c r="E616" s="266"/>
      <c r="F616" s="266"/>
      <c r="G616" s="266"/>
      <c r="H616" s="266"/>
      <c r="I616" s="267"/>
      <c r="J616" s="330"/>
      <c r="K616" s="286"/>
      <c r="L616" s="330"/>
      <c r="M616" s="46"/>
      <c r="N616" s="33"/>
      <c r="O616" s="33"/>
      <c r="P616" s="33"/>
    </row>
    <row r="617" spans="1:20">
      <c r="A617" s="259" t="s">
        <v>441</v>
      </c>
      <c r="B617" s="318">
        <f>MAX(H594,H606)</f>
        <v>602.22990861042911</v>
      </c>
      <c r="C617" s="318">
        <f>IF($H$598&gt;380,G305*1000*380,G305*1000*$H$598)</f>
        <v>332</v>
      </c>
      <c r="D617" s="318">
        <f>MAX(B617:C617)</f>
        <v>602.22990861042911</v>
      </c>
      <c r="E617" s="261">
        <f t="shared" ref="E617:I618" si="9">PI()*(E$611/2)^2*1000/$D617</f>
        <v>187.79760671500134</v>
      </c>
      <c r="F617" s="261">
        <f t="shared" si="9"/>
        <v>333.86241193778011</v>
      </c>
      <c r="G617" s="261">
        <f t="shared" si="9"/>
        <v>521.66001865278156</v>
      </c>
      <c r="H617" s="261">
        <f t="shared" si="9"/>
        <v>631.20862256986561</v>
      </c>
      <c r="I617" s="283">
        <f t="shared" si="9"/>
        <v>815.09377914497099</v>
      </c>
      <c r="J617" s="328"/>
      <c r="K617" s="286"/>
      <c r="L617" s="327"/>
      <c r="M617" s="46"/>
      <c r="N617" s="33"/>
      <c r="O617" s="33"/>
      <c r="P617" s="33"/>
    </row>
    <row r="618" spans="1:20">
      <c r="A618" s="262" t="s">
        <v>442</v>
      </c>
      <c r="B618" s="319">
        <v>0</v>
      </c>
      <c r="C618" s="319">
        <f>IF($H$598&gt;380,G306*1000*380,G306*1000*$H$598)</f>
        <v>332</v>
      </c>
      <c r="D618" s="319">
        <f>MAX(B618:C618)</f>
        <v>332</v>
      </c>
      <c r="E618" s="284">
        <f t="shared" si="9"/>
        <v>340.6546250880499</v>
      </c>
      <c r="F618" s="284">
        <f t="shared" si="9"/>
        <v>605.60822237875527</v>
      </c>
      <c r="G618" s="284">
        <f t="shared" si="9"/>
        <v>946.26284746680528</v>
      </c>
      <c r="H618" s="284">
        <f t="shared" si="9"/>
        <v>1144.9780454348343</v>
      </c>
      <c r="I618" s="285">
        <f t="shared" si="9"/>
        <v>1478.5356991668832</v>
      </c>
      <c r="J618" s="328"/>
      <c r="K618" s="286"/>
      <c r="L618" s="327"/>
      <c r="M618" s="46"/>
      <c r="N618" s="33"/>
      <c r="O618" s="33"/>
      <c r="P618" s="33"/>
    </row>
    <row r="619" spans="1:20">
      <c r="J619" s="46"/>
      <c r="K619" s="286"/>
      <c r="L619" s="46"/>
      <c r="M619" s="46"/>
    </row>
    <row r="620" spans="1:20">
      <c r="B620" s="258" t="s">
        <v>440</v>
      </c>
      <c r="C620" s="55"/>
      <c r="D620" s="252"/>
      <c r="E620" s="55"/>
      <c r="F620" s="55"/>
      <c r="G620" s="56"/>
      <c r="J620" s="46"/>
      <c r="K620" s="286"/>
      <c r="L620" s="46"/>
      <c r="M620" s="46"/>
    </row>
    <row r="621" spans="1:20" ht="15.75">
      <c r="B621" s="259" t="s">
        <v>441</v>
      </c>
      <c r="C621" s="268" t="s">
        <v>136</v>
      </c>
      <c r="D621" s="269">
        <v>16</v>
      </c>
      <c r="E621" s="958" t="s">
        <v>481</v>
      </c>
      <c r="F621" s="271">
        <v>200</v>
      </c>
      <c r="G621" s="272" t="s">
        <v>482</v>
      </c>
      <c r="J621" s="46"/>
      <c r="K621" s="286"/>
      <c r="L621" s="46"/>
      <c r="M621" s="46"/>
    </row>
    <row r="622" spans="1:20" ht="15.75">
      <c r="B622" s="259" t="s">
        <v>442</v>
      </c>
      <c r="C622" s="268" t="s">
        <v>136</v>
      </c>
      <c r="D622" s="269">
        <v>16</v>
      </c>
      <c r="E622" s="958" t="s">
        <v>481</v>
      </c>
      <c r="F622" s="271">
        <v>200</v>
      </c>
      <c r="G622" s="272" t="s">
        <v>482</v>
      </c>
      <c r="J622" s="46"/>
      <c r="K622" s="286"/>
      <c r="L622" s="46"/>
      <c r="M622" s="46"/>
    </row>
    <row r="623" spans="1:20" ht="15">
      <c r="B623" s="321" t="s">
        <v>443</v>
      </c>
      <c r="C623" s="273"/>
      <c r="D623" s="274"/>
      <c r="E623" s="275"/>
      <c r="F623" s="276"/>
      <c r="G623" s="277"/>
      <c r="K623" s="286"/>
      <c r="L623" s="46"/>
      <c r="M623" s="46"/>
    </row>
    <row r="624" spans="1:20" ht="15.75">
      <c r="B624" s="259" t="s">
        <v>441</v>
      </c>
      <c r="C624" s="268" t="s">
        <v>136</v>
      </c>
      <c r="D624" s="269">
        <v>16</v>
      </c>
      <c r="E624" s="958" t="s">
        <v>481</v>
      </c>
      <c r="F624" s="271">
        <v>200</v>
      </c>
      <c r="G624" s="272" t="s">
        <v>482</v>
      </c>
      <c r="K624" s="286"/>
      <c r="L624" s="46"/>
      <c r="M624" s="46"/>
    </row>
    <row r="625" spans="1:13" ht="15.75">
      <c r="B625" s="262" t="s">
        <v>442</v>
      </c>
      <c r="C625" s="278" t="s">
        <v>136</v>
      </c>
      <c r="D625" s="279">
        <v>16</v>
      </c>
      <c r="E625" s="280" t="s">
        <v>481</v>
      </c>
      <c r="F625" s="281">
        <v>250</v>
      </c>
      <c r="G625" s="282" t="s">
        <v>482</v>
      </c>
      <c r="K625" s="286"/>
      <c r="L625" s="46"/>
      <c r="M625" s="46"/>
    </row>
    <row r="626" spans="1:13">
      <c r="K626" s="286"/>
      <c r="L626" s="46"/>
      <c r="M626" s="46"/>
    </row>
    <row r="627" spans="1:13">
      <c r="A627" s="286"/>
      <c r="B627" s="286"/>
      <c r="C627" s="286"/>
      <c r="D627" s="286"/>
      <c r="E627" s="286"/>
      <c r="F627" s="286"/>
      <c r="G627" s="286"/>
      <c r="H627" s="286"/>
      <c r="I627" s="286"/>
      <c r="J627" s="286"/>
      <c r="K627" s="286"/>
      <c r="L627" s="46"/>
      <c r="M627" s="46"/>
    </row>
  </sheetData>
  <sheetProtection selectLockedCells="1"/>
  <mergeCells count="33">
    <mergeCell ref="S372:S373"/>
    <mergeCell ref="A379:A380"/>
    <mergeCell ref="A53:A56"/>
    <mergeCell ref="I85:I87"/>
    <mergeCell ref="C358:H358"/>
    <mergeCell ref="C364:G364"/>
    <mergeCell ref="B372:B373"/>
    <mergeCell ref="Q318:Q319"/>
    <mergeCell ref="A439:A440"/>
    <mergeCell ref="N372:N373"/>
    <mergeCell ref="O372:O373"/>
    <mergeCell ref="P372:P373"/>
    <mergeCell ref="Q372:Q373"/>
    <mergeCell ref="A397:B399"/>
    <mergeCell ref="C397:D397"/>
    <mergeCell ref="E397:I397"/>
    <mergeCell ref="A400:A401"/>
    <mergeCell ref="A403:A404"/>
    <mergeCell ref="A451:A452"/>
    <mergeCell ref="A491:A492"/>
    <mergeCell ref="A507:A508"/>
    <mergeCell ref="A555:A556"/>
    <mergeCell ref="A571:A572"/>
    <mergeCell ref="D588:D589"/>
    <mergeCell ref="F588:F589"/>
    <mergeCell ref="B600:B601"/>
    <mergeCell ref="D600:D601"/>
    <mergeCell ref="A610:A611"/>
    <mergeCell ref="B610:B611"/>
    <mergeCell ref="C610:C611"/>
    <mergeCell ref="D610:D611"/>
    <mergeCell ref="E610:I610"/>
    <mergeCell ref="B588:B589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7"/>
  <dimension ref="A1:P531"/>
  <sheetViews>
    <sheetView topLeftCell="A31" zoomScaleSheetLayoutView="100" workbookViewId="0">
      <selection activeCell="M22" sqref="M22"/>
    </sheetView>
  </sheetViews>
  <sheetFormatPr defaultRowHeight="12.75"/>
  <cols>
    <col min="11" max="11" width="3.28515625" customWidth="1"/>
  </cols>
  <sheetData>
    <row r="1" spans="1:11" ht="15">
      <c r="A1" t="s">
        <v>1916</v>
      </c>
      <c r="C1" s="2276" t="str">
        <f>Hydraulic!C5</f>
        <v>Koijuri Regulator</v>
      </c>
      <c r="H1" s="144" t="str">
        <f>Hydraulic!B4</f>
        <v>Koitala Construction Division</v>
      </c>
      <c r="K1" s="159"/>
    </row>
    <row r="2" spans="1:11">
      <c r="C2" t="str">
        <f>"( "&amp;Hydraulic!C7&amp;" - "&amp;Hydraulic!C8&amp;" x "&amp;D&amp;" )"</f>
        <v>( 2 - 1.5 x 1.8 )</v>
      </c>
      <c r="K2" s="159"/>
    </row>
    <row r="3" spans="1:11">
      <c r="K3" s="159"/>
    </row>
    <row r="4" spans="1:11">
      <c r="K4" s="159"/>
    </row>
    <row r="5" spans="1:11">
      <c r="B5" s="33">
        <f>Hydraulic!B58</f>
        <v>18.899999999999999</v>
      </c>
      <c r="C5" t="s">
        <v>5</v>
      </c>
      <c r="E5" s="33">
        <f>Hydraulic!E58</f>
        <v>13.6</v>
      </c>
      <c r="F5" t="s">
        <v>5</v>
      </c>
      <c r="G5" s="33">
        <f>Hydraulic!G58</f>
        <v>18.899999999999999</v>
      </c>
      <c r="H5" t="s">
        <v>5</v>
      </c>
      <c r="K5" s="159"/>
    </row>
    <row r="6" spans="1:11">
      <c r="B6" s="33"/>
      <c r="E6" s="33"/>
      <c r="G6" s="33"/>
      <c r="K6" s="159"/>
    </row>
    <row r="7" spans="1:11">
      <c r="B7" s="33"/>
      <c r="E7" s="33"/>
      <c r="G7" s="33"/>
      <c r="K7" s="159"/>
    </row>
    <row r="8" spans="1:11">
      <c r="K8" s="159"/>
    </row>
    <row r="9" spans="1:11">
      <c r="A9" s="2255">
        <f>Hydraulic!A62</f>
        <v>8.4</v>
      </c>
      <c r="J9" s="36">
        <f>Hydraulic!J62</f>
        <v>8.4</v>
      </c>
      <c r="K9" s="159"/>
    </row>
    <row r="10" spans="1:11">
      <c r="A10" s="2"/>
      <c r="K10" s="159"/>
    </row>
    <row r="11" spans="1:11">
      <c r="A11" s="2"/>
      <c r="K11" s="159"/>
    </row>
    <row r="12" spans="1:11">
      <c r="A12" s="223">
        <f>Hydraulic!A65</f>
        <v>12</v>
      </c>
      <c r="C12" s="113" t="s">
        <v>22</v>
      </c>
      <c r="H12" s="187" t="s">
        <v>23</v>
      </c>
      <c r="K12" s="159"/>
    </row>
    <row r="13" spans="1:11">
      <c r="A13" s="2"/>
      <c r="J13" s="36">
        <f>Hydraulic!J66</f>
        <v>12</v>
      </c>
      <c r="K13" s="159"/>
    </row>
    <row r="14" spans="1:11">
      <c r="A14" s="2"/>
      <c r="J14" s="23"/>
      <c r="K14" s="159"/>
    </row>
    <row r="15" spans="1:11">
      <c r="A15" s="2"/>
      <c r="J15" s="23"/>
      <c r="K15" s="159"/>
    </row>
    <row r="16" spans="1:11">
      <c r="A16" s="2255">
        <f>Hydraulic!A69</f>
        <v>8.4</v>
      </c>
      <c r="J16" s="220">
        <f>Hydraulic!J69</f>
        <v>8.4</v>
      </c>
      <c r="K16" s="159"/>
    </row>
    <row r="17" spans="1:11">
      <c r="G17" s="36"/>
      <c r="K17" s="159"/>
    </row>
    <row r="18" spans="1:11">
      <c r="B18" s="36">
        <f>Hydraulic!B71</f>
        <v>1.2</v>
      </c>
      <c r="D18" s="54">
        <f>Hydraulic!D71</f>
        <v>2.7</v>
      </c>
      <c r="F18" s="54">
        <f>Hydraulic!F71</f>
        <v>2.7</v>
      </c>
      <c r="K18" s="159"/>
    </row>
    <row r="19" spans="1:11">
      <c r="G19" s="54">
        <f>Hydraulic!G72</f>
        <v>15</v>
      </c>
      <c r="I19" s="36">
        <f>Hydraulic!I72</f>
        <v>1.2</v>
      </c>
      <c r="K19" s="159"/>
    </row>
    <row r="20" spans="1:11">
      <c r="C20" s="2255">
        <f>Hydraulic!C73</f>
        <v>16.2</v>
      </c>
      <c r="K20" s="159"/>
    </row>
    <row r="21" spans="1:11">
      <c r="A21" s="46"/>
      <c r="B21" s="46"/>
      <c r="C21" s="46"/>
      <c r="D21" s="46"/>
      <c r="E21" s="46"/>
      <c r="F21" s="46"/>
      <c r="G21" s="44">
        <f>Hydraulic!G74</f>
        <v>16.2</v>
      </c>
      <c r="H21" s="665"/>
      <c r="I21" s="665"/>
      <c r="J21" s="665"/>
      <c r="K21" s="159"/>
    </row>
    <row r="22" spans="1:11">
      <c r="A22" s="109"/>
      <c r="B22" s="190"/>
      <c r="C22" s="190"/>
      <c r="D22" s="109"/>
      <c r="E22" s="189">
        <f>Hydraulic!E75</f>
        <v>15.4</v>
      </c>
      <c r="F22" s="109"/>
      <c r="G22" s="109"/>
      <c r="H22" s="109"/>
      <c r="I22" s="109"/>
      <c r="J22" s="187"/>
      <c r="K22" s="159"/>
    </row>
    <row r="23" spans="1:11">
      <c r="A23" s="188"/>
      <c r="B23" s="109"/>
      <c r="C23" s="189"/>
      <c r="D23" s="109"/>
      <c r="E23" s="109"/>
      <c r="F23" s="109"/>
      <c r="G23" s="109"/>
      <c r="H23" s="109"/>
      <c r="I23" s="109"/>
      <c r="J23" s="187"/>
      <c r="K23" s="159"/>
    </row>
    <row r="24" spans="1:11">
      <c r="A24" s="205"/>
      <c r="B24" s="109"/>
      <c r="C24" s="109"/>
      <c r="D24" s="109"/>
      <c r="E24" s="189">
        <f>DATA!E53</f>
        <v>9.4</v>
      </c>
      <c r="F24" s="109"/>
      <c r="G24" s="109"/>
      <c r="H24" s="109"/>
      <c r="I24" s="205"/>
      <c r="J24" s="187"/>
      <c r="K24" s="159"/>
    </row>
    <row r="25" spans="1:11">
      <c r="A25" s="109"/>
      <c r="B25" s="109"/>
      <c r="C25" s="288">
        <v>1</v>
      </c>
      <c r="D25" s="109"/>
      <c r="E25" s="109"/>
      <c r="F25" s="109"/>
      <c r="G25" s="197">
        <v>1</v>
      </c>
      <c r="H25" s="109"/>
      <c r="I25" s="109"/>
      <c r="J25" s="187"/>
      <c r="K25" s="159"/>
    </row>
    <row r="26" spans="1:11">
      <c r="A26" s="190">
        <f>Hydraulic!A79</f>
        <v>10</v>
      </c>
      <c r="B26" s="109"/>
      <c r="C26" s="296">
        <f>Hydraulic!C79</f>
        <v>3</v>
      </c>
      <c r="D26" s="109"/>
      <c r="E26" s="109"/>
      <c r="F26" s="109"/>
      <c r="G26" s="296">
        <f>Hydraulic!G79</f>
        <v>3</v>
      </c>
      <c r="H26" s="109"/>
      <c r="I26" s="190">
        <f>Hydraulic!I79</f>
        <v>10</v>
      </c>
      <c r="J26" s="187"/>
      <c r="K26" s="159"/>
    </row>
    <row r="27" spans="1:11">
      <c r="A27" s="109"/>
      <c r="B27" s="109"/>
      <c r="C27" s="109"/>
      <c r="D27" s="205">
        <f>D</f>
        <v>1.8</v>
      </c>
      <c r="E27" s="189"/>
      <c r="F27" s="109"/>
      <c r="G27" s="109"/>
      <c r="H27" s="190"/>
      <c r="I27" s="109"/>
      <c r="J27" s="187"/>
      <c r="K27" s="159"/>
    </row>
    <row r="28" spans="1:11">
      <c r="A28" s="109"/>
      <c r="B28" s="109"/>
      <c r="C28" s="109"/>
      <c r="D28" s="109"/>
      <c r="E28" s="190">
        <f>IL</f>
        <v>7</v>
      </c>
      <c r="F28" s="109"/>
      <c r="G28" s="109"/>
      <c r="H28" s="109"/>
      <c r="I28" s="109"/>
      <c r="J28" s="187"/>
      <c r="K28" s="159"/>
    </row>
    <row r="29" spans="1:11">
      <c r="A29" s="189">
        <f>Hydraulic!A82</f>
        <v>1.2</v>
      </c>
      <c r="B29" s="188">
        <f>Hydraulic!B82</f>
        <v>6.1</v>
      </c>
      <c r="C29" s="109" t="s">
        <v>46</v>
      </c>
      <c r="D29" s="109"/>
      <c r="E29" s="109"/>
      <c r="F29" s="109"/>
      <c r="G29" s="188">
        <f>Hydraulic!G82</f>
        <v>6.1</v>
      </c>
      <c r="H29" s="109" t="s">
        <v>46</v>
      </c>
      <c r="I29" s="188">
        <f>Hydraulic!I82</f>
        <v>1.2</v>
      </c>
      <c r="J29" s="187" t="s">
        <v>5</v>
      </c>
      <c r="K29" s="159"/>
    </row>
    <row r="30" spans="1:11">
      <c r="A30" s="201"/>
      <c r="B30" s="109"/>
      <c r="C30" s="109"/>
      <c r="D30" s="109"/>
      <c r="E30" s="109"/>
      <c r="F30" s="109"/>
      <c r="G30" s="109"/>
      <c r="H30" s="109"/>
      <c r="I30" s="109"/>
      <c r="J30" s="187"/>
      <c r="K30" s="159"/>
    </row>
    <row r="31" spans="1:11">
      <c r="A31" s="187"/>
      <c r="B31" s="206"/>
      <c r="C31" s="206"/>
      <c r="D31" s="206"/>
      <c r="E31" s="206">
        <f>Hydraulic!E84</f>
        <v>50.5</v>
      </c>
      <c r="F31" s="206" t="s">
        <v>5</v>
      </c>
      <c r="G31" s="206"/>
      <c r="H31" s="206"/>
      <c r="I31" s="206"/>
      <c r="J31" s="30">
        <f>Hydraulic!J84</f>
        <v>0.45</v>
      </c>
      <c r="K31" s="159"/>
    </row>
    <row r="32" spans="1:11">
      <c r="A32" s="187"/>
      <c r="B32" s="189"/>
      <c r="C32" s="189"/>
      <c r="D32" s="188"/>
      <c r="E32" s="188"/>
      <c r="F32" s="188"/>
      <c r="G32" s="188"/>
      <c r="H32" s="190"/>
      <c r="I32" s="223"/>
      <c r="J32" s="187"/>
      <c r="K32" s="159"/>
    </row>
    <row r="33" spans="1:11">
      <c r="A33" s="187"/>
      <c r="B33" s="206"/>
      <c r="C33" s="206"/>
      <c r="D33" s="206"/>
      <c r="E33" s="206"/>
      <c r="F33" s="206"/>
      <c r="G33" s="206"/>
      <c r="H33" s="206"/>
      <c r="I33" s="186"/>
      <c r="J33" s="187"/>
      <c r="K33" s="159"/>
    </row>
    <row r="34" spans="1:11">
      <c r="B34" s="33">
        <f>Hydraulic!B87</f>
        <v>18.899999999999999</v>
      </c>
      <c r="C34" s="187" t="s">
        <v>5</v>
      </c>
      <c r="E34" s="36">
        <f>E5</f>
        <v>13.6</v>
      </c>
      <c r="G34" s="33">
        <f>Hydraulic!G87</f>
        <v>18.899999999999999</v>
      </c>
      <c r="H34" s="187" t="s">
        <v>5</v>
      </c>
      <c r="K34" s="159"/>
    </row>
    <row r="35" spans="1:11">
      <c r="D35" s="33"/>
      <c r="F35" s="187"/>
      <c r="G35" s="187"/>
      <c r="K35" s="159"/>
    </row>
    <row r="36" spans="1:11">
      <c r="E36" s="33">
        <f>Hydraulic!E89</f>
        <v>51.4</v>
      </c>
      <c r="K36" s="159"/>
    </row>
    <row r="37" spans="1:11">
      <c r="K37" s="159"/>
    </row>
    <row r="38" spans="1:11">
      <c r="A38" s="41" t="s">
        <v>1917</v>
      </c>
      <c r="F38" s="41" t="s">
        <v>1918</v>
      </c>
      <c r="J38" s="33"/>
      <c r="K38" s="159"/>
    </row>
    <row r="39" spans="1:11">
      <c r="A39" s="187" t="s">
        <v>463</v>
      </c>
      <c r="D39" s="33">
        <f>Hydraulic!H705</f>
        <v>4</v>
      </c>
      <c r="E39" t="s">
        <v>5</v>
      </c>
      <c r="F39" s="187" t="s">
        <v>1915</v>
      </c>
      <c r="I39" s="33">
        <f>Hydraulic!H720</f>
        <v>4</v>
      </c>
      <c r="J39" s="33" t="s">
        <v>5</v>
      </c>
      <c r="K39" s="159"/>
    </row>
    <row r="40" spans="1:11">
      <c r="A40" t="s">
        <v>1914</v>
      </c>
      <c r="D40" s="33">
        <f>Hydraulic!H706</f>
        <v>5</v>
      </c>
      <c r="E40" t="s">
        <v>5</v>
      </c>
      <c r="F40" t="s">
        <v>1914</v>
      </c>
      <c r="I40" s="33">
        <f>Hydraulic!H721</f>
        <v>5</v>
      </c>
      <c r="J40" s="33" t="s">
        <v>5</v>
      </c>
      <c r="K40" s="159"/>
    </row>
    <row r="41" spans="1:11">
      <c r="A41" t="s">
        <v>933</v>
      </c>
      <c r="D41" s="33">
        <f>Hydraulic!H707</f>
        <v>5</v>
      </c>
      <c r="E41" t="s">
        <v>5</v>
      </c>
      <c r="F41" t="s">
        <v>933</v>
      </c>
      <c r="I41" s="33">
        <f>Hydraulic!H722</f>
        <v>5</v>
      </c>
      <c r="J41" s="33" t="s">
        <v>5</v>
      </c>
      <c r="K41" s="159"/>
    </row>
    <row r="42" spans="1:11">
      <c r="K42" s="159"/>
    </row>
    <row r="43" spans="1:11">
      <c r="A43" s="187" t="s">
        <v>934</v>
      </c>
      <c r="D43">
        <f>Hydraulic!E734</f>
        <v>300</v>
      </c>
      <c r="E43" s="187" t="s">
        <v>98</v>
      </c>
      <c r="F43" t="s">
        <v>2034</v>
      </c>
      <c r="J43" s="18">
        <f>Hydraulic!I20</f>
        <v>2</v>
      </c>
      <c r="K43" s="159"/>
    </row>
    <row r="44" spans="1:11">
      <c r="J44" s="18"/>
      <c r="K44" s="159"/>
    </row>
    <row r="45" spans="1:11">
      <c r="A45" s="144" t="s">
        <v>925</v>
      </c>
      <c r="K45" s="159"/>
    </row>
    <row r="46" spans="1:11">
      <c r="K46" s="159"/>
    </row>
    <row r="47" spans="1:11">
      <c r="C47" s="23"/>
      <c r="E47" t="s">
        <v>66</v>
      </c>
      <c r="K47" s="159"/>
    </row>
    <row r="48" spans="1:11">
      <c r="B48" t="s">
        <v>65</v>
      </c>
      <c r="C48" s="23"/>
      <c r="D48" t="s">
        <v>397</v>
      </c>
      <c r="K48" s="159"/>
    </row>
    <row r="49" spans="2:11">
      <c r="C49" s="23"/>
      <c r="K49" s="159"/>
    </row>
    <row r="50" spans="2:11">
      <c r="C50" s="23"/>
      <c r="G50" s="228">
        <f>Hydraulic!C504</f>
        <v>500</v>
      </c>
      <c r="K50" s="159"/>
    </row>
    <row r="51" spans="2:11">
      <c r="C51" s="23"/>
      <c r="K51" s="159"/>
    </row>
    <row r="52" spans="2:11">
      <c r="B52" s="210">
        <f>Hydraulic!C472</f>
        <v>3</v>
      </c>
      <c r="C52" s="187" t="s">
        <v>5</v>
      </c>
      <c r="G52" s="228">
        <f>Hydraulic!C506</f>
        <v>650</v>
      </c>
      <c r="K52" s="159"/>
    </row>
    <row r="53" spans="2:11">
      <c r="C53" s="23"/>
      <c r="H53" s="228">
        <f>Hydraulic!D507</f>
        <v>1950</v>
      </c>
      <c r="K53" s="159"/>
    </row>
    <row r="54" spans="2:11">
      <c r="B54" s="17" t="s">
        <v>313</v>
      </c>
      <c r="C54" s="210">
        <f>Hydraulic!D474</f>
        <v>14.05</v>
      </c>
      <c r="D54" s="187" t="s">
        <v>5</v>
      </c>
      <c r="I54" s="17"/>
      <c r="K54" s="159"/>
    </row>
    <row r="55" spans="2:11">
      <c r="C55" s="23"/>
      <c r="G55" s="187" t="s">
        <v>812</v>
      </c>
      <c r="K55" s="159"/>
    </row>
    <row r="56" spans="2:11">
      <c r="C56" s="27" t="s">
        <v>314</v>
      </c>
      <c r="D56" s="33">
        <f>Hydraulic!E476</f>
        <v>16.2</v>
      </c>
      <c r="E56" s="187" t="s">
        <v>5</v>
      </c>
      <c r="K56" s="159"/>
    </row>
    <row r="57" spans="2:11">
      <c r="C57" s="23"/>
      <c r="K57" s="159"/>
    </row>
    <row r="58" spans="2:11">
      <c r="K58" s="159"/>
    </row>
    <row r="59" spans="2:11">
      <c r="B59" s="187"/>
      <c r="K59" s="159"/>
    </row>
    <row r="60" spans="2:11">
      <c r="F60" s="2">
        <f>Hydraulic!F503</f>
        <v>500</v>
      </c>
      <c r="K60" s="159"/>
    </row>
    <row r="61" spans="2:11">
      <c r="B61" s="2">
        <f>Hydraulic!G493</f>
        <v>300</v>
      </c>
      <c r="H61" s="187" t="s">
        <v>813</v>
      </c>
      <c r="K61" s="159"/>
    </row>
    <row r="62" spans="2:11">
      <c r="D62" s="187" t="s">
        <v>66</v>
      </c>
      <c r="F62" s="9">
        <f>Hydraulic!F505</f>
        <v>650</v>
      </c>
      <c r="K62" s="159"/>
    </row>
    <row r="63" spans="2:11">
      <c r="B63" s="2">
        <f>Hydraulic!G495</f>
        <v>400</v>
      </c>
      <c r="K63" s="159"/>
    </row>
    <row r="64" spans="2:11">
      <c r="H64" s="18"/>
      <c r="K64" s="159"/>
    </row>
    <row r="65" spans="1:11">
      <c r="D65" s="18"/>
      <c r="G65" s="18">
        <f>Hydraulic!G508</f>
        <v>150</v>
      </c>
      <c r="K65" s="159"/>
    </row>
    <row r="66" spans="1:11">
      <c r="C66" s="18">
        <f>Hydraulic!H498</f>
        <v>150</v>
      </c>
      <c r="F66" s="2"/>
      <c r="G66" s="129">
        <f>Hydraulic!G509</f>
        <v>800</v>
      </c>
      <c r="K66" s="159"/>
    </row>
    <row r="67" spans="1:11">
      <c r="B67" s="2"/>
      <c r="C67">
        <f>Hydraulic!H499</f>
        <v>950</v>
      </c>
      <c r="K67" s="159"/>
    </row>
    <row r="68" spans="1:11">
      <c r="B68" s="2"/>
      <c r="K68" s="159"/>
    </row>
    <row r="69" spans="1:11">
      <c r="B69" s="2283"/>
      <c r="C69" s="3275" t="s">
        <v>812</v>
      </c>
      <c r="D69" s="3308"/>
      <c r="E69" s="3309" t="s">
        <v>813</v>
      </c>
      <c r="F69" s="3309"/>
      <c r="G69" s="3275" t="s">
        <v>66</v>
      </c>
      <c r="H69" s="3308"/>
      <c r="K69" s="159"/>
    </row>
    <row r="70" spans="1:11">
      <c r="B70" s="2282" t="s">
        <v>1928</v>
      </c>
      <c r="C70" s="2289">
        <f>Hydraulic!E488</f>
        <v>500</v>
      </c>
      <c r="D70" s="93" t="s">
        <v>98</v>
      </c>
      <c r="E70" s="2290">
        <f>Hydraulic!J488</f>
        <v>500</v>
      </c>
      <c r="F70" s="102" t="s">
        <v>98</v>
      </c>
      <c r="G70" s="2289">
        <f>Hydraulic!F499</f>
        <v>300</v>
      </c>
      <c r="H70" s="93" t="s">
        <v>98</v>
      </c>
      <c r="K70" s="159"/>
    </row>
    <row r="71" spans="1:11">
      <c r="G71" s="187"/>
      <c r="K71" s="159"/>
    </row>
    <row r="72" spans="1:11">
      <c r="K72" s="159"/>
    </row>
    <row r="73" spans="1:11">
      <c r="K73" s="159"/>
    </row>
    <row r="74" spans="1:11">
      <c r="A74">
        <f>DATA!L46</f>
        <v>750</v>
      </c>
      <c r="B74" s="46"/>
      <c r="C74" s="46"/>
      <c r="D74" s="46"/>
      <c r="E74" s="46"/>
      <c r="F74" s="46"/>
      <c r="G74" s="46"/>
      <c r="H74" s="46"/>
      <c r="J74">
        <f>DATA!X46</f>
        <v>750</v>
      </c>
      <c r="K74" s="159"/>
    </row>
    <row r="75" spans="1:11">
      <c r="B75" s="1932">
        <f>DATA!N47</f>
        <v>0</v>
      </c>
      <c r="C75" s="46"/>
      <c r="D75" s="390">
        <f>DATA!P47</f>
        <v>150</v>
      </c>
      <c r="E75" s="46"/>
      <c r="F75" s="46">
        <f>DATA!T47</f>
        <v>150</v>
      </c>
      <c r="G75" s="1932">
        <v>0</v>
      </c>
      <c r="H75" s="46"/>
      <c r="K75" s="159"/>
    </row>
    <row r="76" spans="1:11">
      <c r="B76" s="46"/>
      <c r="C76" s="2562"/>
      <c r="D76" s="109"/>
      <c r="E76" s="109"/>
      <c r="F76" s="2590"/>
      <c r="G76" s="46"/>
      <c r="H76" s="46"/>
      <c r="K76" s="159"/>
    </row>
    <row r="77" spans="1:11">
      <c r="B77" s="46"/>
      <c r="C77" s="2562">
        <f>DATA!O48</f>
        <v>1500</v>
      </c>
      <c r="D77" s="109"/>
      <c r="E77" s="109">
        <f>DATA!Q49</f>
        <v>1800</v>
      </c>
      <c r="F77" s="2590"/>
      <c r="G77" s="46"/>
      <c r="H77" s="109" t="s">
        <v>1758</v>
      </c>
      <c r="J77">
        <f>DATA!X49</f>
        <v>1500</v>
      </c>
      <c r="K77" s="159"/>
    </row>
    <row r="78" spans="1:11">
      <c r="B78" s="46"/>
      <c r="C78" s="2562"/>
      <c r="D78" s="109"/>
      <c r="E78" s="109"/>
      <c r="F78" s="2590"/>
      <c r="G78" s="46"/>
      <c r="H78" s="46"/>
      <c r="K78" s="159"/>
    </row>
    <row r="79" spans="1:11">
      <c r="B79" s="235">
        <f>DATA!N51</f>
        <v>0</v>
      </c>
      <c r="C79" s="109"/>
      <c r="D79" s="2589">
        <f>DATA!P51</f>
        <v>150</v>
      </c>
      <c r="E79" s="109"/>
      <c r="F79" s="109">
        <f>DATA!T51</f>
        <v>150</v>
      </c>
      <c r="G79" s="744"/>
      <c r="H79" s="46"/>
      <c r="K79" s="159"/>
    </row>
    <row r="80" spans="1:11">
      <c r="A80" s="129">
        <f>DATA!L52</f>
        <v>750</v>
      </c>
      <c r="B80" s="46"/>
      <c r="C80" s="109"/>
      <c r="D80" s="291"/>
      <c r="E80" s="109"/>
      <c r="F80" s="109"/>
      <c r="G80" s="46"/>
      <c r="H80" s="46"/>
      <c r="J80">
        <f>DATA!X52</f>
        <v>750</v>
      </c>
      <c r="K80" s="159"/>
    </row>
    <row r="81" spans="1:11">
      <c r="A81" s="129"/>
      <c r="B81">
        <f>B79</f>
        <v>0</v>
      </c>
      <c r="C81" s="187"/>
      <c r="D81" s="30">
        <f>D79</f>
        <v>150</v>
      </c>
      <c r="E81" s="187"/>
      <c r="F81" s="187">
        <f>F79</f>
        <v>150</v>
      </c>
      <c r="G81" s="18"/>
      <c r="K81" s="159"/>
    </row>
    <row r="82" spans="1:11">
      <c r="A82" s="129"/>
      <c r="C82" s="2562"/>
      <c r="D82" s="187"/>
      <c r="E82" s="187"/>
      <c r="F82" s="2591"/>
      <c r="K82" s="159"/>
    </row>
    <row r="83" spans="1:11">
      <c r="A83" s="129"/>
      <c r="C83" s="2562"/>
      <c r="D83" s="187"/>
      <c r="E83" s="187">
        <f>DATA!Q55</f>
        <v>1800</v>
      </c>
      <c r="F83" s="2591"/>
      <c r="J83">
        <f>DATA!X56</f>
        <v>1500</v>
      </c>
      <c r="K83" s="159"/>
    </row>
    <row r="84" spans="1:11">
      <c r="A84" s="2588"/>
      <c r="B84" s="61" t="s">
        <v>22</v>
      </c>
      <c r="C84" s="2562">
        <f>DATA!O54</f>
        <v>1500</v>
      </c>
      <c r="D84" s="187"/>
      <c r="E84" s="187"/>
      <c r="F84" s="2591"/>
      <c r="K84" s="159"/>
    </row>
    <row r="85" spans="1:11">
      <c r="A85" s="129"/>
      <c r="C85" s="2562"/>
      <c r="D85" s="187"/>
      <c r="E85" s="187"/>
      <c r="F85" s="2591"/>
      <c r="K85" s="159"/>
    </row>
    <row r="86" spans="1:11">
      <c r="A86" s="129"/>
      <c r="B86">
        <f>B79</f>
        <v>0</v>
      </c>
      <c r="C86" s="187"/>
      <c r="D86" s="30">
        <f>D79</f>
        <v>150</v>
      </c>
      <c r="E86" s="187"/>
      <c r="F86" s="187">
        <f>F81</f>
        <v>150</v>
      </c>
      <c r="G86" s="18"/>
      <c r="K86" s="159"/>
    </row>
    <row r="87" spans="1:11">
      <c r="A87" s="129">
        <f>DATA!L59</f>
        <v>750</v>
      </c>
      <c r="C87" s="187"/>
      <c r="D87" s="30"/>
      <c r="E87" s="187"/>
      <c r="F87" s="187"/>
      <c r="J87">
        <f>DATA!X59</f>
        <v>750</v>
      </c>
      <c r="K87" s="159"/>
    </row>
    <row r="88" spans="1:11">
      <c r="A88" s="129"/>
      <c r="B88">
        <f>B79</f>
        <v>0</v>
      </c>
      <c r="C88" s="187"/>
      <c r="D88" s="30">
        <f>D79</f>
        <v>150</v>
      </c>
      <c r="E88" s="187"/>
      <c r="F88" s="187">
        <f>F86</f>
        <v>150</v>
      </c>
      <c r="G88" s="18"/>
      <c r="K88" s="159"/>
    </row>
    <row r="89" spans="1:11">
      <c r="A89" s="129"/>
      <c r="C89" s="2591"/>
      <c r="D89" s="187"/>
      <c r="E89" s="187"/>
      <c r="F89" s="2591"/>
      <c r="K89" s="159"/>
    </row>
    <row r="90" spans="1:11">
      <c r="A90" s="129"/>
      <c r="C90" s="2591"/>
      <c r="D90" s="187"/>
      <c r="E90" s="187"/>
      <c r="F90" s="2591"/>
      <c r="K90" s="159"/>
    </row>
    <row r="91" spans="1:11">
      <c r="A91" s="129"/>
      <c r="C91" s="2562">
        <f>DATA!O61</f>
        <v>1500</v>
      </c>
      <c r="D91" s="187"/>
      <c r="E91" s="187">
        <f>DATA!Q63</f>
        <v>1800</v>
      </c>
      <c r="F91" s="2591"/>
      <c r="H91" s="61" t="s">
        <v>23</v>
      </c>
      <c r="J91">
        <f>DATA!X70</f>
        <v>1500</v>
      </c>
      <c r="K91" s="159"/>
    </row>
    <row r="92" spans="1:11">
      <c r="A92" s="129"/>
      <c r="C92" s="2591"/>
      <c r="D92" s="187"/>
      <c r="E92" s="187"/>
      <c r="F92" s="2591"/>
      <c r="K92" s="159"/>
    </row>
    <row r="93" spans="1:11">
      <c r="A93" s="129"/>
      <c r="C93" s="2591"/>
      <c r="D93" s="187"/>
      <c r="E93" s="187"/>
      <c r="F93" s="2591"/>
      <c r="K93" s="159"/>
    </row>
    <row r="94" spans="1:11">
      <c r="A94" s="129"/>
      <c r="B94">
        <f>B79</f>
        <v>0</v>
      </c>
      <c r="C94" s="187"/>
      <c r="D94" s="30">
        <f>D79</f>
        <v>150</v>
      </c>
      <c r="E94" s="187"/>
      <c r="F94" s="187">
        <f>F86</f>
        <v>150</v>
      </c>
      <c r="G94" s="18"/>
      <c r="K94" s="159"/>
    </row>
    <row r="95" spans="1:11">
      <c r="A95" s="129">
        <f>DATA!L67</f>
        <v>750</v>
      </c>
      <c r="C95" s="187"/>
      <c r="D95" s="30"/>
      <c r="E95" s="187"/>
      <c r="F95" s="187"/>
      <c r="J95">
        <f>DATA!X67</f>
        <v>750</v>
      </c>
      <c r="K95" s="159"/>
    </row>
    <row r="96" spans="1:11">
      <c r="A96" s="115"/>
      <c r="B96">
        <f>B79</f>
        <v>0</v>
      </c>
      <c r="C96" s="187"/>
      <c r="D96" s="30">
        <f>D79</f>
        <v>150</v>
      </c>
      <c r="E96" s="187"/>
      <c r="F96" s="187">
        <f>F94</f>
        <v>150</v>
      </c>
      <c r="G96" s="18"/>
      <c r="K96" s="159"/>
    </row>
    <row r="97" spans="1:11">
      <c r="A97" s="115"/>
      <c r="C97" s="2562"/>
      <c r="D97" s="187"/>
      <c r="E97" s="187"/>
      <c r="F97" s="2591"/>
      <c r="K97" s="159"/>
    </row>
    <row r="98" spans="1:11">
      <c r="A98" s="115"/>
      <c r="C98" s="2562"/>
      <c r="D98" s="187"/>
      <c r="E98" s="187"/>
      <c r="F98" s="2591"/>
      <c r="K98" s="159"/>
    </row>
    <row r="99" spans="1:11">
      <c r="A99" s="115"/>
      <c r="C99" s="2562">
        <f>DATA!O69</f>
        <v>1500</v>
      </c>
      <c r="D99" s="187"/>
      <c r="E99" s="187">
        <f>DATA!Q71</f>
        <v>1800</v>
      </c>
      <c r="F99" s="2591"/>
      <c r="J99">
        <f>DATA!X70</f>
        <v>1500</v>
      </c>
      <c r="K99" s="159"/>
    </row>
    <row r="100" spans="1:11">
      <c r="A100" s="115"/>
      <c r="C100" s="2562"/>
      <c r="D100" s="187"/>
      <c r="E100" s="187"/>
      <c r="F100" s="2591"/>
      <c r="K100" s="159"/>
    </row>
    <row r="101" spans="1:11">
      <c r="B101" s="17">
        <f>B75</f>
        <v>0</v>
      </c>
      <c r="D101" s="18">
        <f>D75</f>
        <v>150</v>
      </c>
      <c r="F101">
        <f>F96</f>
        <v>150</v>
      </c>
      <c r="G101" s="17">
        <f>G75</f>
        <v>0</v>
      </c>
      <c r="K101" s="159"/>
    </row>
    <row r="102" spans="1:11">
      <c r="A102">
        <f>DATA!L74</f>
        <v>750</v>
      </c>
      <c r="K102" s="159"/>
    </row>
    <row r="103" spans="1:11">
      <c r="J103">
        <f>DATA!X75</f>
        <v>750</v>
      </c>
      <c r="K103" s="159"/>
    </row>
    <row r="104" spans="1:11">
      <c r="D104" s="18"/>
      <c r="G104" s="18"/>
      <c r="K104" s="159"/>
    </row>
    <row r="105" spans="1:11">
      <c r="K105" s="159"/>
    </row>
    <row r="106" spans="1:11" ht="18">
      <c r="B106" s="2564" t="s">
        <v>924</v>
      </c>
      <c r="E106" s="187" t="s">
        <v>357</v>
      </c>
      <c r="G106" s="129">
        <f>HeadWall!E78</f>
        <v>300</v>
      </c>
      <c r="H106" s="187" t="s">
        <v>98</v>
      </c>
      <c r="K106" s="159"/>
    </row>
    <row r="107" spans="1:11">
      <c r="B107" s="187"/>
      <c r="K107" s="159"/>
    </row>
    <row r="108" spans="1:11">
      <c r="B108" s="544" t="s">
        <v>492</v>
      </c>
      <c r="C108" s="55"/>
      <c r="D108" s="252"/>
      <c r="E108" s="55"/>
      <c r="F108" s="55"/>
      <c r="G108" s="56"/>
      <c r="K108" s="159"/>
    </row>
    <row r="109" spans="1:11" ht="15.75">
      <c r="B109" s="259" t="s">
        <v>111</v>
      </c>
      <c r="C109" s="539" t="s">
        <v>136</v>
      </c>
      <c r="D109" s="540">
        <f>HeadWall!D115</f>
        <v>16</v>
      </c>
      <c r="E109" s="541" t="s">
        <v>481</v>
      </c>
      <c r="F109" s="540">
        <f>HeadWall!F115</f>
        <v>200</v>
      </c>
      <c r="G109" s="272" t="s">
        <v>482</v>
      </c>
      <c r="K109" s="159"/>
    </row>
    <row r="110" spans="1:11" ht="15.75">
      <c r="B110" s="259" t="s">
        <v>110</v>
      </c>
      <c r="C110" s="539" t="s">
        <v>136</v>
      </c>
      <c r="D110" s="540">
        <f>HeadWall!D116</f>
        <v>16</v>
      </c>
      <c r="E110" s="541" t="s">
        <v>481</v>
      </c>
      <c r="F110" s="540">
        <f>HeadWall!F116</f>
        <v>200</v>
      </c>
      <c r="G110" s="272" t="s">
        <v>482</v>
      </c>
      <c r="K110" s="159"/>
    </row>
    <row r="111" spans="1:11" ht="15.75">
      <c r="B111" s="545" t="s">
        <v>493</v>
      </c>
      <c r="C111" s="498"/>
      <c r="D111" s="546"/>
      <c r="E111" s="484"/>
      <c r="F111" s="546"/>
      <c r="G111" s="501"/>
      <c r="K111" s="159"/>
    </row>
    <row r="112" spans="1:11" ht="15.75">
      <c r="B112" s="259" t="s">
        <v>111</v>
      </c>
      <c r="C112" s="268" t="s">
        <v>136</v>
      </c>
      <c r="D112" s="540">
        <f>HeadWall!D118</f>
        <v>16</v>
      </c>
      <c r="E112" s="541" t="s">
        <v>481</v>
      </c>
      <c r="F112" s="540">
        <f>HeadWall!F118</f>
        <v>200</v>
      </c>
      <c r="G112" s="272" t="s">
        <v>482</v>
      </c>
      <c r="K112" s="159"/>
    </row>
    <row r="113" spans="2:11" ht="15.75">
      <c r="B113" s="262" t="s">
        <v>110</v>
      </c>
      <c r="C113" s="278" t="s">
        <v>136</v>
      </c>
      <c r="D113" s="543">
        <f>HeadWall!D119</f>
        <v>16</v>
      </c>
      <c r="E113" s="542" t="s">
        <v>481</v>
      </c>
      <c r="F113" s="543">
        <f>HeadWall!F119</f>
        <v>200</v>
      </c>
      <c r="G113" s="282" t="s">
        <v>482</v>
      </c>
      <c r="K113" s="159"/>
    </row>
    <row r="114" spans="2:11" ht="15">
      <c r="C114" s="337"/>
      <c r="D114" s="337"/>
      <c r="E114" s="337"/>
      <c r="F114" s="338"/>
      <c r="G114" s="84"/>
      <c r="H114" s="337"/>
      <c r="K114" s="159"/>
    </row>
    <row r="115" spans="2:11" ht="18">
      <c r="B115" s="2564" t="s">
        <v>1934</v>
      </c>
      <c r="K115" s="159"/>
    </row>
    <row r="116" spans="2:11">
      <c r="K116" s="159"/>
    </row>
    <row r="117" spans="2:11">
      <c r="B117" s="61" t="s">
        <v>1935</v>
      </c>
      <c r="C117" s="109"/>
      <c r="D117" s="109"/>
      <c r="E117" s="187" t="s">
        <v>357</v>
      </c>
      <c r="G117" s="129">
        <f>Barrel!C151</f>
        <v>600</v>
      </c>
      <c r="H117" s="187" t="s">
        <v>98</v>
      </c>
      <c r="K117" s="159"/>
    </row>
    <row r="118" spans="2:11">
      <c r="B118" s="109"/>
      <c r="C118" s="109"/>
      <c r="D118" s="109"/>
      <c r="E118" s="109"/>
      <c r="F118" s="109"/>
      <c r="G118" s="109"/>
      <c r="K118" s="159"/>
    </row>
    <row r="119" spans="2:11">
      <c r="B119" s="544" t="s">
        <v>440</v>
      </c>
      <c r="C119" s="555"/>
      <c r="D119" s="556"/>
      <c r="E119" s="555"/>
      <c r="F119" s="555"/>
      <c r="G119" s="501"/>
      <c r="K119" s="159"/>
    </row>
    <row r="120" spans="2:11" ht="15.75">
      <c r="B120" s="549" t="s">
        <v>441</v>
      </c>
      <c r="C120" s="550" t="s">
        <v>136</v>
      </c>
      <c r="D120" s="483">
        <f>Barrel!D194</f>
        <v>16</v>
      </c>
      <c r="E120" s="408" t="s">
        <v>481</v>
      </c>
      <c r="F120" s="483">
        <f>Barrel!F194</f>
        <v>200</v>
      </c>
      <c r="G120" s="551" t="s">
        <v>482</v>
      </c>
      <c r="K120" s="159"/>
    </row>
    <row r="121" spans="2:11" ht="15.75">
      <c r="B121" s="552" t="s">
        <v>442</v>
      </c>
      <c r="C121" s="553" t="s">
        <v>136</v>
      </c>
      <c r="D121" s="483">
        <f>Barrel!D195</f>
        <v>16</v>
      </c>
      <c r="E121" s="2277" t="s">
        <v>481</v>
      </c>
      <c r="F121" s="483">
        <f>Barrel!F195</f>
        <v>200</v>
      </c>
      <c r="G121" s="554" t="s">
        <v>482</v>
      </c>
      <c r="K121" s="159"/>
    </row>
    <row r="122" spans="2:11" ht="15">
      <c r="B122" s="544" t="s">
        <v>443</v>
      </c>
      <c r="C122" s="273"/>
      <c r="D122" s="274"/>
      <c r="E122" s="408"/>
      <c r="F122" s="276"/>
      <c r="G122" s="277"/>
      <c r="K122" s="159"/>
    </row>
    <row r="123" spans="2:11" ht="15.75">
      <c r="B123" s="549" t="s">
        <v>441</v>
      </c>
      <c r="C123" s="550" t="s">
        <v>136</v>
      </c>
      <c r="D123" s="540">
        <f>Barrel!D197</f>
        <v>16</v>
      </c>
      <c r="E123" s="408" t="s">
        <v>481</v>
      </c>
      <c r="F123" s="540">
        <f>Barrel!F197</f>
        <v>200</v>
      </c>
      <c r="G123" s="551" t="s">
        <v>482</v>
      </c>
      <c r="K123" s="159"/>
    </row>
    <row r="124" spans="2:11" ht="15.75">
      <c r="B124" s="552" t="s">
        <v>442</v>
      </c>
      <c r="C124" s="553" t="s">
        <v>136</v>
      </c>
      <c r="D124" s="543">
        <f>Barrel!D198</f>
        <v>16</v>
      </c>
      <c r="E124" s="2277" t="s">
        <v>481</v>
      </c>
      <c r="F124" s="543">
        <f>Barrel!F198</f>
        <v>200</v>
      </c>
      <c r="G124" s="554" t="s">
        <v>482</v>
      </c>
      <c r="K124" s="159"/>
    </row>
    <row r="125" spans="2:11">
      <c r="B125" s="109"/>
      <c r="C125" s="109"/>
      <c r="D125" s="109"/>
      <c r="E125" s="109"/>
      <c r="F125" s="109"/>
      <c r="G125" s="109"/>
      <c r="K125" s="159"/>
    </row>
    <row r="126" spans="2:11">
      <c r="B126" s="61" t="s">
        <v>2075</v>
      </c>
      <c r="C126" s="109"/>
      <c r="D126" s="109"/>
      <c r="E126" s="187" t="s">
        <v>357</v>
      </c>
      <c r="G126" s="129">
        <f>Barrel!C252</f>
        <v>600</v>
      </c>
      <c r="H126" s="187" t="s">
        <v>98</v>
      </c>
      <c r="K126" s="159"/>
    </row>
    <row r="127" spans="2:11">
      <c r="K127" s="159"/>
    </row>
    <row r="128" spans="2:11">
      <c r="B128" s="559" t="s">
        <v>492</v>
      </c>
      <c r="C128" s="555"/>
      <c r="D128" s="556"/>
      <c r="E128" s="555"/>
      <c r="F128" s="555"/>
      <c r="G128" s="501"/>
      <c r="K128" s="159"/>
    </row>
    <row r="129" spans="2:11" ht="15.75">
      <c r="B129" s="560" t="s">
        <v>111</v>
      </c>
      <c r="C129" s="550" t="s">
        <v>136</v>
      </c>
      <c r="D129" s="540">
        <f>Barrel!D296</f>
        <v>16</v>
      </c>
      <c r="E129" s="408" t="s">
        <v>481</v>
      </c>
      <c r="F129" s="540">
        <f>Barrel!F296</f>
        <v>200</v>
      </c>
      <c r="G129" s="551" t="s">
        <v>482</v>
      </c>
      <c r="K129" s="159"/>
    </row>
    <row r="130" spans="2:11" ht="15.75">
      <c r="B130" s="1545" t="s">
        <v>110</v>
      </c>
      <c r="C130" s="553" t="s">
        <v>136</v>
      </c>
      <c r="D130" s="540">
        <f>Barrel!D297</f>
        <v>16</v>
      </c>
      <c r="E130" s="2277" t="s">
        <v>481</v>
      </c>
      <c r="F130" s="540">
        <f>Barrel!F297</f>
        <v>200</v>
      </c>
      <c r="G130" s="554" t="s">
        <v>482</v>
      </c>
      <c r="K130" s="159"/>
    </row>
    <row r="131" spans="2:11" ht="15">
      <c r="B131" s="560" t="s">
        <v>1086</v>
      </c>
      <c r="C131" s="273"/>
      <c r="D131" s="274"/>
      <c r="E131" s="408"/>
      <c r="F131" s="276"/>
      <c r="G131" s="277"/>
      <c r="K131" s="159"/>
    </row>
    <row r="132" spans="2:11" ht="15.75">
      <c r="B132" s="560" t="s">
        <v>111</v>
      </c>
      <c r="C132" s="550" t="s">
        <v>136</v>
      </c>
      <c r="D132" s="540">
        <f>Barrel!D299</f>
        <v>16</v>
      </c>
      <c r="E132" s="408" t="s">
        <v>481</v>
      </c>
      <c r="F132" s="540">
        <f>Barrel!F299</f>
        <v>200</v>
      </c>
      <c r="G132" s="551" t="s">
        <v>482</v>
      </c>
      <c r="K132" s="159"/>
    </row>
    <row r="133" spans="2:11" ht="15.75">
      <c r="B133" s="1545" t="s">
        <v>110</v>
      </c>
      <c r="C133" s="553" t="s">
        <v>136</v>
      </c>
      <c r="D133" s="543">
        <f>Barrel!D300</f>
        <v>16</v>
      </c>
      <c r="E133" s="2277" t="s">
        <v>481</v>
      </c>
      <c r="F133" s="543">
        <f>Barrel!F300</f>
        <v>200</v>
      </c>
      <c r="G133" s="554" t="s">
        <v>482</v>
      </c>
      <c r="K133" s="159"/>
    </row>
    <row r="134" spans="2:11">
      <c r="K134" s="159"/>
    </row>
    <row r="135" spans="2:11">
      <c r="B135" s="61" t="s">
        <v>2076</v>
      </c>
      <c r="C135" s="109"/>
      <c r="D135" s="109"/>
      <c r="E135" s="187" t="s">
        <v>357</v>
      </c>
      <c r="G135" s="129">
        <f>Barrel!C308</f>
        <v>450</v>
      </c>
      <c r="H135" s="187" t="s">
        <v>98</v>
      </c>
      <c r="K135" s="159"/>
    </row>
    <row r="136" spans="2:11">
      <c r="K136" s="159"/>
    </row>
    <row r="137" spans="2:11" ht="15">
      <c r="B137" s="559" t="s">
        <v>493</v>
      </c>
      <c r="C137" s="498"/>
      <c r="D137" s="499"/>
      <c r="E137" s="556"/>
      <c r="F137" s="500"/>
      <c r="G137" s="501"/>
      <c r="K137" s="159"/>
    </row>
    <row r="138" spans="2:11" ht="15.75">
      <c r="B138" s="560" t="s">
        <v>111</v>
      </c>
      <c r="C138" s="550" t="s">
        <v>136</v>
      </c>
      <c r="D138" s="540">
        <f>Barrel!D326</f>
        <v>16</v>
      </c>
      <c r="E138" s="408" t="s">
        <v>481</v>
      </c>
      <c r="F138" s="540">
        <f>Barrel!F326</f>
        <v>200</v>
      </c>
      <c r="G138" s="551" t="s">
        <v>482</v>
      </c>
      <c r="K138" s="159"/>
    </row>
    <row r="139" spans="2:11" ht="15.75">
      <c r="B139" s="1545" t="s">
        <v>110</v>
      </c>
      <c r="C139" s="553" t="s">
        <v>136</v>
      </c>
      <c r="D139" s="543">
        <f>Barrel!D327</f>
        <v>16</v>
      </c>
      <c r="E139" s="2277" t="s">
        <v>481</v>
      </c>
      <c r="F139" s="543">
        <f>Barrel!F327</f>
        <v>200</v>
      </c>
      <c r="G139" s="554" t="s">
        <v>482</v>
      </c>
      <c r="K139" s="159"/>
    </row>
    <row r="140" spans="2:11" ht="15">
      <c r="C140" s="337"/>
      <c r="D140" s="337"/>
      <c r="E140" s="337"/>
      <c r="F140" s="338"/>
      <c r="G140" s="84"/>
      <c r="H140" s="337"/>
      <c r="K140" s="159"/>
    </row>
    <row r="141" spans="2:11">
      <c r="B141" s="61" t="s">
        <v>2077</v>
      </c>
      <c r="C141" s="109"/>
      <c r="D141" s="109"/>
      <c r="E141" s="187" t="s">
        <v>357</v>
      </c>
      <c r="G141" s="129">
        <f>Barrel!C202</f>
        <v>700</v>
      </c>
      <c r="H141" s="187" t="s">
        <v>98</v>
      </c>
      <c r="K141" s="159"/>
    </row>
    <row r="142" spans="2:11">
      <c r="K142" s="159"/>
    </row>
    <row r="143" spans="2:11">
      <c r="B143" s="544" t="s">
        <v>440</v>
      </c>
      <c r="C143" s="555"/>
      <c r="D143" s="556"/>
      <c r="E143" s="555"/>
      <c r="F143" s="555"/>
      <c r="G143" s="501"/>
      <c r="K143" s="159"/>
    </row>
    <row r="144" spans="2:11" ht="15.75">
      <c r="B144" s="549" t="s">
        <v>441</v>
      </c>
      <c r="C144" s="550" t="s">
        <v>136</v>
      </c>
      <c r="D144" s="540">
        <f>Barrel!D244</f>
        <v>16</v>
      </c>
      <c r="E144" s="408" t="s">
        <v>481</v>
      </c>
      <c r="F144" s="540">
        <f>Barrel!F244</f>
        <v>200</v>
      </c>
      <c r="G144" s="551" t="s">
        <v>482</v>
      </c>
      <c r="K144" s="159"/>
    </row>
    <row r="145" spans="2:11" ht="15.75">
      <c r="B145" s="552" t="s">
        <v>442</v>
      </c>
      <c r="C145" s="553" t="s">
        <v>136</v>
      </c>
      <c r="D145" s="540">
        <f>Barrel!D245</f>
        <v>16</v>
      </c>
      <c r="E145" s="2277" t="s">
        <v>481</v>
      </c>
      <c r="F145" s="540">
        <f>Barrel!F245</f>
        <v>200</v>
      </c>
      <c r="G145" s="554" t="s">
        <v>482</v>
      </c>
      <c r="K145" s="159"/>
    </row>
    <row r="146" spans="2:11" ht="15">
      <c r="B146" s="544" t="s">
        <v>443</v>
      </c>
      <c r="C146" s="273"/>
      <c r="D146" s="274"/>
      <c r="E146" s="408"/>
      <c r="F146" s="276"/>
      <c r="G146" s="277"/>
      <c r="K146" s="159"/>
    </row>
    <row r="147" spans="2:11" ht="15.75">
      <c r="B147" s="549" t="s">
        <v>441</v>
      </c>
      <c r="C147" s="550" t="s">
        <v>136</v>
      </c>
      <c r="D147" s="540">
        <f>Barrel!D247</f>
        <v>16</v>
      </c>
      <c r="E147" s="408" t="s">
        <v>481</v>
      </c>
      <c r="F147" s="540">
        <f>Barrel!F247</f>
        <v>200</v>
      </c>
      <c r="G147" s="551" t="s">
        <v>482</v>
      </c>
      <c r="K147" s="159"/>
    </row>
    <row r="148" spans="2:11" ht="15.75">
      <c r="B148" s="552" t="s">
        <v>442</v>
      </c>
      <c r="C148" s="553" t="s">
        <v>136</v>
      </c>
      <c r="D148" s="543">
        <f>Barrel!D248</f>
        <v>16</v>
      </c>
      <c r="E148" s="2277" t="s">
        <v>481</v>
      </c>
      <c r="F148" s="543">
        <f>Barrel!F248</f>
        <v>250</v>
      </c>
      <c r="G148" s="554" t="s">
        <v>482</v>
      </c>
      <c r="K148" s="159"/>
    </row>
    <row r="149" spans="2:11" ht="15">
      <c r="C149" s="337"/>
      <c r="D149" s="337"/>
      <c r="E149" s="337"/>
      <c r="F149" s="338"/>
      <c r="G149" s="84"/>
      <c r="H149" s="337"/>
      <c r="K149" s="159"/>
    </row>
    <row r="150" spans="2:11">
      <c r="K150" s="159"/>
    </row>
    <row r="151" spans="2:11">
      <c r="K151" s="159"/>
    </row>
    <row r="152" spans="2:11">
      <c r="K152" s="159"/>
    </row>
    <row r="153" spans="2:11">
      <c r="B153" s="2618" t="s">
        <v>1933</v>
      </c>
      <c r="C153" s="55"/>
      <c r="D153" s="55"/>
      <c r="E153" s="55"/>
      <c r="F153" s="55"/>
      <c r="G153" s="55"/>
      <c r="H153" s="2599"/>
      <c r="K153" s="159"/>
    </row>
    <row r="154" spans="2:11">
      <c r="B154" s="2597"/>
      <c r="C154" s="16"/>
      <c r="D154" s="16"/>
      <c r="E154" s="16"/>
      <c r="F154" s="16"/>
      <c r="G154" s="16"/>
      <c r="H154" s="58"/>
      <c r="K154" s="159"/>
    </row>
    <row r="155" spans="2:11">
      <c r="B155" s="2597" t="s">
        <v>918</v>
      </c>
      <c r="C155" s="16"/>
      <c r="D155" s="16"/>
      <c r="E155" s="242">
        <f>DATA!D261</f>
        <v>168.88623529411771</v>
      </c>
      <c r="F155" s="241" t="s">
        <v>816</v>
      </c>
      <c r="G155" s="242">
        <f>E155*0.00948</f>
        <v>1.6010415105882361</v>
      </c>
      <c r="H155" s="366" t="s">
        <v>817</v>
      </c>
      <c r="K155" s="159"/>
    </row>
    <row r="156" spans="2:11">
      <c r="B156" s="2597"/>
      <c r="C156" s="16"/>
      <c r="D156" s="16"/>
      <c r="E156" s="16"/>
      <c r="F156" s="16"/>
      <c r="G156" s="16"/>
      <c r="H156" s="58"/>
      <c r="K156" s="159"/>
    </row>
    <row r="157" spans="2:11">
      <c r="B157" s="2597" t="s">
        <v>1929</v>
      </c>
      <c r="C157" s="16"/>
      <c r="D157" s="16"/>
      <c r="E157" s="242">
        <f>DATA!E365</f>
        <v>37.053097459891106</v>
      </c>
      <c r="F157" s="241" t="s">
        <v>816</v>
      </c>
      <c r="G157" s="242">
        <f>E157*0.00948</f>
        <v>0.3512633639197677</v>
      </c>
      <c r="H157" s="366" t="s">
        <v>817</v>
      </c>
      <c r="K157" s="159"/>
    </row>
    <row r="158" spans="2:11">
      <c r="B158" s="2597"/>
      <c r="C158" s="16"/>
      <c r="D158" s="16"/>
      <c r="E158" s="16"/>
      <c r="F158" s="16"/>
      <c r="G158" s="16"/>
      <c r="H158" s="58"/>
      <c r="K158" s="159"/>
    </row>
    <row r="159" spans="2:11">
      <c r="B159" s="2597" t="s">
        <v>1930</v>
      </c>
      <c r="C159" s="16"/>
      <c r="D159" s="16"/>
      <c r="E159" s="242">
        <f>DATA!E472</f>
        <v>37.053097459891106</v>
      </c>
      <c r="F159" s="241" t="s">
        <v>816</v>
      </c>
      <c r="G159" s="242">
        <f>E159*0.00948</f>
        <v>0.3512633639197677</v>
      </c>
      <c r="H159" s="366" t="s">
        <v>817</v>
      </c>
      <c r="K159" s="159"/>
    </row>
    <row r="160" spans="2:11">
      <c r="B160" s="2597"/>
      <c r="C160" s="16"/>
      <c r="D160" s="16"/>
      <c r="E160" s="16"/>
      <c r="F160" s="16"/>
      <c r="G160" s="16"/>
      <c r="H160" s="58"/>
      <c r="K160" s="159"/>
    </row>
    <row r="161" spans="2:11">
      <c r="B161" s="2597" t="s">
        <v>1931</v>
      </c>
      <c r="C161" s="16"/>
      <c r="D161" s="16"/>
      <c r="E161" s="242">
        <f>'RS R wall'!E258</f>
        <v>62.925793498801845</v>
      </c>
      <c r="F161" s="241" t="s">
        <v>816</v>
      </c>
      <c r="G161" s="242">
        <f>E161*0.00948</f>
        <v>0.59653652236864152</v>
      </c>
      <c r="H161" s="366" t="s">
        <v>817</v>
      </c>
      <c r="K161" s="159"/>
    </row>
    <row r="162" spans="2:11">
      <c r="B162" s="2597"/>
      <c r="C162" s="16"/>
      <c r="D162" s="16"/>
      <c r="E162" s="16"/>
      <c r="F162" s="16"/>
      <c r="G162" s="16"/>
      <c r="H162" s="58"/>
      <c r="K162" s="159"/>
    </row>
    <row r="163" spans="2:11">
      <c r="B163" s="2598" t="s">
        <v>1932</v>
      </c>
      <c r="C163" s="59"/>
      <c r="D163" s="59"/>
      <c r="E163" s="212">
        <f>'CS R Wall'!E258</f>
        <v>62.925793498801845</v>
      </c>
      <c r="F163" s="204" t="s">
        <v>816</v>
      </c>
      <c r="G163" s="212">
        <f>E163*0.00948</f>
        <v>0.59653652236864152</v>
      </c>
      <c r="H163" s="518" t="s">
        <v>817</v>
      </c>
      <c r="K163" s="159"/>
    </row>
    <row r="164" spans="2:11" ht="15">
      <c r="C164" s="337"/>
      <c r="D164" s="337"/>
      <c r="E164" s="337"/>
      <c r="F164" s="338"/>
      <c r="G164" s="84"/>
      <c r="H164" s="337"/>
      <c r="K164" s="159"/>
    </row>
    <row r="165" spans="2:11" ht="18">
      <c r="B165" s="2564" t="s">
        <v>1936</v>
      </c>
      <c r="K165" s="159"/>
    </row>
    <row r="166" spans="2:11" ht="18">
      <c r="B166" s="2564"/>
      <c r="K166" s="159"/>
    </row>
    <row r="167" spans="2:11">
      <c r="B167" s="291" t="s">
        <v>2066</v>
      </c>
      <c r="C167" s="109"/>
      <c r="E167" s="187" t="s">
        <v>357</v>
      </c>
      <c r="G167" s="129">
        <f>'CS gate'!C32*1000</f>
        <v>450</v>
      </c>
      <c r="H167" s="187" t="s">
        <v>98</v>
      </c>
      <c r="I167" s="2600" t="str">
        <f>'CS gate'!F77</f>
        <v/>
      </c>
      <c r="J167" s="2600"/>
      <c r="K167" s="159"/>
    </row>
    <row r="168" spans="2:11">
      <c r="K168" s="159"/>
    </row>
    <row r="169" spans="2:11">
      <c r="B169" s="544" t="s">
        <v>440</v>
      </c>
      <c r="C169" s="55"/>
      <c r="D169" s="484"/>
      <c r="E169" s="485"/>
      <c r="F169" s="485"/>
      <c r="G169" s="56"/>
      <c r="K169" s="159"/>
    </row>
    <row r="170" spans="2:11" ht="15.75">
      <c r="B170" s="259" t="s">
        <v>441</v>
      </c>
      <c r="C170" s="268" t="s">
        <v>136</v>
      </c>
      <c r="D170" s="540">
        <f>'CS gate'!D112</f>
        <v>16</v>
      </c>
      <c r="E170" s="541" t="s">
        <v>481</v>
      </c>
      <c r="F170" s="540">
        <f>'CS gate'!F112</f>
        <v>100</v>
      </c>
      <c r="G170" s="272" t="s">
        <v>482</v>
      </c>
      <c r="K170" s="159"/>
    </row>
    <row r="171" spans="2:11" ht="15.75">
      <c r="B171" s="262" t="s">
        <v>442</v>
      </c>
      <c r="C171" s="278" t="s">
        <v>136</v>
      </c>
      <c r="D171" s="543">
        <f>'CS gate'!D113</f>
        <v>16</v>
      </c>
      <c r="E171" s="542" t="s">
        <v>481</v>
      </c>
      <c r="F171" s="543">
        <f>'CS gate'!F113</f>
        <v>200</v>
      </c>
      <c r="G171" s="282" t="s">
        <v>482</v>
      </c>
      <c r="K171" s="159"/>
    </row>
    <row r="172" spans="2:11" ht="15.75">
      <c r="B172" s="363" t="s">
        <v>443</v>
      </c>
      <c r="C172" s="273"/>
      <c r="D172" s="540"/>
      <c r="E172" s="547"/>
      <c r="F172" s="540"/>
      <c r="G172" s="277"/>
      <c r="K172" s="159"/>
    </row>
    <row r="173" spans="2:11" ht="15.75">
      <c r="B173" s="259" t="s">
        <v>441</v>
      </c>
      <c r="C173" s="268" t="s">
        <v>136</v>
      </c>
      <c r="D173" s="540">
        <f>'CS gate'!D115</f>
        <v>16</v>
      </c>
      <c r="E173" s="541" t="s">
        <v>481</v>
      </c>
      <c r="F173" s="540">
        <f>'CS gate'!F115</f>
        <v>100</v>
      </c>
      <c r="G173" s="272" t="s">
        <v>482</v>
      </c>
      <c r="K173" s="159"/>
    </row>
    <row r="174" spans="2:11" ht="15.75">
      <c r="B174" s="262" t="s">
        <v>442</v>
      </c>
      <c r="C174" s="278" t="s">
        <v>136</v>
      </c>
      <c r="D174" s="543">
        <f>'CS gate'!D116</f>
        <v>16</v>
      </c>
      <c r="E174" s="542" t="s">
        <v>481</v>
      </c>
      <c r="F174" s="543">
        <f>'CS gate'!F116</f>
        <v>200</v>
      </c>
      <c r="G174" s="282" t="s">
        <v>482</v>
      </c>
      <c r="K174" s="159"/>
    </row>
    <row r="175" spans="2:11" ht="18">
      <c r="B175" s="2564"/>
      <c r="K175" s="159"/>
    </row>
    <row r="176" spans="2:11">
      <c r="B176" s="109" t="s">
        <v>2067</v>
      </c>
      <c r="D176" s="187"/>
      <c r="E176" s="187" t="s">
        <v>926</v>
      </c>
      <c r="G176" s="129">
        <f>'CS gate'!G33*1000</f>
        <v>750</v>
      </c>
      <c r="H176" s="187" t="s">
        <v>804</v>
      </c>
      <c r="K176" s="159"/>
    </row>
    <row r="177" spans="2:11">
      <c r="B177" s="187"/>
      <c r="G177">
        <f>'CS gate'!C33*1000</f>
        <v>750</v>
      </c>
      <c r="H177" s="187" t="s">
        <v>805</v>
      </c>
      <c r="K177" s="159"/>
    </row>
    <row r="178" spans="2:11">
      <c r="B178" s="544" t="s">
        <v>492</v>
      </c>
      <c r="C178" s="55"/>
      <c r="D178" s="252"/>
      <c r="E178" s="55"/>
      <c r="F178" s="55"/>
      <c r="G178" s="56"/>
      <c r="K178" s="159"/>
    </row>
    <row r="179" spans="2:11" ht="15.75">
      <c r="B179" s="259" t="s">
        <v>111</v>
      </c>
      <c r="C179" s="268" t="s">
        <v>136</v>
      </c>
      <c r="D179" s="540">
        <f>'CS gate'!D242</f>
        <v>20</v>
      </c>
      <c r="E179" s="541" t="s">
        <v>481</v>
      </c>
      <c r="F179" s="540">
        <f>'CS gate'!F242</f>
        <v>200</v>
      </c>
      <c r="G179" s="272" t="s">
        <v>482</v>
      </c>
      <c r="K179" s="159"/>
    </row>
    <row r="180" spans="2:11" ht="15.75">
      <c r="B180" s="262" t="s">
        <v>110</v>
      </c>
      <c r="C180" s="278" t="s">
        <v>136</v>
      </c>
      <c r="D180" s="543">
        <f>'CS gate'!D243</f>
        <v>16</v>
      </c>
      <c r="E180" s="542" t="s">
        <v>481</v>
      </c>
      <c r="F180" s="543">
        <f>'CS gate'!F243</f>
        <v>200</v>
      </c>
      <c r="G180" s="282" t="s">
        <v>482</v>
      </c>
      <c r="K180" s="159"/>
    </row>
    <row r="181" spans="2:11" ht="15.75">
      <c r="B181" s="363" t="s">
        <v>493</v>
      </c>
      <c r="C181" s="273"/>
      <c r="D181" s="483"/>
      <c r="E181" s="275"/>
      <c r="F181" s="483"/>
      <c r="G181" s="277"/>
      <c r="K181" s="159"/>
    </row>
    <row r="182" spans="2:11" ht="15.75">
      <c r="B182" s="259" t="s">
        <v>111</v>
      </c>
      <c r="C182" s="268" t="s">
        <v>136</v>
      </c>
      <c r="D182" s="540">
        <f>'CS gate'!D245</f>
        <v>20</v>
      </c>
      <c r="E182" s="541" t="s">
        <v>481</v>
      </c>
      <c r="F182" s="540">
        <f>'CS gate'!F245</f>
        <v>200</v>
      </c>
      <c r="G182" s="272" t="s">
        <v>482</v>
      </c>
      <c r="K182" s="159"/>
    </row>
    <row r="183" spans="2:11" ht="15.75">
      <c r="B183" s="262" t="s">
        <v>110</v>
      </c>
      <c r="C183" s="278" t="s">
        <v>136</v>
      </c>
      <c r="D183" s="543">
        <f>'CS gate'!D246</f>
        <v>16</v>
      </c>
      <c r="E183" s="542" t="s">
        <v>481</v>
      </c>
      <c r="F183" s="543">
        <f>'CS gate'!F246</f>
        <v>200</v>
      </c>
      <c r="G183" s="282" t="s">
        <v>482</v>
      </c>
      <c r="K183" s="159"/>
    </row>
    <row r="184" spans="2:11">
      <c r="K184" s="159"/>
    </row>
    <row r="185" spans="2:11">
      <c r="B185" s="203" t="s">
        <v>543</v>
      </c>
      <c r="C185" s="90">
        <f>'CS gate'!C288</f>
        <v>10</v>
      </c>
      <c r="D185" s="90">
        <f>'CS gate'!D288</f>
        <v>20</v>
      </c>
      <c r="E185" t="s">
        <v>544</v>
      </c>
      <c r="F185" s="187"/>
      <c r="K185" s="159"/>
    </row>
    <row r="186" spans="2:11">
      <c r="K186" s="159"/>
    </row>
    <row r="187" spans="2:11">
      <c r="B187" s="291" t="s">
        <v>2068</v>
      </c>
      <c r="E187" s="187" t="s">
        <v>926</v>
      </c>
      <c r="G187" s="129">
        <f>'CS gate'!C34*1000</f>
        <v>750</v>
      </c>
      <c r="H187" s="187" t="s">
        <v>98</v>
      </c>
      <c r="K187" s="159"/>
    </row>
    <row r="188" spans="2:11">
      <c r="K188" s="159"/>
    </row>
    <row r="189" spans="2:11">
      <c r="B189" s="545" t="s">
        <v>493</v>
      </c>
      <c r="C189" s="406"/>
      <c r="D189" s="347"/>
      <c r="E189" s="406"/>
      <c r="F189" s="406"/>
      <c r="G189" s="407"/>
      <c r="K189" s="159"/>
    </row>
    <row r="190" spans="2:11" ht="15.75">
      <c r="B190" s="259" t="s">
        <v>111</v>
      </c>
      <c r="C190" s="268" t="s">
        <v>136</v>
      </c>
      <c r="D190" s="540">
        <f>'CS gate'!D336</f>
        <v>20</v>
      </c>
      <c r="E190" s="541" t="s">
        <v>481</v>
      </c>
      <c r="F190" s="540">
        <f>'CS gate'!F336</f>
        <v>200</v>
      </c>
      <c r="G190" s="272" t="s">
        <v>482</v>
      </c>
      <c r="K190" s="159"/>
    </row>
    <row r="191" spans="2:11" ht="15.75">
      <c r="B191" s="262" t="s">
        <v>110</v>
      </c>
      <c r="C191" s="278" t="s">
        <v>136</v>
      </c>
      <c r="D191" s="543">
        <f>'CS gate'!D337</f>
        <v>16</v>
      </c>
      <c r="E191" s="542" t="s">
        <v>481</v>
      </c>
      <c r="F191" s="543">
        <f>'CS gate'!F337</f>
        <v>200</v>
      </c>
      <c r="G191" s="282" t="s">
        <v>482</v>
      </c>
      <c r="K191" s="159"/>
    </row>
    <row r="192" spans="2:11">
      <c r="K192" s="159"/>
    </row>
    <row r="193" spans="2:11">
      <c r="B193" s="203" t="s">
        <v>543</v>
      </c>
      <c r="C193" s="90">
        <f>'CS gate'!C369</f>
        <v>10</v>
      </c>
      <c r="D193" s="90">
        <f>'CS gate'!D369</f>
        <v>25</v>
      </c>
      <c r="E193" t="s">
        <v>588</v>
      </c>
      <c r="F193" s="187"/>
      <c r="K193" s="159"/>
    </row>
    <row r="194" spans="2:11">
      <c r="K194" s="159"/>
    </row>
    <row r="195" spans="2:11">
      <c r="B195" s="291" t="s">
        <v>1937</v>
      </c>
      <c r="E195" s="187" t="s">
        <v>357</v>
      </c>
      <c r="G195" s="129">
        <f>'CS gate'!I452</f>
        <v>1200</v>
      </c>
      <c r="H195" s="187" t="s">
        <v>98</v>
      </c>
      <c r="K195" s="159"/>
    </row>
    <row r="196" spans="2:11">
      <c r="K196" s="159"/>
    </row>
    <row r="197" spans="2:11">
      <c r="B197" s="544" t="s">
        <v>440</v>
      </c>
      <c r="C197" s="406"/>
      <c r="D197" s="347"/>
      <c r="E197" s="406"/>
      <c r="F197" s="406"/>
      <c r="G197" s="407"/>
      <c r="K197" s="159"/>
    </row>
    <row r="198" spans="2:11" ht="15.75">
      <c r="B198" s="259" t="s">
        <v>441</v>
      </c>
      <c r="C198" s="268" t="s">
        <v>136</v>
      </c>
      <c r="D198" s="540">
        <f>'CS gate'!D481</f>
        <v>16</v>
      </c>
      <c r="E198" s="541" t="s">
        <v>481</v>
      </c>
      <c r="F198" s="540">
        <f>'CS gate'!F481</f>
        <v>200</v>
      </c>
      <c r="G198" s="272" t="s">
        <v>482</v>
      </c>
      <c r="K198" s="159"/>
    </row>
    <row r="199" spans="2:11" ht="15.75">
      <c r="B199" s="262" t="s">
        <v>442</v>
      </c>
      <c r="C199" s="278" t="s">
        <v>136</v>
      </c>
      <c r="D199" s="543">
        <f>'CS gate'!D482</f>
        <v>16</v>
      </c>
      <c r="E199" s="542" t="s">
        <v>481</v>
      </c>
      <c r="F199" s="543">
        <f>'CS gate'!F482</f>
        <v>200</v>
      </c>
      <c r="G199" s="282" t="s">
        <v>482</v>
      </c>
      <c r="K199" s="159"/>
    </row>
    <row r="200" spans="2:11" ht="15.75">
      <c r="B200" s="363" t="s">
        <v>443</v>
      </c>
      <c r="C200" s="273"/>
      <c r="D200" s="540"/>
      <c r="E200" s="541"/>
      <c r="F200" s="540"/>
      <c r="G200" s="277"/>
      <c r="K200" s="159"/>
    </row>
    <row r="201" spans="2:11" ht="15.75">
      <c r="B201" s="259" t="s">
        <v>441</v>
      </c>
      <c r="C201" s="268" t="s">
        <v>136</v>
      </c>
      <c r="D201" s="540">
        <f>'CS gate'!D484</f>
        <v>20</v>
      </c>
      <c r="E201" s="541" t="s">
        <v>481</v>
      </c>
      <c r="F201" s="540">
        <f>'CS gate'!F484</f>
        <v>200</v>
      </c>
      <c r="G201" s="272" t="s">
        <v>482</v>
      </c>
      <c r="K201" s="159"/>
    </row>
    <row r="202" spans="2:11" ht="15.75">
      <c r="B202" s="262" t="s">
        <v>442</v>
      </c>
      <c r="C202" s="278" t="s">
        <v>136</v>
      </c>
      <c r="D202" s="543">
        <f>'CS gate'!D485</f>
        <v>16</v>
      </c>
      <c r="E202" s="542" t="s">
        <v>481</v>
      </c>
      <c r="F202" s="543">
        <f>'CS gate'!F485</f>
        <v>250</v>
      </c>
      <c r="G202" s="282" t="s">
        <v>482</v>
      </c>
      <c r="K202" s="159"/>
    </row>
    <row r="203" spans="2:11">
      <c r="C203" s="46"/>
      <c r="D203" s="46"/>
      <c r="E203" s="46"/>
      <c r="K203" s="159"/>
    </row>
    <row r="204" spans="2:11" ht="18">
      <c r="B204" s="2564" t="s">
        <v>1938</v>
      </c>
      <c r="K204" s="159"/>
    </row>
    <row r="205" spans="2:11" ht="18">
      <c r="B205" s="2564"/>
      <c r="K205" s="159"/>
    </row>
    <row r="206" spans="2:11">
      <c r="B206" s="291" t="s">
        <v>2069</v>
      </c>
      <c r="C206" s="109"/>
      <c r="E206" s="187" t="s">
        <v>357</v>
      </c>
      <c r="G206" s="129">
        <f>'RS gate'!G79</f>
        <v>450</v>
      </c>
      <c r="H206" s="187" t="s">
        <v>98</v>
      </c>
      <c r="I206" s="2600" t="str">
        <f>'RS gate'!F77</f>
        <v/>
      </c>
      <c r="J206" s="2600"/>
      <c r="K206" s="159"/>
    </row>
    <row r="207" spans="2:11">
      <c r="K207" s="159"/>
    </row>
    <row r="208" spans="2:11">
      <c r="B208" s="544" t="s">
        <v>440</v>
      </c>
      <c r="C208" s="55"/>
      <c r="D208" s="484"/>
      <c r="E208" s="485"/>
      <c r="F208" s="485"/>
      <c r="G208" s="2628"/>
      <c r="K208" s="159"/>
    </row>
    <row r="209" spans="2:11" ht="15.75">
      <c r="B209" s="259" t="s">
        <v>441</v>
      </c>
      <c r="C209" s="268" t="s">
        <v>136</v>
      </c>
      <c r="D209" s="540">
        <f>'RS gate'!D113</f>
        <v>16</v>
      </c>
      <c r="E209" s="541" t="s">
        <v>481</v>
      </c>
      <c r="F209" s="540">
        <f>'RS gate'!F113</f>
        <v>100</v>
      </c>
      <c r="G209" s="272" t="s">
        <v>482</v>
      </c>
      <c r="K209" s="159"/>
    </row>
    <row r="210" spans="2:11" ht="15.75">
      <c r="B210" s="262" t="s">
        <v>442</v>
      </c>
      <c r="C210" s="278" t="s">
        <v>136</v>
      </c>
      <c r="D210" s="543">
        <f>'RS gate'!D114</f>
        <v>16</v>
      </c>
      <c r="E210" s="542" t="s">
        <v>481</v>
      </c>
      <c r="F210" s="543">
        <f>'RS gate'!F114</f>
        <v>200</v>
      </c>
      <c r="G210" s="282" t="s">
        <v>482</v>
      </c>
      <c r="K210" s="159"/>
    </row>
    <row r="211" spans="2:11" ht="15.75">
      <c r="B211" s="363" t="s">
        <v>443</v>
      </c>
      <c r="C211" s="273"/>
      <c r="D211" s="540"/>
      <c r="E211" s="547"/>
      <c r="F211" s="540"/>
      <c r="G211" s="277"/>
      <c r="K211" s="159"/>
    </row>
    <row r="212" spans="2:11" ht="15.75">
      <c r="B212" s="259" t="s">
        <v>441</v>
      </c>
      <c r="C212" s="268" t="s">
        <v>136</v>
      </c>
      <c r="D212" s="540">
        <f>'RS gate'!D116</f>
        <v>16</v>
      </c>
      <c r="E212" s="541" t="s">
        <v>481</v>
      </c>
      <c r="F212" s="540">
        <f>'RS gate'!F116</f>
        <v>100</v>
      </c>
      <c r="G212" s="272" t="s">
        <v>482</v>
      </c>
      <c r="K212" s="159"/>
    </row>
    <row r="213" spans="2:11" ht="15.75">
      <c r="B213" s="262" t="s">
        <v>442</v>
      </c>
      <c r="C213" s="278" t="s">
        <v>136</v>
      </c>
      <c r="D213" s="543">
        <f>'RS gate'!D117</f>
        <v>16</v>
      </c>
      <c r="E213" s="542" t="s">
        <v>481</v>
      </c>
      <c r="F213" s="543">
        <f>'RS gate'!F117</f>
        <v>200</v>
      </c>
      <c r="G213" s="282" t="s">
        <v>482</v>
      </c>
      <c r="K213" s="159"/>
    </row>
    <row r="214" spans="2:11" ht="18">
      <c r="B214" s="2564"/>
      <c r="K214" s="159"/>
    </row>
    <row r="215" spans="2:11">
      <c r="B215" s="109" t="s">
        <v>2070</v>
      </c>
      <c r="D215" s="187"/>
      <c r="E215" s="187" t="s">
        <v>926</v>
      </c>
      <c r="G215" s="129">
        <f>'RS gate'!F124</f>
        <v>750</v>
      </c>
      <c r="H215" s="187" t="s">
        <v>804</v>
      </c>
      <c r="K215" s="159"/>
    </row>
    <row r="216" spans="2:11">
      <c r="B216" s="187"/>
      <c r="G216">
        <f>'RS gate'!F142</f>
        <v>750</v>
      </c>
      <c r="H216" s="187" t="s">
        <v>805</v>
      </c>
      <c r="K216" s="159"/>
    </row>
    <row r="217" spans="2:11">
      <c r="B217" s="544" t="s">
        <v>492</v>
      </c>
      <c r="C217" s="55"/>
      <c r="D217" s="2622"/>
      <c r="E217" s="55"/>
      <c r="F217" s="55"/>
      <c r="G217" s="2628"/>
      <c r="K217" s="159"/>
    </row>
    <row r="218" spans="2:11" ht="15.75">
      <c r="B218" s="259" t="s">
        <v>111</v>
      </c>
      <c r="C218" s="268" t="s">
        <v>136</v>
      </c>
      <c r="D218" s="540">
        <f>'RS gate'!D244</f>
        <v>20</v>
      </c>
      <c r="E218" s="541" t="s">
        <v>481</v>
      </c>
      <c r="F218" s="540">
        <f>'RS gate'!F244</f>
        <v>200</v>
      </c>
      <c r="G218" s="272" t="s">
        <v>482</v>
      </c>
      <c r="K218" s="159"/>
    </row>
    <row r="219" spans="2:11" ht="15.75">
      <c r="B219" s="262" t="s">
        <v>110</v>
      </c>
      <c r="C219" s="278" t="s">
        <v>136</v>
      </c>
      <c r="D219" s="543">
        <f>'RS gate'!D245</f>
        <v>16</v>
      </c>
      <c r="E219" s="542" t="s">
        <v>481</v>
      </c>
      <c r="F219" s="543">
        <f>'RS gate'!F245</f>
        <v>200</v>
      </c>
      <c r="G219" s="282" t="s">
        <v>482</v>
      </c>
      <c r="K219" s="159"/>
    </row>
    <row r="220" spans="2:11" ht="15.75">
      <c r="B220" s="363" t="s">
        <v>493</v>
      </c>
      <c r="C220" s="273"/>
      <c r="D220" s="483"/>
      <c r="E220" s="275"/>
      <c r="F220" s="483"/>
      <c r="G220" s="277"/>
      <c r="K220" s="159"/>
    </row>
    <row r="221" spans="2:11" ht="15.75">
      <c r="B221" s="259" t="s">
        <v>111</v>
      </c>
      <c r="C221" s="268" t="s">
        <v>136</v>
      </c>
      <c r="D221" s="540">
        <f>'RS gate'!D247</f>
        <v>20</v>
      </c>
      <c r="E221" s="541" t="s">
        <v>481</v>
      </c>
      <c r="F221" s="540">
        <f>'RS gate'!F247</f>
        <v>200</v>
      </c>
      <c r="G221" s="272" t="s">
        <v>482</v>
      </c>
      <c r="K221" s="159"/>
    </row>
    <row r="222" spans="2:11" ht="15.75">
      <c r="B222" s="262" t="s">
        <v>110</v>
      </c>
      <c r="C222" s="278" t="s">
        <v>136</v>
      </c>
      <c r="D222" s="543">
        <f>'RS gate'!D248</f>
        <v>16</v>
      </c>
      <c r="E222" s="542" t="s">
        <v>481</v>
      </c>
      <c r="F222" s="543">
        <f>'RS gate'!F248</f>
        <v>200</v>
      </c>
      <c r="G222" s="282" t="s">
        <v>482</v>
      </c>
      <c r="K222" s="159"/>
    </row>
    <row r="223" spans="2:11">
      <c r="K223" s="159"/>
    </row>
    <row r="224" spans="2:11">
      <c r="B224" s="203" t="s">
        <v>543</v>
      </c>
      <c r="C224" s="90">
        <f>'RS gate'!C289</f>
        <v>10</v>
      </c>
      <c r="D224" s="2261">
        <f>'RS gate'!D289</f>
        <v>20</v>
      </c>
      <c r="E224" t="s">
        <v>544</v>
      </c>
      <c r="F224" s="187"/>
      <c r="K224" s="159"/>
    </row>
    <row r="225" spans="2:11">
      <c r="K225" s="159"/>
    </row>
    <row r="226" spans="2:11">
      <c r="B226" s="291" t="s">
        <v>2071</v>
      </c>
      <c r="E226" s="187" t="s">
        <v>926</v>
      </c>
      <c r="G226" s="129">
        <f>'RS gate'!F318</f>
        <v>750</v>
      </c>
      <c r="H226" s="187" t="s">
        <v>98</v>
      </c>
      <c r="K226" s="159"/>
    </row>
    <row r="227" spans="2:11">
      <c r="K227" s="159"/>
    </row>
    <row r="228" spans="2:11">
      <c r="B228" s="545" t="s">
        <v>493</v>
      </c>
      <c r="C228" s="406"/>
      <c r="D228" s="347"/>
      <c r="E228" s="406"/>
      <c r="F228" s="406"/>
      <c r="G228" s="407"/>
      <c r="K228" s="159"/>
    </row>
    <row r="229" spans="2:11" ht="15.75">
      <c r="B229" s="259" t="s">
        <v>111</v>
      </c>
      <c r="C229" s="268" t="s">
        <v>136</v>
      </c>
      <c r="D229" s="540">
        <f>'RS gate'!D337</f>
        <v>20</v>
      </c>
      <c r="E229" s="541" t="s">
        <v>481</v>
      </c>
      <c r="F229" s="540">
        <f>'RS gate'!F337</f>
        <v>200</v>
      </c>
      <c r="G229" s="272" t="s">
        <v>482</v>
      </c>
      <c r="K229" s="159"/>
    </row>
    <row r="230" spans="2:11" ht="15.75">
      <c r="B230" s="262" t="s">
        <v>110</v>
      </c>
      <c r="C230" s="278" t="s">
        <v>136</v>
      </c>
      <c r="D230" s="543">
        <f>'RS gate'!D338</f>
        <v>16</v>
      </c>
      <c r="E230" s="542" t="s">
        <v>481</v>
      </c>
      <c r="F230" s="543">
        <f>'RS gate'!F338</f>
        <v>200</v>
      </c>
      <c r="G230" s="282" t="s">
        <v>482</v>
      </c>
      <c r="K230" s="159"/>
    </row>
    <row r="231" spans="2:11">
      <c r="K231" s="159"/>
    </row>
    <row r="232" spans="2:11">
      <c r="B232" s="203" t="s">
        <v>543</v>
      </c>
      <c r="C232" s="90">
        <f>'RS gate'!C370</f>
        <v>10</v>
      </c>
      <c r="D232" s="2261">
        <f>'RS gate'!D370</f>
        <v>25</v>
      </c>
      <c r="E232" t="s">
        <v>588</v>
      </c>
      <c r="F232" s="187"/>
      <c r="K232" s="159"/>
    </row>
    <row r="233" spans="2:11">
      <c r="K233" s="159"/>
    </row>
    <row r="234" spans="2:11">
      <c r="B234" s="291" t="s">
        <v>1939</v>
      </c>
      <c r="E234" s="187" t="s">
        <v>357</v>
      </c>
      <c r="G234" s="129">
        <f>'RS gate'!I453</f>
        <v>1200</v>
      </c>
      <c r="H234" s="187" t="s">
        <v>98</v>
      </c>
      <c r="K234" s="159"/>
    </row>
    <row r="235" spans="2:11">
      <c r="K235" s="159"/>
    </row>
    <row r="236" spans="2:11">
      <c r="B236" s="544" t="s">
        <v>440</v>
      </c>
      <c r="C236" s="406"/>
      <c r="D236" s="2631"/>
      <c r="E236" s="406"/>
      <c r="F236" s="406"/>
      <c r="G236" s="407"/>
      <c r="K236" s="159"/>
    </row>
    <row r="237" spans="2:11" ht="15.75">
      <c r="B237" s="259" t="s">
        <v>441</v>
      </c>
      <c r="C237" s="268" t="s">
        <v>136</v>
      </c>
      <c r="D237" s="540">
        <f>'RS gate'!D482</f>
        <v>16</v>
      </c>
      <c r="E237" s="541" t="s">
        <v>481</v>
      </c>
      <c r="F237" s="540">
        <f>'RS gate'!F482</f>
        <v>200</v>
      </c>
      <c r="G237" s="272" t="s">
        <v>482</v>
      </c>
      <c r="K237" s="159"/>
    </row>
    <row r="238" spans="2:11" ht="15.75">
      <c r="B238" s="262" t="s">
        <v>442</v>
      </c>
      <c r="C238" s="278" t="s">
        <v>136</v>
      </c>
      <c r="D238" s="543">
        <f>'RS gate'!D483</f>
        <v>16</v>
      </c>
      <c r="E238" s="542" t="s">
        <v>481</v>
      </c>
      <c r="F238" s="543">
        <f>'RS gate'!F483</f>
        <v>200</v>
      </c>
      <c r="G238" s="282" t="s">
        <v>482</v>
      </c>
      <c r="K238" s="159"/>
    </row>
    <row r="239" spans="2:11" ht="15.75">
      <c r="B239" s="363" t="s">
        <v>443</v>
      </c>
      <c r="C239" s="273"/>
      <c r="D239" s="540"/>
      <c r="E239" s="541"/>
      <c r="F239" s="540"/>
      <c r="G239" s="277"/>
      <c r="K239" s="159"/>
    </row>
    <row r="240" spans="2:11" ht="15.75">
      <c r="B240" s="259" t="s">
        <v>441</v>
      </c>
      <c r="C240" s="268" t="s">
        <v>136</v>
      </c>
      <c r="D240" s="540">
        <f>'RS gate'!D485</f>
        <v>20</v>
      </c>
      <c r="E240" s="541" t="s">
        <v>481</v>
      </c>
      <c r="F240" s="540">
        <f>'RS gate'!F485</f>
        <v>200</v>
      </c>
      <c r="G240" s="272" t="s">
        <v>482</v>
      </c>
      <c r="K240" s="159"/>
    </row>
    <row r="241" spans="1:11" ht="15.75">
      <c r="B241" s="262" t="s">
        <v>442</v>
      </c>
      <c r="C241" s="278" t="s">
        <v>136</v>
      </c>
      <c r="D241" s="543">
        <f>'RS gate'!D486</f>
        <v>16</v>
      </c>
      <c r="E241" s="542" t="s">
        <v>481</v>
      </c>
      <c r="F241" s="543">
        <f>'RS gate'!F486</f>
        <v>250</v>
      </c>
      <c r="G241" s="282" t="s">
        <v>482</v>
      </c>
      <c r="K241" s="159"/>
    </row>
    <row r="242" spans="1:11">
      <c r="K242" s="159"/>
    </row>
    <row r="243" spans="1:11">
      <c r="K243" s="159"/>
    </row>
    <row r="244" spans="1:11">
      <c r="C244" s="33"/>
      <c r="D244" s="187"/>
      <c r="G244" s="33"/>
      <c r="H244" s="187"/>
      <c r="I244" s="187"/>
      <c r="K244" s="159"/>
    </row>
    <row r="245" spans="1:11" ht="18">
      <c r="A245" s="2564" t="s">
        <v>1919</v>
      </c>
      <c r="K245" s="159"/>
    </row>
    <row r="246" spans="1:11">
      <c r="G246" s="33"/>
      <c r="H246" s="187"/>
      <c r="K246" s="159"/>
    </row>
    <row r="247" spans="1:11">
      <c r="B247" s="189">
        <f>'CS Wing'!B57</f>
        <v>1.2</v>
      </c>
      <c r="E247" s="84">
        <f>'CS Wing'!E26</f>
        <v>17.7</v>
      </c>
      <c r="F247" s="187" t="s">
        <v>5</v>
      </c>
      <c r="K247" s="159"/>
    </row>
    <row r="248" spans="1:11">
      <c r="K248" s="159"/>
    </row>
    <row r="249" spans="1:11" ht="15">
      <c r="C249" s="33">
        <f>C273</f>
        <v>3.2999999999999972</v>
      </c>
      <c r="E249" s="33">
        <f>E273</f>
        <v>5.8500000000000005</v>
      </c>
      <c r="G249" s="2143">
        <f>'CS Wing'!G34</f>
        <v>5.8500000000000005</v>
      </c>
      <c r="H249" s="46"/>
      <c r="I249" s="1364">
        <f>'CS Wing'!I34</f>
        <v>1</v>
      </c>
      <c r="K249" s="159"/>
    </row>
    <row r="250" spans="1:11">
      <c r="K250" s="159"/>
    </row>
    <row r="251" spans="1:11" ht="15">
      <c r="A251" s="33"/>
      <c r="H251" s="1364">
        <f>'CS Wing'!H36</f>
        <v>2</v>
      </c>
      <c r="I251" s="205">
        <f>'CS Wing'!I36</f>
        <v>14.8</v>
      </c>
      <c r="J251" s="187" t="s">
        <v>379</v>
      </c>
      <c r="K251" s="159"/>
    </row>
    <row r="252" spans="1:11" ht="15">
      <c r="B252" s="1969">
        <f>'CS Wing'!B37</f>
        <v>5</v>
      </c>
      <c r="F252" s="1968">
        <f>'CS Wing'!F37</f>
        <v>3</v>
      </c>
      <c r="G252" s="223">
        <f>'CS Wing'!G37</f>
        <v>13.9</v>
      </c>
      <c r="K252" s="159"/>
    </row>
    <row r="253" spans="1:11" ht="15">
      <c r="D253" s="1969">
        <f>'CS Wing'!D38</f>
        <v>4</v>
      </c>
      <c r="K253" s="159"/>
    </row>
    <row r="254" spans="1:11" ht="15">
      <c r="E254" s="1937">
        <f>'CS Wing'!E39</f>
        <v>11.95</v>
      </c>
      <c r="K254" s="159"/>
    </row>
    <row r="255" spans="1:11">
      <c r="K255" s="159"/>
    </row>
    <row r="256" spans="1:11">
      <c r="A256" s="203" t="s">
        <v>149</v>
      </c>
      <c r="B256" s="141">
        <f>'CS Wing'!B41</f>
        <v>10</v>
      </c>
      <c r="K256" s="159"/>
    </row>
    <row r="257" spans="1:11" ht="15">
      <c r="G257" s="338"/>
      <c r="H257" s="548"/>
      <c r="I257" s="54">
        <f>I251-I263</f>
        <v>7.8000000000000007</v>
      </c>
      <c r="K257" s="159"/>
    </row>
    <row r="258" spans="1:11" ht="15">
      <c r="F258" s="33">
        <f>E254-D265</f>
        <v>5.85</v>
      </c>
      <c r="G258" s="338"/>
      <c r="H258" s="36">
        <f>G252-D265</f>
        <v>7.8000000000000007</v>
      </c>
      <c r="K258" s="159"/>
    </row>
    <row r="259" spans="1:11" ht="15">
      <c r="A259" s="2138"/>
      <c r="B259" s="46"/>
      <c r="C259" s="46"/>
      <c r="D259" s="46"/>
      <c r="E259" s="189">
        <f>B256-D265</f>
        <v>3.9000000000000004</v>
      </c>
      <c r="F259" s="2139"/>
      <c r="G259" s="109"/>
      <c r="H259" s="46"/>
      <c r="I259" s="46"/>
      <c r="K259" s="159"/>
    </row>
    <row r="260" spans="1:11">
      <c r="A260" s="46"/>
      <c r="B260" s="46"/>
      <c r="C260" s="46"/>
      <c r="D260" s="46"/>
      <c r="E260" s="46"/>
      <c r="F260" s="46"/>
      <c r="G260" s="46"/>
      <c r="H260" s="2138"/>
      <c r="I260" s="2140"/>
      <c r="J260" s="187"/>
      <c r="K260" s="159"/>
    </row>
    <row r="261" spans="1:11">
      <c r="B261" s="36">
        <f>B256-D265</f>
        <v>3.9000000000000004</v>
      </c>
      <c r="K261" s="159"/>
    </row>
    <row r="262" spans="1:11">
      <c r="K262" s="159"/>
    </row>
    <row r="263" spans="1:11">
      <c r="I263" s="133">
        <f>'CS Wing'!I48</f>
        <v>7</v>
      </c>
      <c r="J263" s="187" t="s">
        <v>379</v>
      </c>
      <c r="K263" s="159"/>
    </row>
    <row r="264" spans="1:11">
      <c r="G264" s="162">
        <f>'CS Wing'!G49</f>
        <v>0.90000000000000036</v>
      </c>
      <c r="H264" s="187" t="s">
        <v>5</v>
      </c>
      <c r="K264" s="159"/>
    </row>
    <row r="265" spans="1:11">
      <c r="D265" s="141">
        <f>'CS Wing'!D50</f>
        <v>6.1</v>
      </c>
      <c r="K265" s="159"/>
    </row>
    <row r="266" spans="1:11">
      <c r="A266" s="190">
        <f>A277</f>
        <v>0.65</v>
      </c>
      <c r="K266" s="159"/>
    </row>
    <row r="267" spans="1:11">
      <c r="A267" s="3226">
        <f>Hydraulic!J28</f>
        <v>0.3</v>
      </c>
      <c r="K267" s="159"/>
    </row>
    <row r="268" spans="1:11">
      <c r="A268" s="3226"/>
      <c r="K268" s="159"/>
    </row>
    <row r="269" spans="1:11" ht="15">
      <c r="B269" s="337">
        <f>B252</f>
        <v>5</v>
      </c>
      <c r="E269" s="849">
        <f>D253</f>
        <v>4</v>
      </c>
      <c r="F269" s="852">
        <f>F252</f>
        <v>3</v>
      </c>
      <c r="H269" s="18">
        <f>H251</f>
        <v>2</v>
      </c>
      <c r="I269" s="849">
        <f>I249</f>
        <v>1</v>
      </c>
      <c r="K269" s="159"/>
    </row>
    <row r="270" spans="1:11" ht="15">
      <c r="A270" s="337"/>
      <c r="B270" s="189">
        <f>'CS Wing'!B55</f>
        <v>0.9</v>
      </c>
      <c r="C270" s="337"/>
      <c r="D270" s="337"/>
      <c r="E270" s="338"/>
      <c r="F270" s="84"/>
      <c r="G270" s="337"/>
      <c r="H270" s="337"/>
      <c r="I270" s="337"/>
      <c r="J270" s="337"/>
      <c r="K270" s="159"/>
    </row>
    <row r="271" spans="1:11" ht="15">
      <c r="A271" s="337"/>
      <c r="C271" s="337"/>
      <c r="D271" s="337"/>
      <c r="F271" s="84"/>
      <c r="G271" s="337"/>
      <c r="J271" s="337"/>
      <c r="K271" s="159"/>
    </row>
    <row r="272" spans="1:11" ht="15">
      <c r="A272" s="337"/>
      <c r="B272" s="337"/>
      <c r="C272" s="337"/>
      <c r="D272" s="337"/>
      <c r="E272" s="338"/>
      <c r="F272" s="2270"/>
      <c r="G272" s="337"/>
      <c r="H272" s="188">
        <f>'CS Wing'!H57</f>
        <v>2.7</v>
      </c>
      <c r="I272" s="337"/>
      <c r="J272" s="337"/>
      <c r="K272" s="159"/>
    </row>
    <row r="273" spans="1:11" ht="15">
      <c r="A273" s="337"/>
      <c r="B273" s="649">
        <f>'CS Wing'!B62</f>
        <v>1.2</v>
      </c>
      <c r="C273" s="793">
        <f>'CS Wing'!C62</f>
        <v>3.2999999999999972</v>
      </c>
      <c r="D273" s="337"/>
      <c r="E273" s="649">
        <f>'CS Wing'!E62</f>
        <v>5.8500000000000005</v>
      </c>
      <c r="F273" s="2271">
        <f>'CS Wing'!F62</f>
        <v>5.8500000000000005</v>
      </c>
      <c r="G273" s="337"/>
      <c r="H273" s="337"/>
      <c r="I273" s="2272"/>
      <c r="J273" s="339" t="str">
        <f>"Sec "&amp;I249&amp;"-"&amp;I249</f>
        <v>Sec 1-1</v>
      </c>
      <c r="K273" s="159"/>
    </row>
    <row r="274" spans="1:11">
      <c r="A274" s="2272"/>
      <c r="B274" s="2272"/>
      <c r="C274" s="2272"/>
      <c r="D274" s="109"/>
      <c r="E274" s="2272"/>
      <c r="F274" s="2272"/>
      <c r="G274" s="2272"/>
      <c r="H274" s="109" t="str">
        <f>"Sec "&amp;H251&amp;"-"&amp;H251</f>
        <v>Sec 2-2</v>
      </c>
      <c r="I274" s="2272"/>
      <c r="J274" s="2272"/>
      <c r="K274" s="159"/>
    </row>
    <row r="275" spans="1:11">
      <c r="A275" s="2272"/>
      <c r="B275" s="2273" t="str">
        <f>'CS Wing'!B64</f>
        <v>Sec 5-5</v>
      </c>
      <c r="C275" s="109"/>
      <c r="D275" s="2272" t="str">
        <f>'CS Wing'!D64</f>
        <v>Sec 4-4</v>
      </c>
      <c r="E275" s="2272"/>
      <c r="F275" s="109" t="str">
        <f>'CS Wing'!F64</f>
        <v>Sec 3-3</v>
      </c>
      <c r="G275" s="2272"/>
      <c r="H275" s="2272"/>
      <c r="I275" s="3310">
        <f>'CS Wing'!I64</f>
        <v>1.2</v>
      </c>
      <c r="J275" s="3295" t="s">
        <v>5</v>
      </c>
      <c r="K275" s="159"/>
    </row>
    <row r="276" spans="1:11">
      <c r="A276" s="2272"/>
      <c r="B276" s="2272"/>
      <c r="C276" s="2272"/>
      <c r="D276" s="2272"/>
      <c r="E276" s="2272"/>
      <c r="F276" s="2272"/>
      <c r="G276" s="2272"/>
      <c r="H276" s="388" t="s">
        <v>301</v>
      </c>
      <c r="I276" s="3310"/>
      <c r="J276" s="3295"/>
      <c r="K276" s="159"/>
    </row>
    <row r="277" spans="1:11">
      <c r="A277" s="189">
        <f>'CS Wing'!A66</f>
        <v>0.65</v>
      </c>
      <c r="B277" s="291" t="s">
        <v>1800</v>
      </c>
      <c r="C277" s="2272"/>
      <c r="D277" s="2272"/>
      <c r="E277" s="2272"/>
      <c r="F277" s="2272"/>
      <c r="G277" s="2272"/>
      <c r="H277" s="2272" t="s">
        <v>118</v>
      </c>
      <c r="I277" s="2272"/>
      <c r="J277" s="2272"/>
      <c r="K277" s="159"/>
    </row>
    <row r="278" spans="1:11">
      <c r="A278" s="2272"/>
      <c r="B278" s="2272"/>
      <c r="C278" s="2272"/>
      <c r="D278" s="2272"/>
      <c r="E278" s="2272"/>
      <c r="F278" s="2272"/>
      <c r="G278" s="2272"/>
      <c r="H278" s="2272"/>
      <c r="I278" s="2272"/>
      <c r="J278" s="2272"/>
      <c r="K278" s="159"/>
    </row>
    <row r="279" spans="1:11">
      <c r="A279" s="2272"/>
      <c r="B279" s="2272"/>
      <c r="C279" s="2274">
        <f>'CS Wing'!C68</f>
        <v>0.69074074074074077</v>
      </c>
      <c r="D279" s="2272" t="s">
        <v>5</v>
      </c>
      <c r="E279" s="2617">
        <f>'CS Wing'!E68</f>
        <v>0.8027777777777777</v>
      </c>
      <c r="F279" s="2272"/>
      <c r="G279" s="2272"/>
      <c r="H279" s="2272"/>
      <c r="I279" s="2272"/>
      <c r="J279" s="2272"/>
      <c r="K279" s="159"/>
    </row>
    <row r="280" spans="1:11">
      <c r="A280" s="2272"/>
      <c r="B280" s="2272"/>
      <c r="C280" s="2272"/>
      <c r="D280" s="2272"/>
      <c r="E280" s="2272"/>
      <c r="F280" s="307">
        <f>'CS Wing'!F69</f>
        <v>1.0013888888888889</v>
      </c>
      <c r="G280" s="2272"/>
      <c r="H280" s="205">
        <f>'CS Wing'!H69</f>
        <v>1.2</v>
      </c>
      <c r="I280" s="2272" t="s">
        <v>5</v>
      </c>
      <c r="J280" s="2272"/>
      <c r="K280" s="159"/>
    </row>
    <row r="281" spans="1:11" ht="15">
      <c r="A281" s="337"/>
      <c r="B281" s="337"/>
      <c r="C281" s="337"/>
      <c r="D281" s="337"/>
      <c r="E281" s="337"/>
      <c r="F281" s="337"/>
      <c r="G281" s="337"/>
      <c r="H281" s="337"/>
      <c r="I281" s="337"/>
      <c r="J281" s="337"/>
      <c r="K281" s="159"/>
    </row>
    <row r="282" spans="1:11" ht="15">
      <c r="A282" s="337"/>
      <c r="B282" s="796">
        <f>'CS Wing'!B71</f>
        <v>1.2</v>
      </c>
      <c r="C282" s="1361"/>
      <c r="D282" s="1361"/>
      <c r="E282" s="649">
        <f>'CS Wing'!E71</f>
        <v>15</v>
      </c>
      <c r="F282" s="337"/>
      <c r="G282" s="337"/>
      <c r="H282" s="337"/>
      <c r="I282" s="2272"/>
      <c r="J282" s="337"/>
      <c r="K282" s="159"/>
    </row>
    <row r="283" spans="1:11" ht="15">
      <c r="A283" s="337"/>
      <c r="B283" s="796"/>
      <c r="C283" s="1361"/>
      <c r="D283" s="2275">
        <f>'CS Wing'!D72</f>
        <v>16.2</v>
      </c>
      <c r="E283" s="796"/>
      <c r="F283" s="337"/>
      <c r="G283" s="337"/>
      <c r="H283" s="337"/>
      <c r="I283" s="2272"/>
      <c r="J283" s="337"/>
      <c r="K283" s="159"/>
    </row>
    <row r="284" spans="1:11" ht="15">
      <c r="A284" s="337"/>
      <c r="B284" s="796"/>
      <c r="C284" s="1361"/>
      <c r="D284" s="1361"/>
      <c r="E284" s="796"/>
      <c r="F284" s="337"/>
      <c r="G284" s="337"/>
      <c r="H284" s="337"/>
      <c r="I284" s="2272"/>
      <c r="J284" s="337"/>
      <c r="K284" s="159"/>
    </row>
    <row r="285" spans="1:11">
      <c r="C285" s="2595" t="s">
        <v>2080</v>
      </c>
      <c r="K285" s="159"/>
    </row>
    <row r="286" spans="1:11">
      <c r="C286" s="2596">
        <f>'CS Wing'!N49</f>
        <v>1.2</v>
      </c>
      <c r="K286" s="159"/>
    </row>
    <row r="287" spans="1:11">
      <c r="K287" s="159"/>
    </row>
    <row r="288" spans="1:11">
      <c r="B288" s="3057">
        <f>'CS Wing'!M51</f>
        <v>0.65</v>
      </c>
      <c r="K288" s="159"/>
    </row>
    <row r="289" spans="1:13">
      <c r="B289" s="3057"/>
      <c r="K289" s="159"/>
    </row>
    <row r="290" spans="1:13">
      <c r="B290" s="3057">
        <f>'CS Wing'!M53</f>
        <v>0.3</v>
      </c>
      <c r="K290" s="159"/>
    </row>
    <row r="291" spans="1:13">
      <c r="B291" s="3057"/>
      <c r="K291" s="159"/>
    </row>
    <row r="292" spans="1:13">
      <c r="K292" s="159"/>
    </row>
    <row r="293" spans="1:13">
      <c r="K293" s="159"/>
    </row>
    <row r="294" spans="1:13" ht="15">
      <c r="C294" s="649">
        <f>'CS Wing'!N57</f>
        <v>0.9</v>
      </c>
      <c r="D294" s="33">
        <f>'CS Wing'!O57</f>
        <v>0.3</v>
      </c>
      <c r="K294" s="159"/>
    </row>
    <row r="295" spans="1:13" ht="15">
      <c r="B295" s="337"/>
      <c r="K295" s="159"/>
    </row>
    <row r="296" spans="1:13" ht="15">
      <c r="D296" s="341">
        <f>D294+C294</f>
        <v>1.2</v>
      </c>
      <c r="K296" s="159"/>
    </row>
    <row r="297" spans="1:13">
      <c r="B297" s="84"/>
      <c r="K297" s="159"/>
    </row>
    <row r="298" spans="1:13">
      <c r="C298" s="187" t="s">
        <v>2078</v>
      </c>
      <c r="K298" s="159"/>
    </row>
    <row r="299" spans="1:13">
      <c r="A299" s="61" t="s">
        <v>1920</v>
      </c>
      <c r="B299" s="46"/>
      <c r="C299" s="46"/>
      <c r="D299" s="46"/>
      <c r="E299" s="46"/>
      <c r="F299" s="46"/>
      <c r="J299" s="46"/>
      <c r="K299" s="159"/>
    </row>
    <row r="300" spans="1:13">
      <c r="J300" s="46"/>
      <c r="K300" s="159"/>
    </row>
    <row r="301" spans="1:13">
      <c r="A301" s="2632"/>
      <c r="B301" s="2263" t="str">
        <f>'CS Wing'!B1364</f>
        <v>Sec</v>
      </c>
      <c r="C301" s="2264" t="str">
        <f>'CS Wing'!C1364</f>
        <v>1-1</v>
      </c>
      <c r="D301" s="643" t="str">
        <f>'CS Wing'!D1364</f>
        <v>Sec</v>
      </c>
      <c r="E301" s="2265" t="str">
        <f>'CS Wing'!E1364</f>
        <v>2-2</v>
      </c>
      <c r="F301" s="2263" t="str">
        <f>'CS Wing'!F1364</f>
        <v>Sec</v>
      </c>
      <c r="G301" s="2264" t="str">
        <f>'CS Wing'!G1364</f>
        <v>3-3</v>
      </c>
      <c r="H301" s="643" t="str">
        <f>'CS Wing'!H1364</f>
        <v>Sec</v>
      </c>
      <c r="I301" s="2265" t="str">
        <f>'CS Wing'!I1364</f>
        <v>4-4</v>
      </c>
      <c r="J301" s="46"/>
      <c r="K301" s="159"/>
      <c r="L301" s="643" t="s">
        <v>950</v>
      </c>
      <c r="M301" s="2265" t="str">
        <f>'CS Wing'!M1364</f>
        <v>5-5</v>
      </c>
    </row>
    <row r="302" spans="1:13">
      <c r="A302" s="1218" t="s">
        <v>2035</v>
      </c>
      <c r="B302" s="3185" t="str">
        <f>FIXED('CS Wing'!B1365,2)&amp;" m"</f>
        <v>2.70 m</v>
      </c>
      <c r="C302" s="3306"/>
      <c r="D302" s="3306" t="str">
        <f>FIXED('CS Wing'!D1365,2)&amp;" m"</f>
        <v>5.85 m</v>
      </c>
      <c r="E302" s="3306"/>
      <c r="F302" s="3306" t="str">
        <f>FIXED('CS Wing'!F1365,2)&amp;" m"</f>
        <v>5.85 m</v>
      </c>
      <c r="G302" s="3306"/>
      <c r="H302" s="3306" t="str">
        <f>FIXED('CS Wing'!H1365,2)&amp;" m"</f>
        <v>3.30 m</v>
      </c>
      <c r="I302" s="3306"/>
      <c r="J302" s="46"/>
      <c r="K302" s="159"/>
      <c r="L302" s="2619"/>
      <c r="M302" s="2620"/>
    </row>
    <row r="303" spans="1:13">
      <c r="A303" s="2633" t="s">
        <v>1695</v>
      </c>
      <c r="B303" s="3182" t="str">
        <f>FIXED(I257,3)&amp;" - "&amp;FIXED(H258,3)</f>
        <v>7.800 - 7.800</v>
      </c>
      <c r="C303" s="3294"/>
      <c r="D303" s="3294" t="str">
        <f>FIXED(H258,3)&amp;" - "&amp;FIXED(F258,3)</f>
        <v>7.800 - 5.850</v>
      </c>
      <c r="E303" s="3294"/>
      <c r="F303" s="3294" t="str">
        <f>FIXED(F258,3)&amp;" - "&amp;FIXED(E259,3)</f>
        <v>5.850 - 3.900</v>
      </c>
      <c r="G303" s="3294"/>
      <c r="H303" s="3294" t="str">
        <f>FIXED(E259,3)&amp;" - "&amp;FIXED(B261,3)</f>
        <v>3.900 - 3.900</v>
      </c>
      <c r="I303" s="3294"/>
      <c r="J303" s="386"/>
      <c r="K303" s="673"/>
      <c r="L303" s="3181" t="str">
        <f>FIXED(B261,3)</f>
        <v>3.900</v>
      </c>
      <c r="M303" s="3182"/>
    </row>
    <row r="304" spans="1:13">
      <c r="A304" s="2633" t="s">
        <v>1329</v>
      </c>
      <c r="B304" s="3182" t="str">
        <f>'CS Wing'!H124*1000&amp;" mm"</f>
        <v>300 mm</v>
      </c>
      <c r="C304" s="3294"/>
      <c r="D304" s="3294" t="str">
        <f>'CS Wing'!H373*1000&amp;" mm"</f>
        <v>300 mm</v>
      </c>
      <c r="E304" s="3294"/>
      <c r="F304" s="3294" t="str">
        <f>'CS Wing'!H622*1000&amp;" mm"</f>
        <v>300 mm</v>
      </c>
      <c r="G304" s="3294"/>
      <c r="H304" s="3294" t="str">
        <f>'CS Wing'!H869*1000&amp;" mm"</f>
        <v>300 mm</v>
      </c>
      <c r="I304" s="3294"/>
      <c r="J304" s="386"/>
      <c r="K304" s="673"/>
      <c r="L304" s="3181" t="str">
        <f>'CS Wing'!H1117*1000&amp;" mm"</f>
        <v>300 mm</v>
      </c>
      <c r="M304" s="3182"/>
    </row>
    <row r="305" spans="1:13">
      <c r="A305" s="2633" t="s">
        <v>1330</v>
      </c>
      <c r="B305" s="3182" t="str">
        <f>'CS Wing'!H142*1000&amp;" mm"</f>
        <v>800 mm</v>
      </c>
      <c r="C305" s="3294"/>
      <c r="D305" s="3294" t="str">
        <f>'CS Wing'!H391*1000&amp;" mm"</f>
        <v>800 mm</v>
      </c>
      <c r="E305" s="3294"/>
      <c r="F305" s="3294" t="str">
        <f>'CS Wing'!H640*1000&amp;" mm"</f>
        <v>600 mm</v>
      </c>
      <c r="G305" s="3294"/>
      <c r="H305" s="3294" t="str">
        <f>'CS Wing'!H887*1000&amp;" mm"</f>
        <v>450 mm</v>
      </c>
      <c r="I305" s="3294"/>
      <c r="J305" s="386"/>
      <c r="K305" s="673"/>
      <c r="L305" s="3181" t="str">
        <f>'CS Wing'!H1135*1000&amp;" mm"</f>
        <v>450 mm</v>
      </c>
      <c r="M305" s="3182"/>
    </row>
    <row r="306" spans="1:13">
      <c r="A306" s="172"/>
      <c r="B306" s="2610" t="s">
        <v>709</v>
      </c>
      <c r="C306" s="256" t="s">
        <v>710</v>
      </c>
      <c r="D306" s="256" t="s">
        <v>709</v>
      </c>
      <c r="E306" s="256" t="s">
        <v>710</v>
      </c>
      <c r="F306" s="256" t="s">
        <v>709</v>
      </c>
      <c r="G306" s="256" t="s">
        <v>710</v>
      </c>
      <c r="H306" s="256" t="s">
        <v>709</v>
      </c>
      <c r="I306" s="256" t="s">
        <v>710</v>
      </c>
      <c r="J306" s="46"/>
      <c r="K306" s="159"/>
      <c r="L306" s="2594" t="s">
        <v>709</v>
      </c>
      <c r="M306" s="256" t="s">
        <v>710</v>
      </c>
    </row>
    <row r="307" spans="1:13">
      <c r="A307" s="2634" t="s">
        <v>492</v>
      </c>
      <c r="B307" s="2616"/>
      <c r="C307" s="2616"/>
      <c r="D307" s="2614"/>
      <c r="E307" s="2615"/>
      <c r="F307" s="2616"/>
      <c r="G307" s="2616"/>
      <c r="H307" s="2614"/>
      <c r="I307" s="2615"/>
      <c r="J307" s="46"/>
      <c r="K307" s="159"/>
      <c r="L307" s="2257"/>
      <c r="M307" s="516"/>
    </row>
    <row r="308" spans="1:13">
      <c r="A308" s="1104" t="s">
        <v>111</v>
      </c>
      <c r="B308" s="1240">
        <f>'CS Wing'!B1368</f>
        <v>25</v>
      </c>
      <c r="C308" s="1240">
        <f>'CS Wing'!C1368</f>
        <v>100</v>
      </c>
      <c r="D308" s="564">
        <f>'CS Wing'!D1368</f>
        <v>25</v>
      </c>
      <c r="E308" s="593">
        <f>'CS Wing'!E1368</f>
        <v>100</v>
      </c>
      <c r="F308" s="1240">
        <f>'CS Wing'!F1368</f>
        <v>20</v>
      </c>
      <c r="G308" s="1240">
        <f>'CS Wing'!G1368</f>
        <v>100</v>
      </c>
      <c r="H308" s="564">
        <f>'CS Wing'!H1368</f>
        <v>16</v>
      </c>
      <c r="I308" s="593">
        <f>'CS Wing'!I1368</f>
        <v>150</v>
      </c>
      <c r="J308" s="408"/>
      <c r="K308" s="159"/>
      <c r="L308" s="564">
        <f>'CS Wing'!L1368</f>
        <v>16</v>
      </c>
      <c r="M308" s="565">
        <f>'CS Wing'!M1368</f>
        <v>150</v>
      </c>
    </row>
    <row r="309" spans="1:13">
      <c r="A309" s="315" t="s">
        <v>110</v>
      </c>
      <c r="B309" s="1242">
        <f>'CS Wing'!B1369</f>
        <v>16</v>
      </c>
      <c r="C309" s="1242">
        <f>'CS Wing'!C1369</f>
        <v>200</v>
      </c>
      <c r="D309" s="569">
        <f>'CS Wing'!D1369</f>
        <v>16</v>
      </c>
      <c r="E309" s="2036">
        <f>'CS Wing'!E1369</f>
        <v>200</v>
      </c>
      <c r="F309" s="1242">
        <f>'CS Wing'!F1369</f>
        <v>16</v>
      </c>
      <c r="G309" s="1242">
        <f>'CS Wing'!G1369</f>
        <v>200</v>
      </c>
      <c r="H309" s="569">
        <f>'CS Wing'!H1369</f>
        <v>16</v>
      </c>
      <c r="I309" s="2036">
        <f>'CS Wing'!I1369</f>
        <v>200</v>
      </c>
      <c r="J309" s="408"/>
      <c r="K309" s="159"/>
      <c r="L309" s="564">
        <f>'CS Wing'!L1369</f>
        <v>16</v>
      </c>
      <c r="M309" s="565">
        <f>'CS Wing'!M1369</f>
        <v>200</v>
      </c>
    </row>
    <row r="310" spans="1:13" ht="15">
      <c r="A310" s="2635" t="s">
        <v>493</v>
      </c>
      <c r="B310" s="498"/>
      <c r="C310" s="500"/>
      <c r="D310" s="2614"/>
      <c r="E310" s="2615"/>
      <c r="F310" s="2616"/>
      <c r="G310" s="2616"/>
      <c r="H310" s="2612"/>
      <c r="I310" s="2613"/>
      <c r="J310" s="408"/>
      <c r="K310" s="159"/>
      <c r="L310" s="2612"/>
      <c r="M310" s="420"/>
    </row>
    <row r="311" spans="1:13">
      <c r="A311" s="1104" t="s">
        <v>111</v>
      </c>
      <c r="B311" s="1240">
        <f>'CS Wing'!B1371</f>
        <v>16</v>
      </c>
      <c r="C311" s="1240">
        <f>'CS Wing'!C1371</f>
        <v>200</v>
      </c>
      <c r="D311" s="564">
        <f>'CS Wing'!D1371</f>
        <v>16</v>
      </c>
      <c r="E311" s="593">
        <f>'CS Wing'!E1371</f>
        <v>200</v>
      </c>
      <c r="F311" s="1240">
        <f>'CS Wing'!F1371</f>
        <v>16</v>
      </c>
      <c r="G311" s="1240">
        <f>'CS Wing'!G1371</f>
        <v>200</v>
      </c>
      <c r="H311" s="564">
        <f>'CS Wing'!H1371</f>
        <v>16</v>
      </c>
      <c r="I311" s="593">
        <f>'CS Wing'!I1371</f>
        <v>200</v>
      </c>
      <c r="J311" s="408"/>
      <c r="K311" s="159"/>
      <c r="L311" s="564">
        <f>'CS Wing'!L1371</f>
        <v>16</v>
      </c>
      <c r="M311" s="565">
        <f>'CS Wing'!M1371</f>
        <v>200</v>
      </c>
    </row>
    <row r="312" spans="1:13">
      <c r="A312" s="1104" t="s">
        <v>110</v>
      </c>
      <c r="B312" s="1240">
        <f>'CS Wing'!B1372</f>
        <v>16</v>
      </c>
      <c r="C312" s="1240">
        <f>'CS Wing'!C1372</f>
        <v>200</v>
      </c>
      <c r="D312" s="564">
        <f>'CS Wing'!D1372</f>
        <v>16</v>
      </c>
      <c r="E312" s="593">
        <f>'CS Wing'!E1372</f>
        <v>200</v>
      </c>
      <c r="F312" s="1240">
        <f>'CS Wing'!F1372</f>
        <v>16</v>
      </c>
      <c r="G312" s="1240">
        <f>'CS Wing'!G1372</f>
        <v>200</v>
      </c>
      <c r="H312" s="564">
        <f>'CS Wing'!H1372</f>
        <v>16</v>
      </c>
      <c r="I312" s="593">
        <f>'CS Wing'!I1372</f>
        <v>200</v>
      </c>
      <c r="J312" s="408"/>
      <c r="K312" s="159"/>
      <c r="L312" s="569">
        <f>'CS Wing'!L1372</f>
        <v>16</v>
      </c>
      <c r="M312" s="570">
        <f>'CS Wing'!M1372</f>
        <v>200</v>
      </c>
    </row>
    <row r="313" spans="1:13">
      <c r="A313" s="2634" t="s">
        <v>715</v>
      </c>
      <c r="B313" s="55"/>
      <c r="C313" s="2611"/>
      <c r="D313" s="55"/>
      <c r="E313" s="55"/>
      <c r="F313" s="423"/>
      <c r="G313" s="2611"/>
      <c r="H313" s="2607"/>
      <c r="I313" s="2613"/>
      <c r="J313" s="408"/>
      <c r="K313" s="159"/>
      <c r="L313" s="2612"/>
      <c r="M313" s="2613"/>
    </row>
    <row r="314" spans="1:13">
      <c r="A314" s="2636" t="s">
        <v>2083</v>
      </c>
      <c r="B314" s="3183" t="str">
        <f>FIXED('CS Wing'!B1375,2)&amp;" m"</f>
        <v>2.80 m</v>
      </c>
      <c r="C314" s="3182"/>
      <c r="D314" s="3183" t="str">
        <f>'CS Wing'!D1375&amp;" m"</f>
        <v>2.8 m</v>
      </c>
      <c r="E314" s="3183"/>
      <c r="F314" s="3181" t="str">
        <f>'CS Wing'!F1375&amp;" m"</f>
        <v>2 m</v>
      </c>
      <c r="G314" s="3182"/>
      <c r="H314" s="3183" t="str">
        <f>'CS Wing'!H1375&amp;" m"</f>
        <v>2 m</v>
      </c>
      <c r="I314" s="3182"/>
      <c r="J314" s="503"/>
      <c r="K314" s="2262"/>
      <c r="L314" s="3181" t="str">
        <f>'CS Wing'!L1375&amp;" m"</f>
        <v>2 m</v>
      </c>
      <c r="M314" s="3182"/>
    </row>
    <row r="315" spans="1:13">
      <c r="A315" s="2637" t="s">
        <v>2082</v>
      </c>
      <c r="B315" s="3293" t="str">
        <f>'CS Wing'!B1376&amp;" m"</f>
        <v>4.5 m</v>
      </c>
      <c r="C315" s="3307"/>
      <c r="D315" s="3293" t="str">
        <f>'CS Wing'!D1376&amp;" m"</f>
        <v>4.5 m</v>
      </c>
      <c r="E315" s="3292"/>
      <c r="F315" s="3307" t="str">
        <f>'CS Wing'!F1376&amp;" m"</f>
        <v>3 m</v>
      </c>
      <c r="G315" s="3307"/>
      <c r="H315" s="3293" t="str">
        <f>'CS Wing'!H1376&amp;" m"</f>
        <v>0 m</v>
      </c>
      <c r="I315" s="3307"/>
      <c r="J315" s="503"/>
      <c r="K315" s="2262"/>
      <c r="L315" s="3307" t="str">
        <f>'CS Wing'!L1376&amp;" m"</f>
        <v>0 m</v>
      </c>
      <c r="M315" s="3307"/>
    </row>
    <row r="316" spans="1:13">
      <c r="A316" s="418"/>
      <c r="B316" s="33"/>
      <c r="D316" s="33"/>
      <c r="F316" s="33"/>
      <c r="H316" s="2255"/>
      <c r="I316" s="2"/>
      <c r="J316" s="408"/>
      <c r="K316" s="159"/>
      <c r="L316" s="2255"/>
      <c r="M316" s="2"/>
    </row>
    <row r="317" spans="1:13">
      <c r="A317" s="61" t="s">
        <v>1921</v>
      </c>
      <c r="B317" s="46"/>
      <c r="C317" s="46"/>
      <c r="D317" s="46"/>
      <c r="E317" s="46"/>
      <c r="H317" s="2"/>
      <c r="I317" s="2"/>
      <c r="J317" s="408"/>
      <c r="K317" s="159"/>
      <c r="L317" s="2"/>
      <c r="M317" s="2"/>
    </row>
    <row r="318" spans="1:13">
      <c r="J318" s="408"/>
      <c r="K318" s="159"/>
    </row>
    <row r="319" spans="1:13">
      <c r="A319" s="413"/>
      <c r="B319" s="643" t="s">
        <v>876</v>
      </c>
      <c r="C319" s="2265" t="str">
        <f>'CS Wing'!C1380</f>
        <v>1-1</v>
      </c>
      <c r="D319" s="643" t="s">
        <v>876</v>
      </c>
      <c r="E319" s="2265" t="str">
        <f>'CS Wing'!E1380</f>
        <v>2-2</v>
      </c>
      <c r="F319" s="2263" t="s">
        <v>876</v>
      </c>
      <c r="G319" s="2265" t="str">
        <f>'CS Wing'!G1380</f>
        <v>3-3</v>
      </c>
      <c r="H319" s="643" t="s">
        <v>876</v>
      </c>
      <c r="I319" s="2265" t="str">
        <f>'CS Wing'!I1380</f>
        <v>4-4</v>
      </c>
      <c r="J319" s="2757" t="str">
        <f>'RS Wing'!M1369</f>
        <v>5-5</v>
      </c>
      <c r="K319" s="159"/>
      <c r="L319" s="643" t="s">
        <v>950</v>
      </c>
      <c r="M319" s="2265" t="str">
        <f>'RS Wing'!M1369</f>
        <v>5-5</v>
      </c>
    </row>
    <row r="320" spans="1:13">
      <c r="A320" s="2653" t="s">
        <v>2093</v>
      </c>
      <c r="B320" s="3288" t="str">
        <f>FIXED('CS Wing'!I84,3)&amp;" - "&amp;FIXED('CS Wing'!H84,3)</f>
        <v>3.750 - 5.008</v>
      </c>
      <c r="C320" s="3289"/>
      <c r="D320" s="3288" t="str">
        <f>FIXED('CS Wing'!H84,3)&amp;" - "&amp;FIXED('CS Wing'!F84,3)</f>
        <v>5.008 - 7.735</v>
      </c>
      <c r="E320" s="3289"/>
      <c r="F320" s="3288" t="str">
        <f>FIXED('CS Wing'!F84,3)&amp;" - "&amp;FIXED('CS Wing'!D84,3)</f>
        <v>7.735 - 10.462</v>
      </c>
      <c r="G320" s="3289"/>
      <c r="H320" s="3288" t="str">
        <f>FIXED('CS Wing'!D84,3)&amp;" - "&amp;FIXED('CS Wing'!B84,3)</f>
        <v>10.462 - 12.000</v>
      </c>
      <c r="I320" s="3289"/>
      <c r="J320" s="1271"/>
      <c r="K320" s="2266"/>
      <c r="L320" s="3303">
        <f>'CS Wing'!B84</f>
        <v>12</v>
      </c>
      <c r="M320" s="3304"/>
    </row>
    <row r="321" spans="1:13">
      <c r="A321" s="101"/>
      <c r="B321" s="2608" t="s">
        <v>709</v>
      </c>
      <c r="C321" s="2610" t="s">
        <v>710</v>
      </c>
      <c r="D321" s="2608" t="s">
        <v>709</v>
      </c>
      <c r="E321" s="2610" t="s">
        <v>710</v>
      </c>
      <c r="F321" s="2609" t="s">
        <v>709</v>
      </c>
      <c r="G321" s="2610" t="s">
        <v>710</v>
      </c>
      <c r="H321" s="2608" t="s">
        <v>709</v>
      </c>
      <c r="I321" s="2610" t="s">
        <v>710</v>
      </c>
      <c r="J321" s="2633"/>
      <c r="K321" s="159"/>
      <c r="L321" s="2608" t="s">
        <v>709</v>
      </c>
      <c r="M321" s="2610" t="s">
        <v>710</v>
      </c>
    </row>
    <row r="322" spans="1:13">
      <c r="A322" s="545" t="s">
        <v>440</v>
      </c>
      <c r="B322" s="2614"/>
      <c r="C322" s="2615"/>
      <c r="D322" s="2614"/>
      <c r="E322" s="2615"/>
      <c r="F322" s="2616"/>
      <c r="G322" s="2616"/>
      <c r="H322" s="2614"/>
      <c r="I322" s="2615"/>
      <c r="J322" s="2633"/>
      <c r="K322" s="159"/>
      <c r="L322" s="2614"/>
      <c r="M322" s="2615"/>
    </row>
    <row r="323" spans="1:13">
      <c r="A323" s="363" t="s">
        <v>441</v>
      </c>
      <c r="B323" s="564">
        <f>'CS Wing'!B1383</f>
        <v>16</v>
      </c>
      <c r="C323" s="593">
        <f>'CS Wing'!C1383</f>
        <v>200</v>
      </c>
      <c r="D323" s="564">
        <f>'CS Wing'!D1383</f>
        <v>16</v>
      </c>
      <c r="E323" s="593">
        <f>'CS Wing'!E1383</f>
        <v>200</v>
      </c>
      <c r="F323" s="1240">
        <f>'CS Wing'!F1383</f>
        <v>16</v>
      </c>
      <c r="G323" s="1240">
        <f>'CS Wing'!G1383</f>
        <v>200</v>
      </c>
      <c r="H323" s="564">
        <f>'CS Wing'!L1383</f>
        <v>16</v>
      </c>
      <c r="I323" s="593">
        <f>'CS Wing'!M1383</f>
        <v>150</v>
      </c>
      <c r="J323" s="2633"/>
      <c r="K323" s="159"/>
      <c r="L323" s="564">
        <f>'CS Wing'!L1383</f>
        <v>16</v>
      </c>
      <c r="M323" s="593">
        <f>'CS Wing'!M1383</f>
        <v>150</v>
      </c>
    </row>
    <row r="324" spans="1:13">
      <c r="A324" s="364" t="s">
        <v>442</v>
      </c>
      <c r="B324" s="569">
        <f>'CS Wing'!B1384</f>
        <v>16</v>
      </c>
      <c r="C324" s="2036">
        <f>'CS Wing'!C1384</f>
        <v>200</v>
      </c>
      <c r="D324" s="569">
        <f>'CS Wing'!D1384</f>
        <v>16</v>
      </c>
      <c r="E324" s="2036">
        <f>'CS Wing'!E1384</f>
        <v>200</v>
      </c>
      <c r="F324" s="1242">
        <f>'CS Wing'!F1384</f>
        <v>16</v>
      </c>
      <c r="G324" s="1242">
        <f>'CS Wing'!G1384</f>
        <v>200</v>
      </c>
      <c r="H324" s="569">
        <f>'CS Wing'!H1384</f>
        <v>16</v>
      </c>
      <c r="I324" s="2036">
        <f>'CS Wing'!I1384</f>
        <v>200</v>
      </c>
      <c r="J324" s="2633"/>
      <c r="K324" s="159"/>
      <c r="L324" s="569">
        <f>'CS Wing'!L1384</f>
        <v>16</v>
      </c>
      <c r="M324" s="2036">
        <f>'CS Wing'!M1384</f>
        <v>200</v>
      </c>
    </row>
    <row r="325" spans="1:13">
      <c r="A325" s="544" t="s">
        <v>443</v>
      </c>
      <c r="B325" s="2612"/>
      <c r="C325" s="2607"/>
      <c r="D325" s="2612"/>
      <c r="E325" s="2613"/>
      <c r="F325" s="2607"/>
      <c r="G325" s="2607"/>
      <c r="H325" s="2612"/>
      <c r="I325" s="2613"/>
      <c r="J325" s="2633"/>
      <c r="K325" s="159"/>
      <c r="L325" s="2612"/>
      <c r="M325" s="420"/>
    </row>
    <row r="326" spans="1:13">
      <c r="A326" s="363" t="s">
        <v>441</v>
      </c>
      <c r="B326" s="564">
        <f>'CS Wing'!B1386</f>
        <v>25</v>
      </c>
      <c r="C326" s="1240">
        <f>'CS Wing'!C1386</f>
        <v>100</v>
      </c>
      <c r="D326" s="564">
        <f>'CS Wing'!D1386</f>
        <v>25</v>
      </c>
      <c r="E326" s="593">
        <f>'CS Wing'!E1386</f>
        <v>100</v>
      </c>
      <c r="F326" s="1240">
        <f>'CS Wing'!F1386</f>
        <v>20</v>
      </c>
      <c r="G326" s="1240">
        <f>'CS Wing'!G1386</f>
        <v>100</v>
      </c>
      <c r="H326" s="564">
        <f>'CS Wing'!H1386</f>
        <v>16</v>
      </c>
      <c r="I326" s="593">
        <f>'CS Wing'!I1386</f>
        <v>150</v>
      </c>
      <c r="J326" s="2633"/>
      <c r="K326" s="159"/>
      <c r="L326" s="564">
        <f>'CS Wing'!L1386</f>
        <v>16</v>
      </c>
      <c r="M326" s="593">
        <f>'CS Wing'!M1386</f>
        <v>150</v>
      </c>
    </row>
    <row r="327" spans="1:13">
      <c r="A327" s="364" t="s">
        <v>442</v>
      </c>
      <c r="B327" s="569">
        <f>'CS Wing'!B1387</f>
        <v>16</v>
      </c>
      <c r="C327" s="1242">
        <f>'CS Wing'!C1387</f>
        <v>250</v>
      </c>
      <c r="D327" s="569">
        <f>'CS Wing'!D1387</f>
        <v>16</v>
      </c>
      <c r="E327" s="2036">
        <f>'CS Wing'!E1387</f>
        <v>250</v>
      </c>
      <c r="F327" s="1242">
        <f>'CS Wing'!F1387</f>
        <v>16</v>
      </c>
      <c r="G327" s="1242">
        <f>'CS Wing'!G1387</f>
        <v>250</v>
      </c>
      <c r="H327" s="569">
        <f>'CS Wing'!H1387</f>
        <v>16</v>
      </c>
      <c r="I327" s="2036">
        <f>'CS Wing'!I1387</f>
        <v>250</v>
      </c>
      <c r="J327" s="2633"/>
      <c r="K327" s="159"/>
      <c r="L327" s="569">
        <f>'CS Wing'!L1387</f>
        <v>16</v>
      </c>
      <c r="M327" s="2036">
        <f>'CS Wing'!M1387</f>
        <v>250</v>
      </c>
    </row>
    <row r="328" spans="1:13">
      <c r="A328" s="421" t="s">
        <v>951</v>
      </c>
      <c r="B328" s="423"/>
      <c r="C328" s="2628"/>
      <c r="D328" s="55"/>
      <c r="E328" s="55"/>
      <c r="F328" s="423"/>
      <c r="G328" s="2628"/>
      <c r="H328" s="423"/>
      <c r="I328" s="2628"/>
      <c r="J328" s="1218"/>
      <c r="K328" s="159"/>
      <c r="L328" s="2256"/>
      <c r="M328" s="58"/>
    </row>
    <row r="329" spans="1:13">
      <c r="A329" s="369" t="s">
        <v>2091</v>
      </c>
      <c r="B329" s="3288" t="str">
        <f>FIXED('CS Wing'!B1390,2)&amp;" m from end "</f>
        <v xml:space="preserve">0.00 m from end </v>
      </c>
      <c r="C329" s="3289"/>
      <c r="D329" s="3288" t="str">
        <f>FIXED('CS Wing'!D1390,2)&amp;" m from end "</f>
        <v xml:space="preserve">1.45 m from end </v>
      </c>
      <c r="E329" s="3289"/>
      <c r="F329" s="3288" t="str">
        <f>FIXED('CS Wing'!F1390,2)&amp;" m from end "</f>
        <v xml:space="preserve">1.50 m from end </v>
      </c>
      <c r="G329" s="3289"/>
      <c r="H329" s="3288" t="str">
        <f>FIXED('CS Wing'!H1390,2)&amp;" m from end "</f>
        <v xml:space="preserve">1.25 m from end </v>
      </c>
      <c r="I329" s="3289"/>
      <c r="J329" s="557" t="str">
        <f>FIXED('CS Wing'!L1390,2)</f>
        <v>1.25</v>
      </c>
      <c r="K329" s="2262"/>
      <c r="L329" s="3288" t="str">
        <f>FIXED('CS Wing'!L1390,2)&amp;" m from end "</f>
        <v xml:space="preserve">1.25 m from end </v>
      </c>
      <c r="M329" s="3289"/>
    </row>
    <row r="330" spans="1:13">
      <c r="A330" s="371" t="s">
        <v>2092</v>
      </c>
      <c r="B330" s="3290" t="str">
        <f>'CS Wing'!B1391&amp;" m from inner face"</f>
        <v>0 m from inner face</v>
      </c>
      <c r="C330" s="3291"/>
      <c r="D330" s="3292" t="str">
        <f>'CS Wing'!D1391&amp;" m from inner face"</f>
        <v>0 m from inner face</v>
      </c>
      <c r="E330" s="3293"/>
      <c r="F330" s="3292" t="str">
        <f>'CS Wing'!F1391&amp;" m from inner face"</f>
        <v>0 m from inner face</v>
      </c>
      <c r="G330" s="3293"/>
      <c r="H330" s="3292" t="str">
        <f>'CS Wing'!H1391&amp;" m from inner face"</f>
        <v>0 m from inner face</v>
      </c>
      <c r="I330" s="3293"/>
      <c r="J330" s="563" t="str">
        <f>FIXED('CS Wing'!L1391,2)</f>
        <v>1.00</v>
      </c>
      <c r="K330" s="2262"/>
      <c r="L330" s="3292" t="str">
        <f>FIXED('CS Wing'!L1391,2)&amp;" m from inner face"</f>
        <v>1.00 m from inner face</v>
      </c>
      <c r="M330" s="3293"/>
    </row>
    <row r="331" spans="1:13">
      <c r="A331" s="16"/>
      <c r="B331" s="242"/>
      <c r="C331" s="16"/>
      <c r="D331" s="242"/>
      <c r="E331" s="16"/>
      <c r="F331" s="242"/>
      <c r="G331" s="16"/>
      <c r="H331" s="242"/>
      <c r="I331" s="16"/>
      <c r="J331" s="408"/>
      <c r="K331" s="159"/>
      <c r="L331" s="242"/>
      <c r="M331" s="16"/>
    </row>
    <row r="332" spans="1:13">
      <c r="K332" s="159"/>
    </row>
    <row r="333" spans="1:13">
      <c r="A333" s="61" t="s">
        <v>2086</v>
      </c>
      <c r="J333" s="46"/>
      <c r="K333" s="159"/>
    </row>
    <row r="334" spans="1:13">
      <c r="A334" s="61" t="s">
        <v>2087</v>
      </c>
      <c r="J334" s="46"/>
      <c r="K334" s="159"/>
    </row>
    <row r="335" spans="1:13">
      <c r="A335" s="61"/>
      <c r="C335" s="203" t="s">
        <v>870</v>
      </c>
      <c r="D335" s="129">
        <f>'CS R Wall'!C31</f>
        <v>3900.0000000000005</v>
      </c>
      <c r="E335" s="187" t="s">
        <v>98</v>
      </c>
      <c r="G335" s="203" t="s">
        <v>2085</v>
      </c>
      <c r="H335" s="203" t="s">
        <v>1313</v>
      </c>
      <c r="I335" s="129">
        <f>'CS R Wall'!E23</f>
        <v>300</v>
      </c>
      <c r="J335" s="187" t="s">
        <v>98</v>
      </c>
      <c r="K335" s="159"/>
    </row>
    <row r="336" spans="1:13">
      <c r="A336" s="61"/>
      <c r="C336" s="203"/>
      <c r="D336" s="129"/>
      <c r="E336" s="187"/>
      <c r="H336" s="203" t="s">
        <v>2084</v>
      </c>
      <c r="I336">
        <f>'CS R Wall'!E46</f>
        <v>400</v>
      </c>
      <c r="J336" s="187" t="s">
        <v>98</v>
      </c>
      <c r="K336" s="159"/>
    </row>
    <row r="337" spans="1:11">
      <c r="K337" s="159"/>
    </row>
    <row r="338" spans="1:11">
      <c r="A338" s="3300" t="s">
        <v>492</v>
      </c>
      <c r="B338" s="3301"/>
      <c r="C338" s="3302"/>
      <c r="D338" s="3297" t="s">
        <v>493</v>
      </c>
      <c r="E338" s="3298"/>
      <c r="F338" s="3299"/>
      <c r="J338" s="46"/>
      <c r="K338" s="159"/>
    </row>
    <row r="339" spans="1:11">
      <c r="A339" s="172"/>
      <c r="B339" s="256" t="s">
        <v>709</v>
      </c>
      <c r="C339" s="256" t="s">
        <v>710</v>
      </c>
      <c r="D339" s="172"/>
      <c r="E339" s="354" t="s">
        <v>709</v>
      </c>
      <c r="F339" s="354" t="s">
        <v>710</v>
      </c>
      <c r="H339" s="486" t="s">
        <v>715</v>
      </c>
      <c r="I339" s="101"/>
      <c r="J339" s="93"/>
      <c r="K339" s="159"/>
    </row>
    <row r="340" spans="1:11">
      <c r="A340" s="259" t="s">
        <v>111</v>
      </c>
      <c r="B340" s="564">
        <f>'CS R Wall'!B391</f>
        <v>16</v>
      </c>
      <c r="C340" s="564">
        <f>'CS R Wall'!D391</f>
        <v>100</v>
      </c>
      <c r="D340" s="259" t="s">
        <v>111</v>
      </c>
      <c r="E340" s="564">
        <f>'CS R Wall'!D409</f>
        <v>16</v>
      </c>
      <c r="F340" s="565">
        <f>'CS R Wall'!F409</f>
        <v>200</v>
      </c>
      <c r="H340" s="549" t="s">
        <v>2083</v>
      </c>
      <c r="I340" s="2278">
        <f>'CS R Wall'!F392</f>
        <v>1.8</v>
      </c>
      <c r="J340" s="2279" t="s">
        <v>5</v>
      </c>
      <c r="K340" s="159"/>
    </row>
    <row r="341" spans="1:11">
      <c r="A341" s="262" t="s">
        <v>110</v>
      </c>
      <c r="B341" s="569">
        <f>'CS R Wall'!D407</f>
        <v>16</v>
      </c>
      <c r="C341" s="569">
        <f>'CS R Wall'!F407</f>
        <v>200</v>
      </c>
      <c r="D341" s="262" t="s">
        <v>110</v>
      </c>
      <c r="E341" s="569">
        <f>'CS R Wall'!D410</f>
        <v>16</v>
      </c>
      <c r="F341" s="570">
        <f>'CS R Wall'!F410</f>
        <v>200</v>
      </c>
      <c r="H341" s="552" t="s">
        <v>2082</v>
      </c>
      <c r="I341" s="2280" t="str">
        <f>IF('CS R Wall'!F393="","",'CS R Wall'!F393)</f>
        <v/>
      </c>
      <c r="J341" s="2281" t="s">
        <v>5</v>
      </c>
      <c r="K341" s="159"/>
    </row>
    <row r="342" spans="1:11">
      <c r="K342" s="159"/>
    </row>
    <row r="343" spans="1:11">
      <c r="J343" s="46"/>
      <c r="K343" s="159"/>
    </row>
    <row r="344" spans="1:11">
      <c r="A344" s="61" t="s">
        <v>2088</v>
      </c>
      <c r="J344" s="46"/>
      <c r="K344" s="159"/>
    </row>
    <row r="345" spans="1:11">
      <c r="A345" s="61"/>
      <c r="B345" s="187" t="s">
        <v>2081</v>
      </c>
      <c r="D345">
        <f>'CS R Wall'!D48</f>
        <v>3400</v>
      </c>
      <c r="E345" s="187" t="s">
        <v>98</v>
      </c>
      <c r="F345" s="187" t="s">
        <v>1899</v>
      </c>
      <c r="H345">
        <f>'CS R Wall'!G40</f>
        <v>400</v>
      </c>
      <c r="I345" s="187" t="s">
        <v>98</v>
      </c>
      <c r="J345" s="46"/>
      <c r="K345" s="159"/>
    </row>
    <row r="346" spans="1:11">
      <c r="A346" s="61"/>
      <c r="B346" s="187" t="s">
        <v>1923</v>
      </c>
      <c r="D346" s="129">
        <f>'CS R Wall'!C46</f>
        <v>1800</v>
      </c>
      <c r="E346" s="187" t="s">
        <v>98</v>
      </c>
      <c r="K346" s="159"/>
    </row>
    <row r="347" spans="1:11">
      <c r="A347" s="61"/>
      <c r="B347" s="187" t="s">
        <v>1924</v>
      </c>
      <c r="D347" s="129">
        <f>'CS R Wall'!F46</f>
        <v>1200</v>
      </c>
      <c r="E347" s="187" t="s">
        <v>98</v>
      </c>
      <c r="J347" s="46"/>
      <c r="K347" s="159"/>
    </row>
    <row r="348" spans="1:11">
      <c r="K348" s="159"/>
    </row>
    <row r="349" spans="1:11">
      <c r="A349" s="544" t="s">
        <v>440</v>
      </c>
      <c r="B349" s="555"/>
      <c r="C349" s="556"/>
      <c r="D349" s="555"/>
      <c r="E349" s="555"/>
      <c r="F349" s="501"/>
      <c r="K349" s="159"/>
    </row>
    <row r="350" spans="1:11" ht="15.75">
      <c r="A350" s="549" t="s">
        <v>441</v>
      </c>
      <c r="B350" s="550" t="s">
        <v>136</v>
      </c>
      <c r="C350" s="540">
        <f>'CS R Wall'!D621</f>
        <v>16</v>
      </c>
      <c r="D350" s="408" t="s">
        <v>481</v>
      </c>
      <c r="E350" s="540">
        <f>'CS R Wall'!F621</f>
        <v>200</v>
      </c>
      <c r="F350" s="551" t="s">
        <v>482</v>
      </c>
      <c r="K350" s="159"/>
    </row>
    <row r="351" spans="1:11" ht="15.75">
      <c r="A351" s="549" t="s">
        <v>442</v>
      </c>
      <c r="B351" s="550" t="s">
        <v>136</v>
      </c>
      <c r="C351" s="540">
        <f>'CS R Wall'!D622</f>
        <v>16</v>
      </c>
      <c r="D351" s="408" t="s">
        <v>481</v>
      </c>
      <c r="E351" s="540">
        <f>'CS R Wall'!F622</f>
        <v>200</v>
      </c>
      <c r="F351" s="551" t="s">
        <v>482</v>
      </c>
      <c r="K351" s="159"/>
    </row>
    <row r="352" spans="1:11" ht="15.75">
      <c r="A352" s="421" t="s">
        <v>443</v>
      </c>
      <c r="B352" s="273"/>
      <c r="C352" s="274"/>
      <c r="D352" s="408"/>
      <c r="E352" s="540"/>
      <c r="F352" s="277"/>
      <c r="K352" s="159"/>
    </row>
    <row r="353" spans="1:11" ht="15.75">
      <c r="A353" s="549" t="s">
        <v>441</v>
      </c>
      <c r="B353" s="550" t="s">
        <v>136</v>
      </c>
      <c r="C353" s="540">
        <f>'CS R Wall'!D624</f>
        <v>16</v>
      </c>
      <c r="D353" s="408" t="s">
        <v>481</v>
      </c>
      <c r="E353" s="540">
        <f>'CS R Wall'!F624</f>
        <v>200</v>
      </c>
      <c r="F353" s="551" t="s">
        <v>482</v>
      </c>
      <c r="K353" s="159"/>
    </row>
    <row r="354" spans="1:11" ht="15.75">
      <c r="A354" s="552" t="s">
        <v>442</v>
      </c>
      <c r="B354" s="553" t="s">
        <v>136</v>
      </c>
      <c r="C354" s="543">
        <f>'CS R Wall'!D625</f>
        <v>16</v>
      </c>
      <c r="D354" s="2277" t="s">
        <v>481</v>
      </c>
      <c r="E354" s="543">
        <f>'CS R Wall'!F625</f>
        <v>250</v>
      </c>
      <c r="F354" s="554" t="s">
        <v>482</v>
      </c>
      <c r="K354" s="159"/>
    </row>
    <row r="355" spans="1:11">
      <c r="K355" s="159"/>
    </row>
    <row r="356" spans="1:11" ht="18">
      <c r="A356" s="2564" t="s">
        <v>2089</v>
      </c>
      <c r="K356" s="159"/>
    </row>
    <row r="357" spans="1:11">
      <c r="C357" s="2255"/>
      <c r="K357" s="159"/>
    </row>
    <row r="358" spans="1:11">
      <c r="F358" s="54">
        <f>E385-I383</f>
        <v>17.7</v>
      </c>
      <c r="G358" t="s">
        <v>5</v>
      </c>
      <c r="K358" s="159"/>
    </row>
    <row r="359" spans="1:11" ht="15">
      <c r="D359" s="2267"/>
      <c r="K359" s="159"/>
    </row>
    <row r="360" spans="1:11" ht="15">
      <c r="B360" s="1364">
        <f>'RS Wing'!B32</f>
        <v>1</v>
      </c>
      <c r="K360" s="159"/>
    </row>
    <row r="361" spans="1:11" ht="15">
      <c r="C361" s="1364">
        <f>'RS Wing'!C33</f>
        <v>2</v>
      </c>
      <c r="K361" s="159"/>
    </row>
    <row r="362" spans="1:11" ht="15">
      <c r="A362" s="205">
        <f>'RS Wing'!A34</f>
        <v>14.8</v>
      </c>
      <c r="B362" t="s">
        <v>5</v>
      </c>
      <c r="E362" s="1365">
        <f>'RS Wing'!E34</f>
        <v>3</v>
      </c>
      <c r="K362" s="159"/>
    </row>
    <row r="363" spans="1:11" ht="15">
      <c r="C363" s="223">
        <f>'RS Wing'!C35</f>
        <v>13.9</v>
      </c>
      <c r="G363" s="1368">
        <f>'RS Wing'!G35</f>
        <v>4</v>
      </c>
      <c r="K363" s="159"/>
    </row>
    <row r="364" spans="1:11">
      <c r="K364" s="159"/>
    </row>
    <row r="365" spans="1:11" ht="15">
      <c r="E365" s="1937">
        <f>'RS Wing'!E37</f>
        <v>11.95</v>
      </c>
      <c r="F365" t="s">
        <v>5</v>
      </c>
      <c r="K365" s="159"/>
    </row>
    <row r="366" spans="1:11" ht="15">
      <c r="I366" s="2055">
        <f>'RS Wing'!I38</f>
        <v>5</v>
      </c>
      <c r="K366" s="159"/>
    </row>
    <row r="367" spans="1:11">
      <c r="K367" s="159"/>
    </row>
    <row r="368" spans="1:11">
      <c r="A368" s="33">
        <f>A362-A374</f>
        <v>7.8000000000000007</v>
      </c>
      <c r="B368" s="2140"/>
      <c r="G368" s="17" t="s">
        <v>149</v>
      </c>
      <c r="H368" s="141">
        <f>'RS Wing'!H40</f>
        <v>10</v>
      </c>
      <c r="K368" s="159"/>
    </row>
    <row r="369" spans="1:11">
      <c r="C369" s="2260"/>
      <c r="K369" s="159"/>
    </row>
    <row r="370" spans="1:11" ht="15">
      <c r="E370" s="2268"/>
      <c r="K370" s="159"/>
    </row>
    <row r="371" spans="1:11">
      <c r="K371" s="159"/>
    </row>
    <row r="372" spans="1:11" ht="15">
      <c r="C372" s="2255">
        <f>C363-F376</f>
        <v>7.8000000000000007</v>
      </c>
      <c r="D372" s="340"/>
      <c r="E372" s="341">
        <f>E365-F376</f>
        <v>5.85</v>
      </c>
      <c r="G372" s="2138">
        <f>H368-F376</f>
        <v>3.9000000000000004</v>
      </c>
      <c r="J372" s="2623">
        <f>H368-F376</f>
        <v>3.9000000000000004</v>
      </c>
      <c r="K372" s="159"/>
    </row>
    <row r="373" spans="1:11" ht="15">
      <c r="D373" s="338"/>
      <c r="E373" s="548"/>
      <c r="K373" s="159"/>
    </row>
    <row r="374" spans="1:11">
      <c r="A374" s="133">
        <f>'RS Wing'!A49</f>
        <v>7</v>
      </c>
      <c r="K374" s="159"/>
    </row>
    <row r="375" spans="1:11">
      <c r="A375" s="33">
        <f>'RS Wing'!A50</f>
        <v>1.2</v>
      </c>
      <c r="C375" s="162">
        <f>'RS Wing'!C50</f>
        <v>0.90000000000000036</v>
      </c>
      <c r="D375" t="s">
        <v>5</v>
      </c>
      <c r="K375" s="159"/>
    </row>
    <row r="376" spans="1:11">
      <c r="F376" s="141">
        <f>'RS Wing'!F51</f>
        <v>6.1</v>
      </c>
      <c r="K376" s="159"/>
    </row>
    <row r="377" spans="1:11">
      <c r="J377" s="190">
        <f>J391</f>
        <v>0.65</v>
      </c>
      <c r="K377" s="159"/>
    </row>
    <row r="378" spans="1:11">
      <c r="J378" s="3285">
        <f>'RS Wing'!J53</f>
        <v>0.3</v>
      </c>
      <c r="K378" s="159"/>
    </row>
    <row r="379" spans="1:11" ht="15">
      <c r="D379" s="33"/>
      <c r="I379" s="849">
        <f>I366</f>
        <v>5</v>
      </c>
      <c r="J379" s="3285"/>
      <c r="K379" s="159"/>
    </row>
    <row r="380" spans="1:11" ht="15">
      <c r="B380" s="849">
        <f>B360</f>
        <v>1</v>
      </c>
      <c r="C380" s="18">
        <f>C361</f>
        <v>2</v>
      </c>
      <c r="I380" s="205">
        <f>'RS Wing'!I55</f>
        <v>0.9</v>
      </c>
      <c r="K380" s="159"/>
    </row>
    <row r="381" spans="1:11" ht="15">
      <c r="E381" s="850">
        <f>E362</f>
        <v>3</v>
      </c>
      <c r="G381" s="849">
        <f>G363</f>
        <v>4</v>
      </c>
      <c r="K381" s="159"/>
    </row>
    <row r="382" spans="1:11" ht="15">
      <c r="A382" s="337"/>
      <c r="B382" s="337"/>
      <c r="C382" s="337"/>
      <c r="D382" s="337"/>
      <c r="E382" s="338"/>
      <c r="F382" s="84"/>
      <c r="G382" s="337"/>
      <c r="H382" s="337"/>
      <c r="I382" s="337"/>
      <c r="J382" s="337"/>
      <c r="K382" s="159"/>
    </row>
    <row r="383" spans="1:11" ht="15">
      <c r="A383" s="337"/>
      <c r="B383" s="188">
        <f>'RS Wing'!B58</f>
        <v>2.7</v>
      </c>
      <c r="C383" s="337"/>
      <c r="D383" s="337"/>
      <c r="E383" s="338"/>
      <c r="F383" s="220">
        <f>'RS Wing'!F58</f>
        <v>15</v>
      </c>
      <c r="G383" s="337"/>
      <c r="H383" s="337"/>
      <c r="I383" s="205">
        <f>'RS Wing'!I58</f>
        <v>1.2</v>
      </c>
      <c r="J383" s="337"/>
      <c r="K383" s="159"/>
    </row>
    <row r="384" spans="1:11" ht="15">
      <c r="A384" s="337"/>
      <c r="B384" s="337"/>
      <c r="C384" s="337"/>
      <c r="D384" s="337"/>
      <c r="E384" s="338"/>
      <c r="F384" s="84"/>
      <c r="G384" s="337"/>
      <c r="H384" s="337"/>
      <c r="I384" s="337"/>
      <c r="J384" s="337"/>
      <c r="K384" s="159"/>
    </row>
    <row r="385" spans="1:11" ht="15">
      <c r="A385" s="337"/>
      <c r="B385" s="337"/>
      <c r="C385" s="337"/>
      <c r="D385" s="337"/>
      <c r="E385" s="84">
        <f>'RS Wing'!E60</f>
        <v>18.899999999999999</v>
      </c>
      <c r="F385" s="85" t="s">
        <v>5</v>
      </c>
      <c r="G385" s="337"/>
      <c r="H385" s="337"/>
      <c r="I385" s="337"/>
      <c r="J385" s="337"/>
      <c r="K385" s="159"/>
    </row>
    <row r="386" spans="1:11" ht="15">
      <c r="A386" s="337"/>
      <c r="B386" s="337"/>
      <c r="C386" s="337"/>
      <c r="D386" s="337"/>
      <c r="E386" s="337"/>
      <c r="F386" s="337"/>
      <c r="G386" s="337"/>
      <c r="H386" s="337"/>
      <c r="I386" s="337"/>
      <c r="J386" s="337"/>
      <c r="K386" s="159"/>
    </row>
    <row r="387" spans="1:11" ht="15">
      <c r="A387" s="337"/>
      <c r="B387" s="337"/>
      <c r="C387" s="337"/>
      <c r="D387" s="337"/>
      <c r="E387" s="337"/>
      <c r="F387" s="337"/>
      <c r="G387" s="337"/>
      <c r="H387" s="337"/>
      <c r="I387" s="337"/>
      <c r="J387" s="337"/>
      <c r="K387" s="159"/>
    </row>
    <row r="388" spans="1:11">
      <c r="A388" s="46"/>
      <c r="B388" s="46" t="str">
        <f>"Sec "&amp;B360&amp;"-"&amp;B360</f>
        <v>Sec 1-1</v>
      </c>
      <c r="C388" s="46"/>
      <c r="D388" s="489">
        <f>'RS Wing'!D63</f>
        <v>5.8500000000000005</v>
      </c>
      <c r="E388" s="46"/>
      <c r="F388" s="489">
        <f>'RS Wing'!F63</f>
        <v>5.8500000000000005</v>
      </c>
      <c r="G388" s="46"/>
      <c r="H388" s="44">
        <f>'RS Wing'!H63</f>
        <v>3.2999999999999972</v>
      </c>
      <c r="I388" s="224">
        <f>'RS Wing'!I63</f>
        <v>1.2</v>
      </c>
      <c r="J388" s="46"/>
      <c r="K388" s="159"/>
    </row>
    <row r="389" spans="1:11">
      <c r="C389" s="18" t="str">
        <f>"Sec "&amp;C361&amp;"-"&amp;C361</f>
        <v>Sec 2-2</v>
      </c>
      <c r="E389" s="18" t="str">
        <f>"Sec "&amp;E362&amp;"-"&amp;E362</f>
        <v>Sec 3-3</v>
      </c>
      <c r="G389" s="18" t="str">
        <f>"Sec "&amp;G363&amp;"-"&amp;G363</f>
        <v>Sec 4-4</v>
      </c>
      <c r="I389" s="220" t="str">
        <f>"Sec "&amp;I366&amp;"-"&amp;I366</f>
        <v>Sec 5-5</v>
      </c>
      <c r="K389" s="159"/>
    </row>
    <row r="390" spans="1:11">
      <c r="A390" s="190">
        <f>'RS Wing'!A65</f>
        <v>1.2</v>
      </c>
      <c r="B390" s="520" t="s">
        <v>895</v>
      </c>
      <c r="C390" s="46"/>
      <c r="D390" s="36"/>
      <c r="E390" s="36"/>
      <c r="F390" s="36"/>
      <c r="G390" s="84"/>
      <c r="H390" s="189"/>
      <c r="K390" s="159"/>
    </row>
    <row r="391" spans="1:11">
      <c r="B391" s="46"/>
      <c r="C391" s="46"/>
      <c r="D391" s="2254"/>
      <c r="E391" s="2254"/>
      <c r="F391" s="2254"/>
      <c r="J391" s="3296">
        <f>'RS Wing'!J66</f>
        <v>0.65</v>
      </c>
      <c r="K391" s="159"/>
    </row>
    <row r="392" spans="1:11">
      <c r="B392" s="46"/>
      <c r="C392" s="46" t="s">
        <v>894</v>
      </c>
      <c r="D392" s="34"/>
      <c r="E392" s="34"/>
      <c r="F392" s="34"/>
      <c r="H392" s="11"/>
      <c r="I392" s="519" t="s">
        <v>304</v>
      </c>
      <c r="J392" s="3296"/>
      <c r="K392" s="159"/>
    </row>
    <row r="393" spans="1:11">
      <c r="A393" s="2" t="s">
        <v>708</v>
      </c>
      <c r="B393" s="46"/>
      <c r="C393" s="46"/>
      <c r="D393" s="2254"/>
      <c r="E393" s="2254"/>
      <c r="F393" s="2254"/>
      <c r="K393" s="159"/>
    </row>
    <row r="394" spans="1:11">
      <c r="C394" s="205">
        <f>'RS Wing'!C69</f>
        <v>1.2</v>
      </c>
      <c r="D394" s="46" t="s">
        <v>5</v>
      </c>
      <c r="E394" s="334">
        <f>'RS Wing'!E69</f>
        <v>1.0013888888888889</v>
      </c>
      <c r="F394" s="46"/>
      <c r="G394" s="334">
        <f>'RS Wing'!G69</f>
        <v>0.8027777777777777</v>
      </c>
      <c r="H394" t="s">
        <v>5</v>
      </c>
      <c r="I394" s="343">
        <f>'RS Wing'!I69</f>
        <v>0.69074074074074077</v>
      </c>
      <c r="K394" s="159"/>
    </row>
    <row r="395" spans="1:11" ht="15">
      <c r="A395" s="337"/>
      <c r="B395" s="337"/>
      <c r="C395" s="337"/>
      <c r="D395" s="337"/>
      <c r="E395" s="337"/>
      <c r="F395" s="337"/>
      <c r="G395" s="337"/>
      <c r="H395" s="337"/>
      <c r="J395" s="337"/>
      <c r="K395" s="159"/>
    </row>
    <row r="396" spans="1:11">
      <c r="F396" s="33">
        <f>'RS Wing'!F71</f>
        <v>15</v>
      </c>
      <c r="G396" t="s">
        <v>5</v>
      </c>
      <c r="I396" s="33">
        <f>'RS Wing'!I71</f>
        <v>1.2</v>
      </c>
      <c r="J396" s="46"/>
      <c r="K396" s="159"/>
    </row>
    <row r="397" spans="1:11">
      <c r="K397" s="159"/>
    </row>
    <row r="398" spans="1:11">
      <c r="K398" s="159"/>
    </row>
    <row r="399" spans="1:11">
      <c r="H399" s="30" t="s">
        <v>2080</v>
      </c>
      <c r="K399" s="159"/>
    </row>
    <row r="400" spans="1:11">
      <c r="H400" s="2258">
        <f>'RS Wing'!P45</f>
        <v>1.2</v>
      </c>
      <c r="K400" s="159"/>
    </row>
    <row r="401" spans="1:13">
      <c r="I401" s="3223">
        <f>'RS Wing'!Q46</f>
        <v>0.65</v>
      </c>
      <c r="K401" s="159"/>
    </row>
    <row r="402" spans="1:13">
      <c r="I402" s="3223"/>
      <c r="K402" s="159"/>
    </row>
    <row r="403" spans="1:13">
      <c r="I403" s="3223">
        <f>'RS Wing'!Q48</f>
        <v>0.3</v>
      </c>
      <c r="K403" s="159"/>
    </row>
    <row r="404" spans="1:13">
      <c r="I404" s="3223"/>
      <c r="K404" s="159"/>
    </row>
    <row r="405" spans="1:13">
      <c r="K405" s="159"/>
    </row>
    <row r="406" spans="1:13">
      <c r="I406" s="187" t="s">
        <v>2079</v>
      </c>
      <c r="K406" s="159"/>
    </row>
    <row r="407" spans="1:13" ht="15">
      <c r="F407" s="33"/>
      <c r="G407" s="36">
        <f>'RS Wing'!O52</f>
        <v>0.3</v>
      </c>
      <c r="H407" s="649">
        <f>'RS Wing'!P52</f>
        <v>0.9</v>
      </c>
      <c r="K407" s="159"/>
    </row>
    <row r="408" spans="1:13" ht="15">
      <c r="F408" s="337"/>
      <c r="G408" s="793"/>
      <c r="H408" s="342">
        <f>G407+H407</f>
        <v>1.2</v>
      </c>
      <c r="K408" s="159"/>
    </row>
    <row r="409" spans="1:13" ht="15">
      <c r="F409" s="337"/>
      <c r="G409" s="337"/>
      <c r="H409" s="338"/>
      <c r="I409" s="84"/>
      <c r="K409" s="159"/>
    </row>
    <row r="410" spans="1:13">
      <c r="A410" s="61" t="s">
        <v>2090</v>
      </c>
      <c r="B410" s="46"/>
      <c r="C410" s="46"/>
      <c r="D410" s="46"/>
      <c r="E410" s="46"/>
      <c r="J410" s="46"/>
      <c r="K410" s="159"/>
    </row>
    <row r="411" spans="1:13">
      <c r="J411" s="46"/>
      <c r="K411" s="159"/>
    </row>
    <row r="412" spans="1:13">
      <c r="A412" s="2632"/>
      <c r="B412" s="643" t="str">
        <f>'RS Wing'!B1354</f>
        <v>Sec</v>
      </c>
      <c r="C412" s="2264" t="str">
        <f>'RS Wing'!C1354</f>
        <v>1-1</v>
      </c>
      <c r="D412" s="643" t="str">
        <f>'RS Wing'!D1354</f>
        <v>Sec</v>
      </c>
      <c r="E412" s="2264" t="str">
        <f>'RS Wing'!E1354</f>
        <v>2-2</v>
      </c>
      <c r="F412" s="643" t="str">
        <f>'RS Wing'!F1354</f>
        <v>Sec</v>
      </c>
      <c r="G412" s="2264" t="str">
        <f>'RS Wing'!G1354</f>
        <v>3-3</v>
      </c>
      <c r="H412" s="643" t="str">
        <f>'RS Wing'!H1354</f>
        <v>Sec</v>
      </c>
      <c r="I412" s="2265" t="str">
        <f>'RS Wing'!I1354</f>
        <v>4-4</v>
      </c>
      <c r="J412" s="46"/>
      <c r="K412" s="159"/>
      <c r="L412" s="643" t="str">
        <f>'RS Wing'!L1354</f>
        <v>Sec :</v>
      </c>
      <c r="M412" s="2265" t="str">
        <f>'RS Wing'!M1354</f>
        <v>5-5</v>
      </c>
    </row>
    <row r="413" spans="1:13">
      <c r="A413" s="1608" t="s">
        <v>2035</v>
      </c>
      <c r="B413" s="3286" t="str">
        <f>'RS Wing'!B1355&amp;" m"</f>
        <v>2.7 m</v>
      </c>
      <c r="C413" s="3287"/>
      <c r="D413" s="3286" t="str">
        <f>FIXED('RS Wing'!D1355,2)&amp;" m"</f>
        <v>5.85 m</v>
      </c>
      <c r="E413" s="3287"/>
      <c r="F413" s="3286" t="str">
        <f>FIXED('RS Wing'!F1355,2)&amp;" m"</f>
        <v>5.85 m</v>
      </c>
      <c r="G413" s="3287"/>
      <c r="H413" s="3286" t="str">
        <f>'RS Wing'!H1355&amp;" m"</f>
        <v>3.3 m</v>
      </c>
      <c r="I413" s="3287"/>
      <c r="J413" s="46"/>
      <c r="K413" s="159"/>
      <c r="L413" s="2619"/>
      <c r="M413" s="2620"/>
    </row>
    <row r="414" spans="1:13">
      <c r="A414" s="2633" t="s">
        <v>1695</v>
      </c>
      <c r="B414" s="3182" t="str">
        <f>FIXED(A368,3)&amp;" - "&amp;FIXED(C372,3)</f>
        <v>7.800 - 7.800</v>
      </c>
      <c r="C414" s="3294"/>
      <c r="D414" s="3294" t="str">
        <f>FIXED(C372,3)&amp;" - "&amp;FIXED(E372,3)</f>
        <v>7.800 - 5.850</v>
      </c>
      <c r="E414" s="3294"/>
      <c r="F414" s="3294" t="str">
        <f>FIXED(E372,3)&amp;" - "&amp;FIXED(G372,3)</f>
        <v>5.850 - 3.900</v>
      </c>
      <c r="G414" s="3294"/>
      <c r="H414" s="3294" t="str">
        <f>FIXED(G372,3)&amp;" - "&amp;FIXED(J372,3)</f>
        <v>3.900 - 3.900</v>
      </c>
      <c r="I414" s="3294"/>
      <c r="J414" s="46"/>
      <c r="K414" s="159"/>
      <c r="L414" s="3181" t="str">
        <f>FIXED(J372,3)</f>
        <v>3.900</v>
      </c>
      <c r="M414" s="3182"/>
    </row>
    <row r="415" spans="1:13">
      <c r="A415" s="2633" t="s">
        <v>1329</v>
      </c>
      <c r="B415" s="3182" t="str">
        <f>'RS Wing'!H117*1000&amp;" mm"</f>
        <v>300 mm</v>
      </c>
      <c r="C415" s="3294"/>
      <c r="D415" s="3294" t="str">
        <f>'RS Wing'!H366*1000&amp;" mm"</f>
        <v>300 mm</v>
      </c>
      <c r="E415" s="3294"/>
      <c r="F415" s="3294" t="str">
        <f>'RS Wing'!H613*1000&amp;" mm"</f>
        <v>300 mm</v>
      </c>
      <c r="G415" s="3294"/>
      <c r="H415" s="3294" t="str">
        <f>'RS Wing'!H862*1000&amp;" mm"</f>
        <v>300 mm</v>
      </c>
      <c r="I415" s="3294"/>
      <c r="J415" s="46"/>
      <c r="K415" s="159"/>
      <c r="L415" s="3181" t="str">
        <f>'RS Wing'!H1111*1000&amp;" mm"</f>
        <v>300 mm</v>
      </c>
      <c r="M415" s="3182"/>
    </row>
    <row r="416" spans="1:13">
      <c r="A416" s="2633" t="s">
        <v>1330</v>
      </c>
      <c r="B416" s="3182" t="str">
        <f>'RS Wing'!H135*1000&amp;" mm"</f>
        <v>800 mm</v>
      </c>
      <c r="C416" s="3294"/>
      <c r="D416" s="3294" t="str">
        <f>'RS Wing'!H384*1000&amp;" mm"</f>
        <v>800 mm</v>
      </c>
      <c r="E416" s="3294"/>
      <c r="F416" s="3294" t="str">
        <f>'RS Wing'!H631*1000&amp;" mm"</f>
        <v>600 mm</v>
      </c>
      <c r="G416" s="3294"/>
      <c r="H416" s="3294" t="str">
        <f>'RS Wing'!H880*1000&amp;" mm"</f>
        <v>450 mm</v>
      </c>
      <c r="I416" s="3294"/>
      <c r="J416" s="46"/>
      <c r="K416" s="159"/>
      <c r="L416" s="3181" t="str">
        <f>'RS Wing'!H1129*1000&amp;" mm"</f>
        <v>450 mm</v>
      </c>
      <c r="M416" s="3182"/>
    </row>
    <row r="417" spans="1:13">
      <c r="A417" s="1034"/>
      <c r="B417" s="355" t="s">
        <v>709</v>
      </c>
      <c r="C417" s="355" t="s">
        <v>710</v>
      </c>
      <c r="D417" s="355" t="s">
        <v>709</v>
      </c>
      <c r="E417" s="355" t="s">
        <v>710</v>
      </c>
      <c r="F417" s="355" t="s">
        <v>709</v>
      </c>
      <c r="G417" s="355" t="s">
        <v>710</v>
      </c>
      <c r="H417" s="256" t="s">
        <v>709</v>
      </c>
      <c r="I417" s="256" t="s">
        <v>710</v>
      </c>
      <c r="J417" s="46"/>
      <c r="K417" s="159"/>
      <c r="L417" s="2252" t="s">
        <v>709</v>
      </c>
      <c r="M417" s="2253" t="s">
        <v>710</v>
      </c>
    </row>
    <row r="418" spans="1:13">
      <c r="A418" s="2634" t="s">
        <v>492</v>
      </c>
      <c r="B418" s="2629"/>
      <c r="C418" s="2630"/>
      <c r="D418" s="2629"/>
      <c r="E418" s="2630"/>
      <c r="F418" s="2631"/>
      <c r="G418" s="2630"/>
      <c r="H418" s="2631"/>
      <c r="I418" s="2630"/>
      <c r="J418" s="46"/>
      <c r="K418" s="159"/>
      <c r="L418" s="2629"/>
      <c r="M418" s="2630"/>
    </row>
    <row r="419" spans="1:13">
      <c r="A419" s="1104" t="s">
        <v>111</v>
      </c>
      <c r="B419" s="564">
        <f>'RS Wing'!B1357</f>
        <v>25</v>
      </c>
      <c r="C419" s="593">
        <f>'RS Wing'!C1357</f>
        <v>100</v>
      </c>
      <c r="D419" s="564">
        <f>'RS Wing'!D1357</f>
        <v>25</v>
      </c>
      <c r="E419" s="593">
        <f>'RS Wing'!E1357</f>
        <v>100</v>
      </c>
      <c r="F419" s="1240">
        <f>'RS Wing'!F1357</f>
        <v>20</v>
      </c>
      <c r="G419" s="593">
        <f>'RS Wing'!G1357</f>
        <v>100</v>
      </c>
      <c r="H419" s="1240">
        <f>'RS Wing'!H1357</f>
        <v>16</v>
      </c>
      <c r="I419" s="593">
        <f>'RS Wing'!I1357</f>
        <v>100</v>
      </c>
      <c r="J419" s="46"/>
      <c r="K419" s="159"/>
      <c r="L419" s="564">
        <f>'RS Wing'!L1357</f>
        <v>16</v>
      </c>
      <c r="M419" s="565">
        <f>'RS Wing'!M1357</f>
        <v>100</v>
      </c>
    </row>
    <row r="420" spans="1:13">
      <c r="A420" s="315" t="s">
        <v>110</v>
      </c>
      <c r="B420" s="569">
        <f>'RS Wing'!B1358</f>
        <v>16</v>
      </c>
      <c r="C420" s="2036">
        <f>'RS Wing'!C1358</f>
        <v>200</v>
      </c>
      <c r="D420" s="569">
        <f>'RS Wing'!D1358</f>
        <v>16</v>
      </c>
      <c r="E420" s="2036">
        <f>'RS Wing'!E1358</f>
        <v>200</v>
      </c>
      <c r="F420" s="1242">
        <f>'RS Wing'!F1358</f>
        <v>16</v>
      </c>
      <c r="G420" s="2036">
        <f>'RS Wing'!G1358</f>
        <v>200</v>
      </c>
      <c r="H420" s="1242">
        <f>'RS Wing'!H1358</f>
        <v>16</v>
      </c>
      <c r="I420" s="2036">
        <f>'RS Wing'!I1358</f>
        <v>200</v>
      </c>
      <c r="J420" s="46"/>
      <c r="K420" s="159"/>
      <c r="L420" s="569">
        <f>'RS Wing'!L1358</f>
        <v>16</v>
      </c>
      <c r="M420" s="570">
        <f>'RS Wing'!M1358</f>
        <v>200</v>
      </c>
    </row>
    <row r="421" spans="1:13" ht="15">
      <c r="A421" s="2635" t="s">
        <v>493</v>
      </c>
      <c r="B421" s="2644"/>
      <c r="C421" s="2645"/>
      <c r="D421" s="2629"/>
      <c r="E421" s="2630"/>
      <c r="F421" s="2631"/>
      <c r="G421" s="2631"/>
      <c r="H421" s="2626"/>
      <c r="I421" s="2627"/>
      <c r="J421" s="46"/>
      <c r="K421" s="159"/>
      <c r="L421" s="1725"/>
      <c r="M421" s="350"/>
    </row>
    <row r="422" spans="1:13">
      <c r="A422" s="1104" t="s">
        <v>111</v>
      </c>
      <c r="B422" s="564">
        <f>'RS Wing'!B1360</f>
        <v>16</v>
      </c>
      <c r="C422" s="593">
        <f>'RS Wing'!C1360</f>
        <v>200</v>
      </c>
      <c r="D422" s="564">
        <f>'RS Wing'!D1360</f>
        <v>16</v>
      </c>
      <c r="E422" s="593">
        <f>'RS Wing'!E1360</f>
        <v>200</v>
      </c>
      <c r="F422" s="1240">
        <f>'RS Wing'!F1360</f>
        <v>16</v>
      </c>
      <c r="G422" s="1240">
        <f>'RS Wing'!G1360</f>
        <v>200</v>
      </c>
      <c r="H422" s="564">
        <f>'RS Wing'!H1360</f>
        <v>16</v>
      </c>
      <c r="I422" s="593">
        <f>'RS Wing'!I1360</f>
        <v>200</v>
      </c>
      <c r="J422" s="46"/>
      <c r="K422" s="159"/>
      <c r="L422" s="564">
        <f>'RS Wing'!L1360</f>
        <v>16</v>
      </c>
      <c r="M422" s="565">
        <f>'RS Wing'!M1360</f>
        <v>200</v>
      </c>
    </row>
    <row r="423" spans="1:13">
      <c r="A423" s="315" t="s">
        <v>110</v>
      </c>
      <c r="B423" s="569">
        <f>'RS Wing'!B1361</f>
        <v>16</v>
      </c>
      <c r="C423" s="2036">
        <f>'RS Wing'!C1361</f>
        <v>200</v>
      </c>
      <c r="D423" s="569">
        <f>'RS Wing'!D1361</f>
        <v>16</v>
      </c>
      <c r="E423" s="2036">
        <f>'RS Wing'!E1361</f>
        <v>200</v>
      </c>
      <c r="F423" s="1242">
        <f>'RS Wing'!F1361</f>
        <v>16</v>
      </c>
      <c r="G423" s="1242">
        <f>'RS Wing'!G1361</f>
        <v>200</v>
      </c>
      <c r="H423" s="569">
        <f>'RS Wing'!H1361</f>
        <v>16</v>
      </c>
      <c r="I423" s="2036">
        <f>'RS Wing'!I1361</f>
        <v>200</v>
      </c>
      <c r="J423" s="46"/>
      <c r="K423" s="159"/>
      <c r="L423" s="564">
        <f>'RS Wing'!L1361</f>
        <v>16</v>
      </c>
      <c r="M423" s="565">
        <f>'RS Wing'!M1361</f>
        <v>200</v>
      </c>
    </row>
    <row r="424" spans="1:13">
      <c r="A424" s="2634" t="s">
        <v>715</v>
      </c>
      <c r="B424" s="423"/>
      <c r="C424" s="2628"/>
      <c r="D424" s="423"/>
      <c r="E424" s="2628"/>
      <c r="F424" s="55"/>
      <c r="G424" s="55"/>
      <c r="H424" s="2626"/>
      <c r="I424" s="2627"/>
      <c r="J424" s="46"/>
      <c r="K424" s="159"/>
      <c r="L424" s="2626"/>
      <c r="M424" s="2627"/>
    </row>
    <row r="425" spans="1:13">
      <c r="A425" s="2636" t="s">
        <v>2083</v>
      </c>
      <c r="B425" s="2648">
        <f>'RS Wing'!B1364</f>
        <v>3</v>
      </c>
      <c r="C425" s="2279" t="str">
        <f>'RS Wing'!C1364</f>
        <v>m</v>
      </c>
      <c r="D425" s="2648">
        <f>'RS Wing'!D1364</f>
        <v>3</v>
      </c>
      <c r="E425" s="2279" t="str">
        <f>'RS Wing'!E1364</f>
        <v>m</v>
      </c>
      <c r="F425" s="2278">
        <f>'RS Wing'!F1364</f>
        <v>3</v>
      </c>
      <c r="G425" s="2646" t="str">
        <f>'RS Wing'!G1364</f>
        <v>m</v>
      </c>
      <c r="H425" s="2648">
        <f>'RS Wing'!H1364</f>
        <v>1.8</v>
      </c>
      <c r="I425" s="2279" t="str">
        <f>'RS Wing'!I1364</f>
        <v>m</v>
      </c>
      <c r="J425" s="46"/>
      <c r="K425" s="159"/>
      <c r="L425" s="2648">
        <f>'RS Wing'!L1364</f>
        <v>1.8</v>
      </c>
      <c r="M425" s="2269" t="str">
        <f>'RS Wing'!M1364</f>
        <v>m</v>
      </c>
    </row>
    <row r="426" spans="1:13">
      <c r="A426" s="2637" t="s">
        <v>2082</v>
      </c>
      <c r="B426" s="2649">
        <f>'RS Wing'!B1365</f>
        <v>4.5</v>
      </c>
      <c r="C426" s="2281" t="str">
        <f>'RS Wing'!C1365</f>
        <v>m</v>
      </c>
      <c r="D426" s="2649">
        <f>'RS Wing'!D1365</f>
        <v>5</v>
      </c>
      <c r="E426" s="2281" t="str">
        <f>'RS Wing'!E1365</f>
        <v>m</v>
      </c>
      <c r="F426" s="2280">
        <f>'RS Wing'!F1365</f>
        <v>4.5</v>
      </c>
      <c r="G426" s="2647" t="str">
        <f>'RS Wing'!G1365</f>
        <v>m</v>
      </c>
      <c r="H426" s="2649">
        <f>'RS Wing'!H1365</f>
        <v>0</v>
      </c>
      <c r="I426" s="2281" t="str">
        <f>'RS Wing'!I1365</f>
        <v>m</v>
      </c>
      <c r="J426" s="46"/>
      <c r="K426" s="159"/>
      <c r="L426" s="2649">
        <f>'RS Wing'!L1365</f>
        <v>0</v>
      </c>
      <c r="M426" s="2650" t="str">
        <f>'RS Wing'!M1365</f>
        <v>m</v>
      </c>
    </row>
    <row r="427" spans="1:13">
      <c r="A427" s="418"/>
      <c r="B427" s="33"/>
      <c r="D427" s="33"/>
      <c r="F427" s="33"/>
      <c r="H427" s="2255"/>
      <c r="I427" s="2"/>
      <c r="J427" s="46"/>
      <c r="K427" s="159"/>
      <c r="L427" s="2255"/>
      <c r="M427" s="2"/>
    </row>
    <row r="428" spans="1:13">
      <c r="A428" s="61" t="s">
        <v>1922</v>
      </c>
      <c r="B428" s="46"/>
      <c r="C428" s="46"/>
      <c r="D428" s="46"/>
      <c r="H428" s="2"/>
      <c r="I428" s="2"/>
      <c r="J428" s="46"/>
      <c r="K428" s="159"/>
      <c r="L428" s="2"/>
      <c r="M428" s="2"/>
    </row>
    <row r="429" spans="1:13">
      <c r="J429" s="46"/>
      <c r="K429" s="159"/>
    </row>
    <row r="430" spans="1:13">
      <c r="A430" s="413"/>
      <c r="B430" s="643" t="str">
        <f>'RS Wing'!B1369</f>
        <v>Sec</v>
      </c>
      <c r="C430" s="2265" t="str">
        <f>'RS Wing'!C1369</f>
        <v>1-1</v>
      </c>
      <c r="D430" s="2263" t="str">
        <f>'RS Wing'!D1369</f>
        <v>Sec</v>
      </c>
      <c r="E430" s="2264" t="str">
        <f>'RS Wing'!E1369</f>
        <v>2-2</v>
      </c>
      <c r="F430" s="643" t="str">
        <f>'RS Wing'!F1369</f>
        <v>Sec</v>
      </c>
      <c r="G430" s="2265" t="str">
        <f>'RS Wing'!G1369</f>
        <v>3-3</v>
      </c>
      <c r="H430" s="2263" t="str">
        <f>'RS Wing'!H1369</f>
        <v>Sec</v>
      </c>
      <c r="I430" s="2265" t="str">
        <f>'RS Wing'!I1369</f>
        <v>4-4</v>
      </c>
      <c r="J430" s="2758" t="str">
        <f>'RS Wing'!M1369</f>
        <v>5-5</v>
      </c>
      <c r="K430" s="159"/>
      <c r="L430" s="643" t="str">
        <f>'RS Wing'!L1369</f>
        <v>Sec :</v>
      </c>
      <c r="M430" s="2265" t="str">
        <f>'RS Wing'!M1369</f>
        <v>5-5</v>
      </c>
    </row>
    <row r="431" spans="1:13">
      <c r="A431" s="2014" t="s">
        <v>2093</v>
      </c>
      <c r="B431" s="3303" t="str">
        <f>FIXED('RS Wing'!A82,3)&amp;" - "&amp;FIXED('RS Wing'!C82,3)</f>
        <v>3.750 - 5.008</v>
      </c>
      <c r="C431" s="3304"/>
      <c r="D431" s="3305" t="str">
        <f>FIXED('RS Wing'!C82,3)&amp;"  - "&amp;FIXED('RS Wing'!E82,3)</f>
        <v>5.008  - 7.735</v>
      </c>
      <c r="E431" s="3305"/>
      <c r="F431" s="3303" t="str">
        <f>FIXED('RS Wing'!E82,3)&amp;" - "&amp;FIXED('RS Wing'!F82,3)</f>
        <v>7.735 - 10.462</v>
      </c>
      <c r="G431" s="3304"/>
      <c r="H431" s="3305" t="str">
        <f>FIXED('RS Wing'!F82,3)&amp;" - "&amp;FIXED('RS Wing'!I82,3)</f>
        <v>10.462 - 12.000</v>
      </c>
      <c r="I431" s="3304"/>
      <c r="J431" s="2724"/>
      <c r="K431" s="159"/>
      <c r="L431" s="2756">
        <f>'RS Wing'!I82</f>
        <v>12</v>
      </c>
      <c r="M431" s="2651"/>
    </row>
    <row r="432" spans="1:13">
      <c r="A432" s="2624"/>
      <c r="B432" s="351" t="s">
        <v>709</v>
      </c>
      <c r="C432" s="517" t="s">
        <v>710</v>
      </c>
      <c r="D432" s="2621" t="s">
        <v>709</v>
      </c>
      <c r="E432" s="2621" t="s">
        <v>710</v>
      </c>
      <c r="F432" s="351" t="s">
        <v>709</v>
      </c>
      <c r="G432" s="517" t="s">
        <v>710</v>
      </c>
      <c r="H432" s="2752" t="s">
        <v>709</v>
      </c>
      <c r="I432" s="517" t="s">
        <v>710</v>
      </c>
      <c r="J432" s="2724"/>
      <c r="K432" s="159"/>
      <c r="L432" s="351" t="s">
        <v>709</v>
      </c>
      <c r="M432" s="517" t="s">
        <v>710</v>
      </c>
    </row>
    <row r="433" spans="1:16">
      <c r="A433" s="545" t="s">
        <v>440</v>
      </c>
      <c r="B433" s="2629"/>
      <c r="C433" s="2630"/>
      <c r="D433" s="2631"/>
      <c r="E433" s="2631"/>
      <c r="F433" s="2629"/>
      <c r="G433" s="2630"/>
      <c r="H433" s="2631"/>
      <c r="I433" s="2630"/>
      <c r="J433" s="2760"/>
      <c r="K433" s="159"/>
      <c r="L433" s="2629"/>
      <c r="M433" s="2630"/>
    </row>
    <row r="434" spans="1:16">
      <c r="A434" s="363" t="s">
        <v>441</v>
      </c>
      <c r="B434" s="564">
        <f>'RS Wing'!B1371</f>
        <v>16</v>
      </c>
      <c r="C434" s="593">
        <f>'RS Wing'!C1371</f>
        <v>200</v>
      </c>
      <c r="D434" s="1240">
        <f>'RS Wing'!D1371</f>
        <v>16</v>
      </c>
      <c r="E434" s="1240">
        <f>'RS Wing'!E1371</f>
        <v>200</v>
      </c>
      <c r="F434" s="564">
        <f>'RS Wing'!F1371</f>
        <v>16</v>
      </c>
      <c r="G434" s="593">
        <f>'RS Wing'!G1371</f>
        <v>200</v>
      </c>
      <c r="H434" s="1240">
        <f>'RS Wing'!L1371</f>
        <v>16</v>
      </c>
      <c r="I434" s="593">
        <f>'RS Wing'!M1371</f>
        <v>200</v>
      </c>
      <c r="J434" s="2724"/>
      <c r="K434" s="159"/>
      <c r="L434" s="564">
        <f>'RS Wing'!L1371</f>
        <v>16</v>
      </c>
      <c r="M434" s="565">
        <f>'RS Wing'!M1371</f>
        <v>200</v>
      </c>
      <c r="O434">
        <f>'RS Wing'!H1371</f>
        <v>16</v>
      </c>
      <c r="P434">
        <f>'RS Wing'!I1371</f>
        <v>100</v>
      </c>
    </row>
    <row r="435" spans="1:16">
      <c r="A435" s="364" t="s">
        <v>442</v>
      </c>
      <c r="B435" s="569">
        <f>'RS Wing'!B1372</f>
        <v>16</v>
      </c>
      <c r="C435" s="2036">
        <f>'RS Wing'!C1372</f>
        <v>200</v>
      </c>
      <c r="D435" s="1242">
        <f>'RS Wing'!D1372</f>
        <v>16</v>
      </c>
      <c r="E435" s="1242">
        <f>'RS Wing'!E1372</f>
        <v>200</v>
      </c>
      <c r="F435" s="569">
        <f>'RS Wing'!F1372</f>
        <v>16</v>
      </c>
      <c r="G435" s="2036">
        <f>'RS Wing'!G1372</f>
        <v>200</v>
      </c>
      <c r="H435" s="1242">
        <f>'RS Wing'!H1372</f>
        <v>16</v>
      </c>
      <c r="I435" s="2036">
        <f>'RS Wing'!I1372</f>
        <v>200</v>
      </c>
      <c r="J435" s="2724"/>
      <c r="K435" s="159"/>
      <c r="L435" s="564">
        <f>'RS Wing'!L1372</f>
        <v>16</v>
      </c>
      <c r="M435" s="565">
        <f>'RS Wing'!M1372</f>
        <v>200</v>
      </c>
    </row>
    <row r="436" spans="1:16">
      <c r="A436" s="421" t="s">
        <v>443</v>
      </c>
      <c r="B436" s="1725"/>
      <c r="C436" s="147"/>
      <c r="D436" s="1726"/>
      <c r="E436" s="1726"/>
      <c r="F436" s="1725"/>
      <c r="G436" s="147"/>
      <c r="H436" s="1726"/>
      <c r="I436" s="147"/>
      <c r="J436" s="2724"/>
      <c r="K436" s="159"/>
      <c r="L436" s="2626"/>
      <c r="M436" s="420"/>
    </row>
    <row r="437" spans="1:16">
      <c r="A437" s="363" t="s">
        <v>441</v>
      </c>
      <c r="B437" s="564">
        <f>'RS Wing'!B1374</f>
        <v>25</v>
      </c>
      <c r="C437" s="593">
        <f>'RS Wing'!C1374</f>
        <v>100</v>
      </c>
      <c r="D437" s="1240">
        <f>'RS Wing'!D1374</f>
        <v>25</v>
      </c>
      <c r="E437" s="1240">
        <f>'RS Wing'!E1374</f>
        <v>100</v>
      </c>
      <c r="F437" s="564">
        <f>'RS Wing'!F1374</f>
        <v>20</v>
      </c>
      <c r="G437" s="593">
        <f>'RS Wing'!G1374</f>
        <v>100</v>
      </c>
      <c r="H437" s="1240">
        <f>'RS Wing'!H1374</f>
        <v>16</v>
      </c>
      <c r="I437" s="593">
        <f>'RS Wing'!I1374</f>
        <v>100</v>
      </c>
      <c r="J437" s="2724"/>
      <c r="K437" s="159"/>
      <c r="L437" s="564">
        <f>'RS Wing'!L1374</f>
        <v>16</v>
      </c>
      <c r="M437" s="565">
        <f>'RS Wing'!M1374</f>
        <v>100</v>
      </c>
    </row>
    <row r="438" spans="1:16">
      <c r="A438" s="363" t="s">
        <v>442</v>
      </c>
      <c r="B438" s="564">
        <f>'RS Wing'!B1375</f>
        <v>16</v>
      </c>
      <c r="C438" s="593">
        <f>'RS Wing'!C1375</f>
        <v>250</v>
      </c>
      <c r="D438" s="1240">
        <f>'RS Wing'!D1375</f>
        <v>16</v>
      </c>
      <c r="E438" s="1240">
        <f>'RS Wing'!E1375</f>
        <v>250</v>
      </c>
      <c r="F438" s="564">
        <f>'RS Wing'!F1375</f>
        <v>16</v>
      </c>
      <c r="G438" s="593">
        <f>'RS Wing'!G1375</f>
        <v>250</v>
      </c>
      <c r="H438" s="1240">
        <f>'RS Wing'!H1375</f>
        <v>16</v>
      </c>
      <c r="I438" s="593">
        <f>'RS Wing'!I1375</f>
        <v>250</v>
      </c>
      <c r="J438" s="1224"/>
      <c r="K438" s="159"/>
      <c r="L438" s="569">
        <f>'RS Wing'!L1375</f>
        <v>16</v>
      </c>
      <c r="M438" s="570">
        <f>'RS Wing'!M1375</f>
        <v>250</v>
      </c>
    </row>
    <row r="439" spans="1:16">
      <c r="A439" s="544" t="s">
        <v>602</v>
      </c>
      <c r="B439" s="423"/>
      <c r="C439" s="55"/>
      <c r="D439" s="423"/>
      <c r="E439" s="2628"/>
      <c r="F439" s="55"/>
      <c r="G439" s="55"/>
      <c r="H439" s="423"/>
      <c r="I439" s="2628"/>
      <c r="J439" s="2724"/>
      <c r="K439" s="159"/>
      <c r="L439" s="2624"/>
      <c r="M439" s="58"/>
    </row>
    <row r="440" spans="1:16">
      <c r="A440" s="369" t="s">
        <v>2091</v>
      </c>
      <c r="B440" s="3283" t="str">
        <f>'RS Wing'!B1377</f>
        <v>0.00 m from end</v>
      </c>
      <c r="C440" s="3284"/>
      <c r="D440" s="3283" t="str">
        <f>'RS Wing'!D1377</f>
        <v>3.00 m from end</v>
      </c>
      <c r="E440" s="3284"/>
      <c r="F440" s="3283" t="str">
        <f>'RS Wing'!F1377</f>
        <v>2.00 m from end</v>
      </c>
      <c r="G440" s="3284"/>
      <c r="H440" s="3283" t="str">
        <f>'RS Wing'!H1377</f>
        <v>2.50 m from end</v>
      </c>
      <c r="I440" s="3284"/>
      <c r="J440" s="2759" t="str">
        <f>'RS Wing'!L1377</f>
        <v>2.50 m from end</v>
      </c>
      <c r="K440" s="159"/>
      <c r="L440" s="3283" t="str">
        <f>'RS Wing'!L1377</f>
        <v>2.50 m from end</v>
      </c>
      <c r="M440" s="3284"/>
    </row>
    <row r="441" spans="1:16">
      <c r="A441" s="371" t="s">
        <v>2092</v>
      </c>
      <c r="B441" s="425" t="str">
        <f>'RS Wing'!B1378&amp;" m from inner face"</f>
        <v>0 m from inner face</v>
      </c>
      <c r="C441" s="208"/>
      <c r="D441" s="425" t="str">
        <f>'RS Wing'!D1378&amp;" m from inner face"</f>
        <v>0 m from inner face</v>
      </c>
      <c r="E441" s="2652"/>
      <c r="F441" s="212" t="str">
        <f>'RS Wing'!F1378&amp;" m from inner face"</f>
        <v>0 m from inner face</v>
      </c>
      <c r="G441" s="208"/>
      <c r="H441" s="425" t="str">
        <f>'RS Wing'!H1378&amp;" m from inner face"</f>
        <v>0.7 m from inner face</v>
      </c>
      <c r="I441" s="2652"/>
      <c r="J441" s="698">
        <f>'RS Wing'!L1378</f>
        <v>2.5</v>
      </c>
      <c r="K441" s="159"/>
      <c r="L441" s="425">
        <f>'RS Wing'!L1378</f>
        <v>2.5</v>
      </c>
      <c r="M441" s="2652" t="s">
        <v>5</v>
      </c>
    </row>
    <row r="442" spans="1:16">
      <c r="J442" s="46"/>
      <c r="K442" s="159"/>
    </row>
    <row r="443" spans="1:16">
      <c r="J443" s="46"/>
      <c r="K443" s="159"/>
    </row>
    <row r="444" spans="1:16">
      <c r="A444" s="61" t="s">
        <v>1925</v>
      </c>
      <c r="F444" s="187"/>
      <c r="J444" s="46"/>
      <c r="K444" s="159"/>
    </row>
    <row r="445" spans="1:16">
      <c r="A445" s="61" t="s">
        <v>1926</v>
      </c>
      <c r="K445" s="159"/>
    </row>
    <row r="446" spans="1:16">
      <c r="C446" s="203" t="s">
        <v>870</v>
      </c>
      <c r="D446" s="129">
        <f>'RS R wall'!C31</f>
        <v>3900.0000000000005</v>
      </c>
      <c r="E446" s="187" t="s">
        <v>98</v>
      </c>
      <c r="F446" s="187"/>
      <c r="G446" s="203" t="s">
        <v>2085</v>
      </c>
      <c r="H446" s="203" t="s">
        <v>1313</v>
      </c>
      <c r="I446" s="129">
        <f>'RS R wall'!E23</f>
        <v>300</v>
      </c>
      <c r="J446" s="109" t="s">
        <v>98</v>
      </c>
      <c r="K446" s="159"/>
    </row>
    <row r="447" spans="1:16">
      <c r="C447" s="203"/>
      <c r="D447" s="129"/>
      <c r="E447" s="187"/>
      <c r="H447" s="203" t="s">
        <v>2084</v>
      </c>
      <c r="I447">
        <f>'RS R wall'!E46</f>
        <v>400</v>
      </c>
      <c r="J447" s="109" t="s">
        <v>98</v>
      </c>
      <c r="K447" s="159"/>
    </row>
    <row r="448" spans="1:16">
      <c r="K448" s="159"/>
    </row>
    <row r="449" spans="1:11">
      <c r="A449" s="3300" t="s">
        <v>492</v>
      </c>
      <c r="B449" s="3301"/>
      <c r="C449" s="3302"/>
      <c r="D449" s="3297" t="s">
        <v>493</v>
      </c>
      <c r="E449" s="3298"/>
      <c r="F449" s="3299"/>
      <c r="J449" s="46"/>
      <c r="K449" s="159"/>
    </row>
    <row r="450" spans="1:11">
      <c r="A450" s="172"/>
      <c r="B450" s="256" t="s">
        <v>709</v>
      </c>
      <c r="C450" s="256" t="s">
        <v>710</v>
      </c>
      <c r="D450" s="16"/>
      <c r="E450" s="354" t="s">
        <v>709</v>
      </c>
      <c r="F450" s="354" t="s">
        <v>710</v>
      </c>
      <c r="H450" s="544" t="s">
        <v>715</v>
      </c>
      <c r="I450" s="423"/>
      <c r="J450" s="2259"/>
      <c r="K450" s="159"/>
    </row>
    <row r="451" spans="1:11">
      <c r="A451" s="259" t="s">
        <v>111</v>
      </c>
      <c r="B451" s="564">
        <f>'RS R wall'!B391</f>
        <v>16</v>
      </c>
      <c r="C451" s="564">
        <f>'RS R wall'!D391</f>
        <v>100</v>
      </c>
      <c r="D451" s="259" t="s">
        <v>111</v>
      </c>
      <c r="E451" s="571">
        <f>'RS R wall'!D409</f>
        <v>16</v>
      </c>
      <c r="F451" s="572">
        <f>'RS R wall'!F409</f>
        <v>200</v>
      </c>
      <c r="H451" s="549" t="s">
        <v>2083</v>
      </c>
      <c r="I451" s="2278">
        <f>'RS R wall'!F392</f>
        <v>1.8</v>
      </c>
      <c r="J451" s="2279" t="s">
        <v>5</v>
      </c>
      <c r="K451" s="159"/>
    </row>
    <row r="452" spans="1:11">
      <c r="A452" s="262" t="s">
        <v>110</v>
      </c>
      <c r="B452" s="569">
        <f>'RS R wall'!D407</f>
        <v>16</v>
      </c>
      <c r="C452" s="569">
        <f>'RS R wall'!F407</f>
        <v>250</v>
      </c>
      <c r="D452" s="262" t="s">
        <v>110</v>
      </c>
      <c r="E452" s="569">
        <f>'RS R wall'!D410</f>
        <v>16</v>
      </c>
      <c r="F452" s="570">
        <f>'RS R wall'!F410</f>
        <v>200</v>
      </c>
      <c r="H452" s="552" t="s">
        <v>2082</v>
      </c>
      <c r="I452" s="2280" t="str">
        <f>IF('RS R wall'!F393="","",'RS R wall'!F393)</f>
        <v/>
      </c>
      <c r="J452" s="2281" t="s">
        <v>5</v>
      </c>
      <c r="K452" s="159"/>
    </row>
    <row r="453" spans="1:11">
      <c r="K453" s="159"/>
    </row>
    <row r="454" spans="1:11">
      <c r="J454" s="46"/>
      <c r="K454" s="159"/>
    </row>
    <row r="455" spans="1:11">
      <c r="A455" s="61" t="s">
        <v>1927</v>
      </c>
      <c r="J455" s="46"/>
      <c r="K455" s="159"/>
    </row>
    <row r="456" spans="1:11">
      <c r="B456" s="187" t="s">
        <v>2081</v>
      </c>
      <c r="D456">
        <f>'RS R wall'!D48</f>
        <v>3400</v>
      </c>
      <c r="E456" s="187" t="s">
        <v>98</v>
      </c>
      <c r="F456" s="187" t="s">
        <v>1899</v>
      </c>
      <c r="H456">
        <f>'RS R wall'!G40</f>
        <v>400</v>
      </c>
      <c r="I456" s="187" t="s">
        <v>98</v>
      </c>
      <c r="J456" s="46"/>
      <c r="K456" s="159"/>
    </row>
    <row r="457" spans="1:11">
      <c r="B457" s="187" t="s">
        <v>1923</v>
      </c>
      <c r="D457">
        <f>'RS R wall'!C46</f>
        <v>1800</v>
      </c>
      <c r="E457" s="187" t="s">
        <v>98</v>
      </c>
      <c r="J457" s="46"/>
      <c r="K457" s="159"/>
    </row>
    <row r="458" spans="1:11">
      <c r="B458" s="187" t="s">
        <v>1924</v>
      </c>
      <c r="D458">
        <f>'RS R wall'!F46</f>
        <v>1200</v>
      </c>
      <c r="E458" s="187" t="s">
        <v>98</v>
      </c>
      <c r="J458" s="46"/>
      <c r="K458" s="159"/>
    </row>
    <row r="459" spans="1:11">
      <c r="K459" s="159"/>
    </row>
    <row r="460" spans="1:11">
      <c r="A460" s="544" t="s">
        <v>440</v>
      </c>
      <c r="B460" s="555"/>
      <c r="C460" s="556"/>
      <c r="D460" s="555"/>
      <c r="E460" s="555"/>
      <c r="F460" s="501"/>
      <c r="K460" s="159"/>
    </row>
    <row r="461" spans="1:11" ht="15.75">
      <c r="A461" s="549" t="s">
        <v>441</v>
      </c>
      <c r="B461" s="550" t="s">
        <v>136</v>
      </c>
      <c r="C461" s="540">
        <f>'RS R wall'!D621</f>
        <v>16</v>
      </c>
      <c r="D461" s="408" t="s">
        <v>481</v>
      </c>
      <c r="E461" s="540">
        <f>'RS R wall'!F621</f>
        <v>200</v>
      </c>
      <c r="F461" s="551" t="s">
        <v>482</v>
      </c>
      <c r="G461" s="187"/>
      <c r="J461" s="187"/>
      <c r="K461" s="159"/>
    </row>
    <row r="462" spans="1:11" ht="15.75">
      <c r="A462" s="549" t="s">
        <v>442</v>
      </c>
      <c r="B462" s="550" t="s">
        <v>136</v>
      </c>
      <c r="C462" s="540">
        <f>'RS R wall'!D622</f>
        <v>16</v>
      </c>
      <c r="D462" s="408" t="s">
        <v>481</v>
      </c>
      <c r="E462" s="540">
        <f>'RS R wall'!F622</f>
        <v>200</v>
      </c>
      <c r="F462" s="551" t="s">
        <v>482</v>
      </c>
      <c r="G462" s="187"/>
      <c r="J462" s="187"/>
      <c r="K462" s="159"/>
    </row>
    <row r="463" spans="1:11" ht="15.75">
      <c r="A463" s="421" t="s">
        <v>443</v>
      </c>
      <c r="B463" s="273"/>
      <c r="C463" s="274"/>
      <c r="D463" s="408"/>
      <c r="E463" s="540"/>
      <c r="F463" s="277"/>
      <c r="G463" s="187"/>
      <c r="J463" s="187"/>
      <c r="K463" s="159"/>
    </row>
    <row r="464" spans="1:11" ht="15.75">
      <c r="A464" s="549" t="s">
        <v>441</v>
      </c>
      <c r="B464" s="550" t="s">
        <v>136</v>
      </c>
      <c r="C464" s="540">
        <f>'RS R wall'!D624</f>
        <v>16</v>
      </c>
      <c r="D464" s="408" t="s">
        <v>481</v>
      </c>
      <c r="E464" s="540">
        <f>'RS R wall'!F624</f>
        <v>200</v>
      </c>
      <c r="F464" s="551" t="s">
        <v>482</v>
      </c>
      <c r="K464" s="159"/>
    </row>
    <row r="465" spans="1:11" ht="15.75">
      <c r="A465" s="552" t="s">
        <v>442</v>
      </c>
      <c r="B465" s="553" t="s">
        <v>136</v>
      </c>
      <c r="C465" s="543">
        <f>'RS R wall'!D625</f>
        <v>16</v>
      </c>
      <c r="D465" s="2277" t="s">
        <v>481</v>
      </c>
      <c r="E465" s="543">
        <f>'RS R wall'!F625</f>
        <v>250</v>
      </c>
      <c r="F465" s="554" t="s">
        <v>482</v>
      </c>
      <c r="K465" s="159"/>
    </row>
    <row r="466" spans="1:11">
      <c r="K466" s="159"/>
    </row>
    <row r="467" spans="1:11">
      <c r="K467" s="159"/>
    </row>
    <row r="468" spans="1:11">
      <c r="K468" s="159"/>
    </row>
    <row r="510" ht="12.75" customHeight="1"/>
    <row r="516" ht="12.75" customHeight="1"/>
    <row r="523" ht="12.75" customHeight="1"/>
    <row r="531" ht="12.75" customHeight="1"/>
  </sheetData>
  <sheetProtection sheet="1" objects="1" scenarios="1"/>
  <mergeCells count="88">
    <mergeCell ref="L314:M314"/>
    <mergeCell ref="L315:M315"/>
    <mergeCell ref="L320:M320"/>
    <mergeCell ref="D314:E314"/>
    <mergeCell ref="F314:G314"/>
    <mergeCell ref="H314:I314"/>
    <mergeCell ref="H320:I320"/>
    <mergeCell ref="B315:C315"/>
    <mergeCell ref="D315:E315"/>
    <mergeCell ref="F315:G315"/>
    <mergeCell ref="H315:I315"/>
    <mergeCell ref="C69:D69"/>
    <mergeCell ref="E69:F69"/>
    <mergeCell ref="G69:H69"/>
    <mergeCell ref="H302:I302"/>
    <mergeCell ref="I275:I276"/>
    <mergeCell ref="A449:C449"/>
    <mergeCell ref="D449:F449"/>
    <mergeCell ref="A267:A268"/>
    <mergeCell ref="B320:C320"/>
    <mergeCell ref="D320:E320"/>
    <mergeCell ref="F320:G320"/>
    <mergeCell ref="B302:C302"/>
    <mergeCell ref="D302:E302"/>
    <mergeCell ref="F302:G302"/>
    <mergeCell ref="B314:C314"/>
    <mergeCell ref="B413:C413"/>
    <mergeCell ref="D413:E413"/>
    <mergeCell ref="F413:G413"/>
    <mergeCell ref="B329:C329"/>
    <mergeCell ref="D329:E329"/>
    <mergeCell ref="F329:G329"/>
    <mergeCell ref="B431:C431"/>
    <mergeCell ref="D431:E431"/>
    <mergeCell ref="F431:G431"/>
    <mergeCell ref="H431:I431"/>
    <mergeCell ref="B414:C414"/>
    <mergeCell ref="D414:E414"/>
    <mergeCell ref="F414:G414"/>
    <mergeCell ref="H414:I414"/>
    <mergeCell ref="B415:C415"/>
    <mergeCell ref="D415:E415"/>
    <mergeCell ref="F415:G415"/>
    <mergeCell ref="H415:I415"/>
    <mergeCell ref="B416:C416"/>
    <mergeCell ref="D416:E416"/>
    <mergeCell ref="F416:G416"/>
    <mergeCell ref="H416:I416"/>
    <mergeCell ref="J275:J276"/>
    <mergeCell ref="B288:B289"/>
    <mergeCell ref="B290:B291"/>
    <mergeCell ref="I401:I402"/>
    <mergeCell ref="I403:I404"/>
    <mergeCell ref="B304:C304"/>
    <mergeCell ref="D304:E304"/>
    <mergeCell ref="F304:G304"/>
    <mergeCell ref="H304:I304"/>
    <mergeCell ref="B305:C305"/>
    <mergeCell ref="D305:E305"/>
    <mergeCell ref="F305:G305"/>
    <mergeCell ref="H305:I305"/>
    <mergeCell ref="J391:J392"/>
    <mergeCell ref="D338:F338"/>
    <mergeCell ref="A338:C338"/>
    <mergeCell ref="L304:M304"/>
    <mergeCell ref="L305:M305"/>
    <mergeCell ref="B303:C303"/>
    <mergeCell ref="D303:E303"/>
    <mergeCell ref="F303:G303"/>
    <mergeCell ref="H303:I303"/>
    <mergeCell ref="L303:M303"/>
    <mergeCell ref="H329:I329"/>
    <mergeCell ref="L329:M329"/>
    <mergeCell ref="B330:C330"/>
    <mergeCell ref="D330:E330"/>
    <mergeCell ref="F330:G330"/>
    <mergeCell ref="H330:I330"/>
    <mergeCell ref="L330:M330"/>
    <mergeCell ref="L414:M414"/>
    <mergeCell ref="L415:M415"/>
    <mergeCell ref="L416:M416"/>
    <mergeCell ref="J378:J379"/>
    <mergeCell ref="H413:I413"/>
    <mergeCell ref="H440:I440"/>
    <mergeCell ref="B440:C440"/>
    <mergeCell ref="D440:E440"/>
    <mergeCell ref="F440:G440"/>
    <mergeCell ref="L440:M440"/>
  </mergeCells>
  <printOptions horizontalCentered="1"/>
  <pageMargins left="0.6" right="0.59" top="0.75" bottom="0.75" header="0.3" footer="0.3"/>
  <pageSetup paperSize="9" orientation="portrait" horizontalDpi="300" verticalDpi="300" r:id="rId1"/>
  <headerFooter>
    <oddFooter>&amp;C&amp;F                                                                                                              &amp;P   of   &amp;N</oddFooter>
  </headerFooter>
  <rowBreaks count="8" manualBreakCount="8">
    <brk id="114" max="9" man="1"/>
    <brk id="164" max="9" man="1"/>
    <brk id="203" max="9" man="1"/>
    <brk id="244" max="16383" man="1"/>
    <brk id="298" max="16383" man="1"/>
    <brk id="355" max="16383" man="1"/>
    <brk id="409" max="16383" man="1"/>
    <brk id="46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A1:AS107"/>
  <sheetViews>
    <sheetView workbookViewId="0">
      <selection activeCell="C4" sqref="C4"/>
    </sheetView>
  </sheetViews>
  <sheetFormatPr defaultRowHeight="12.75"/>
  <sheetData>
    <row r="1" spans="1:17" ht="15.75">
      <c r="A1" s="1310"/>
      <c r="B1" s="1311" t="s">
        <v>1840</v>
      </c>
      <c r="C1" s="1312"/>
      <c r="D1" s="1312"/>
      <c r="E1" s="1312"/>
      <c r="F1" s="1312"/>
      <c r="G1" s="1312"/>
      <c r="H1" s="1313"/>
      <c r="J1" s="1310"/>
      <c r="K1" s="1311" t="s">
        <v>1841</v>
      </c>
      <c r="L1" s="1312"/>
      <c r="M1" s="1312"/>
      <c r="N1" s="1312"/>
      <c r="O1" s="1312"/>
      <c r="P1" s="1312"/>
      <c r="Q1" s="1313"/>
    </row>
    <row r="2" spans="1:17" ht="15.75">
      <c r="A2" s="1314"/>
      <c r="B2" s="1315"/>
      <c r="C2" s="1316"/>
      <c r="D2" s="1316"/>
      <c r="E2" s="1316"/>
      <c r="F2" s="1316"/>
      <c r="G2" s="1316"/>
      <c r="H2" s="1317"/>
      <c r="J2" s="1314"/>
      <c r="K2" s="1315"/>
      <c r="L2" s="1316"/>
      <c r="M2" s="1316"/>
      <c r="N2" s="1316"/>
      <c r="O2" s="1316"/>
      <c r="P2" s="1316"/>
      <c r="Q2" s="1317"/>
    </row>
    <row r="3" spans="1:17">
      <c r="A3" s="1314"/>
      <c r="B3" s="1318" t="s">
        <v>1341</v>
      </c>
      <c r="C3" s="1319">
        <f>'RS R wall'!F341</f>
        <v>3.9000000000000004</v>
      </c>
      <c r="D3" s="1320" t="s">
        <v>1342</v>
      </c>
      <c r="E3" s="227"/>
      <c r="F3" s="227"/>
      <c r="G3" s="227"/>
      <c r="H3" s="227"/>
      <c r="J3" s="1314"/>
      <c r="K3" s="1318" t="s">
        <v>1341</v>
      </c>
      <c r="L3" s="1319">
        <f>'CS R Wall'!F341</f>
        <v>3.9000000000000004</v>
      </c>
      <c r="M3" s="1320" t="s">
        <v>1342</v>
      </c>
      <c r="N3" s="227"/>
      <c r="O3" s="227"/>
      <c r="P3" s="227"/>
      <c r="Q3" s="227"/>
    </row>
    <row r="4" spans="1:17">
      <c r="A4" s="1314"/>
      <c r="B4" s="1318" t="s">
        <v>1343</v>
      </c>
      <c r="C4" s="1321">
        <v>2.6100000000000385</v>
      </c>
      <c r="D4" s="1320" t="s">
        <v>1344</v>
      </c>
      <c r="E4" s="227"/>
      <c r="F4" s="227"/>
      <c r="G4" s="227"/>
      <c r="H4" s="227"/>
      <c r="J4" s="1314"/>
      <c r="K4" s="1318" t="s">
        <v>1343</v>
      </c>
      <c r="L4" s="1321">
        <v>2.3500000000000334</v>
      </c>
      <c r="M4" s="1320" t="s">
        <v>1344</v>
      </c>
      <c r="N4" s="227"/>
      <c r="O4" s="227"/>
      <c r="P4" s="227"/>
      <c r="Q4" s="227"/>
    </row>
    <row r="5" spans="1:17">
      <c r="A5" s="1314"/>
      <c r="B5" s="1322" t="s">
        <v>1157</v>
      </c>
      <c r="C5" s="1323">
        <f>'RS R wall'!G10</f>
        <v>0.36087265271105751</v>
      </c>
      <c r="D5" s="1316"/>
      <c r="E5" s="227"/>
      <c r="F5" s="227"/>
      <c r="G5" s="227"/>
      <c r="H5" s="227"/>
      <c r="J5" s="1314"/>
      <c r="K5" s="1322" t="s">
        <v>1157</v>
      </c>
      <c r="L5" s="1323">
        <f>'CS R Wall'!G10</f>
        <v>0.36087265271105751</v>
      </c>
      <c r="M5" s="1316"/>
      <c r="N5" s="227"/>
      <c r="O5" s="227"/>
      <c r="P5" s="227"/>
      <c r="Q5" s="227"/>
    </row>
    <row r="6" spans="1:17">
      <c r="A6" s="1314"/>
      <c r="B6" s="1318" t="s">
        <v>1345</v>
      </c>
      <c r="C6" s="1319">
        <f>'RS R wall'!D11</f>
        <v>18.899999999999999</v>
      </c>
      <c r="D6" s="1316" t="s">
        <v>1</v>
      </c>
      <c r="E6" s="1316"/>
      <c r="F6" s="1316"/>
      <c r="G6" s="227"/>
      <c r="H6" s="227"/>
      <c r="J6" s="1314"/>
      <c r="K6" s="1318" t="s">
        <v>1345</v>
      </c>
      <c r="L6" s="1319">
        <f>'CS R Wall'!D11</f>
        <v>18.899999999999999</v>
      </c>
      <c r="M6" s="1316" t="s">
        <v>1</v>
      </c>
      <c r="N6" s="1316"/>
      <c r="O6" s="1316"/>
      <c r="P6" s="227"/>
      <c r="Q6" s="227"/>
    </row>
    <row r="7" spans="1:17">
      <c r="A7" s="1314"/>
      <c r="B7" s="1318" t="s">
        <v>1346</v>
      </c>
      <c r="C7" s="1322">
        <f>'RS R wall'!H16</f>
        <v>0</v>
      </c>
      <c r="D7" s="1316" t="s">
        <v>1229</v>
      </c>
      <c r="E7" s="1316"/>
      <c r="F7" s="1316"/>
      <c r="G7" s="227"/>
      <c r="H7" s="227"/>
      <c r="J7" s="1314"/>
      <c r="K7" s="1318" t="s">
        <v>1346</v>
      </c>
      <c r="L7" s="1322">
        <f>'CS R Wall'!H16</f>
        <v>0</v>
      </c>
      <c r="M7" s="1316" t="s">
        <v>1229</v>
      </c>
      <c r="N7" s="1316"/>
      <c r="O7" s="1316"/>
      <c r="P7" s="227"/>
      <c r="Q7" s="227"/>
    </row>
    <row r="8" spans="1:17">
      <c r="A8" s="1314"/>
      <c r="B8" s="1316"/>
      <c r="C8" s="1316"/>
      <c r="D8" s="1316"/>
      <c r="E8" s="1316"/>
      <c r="F8" s="1316"/>
      <c r="G8" s="1316"/>
      <c r="H8" s="1317"/>
      <c r="J8" s="1314"/>
      <c r="K8" s="1316"/>
      <c r="L8" s="1316"/>
      <c r="M8" s="1316"/>
      <c r="N8" s="1316"/>
      <c r="O8" s="1316"/>
      <c r="P8" s="1316"/>
      <c r="Q8" s="1317"/>
    </row>
    <row r="9" spans="1:17">
      <c r="A9" s="1314"/>
      <c r="B9" s="1318" t="s">
        <v>1282</v>
      </c>
      <c r="C9" s="1324">
        <f>'RS R wall'!B382</f>
        <v>67.430805391426759</v>
      </c>
      <c r="D9" s="1316" t="s">
        <v>107</v>
      </c>
      <c r="E9" s="1322" t="s">
        <v>1347</v>
      </c>
      <c r="F9" s="1338">
        <f>'RS R wall'!C382</f>
        <v>1222.1504597151422</v>
      </c>
      <c r="G9" s="1316" t="s">
        <v>1348</v>
      </c>
      <c r="H9" s="1317"/>
      <c r="J9" s="1314"/>
      <c r="K9" s="1318" t="s">
        <v>1282</v>
      </c>
      <c r="L9" s="1324">
        <f>'CS R Wall'!B382</f>
        <v>67.430805391426759</v>
      </c>
      <c r="M9" s="1316" t="s">
        <v>107</v>
      </c>
      <c r="N9" s="1322" t="s">
        <v>1347</v>
      </c>
      <c r="O9" s="1338">
        <f>'CS R Wall'!C382</f>
        <v>1222.1504597151422</v>
      </c>
      <c r="P9" s="1316" t="s">
        <v>1348</v>
      </c>
      <c r="Q9" s="1317"/>
    </row>
    <row r="10" spans="1:17">
      <c r="A10" s="1314"/>
      <c r="B10" s="1318" t="s">
        <v>1349</v>
      </c>
      <c r="C10" s="1324">
        <f>+C9/2</f>
        <v>33.715402695713379</v>
      </c>
      <c r="D10" s="1316" t="s">
        <v>107</v>
      </c>
      <c r="E10" s="1322" t="s">
        <v>1350</v>
      </c>
      <c r="F10" s="1338">
        <f>F9/2</f>
        <v>611.07522985757112</v>
      </c>
      <c r="G10" s="1316" t="s">
        <v>1348</v>
      </c>
      <c r="H10" s="1317"/>
      <c r="J10" s="1314"/>
      <c r="K10" s="1318" t="s">
        <v>1349</v>
      </c>
      <c r="L10" s="1324">
        <f>+L9/2</f>
        <v>33.715402695713379</v>
      </c>
      <c r="M10" s="1316" t="s">
        <v>107</v>
      </c>
      <c r="N10" s="1322" t="s">
        <v>1350</v>
      </c>
      <c r="O10" s="1338">
        <f>O9/2</f>
        <v>611.07522985757112</v>
      </c>
      <c r="P10" s="1316" t="s">
        <v>1348</v>
      </c>
      <c r="Q10" s="1317"/>
    </row>
    <row r="11" spans="1:17">
      <c r="A11" s="1314"/>
      <c r="B11" s="1318" t="s">
        <v>1351</v>
      </c>
      <c r="C11" s="1324">
        <f>+C10/2</f>
        <v>16.85770134785669</v>
      </c>
      <c r="D11" s="1316" t="s">
        <v>107</v>
      </c>
      <c r="E11" s="1322" t="s">
        <v>1352</v>
      </c>
      <c r="F11" s="1338">
        <f>F9/4</f>
        <v>305.53761492878556</v>
      </c>
      <c r="G11" s="1316" t="s">
        <v>1348</v>
      </c>
      <c r="H11" s="1317"/>
      <c r="J11" s="1314"/>
      <c r="K11" s="1318" t="s">
        <v>1351</v>
      </c>
      <c r="L11" s="1324">
        <f>+L10/2</f>
        <v>16.85770134785669</v>
      </c>
      <c r="M11" s="1316" t="s">
        <v>107</v>
      </c>
      <c r="N11" s="1322" t="s">
        <v>1352</v>
      </c>
      <c r="O11" s="1338">
        <f>O9/4</f>
        <v>305.53761492878556</v>
      </c>
      <c r="P11" s="1316" t="s">
        <v>1348</v>
      </c>
      <c r="Q11" s="1317"/>
    </row>
    <row r="12" spans="1:17">
      <c r="A12" s="1314"/>
      <c r="B12" s="227"/>
      <c r="C12" s="227"/>
      <c r="D12" s="1316"/>
      <c r="E12" s="227"/>
      <c r="F12" s="227"/>
      <c r="G12" s="1316"/>
      <c r="H12" s="1317"/>
      <c r="J12" s="1314"/>
      <c r="K12" s="227"/>
      <c r="L12" s="227"/>
      <c r="M12" s="1316"/>
      <c r="N12" s="227"/>
      <c r="O12" s="227"/>
      <c r="P12" s="1316"/>
      <c r="Q12" s="1317"/>
    </row>
    <row r="13" spans="1:17">
      <c r="A13" s="1314"/>
      <c r="B13" s="227"/>
      <c r="C13" s="227"/>
      <c r="D13" s="1316"/>
      <c r="E13" s="1322" t="s">
        <v>1353</v>
      </c>
      <c r="F13" s="1338">
        <f>'RS R wall'!C383</f>
        <v>828.86232814326308</v>
      </c>
      <c r="G13" s="1316" t="s">
        <v>1348</v>
      </c>
      <c r="H13" s="1317"/>
      <c r="J13" s="1314"/>
      <c r="K13" s="227"/>
      <c r="L13" s="227"/>
      <c r="M13" s="1316"/>
      <c r="N13" s="1322" t="s">
        <v>1843</v>
      </c>
      <c r="O13" s="1338">
        <f>'CS R Wall'!C383</f>
        <v>608.86228398300125</v>
      </c>
      <c r="P13" s="1316" t="s">
        <v>1348</v>
      </c>
      <c r="Q13" s="1317"/>
    </row>
    <row r="14" spans="1:17">
      <c r="A14" s="1314"/>
      <c r="B14" s="227"/>
      <c r="C14" s="227"/>
      <c r="D14" s="1316"/>
      <c r="E14" s="1322" t="s">
        <v>1353</v>
      </c>
      <c r="F14" s="1338">
        <f>'RS R wall'!C384</f>
        <v>406.84690463066113</v>
      </c>
      <c r="G14" s="1316" t="s">
        <v>1348</v>
      </c>
      <c r="H14" s="1317"/>
      <c r="J14" s="1314"/>
      <c r="K14" s="227"/>
      <c r="L14" s="227"/>
      <c r="M14" s="1316"/>
      <c r="N14" s="1322" t="s">
        <v>1844</v>
      </c>
      <c r="O14" s="1338">
        <f>'CS R Wall'!C384</f>
        <v>303.74453953528911</v>
      </c>
      <c r="P14" s="1316" t="s">
        <v>1348</v>
      </c>
      <c r="Q14" s="1317"/>
    </row>
    <row r="15" spans="1:17">
      <c r="A15" s="1314"/>
      <c r="B15" s="227"/>
      <c r="C15" s="227"/>
      <c r="D15" s="1316"/>
      <c r="E15" s="1316"/>
      <c r="F15" s="1316"/>
      <c r="G15" s="1316"/>
      <c r="H15" s="1317"/>
      <c r="J15" s="1314"/>
      <c r="K15" s="227"/>
      <c r="L15" s="227"/>
      <c r="M15" s="1316"/>
      <c r="N15" s="1316"/>
      <c r="O15" s="1316"/>
      <c r="P15" s="1316"/>
      <c r="Q15" s="1317"/>
    </row>
    <row r="16" spans="1:17">
      <c r="A16" s="1314"/>
      <c r="B16" s="1318" t="s">
        <v>1282</v>
      </c>
      <c r="C16" s="1324">
        <f>(1/6)*C5*C6*C4^3</f>
        <v>20.210918362618408</v>
      </c>
      <c r="D16" s="1325" t="s">
        <v>1354</v>
      </c>
      <c r="E16" s="1324">
        <f>C5*C7*C4^2/2</f>
        <v>0</v>
      </c>
      <c r="F16" s="1325" t="s">
        <v>35</v>
      </c>
      <c r="G16" s="1324">
        <f>C16+E16</f>
        <v>20.210918362618408</v>
      </c>
      <c r="H16" s="1317" t="s">
        <v>107</v>
      </c>
      <c r="J16" s="1314"/>
      <c r="K16" s="1318" t="s">
        <v>1282</v>
      </c>
      <c r="L16" s="1324">
        <f>(1/6)*L5*L6*L4^3</f>
        <v>14.752584560078553</v>
      </c>
      <c r="M16" s="1325" t="s">
        <v>1354</v>
      </c>
      <c r="N16" s="1324">
        <f>L5*L7*L4^2/2</f>
        <v>0</v>
      </c>
      <c r="O16" s="1325" t="s">
        <v>35</v>
      </c>
      <c r="P16" s="1324">
        <f>L16+N16</f>
        <v>14.752584560078553</v>
      </c>
      <c r="Q16" s="1317" t="s">
        <v>107</v>
      </c>
    </row>
    <row r="17" spans="1:45">
      <c r="A17" s="1314"/>
      <c r="B17" s="1316"/>
      <c r="C17" s="1316"/>
      <c r="D17" s="1316"/>
      <c r="E17" s="1316"/>
      <c r="F17" s="1316"/>
      <c r="G17" s="1316"/>
      <c r="H17" s="1317"/>
      <c r="J17" s="1314"/>
      <c r="K17" s="1316"/>
      <c r="L17" s="1316"/>
      <c r="M17" s="1316"/>
      <c r="N17" s="1316"/>
      <c r="O17" s="1316"/>
      <c r="P17" s="1316"/>
      <c r="Q17" s="1317"/>
    </row>
    <row r="18" spans="1:45">
      <c r="A18" s="1314"/>
      <c r="B18" s="1326" t="s">
        <v>1355</v>
      </c>
      <c r="C18" s="1327" t="s">
        <v>1356</v>
      </c>
      <c r="D18" s="1328" t="s">
        <v>1357</v>
      </c>
      <c r="E18" s="1328" t="s">
        <v>1358</v>
      </c>
      <c r="F18" s="1316"/>
      <c r="G18" s="1316"/>
      <c r="H18" s="1317"/>
      <c r="J18" s="1314"/>
      <c r="K18" s="1326" t="s">
        <v>1355</v>
      </c>
      <c r="L18" s="1327" t="s">
        <v>1356</v>
      </c>
      <c r="M18" s="1328" t="s">
        <v>1357</v>
      </c>
      <c r="N18" s="1328" t="s">
        <v>1358</v>
      </c>
      <c r="O18" s="1316"/>
      <c r="P18" s="1316"/>
      <c r="Q18" s="1317"/>
    </row>
    <row r="19" spans="1:45" ht="15.75">
      <c r="A19" s="1314"/>
      <c r="B19" s="1329" t="s">
        <v>952</v>
      </c>
      <c r="C19" s="1330" t="s">
        <v>952</v>
      </c>
      <c r="D19" s="1329" t="s">
        <v>1359</v>
      </c>
      <c r="E19" s="1331" t="s">
        <v>1348</v>
      </c>
      <c r="F19" s="227"/>
      <c r="G19" s="1603" t="s">
        <v>1340</v>
      </c>
      <c r="H19" s="227"/>
      <c r="J19" s="1314"/>
      <c r="K19" s="1329" t="s">
        <v>952</v>
      </c>
      <c r="L19" s="1330" t="s">
        <v>952</v>
      </c>
      <c r="M19" s="1329" t="s">
        <v>1359</v>
      </c>
      <c r="N19" s="1331" t="s">
        <v>1348</v>
      </c>
      <c r="O19" s="227"/>
      <c r="P19" s="1603" t="s">
        <v>1842</v>
      </c>
      <c r="Q19" s="227"/>
    </row>
    <row r="20" spans="1:45">
      <c r="A20" s="1314"/>
      <c r="B20" s="1332">
        <f>C3-C20</f>
        <v>0.51999999999997826</v>
      </c>
      <c r="C20" s="1333">
        <v>3.3800000000000221</v>
      </c>
      <c r="D20" s="1334">
        <v>43.894956872582952</v>
      </c>
      <c r="E20" s="1334">
        <v>760.68562575856788</v>
      </c>
      <c r="F20" s="1325"/>
      <c r="G20" s="1324"/>
      <c r="H20" s="1317"/>
      <c r="J20" s="1314"/>
      <c r="K20" s="1332">
        <f>L3-L20</f>
        <v>0.87999999999998124</v>
      </c>
      <c r="L20" s="1333">
        <v>3.0200000000000191</v>
      </c>
      <c r="M20" s="1334">
        <v>31.310164885210138</v>
      </c>
      <c r="N20" s="1334">
        <v>608.86228398300125</v>
      </c>
      <c r="O20" s="1325"/>
      <c r="P20" s="1324"/>
      <c r="Q20" s="1317"/>
    </row>
    <row r="21" spans="1:45">
      <c r="A21" s="1314"/>
      <c r="B21" s="1335">
        <f>C3-C21</f>
        <v>1.2899999999999618</v>
      </c>
      <c r="C21" s="1336">
        <v>2.6100000000000385</v>
      </c>
      <c r="D21" s="1337">
        <v>20.210918362618408</v>
      </c>
      <c r="E21" s="1337">
        <v>378.89264724409668</v>
      </c>
      <c r="F21" s="1325"/>
      <c r="G21" s="1324"/>
      <c r="H21" s="1317"/>
      <c r="J21" s="1314"/>
      <c r="K21" s="1335">
        <f>L3-L21</f>
        <v>1.549999999999967</v>
      </c>
      <c r="L21" s="1336">
        <v>2.3500000000000334</v>
      </c>
      <c r="M21" s="1337">
        <v>14.752584560078553</v>
      </c>
      <c r="N21" s="1337">
        <v>303.74453953528911</v>
      </c>
      <c r="O21" s="1325"/>
      <c r="P21" s="1324"/>
      <c r="Q21" s="1317"/>
    </row>
    <row r="22" spans="1:45">
      <c r="A22" s="1314"/>
      <c r="B22" s="1318"/>
      <c r="C22" s="1324"/>
      <c r="D22" s="1325"/>
      <c r="E22" s="1324"/>
      <c r="F22" s="1325"/>
      <c r="G22" s="1324"/>
      <c r="H22" s="1317"/>
      <c r="J22" s="1314"/>
      <c r="K22" s="1318"/>
      <c r="L22" s="1324"/>
      <c r="M22" s="1325"/>
      <c r="N22" s="1324"/>
      <c r="O22" s="1325"/>
      <c r="P22" s="1324"/>
      <c r="Q22" s="1317"/>
    </row>
    <row r="24" spans="1:45">
      <c r="C24" s="915" t="s">
        <v>1360</v>
      </c>
      <c r="D24" s="915"/>
      <c r="E24" s="915"/>
    </row>
    <row r="26" spans="1:45">
      <c r="K26" s="1843" t="s">
        <v>1699</v>
      </c>
      <c r="L26" s="795"/>
      <c r="M26" s="795"/>
      <c r="N26" s="578">
        <f>Hydraulic!O228</f>
        <v>0</v>
      </c>
      <c r="O26" s="1842">
        <v>480088</v>
      </c>
      <c r="P26" s="1960" t="s">
        <v>1900</v>
      </c>
      <c r="Q26" s="1961"/>
      <c r="R26" s="1962"/>
      <c r="Y26" s="1960" t="s">
        <v>1700</v>
      </c>
      <c r="Z26" s="1963"/>
      <c r="AA26" s="1964"/>
      <c r="AH26" s="1960" t="s">
        <v>1701</v>
      </c>
      <c r="AI26" s="1963"/>
      <c r="AJ26" s="1964"/>
      <c r="AQ26" s="1960" t="s">
        <v>2194</v>
      </c>
      <c r="AR26" s="1963"/>
      <c r="AS26" s="1964"/>
    </row>
    <row r="28" spans="1:45">
      <c r="A28" s="207" t="s">
        <v>1600</v>
      </c>
      <c r="B28" s="126"/>
      <c r="C28" s="126"/>
      <c r="D28" s="126"/>
      <c r="E28" s="126"/>
      <c r="K28" s="207" t="s">
        <v>1641</v>
      </c>
      <c r="L28" s="126"/>
      <c r="M28" s="126"/>
      <c r="N28" s="126"/>
      <c r="O28" s="126"/>
      <c r="T28" s="207" t="s">
        <v>1643</v>
      </c>
      <c r="U28" s="126"/>
      <c r="V28" s="126"/>
      <c r="W28" s="126"/>
      <c r="X28" s="126"/>
      <c r="AC28" s="207" t="s">
        <v>1644</v>
      </c>
      <c r="AD28" s="126"/>
      <c r="AE28" s="126"/>
      <c r="AF28" s="126"/>
      <c r="AG28" s="126"/>
      <c r="AL28" s="207" t="s">
        <v>1645</v>
      </c>
      <c r="AM28" s="126"/>
      <c r="AN28" s="126"/>
      <c r="AO28" s="126"/>
      <c r="AP28" s="126"/>
    </row>
    <row r="29" spans="1:45">
      <c r="A29" s="1575"/>
      <c r="B29" s="1576"/>
      <c r="C29" s="1576"/>
      <c r="D29" s="1577" t="s">
        <v>1361</v>
      </c>
      <c r="E29" s="1576"/>
      <c r="F29" s="1575"/>
      <c r="G29" s="1575"/>
      <c r="H29" s="1575"/>
      <c r="K29" s="1575"/>
      <c r="L29" s="1576"/>
      <c r="M29" s="1576"/>
      <c r="N29" s="1577" t="s">
        <v>1361</v>
      </c>
      <c r="O29" s="1576"/>
      <c r="P29" s="1575"/>
      <c r="Q29" s="1575"/>
      <c r="R29" s="1575"/>
      <c r="T29" s="1575"/>
      <c r="U29" s="1576"/>
      <c r="V29" s="1576"/>
      <c r="W29" s="1577" t="s">
        <v>1361</v>
      </c>
      <c r="X29" s="1576"/>
      <c r="Y29" s="1575"/>
      <c r="Z29" s="1575"/>
      <c r="AA29" s="1575"/>
      <c r="AC29" s="1575"/>
      <c r="AD29" s="1576"/>
      <c r="AE29" s="1576"/>
      <c r="AF29" s="1577" t="s">
        <v>1361</v>
      </c>
      <c r="AG29" s="1576"/>
      <c r="AH29" s="1575"/>
      <c r="AI29" s="1575"/>
      <c r="AJ29" s="1575"/>
      <c r="AL29" s="1575"/>
      <c r="AM29" s="1576"/>
      <c r="AN29" s="1576"/>
      <c r="AO29" s="1577" t="s">
        <v>1361</v>
      </c>
      <c r="AP29" s="1576"/>
      <c r="AQ29" s="1575"/>
      <c r="AR29" s="1575"/>
      <c r="AS29" s="1575"/>
    </row>
    <row r="30" spans="1:45" ht="15.75">
      <c r="A30" s="1575"/>
      <c r="B30" s="1578" t="s">
        <v>808</v>
      </c>
      <c r="C30" s="1575"/>
      <c r="D30" s="1579">
        <v>0.2</v>
      </c>
      <c r="E30" s="1575"/>
      <c r="F30" s="1575"/>
      <c r="G30" s="1603" t="s">
        <v>1580</v>
      </c>
      <c r="H30" s="1575"/>
      <c r="K30" s="1575"/>
      <c r="L30" s="1578" t="s">
        <v>808</v>
      </c>
      <c r="M30" s="1575"/>
      <c r="N30" s="1836">
        <f>Hydraulic!S229</f>
        <v>0</v>
      </c>
      <c r="O30" s="1575"/>
      <c r="P30" s="1575"/>
      <c r="Q30" s="1603" t="s">
        <v>1642</v>
      </c>
      <c r="R30" s="1575"/>
      <c r="T30" s="1575"/>
      <c r="U30" s="1578" t="s">
        <v>808</v>
      </c>
      <c r="V30" s="1575"/>
      <c r="W30" s="1836">
        <f>Hydraulic!V229</f>
        <v>0</v>
      </c>
      <c r="X30" s="1575"/>
      <c r="Y30" s="1575"/>
      <c r="Z30" s="1603" t="s">
        <v>1642</v>
      </c>
      <c r="AA30" s="1575"/>
      <c r="AC30" s="1575"/>
      <c r="AD30" s="1578" t="s">
        <v>808</v>
      </c>
      <c r="AE30" s="1575"/>
      <c r="AF30" s="1836">
        <f>Hydraulic!Y229</f>
        <v>0</v>
      </c>
      <c r="AG30" s="1575"/>
      <c r="AH30" s="1575"/>
      <c r="AI30" s="1603" t="s">
        <v>1642</v>
      </c>
      <c r="AJ30" s="1575"/>
      <c r="AL30" s="1575"/>
      <c r="AM30" s="1578" t="s">
        <v>808</v>
      </c>
      <c r="AN30" s="1575"/>
      <c r="AO30" s="1836">
        <f>Hydraulic!AB229</f>
        <v>0</v>
      </c>
      <c r="AP30" s="1575"/>
      <c r="AQ30" s="1575"/>
      <c r="AR30" s="1603" t="s">
        <v>1642</v>
      </c>
      <c r="AS30" s="1575"/>
    </row>
    <row r="31" spans="1:45">
      <c r="A31" s="1575"/>
      <c r="B31" s="1580"/>
      <c r="C31" s="1575"/>
      <c r="D31" s="1575"/>
      <c r="E31" s="1575"/>
      <c r="F31" s="1575"/>
      <c r="G31" s="1575"/>
      <c r="H31" s="1575"/>
      <c r="K31" s="1575"/>
      <c r="L31" s="1580"/>
      <c r="M31" s="1575"/>
      <c r="N31" s="1575"/>
      <c r="O31" s="1575"/>
      <c r="P31" s="1575"/>
      <c r="Q31" s="1575"/>
      <c r="R31" s="1575"/>
      <c r="T31" s="1575"/>
      <c r="U31" s="1580"/>
      <c r="V31" s="1575"/>
      <c r="W31" s="1575"/>
      <c r="X31" s="1575"/>
      <c r="Y31" s="1575"/>
      <c r="Z31" s="1575"/>
      <c r="AA31" s="1575"/>
      <c r="AC31" s="1575"/>
      <c r="AD31" s="1580"/>
      <c r="AE31" s="1575"/>
      <c r="AF31" s="1575"/>
      <c r="AG31" s="1575"/>
      <c r="AH31" s="1575"/>
      <c r="AI31" s="1575"/>
      <c r="AJ31" s="1575"/>
      <c r="AL31" s="1575"/>
      <c r="AM31" s="1580"/>
      <c r="AN31" s="1575"/>
      <c r="AO31" s="1575"/>
      <c r="AP31" s="1575"/>
      <c r="AQ31" s="1575"/>
      <c r="AR31" s="1575"/>
      <c r="AS31" s="1575"/>
    </row>
    <row r="32" spans="1:45">
      <c r="A32" s="1575"/>
      <c r="B32" s="1580" t="s">
        <v>1579</v>
      </c>
      <c r="C32" s="1575"/>
      <c r="D32" s="1581"/>
      <c r="E32" s="1582"/>
      <c r="F32" s="1583"/>
      <c r="G32" s="1580" t="s">
        <v>537</v>
      </c>
      <c r="H32" s="1580" t="s">
        <v>302</v>
      </c>
      <c r="K32" s="1575"/>
      <c r="L32" s="1580" t="s">
        <v>1579</v>
      </c>
      <c r="M32" s="1575"/>
      <c r="N32" s="1581"/>
      <c r="O32" s="1582"/>
      <c r="P32" s="1583"/>
      <c r="Q32" s="1580" t="s">
        <v>537</v>
      </c>
      <c r="R32" s="1580" t="s">
        <v>302</v>
      </c>
      <c r="T32" s="1575"/>
      <c r="U32" s="1580" t="s">
        <v>1579</v>
      </c>
      <c r="V32" s="1575"/>
      <c r="W32" s="1581"/>
      <c r="X32" s="1582"/>
      <c r="Y32" s="1583"/>
      <c r="Z32" s="1580" t="s">
        <v>537</v>
      </c>
      <c r="AA32" s="1580" t="s">
        <v>302</v>
      </c>
      <c r="AC32" s="1575"/>
      <c r="AD32" s="1580" t="s">
        <v>1579</v>
      </c>
      <c r="AE32" s="1575"/>
      <c r="AF32" s="1581"/>
      <c r="AG32" s="1582"/>
      <c r="AH32" s="1583"/>
      <c r="AI32" s="1580" t="s">
        <v>537</v>
      </c>
      <c r="AJ32" s="1580" t="s">
        <v>302</v>
      </c>
      <c r="AL32" s="1575"/>
      <c r="AM32" s="1580" t="s">
        <v>1579</v>
      </c>
      <c r="AN32" s="1575"/>
      <c r="AO32" s="1581"/>
      <c r="AP32" s="1582"/>
      <c r="AQ32" s="1583"/>
      <c r="AR32" s="1580" t="s">
        <v>537</v>
      </c>
      <c r="AS32" s="1580" t="s">
        <v>302</v>
      </c>
    </row>
    <row r="33" spans="1:45" ht="15.75">
      <c r="A33" s="1584" t="s">
        <v>1520</v>
      </c>
      <c r="B33" s="1584" t="s">
        <v>1571</v>
      </c>
      <c r="C33" s="1585"/>
      <c r="D33" s="1586" t="s">
        <v>1581</v>
      </c>
      <c r="E33" s="1587"/>
      <c r="F33" s="1588" t="s">
        <v>1582</v>
      </c>
      <c r="G33" s="1584" t="s">
        <v>393</v>
      </c>
      <c r="H33" s="1589" t="s">
        <v>806</v>
      </c>
      <c r="K33" s="1584"/>
      <c r="L33" s="1584" t="s">
        <v>1571</v>
      </c>
      <c r="M33" s="1585"/>
      <c r="N33" s="1586" t="s">
        <v>1581</v>
      </c>
      <c r="O33" s="1587"/>
      <c r="P33" s="1659" t="s">
        <v>1582</v>
      </c>
      <c r="Q33" s="1660" t="s">
        <v>393</v>
      </c>
      <c r="R33" s="1661" t="s">
        <v>806</v>
      </c>
      <c r="T33" s="1584"/>
      <c r="U33" s="1660" t="s">
        <v>1571</v>
      </c>
      <c r="V33" s="1677"/>
      <c r="W33" s="1676" t="s">
        <v>1646</v>
      </c>
      <c r="X33" s="1678"/>
      <c r="Y33" s="1659" t="s">
        <v>1582</v>
      </c>
      <c r="Z33" s="1660" t="s">
        <v>393</v>
      </c>
      <c r="AA33" s="1661" t="s">
        <v>806</v>
      </c>
      <c r="AC33" s="1584"/>
      <c r="AD33" s="1660" t="s">
        <v>1571</v>
      </c>
      <c r="AE33" s="1677"/>
      <c r="AF33" s="1676" t="s">
        <v>1646</v>
      </c>
      <c r="AG33" s="1678"/>
      <c r="AH33" s="1659" t="s">
        <v>1582</v>
      </c>
      <c r="AI33" s="1660" t="s">
        <v>393</v>
      </c>
      <c r="AJ33" s="1661" t="s">
        <v>806</v>
      </c>
      <c r="AL33" s="1584"/>
      <c r="AM33" s="1660" t="s">
        <v>1571</v>
      </c>
      <c r="AN33" s="1677"/>
      <c r="AO33" s="1676" t="s">
        <v>1646</v>
      </c>
      <c r="AP33" s="1678"/>
      <c r="AQ33" s="1659" t="s">
        <v>1582</v>
      </c>
      <c r="AR33" s="1660" t="s">
        <v>393</v>
      </c>
      <c r="AS33" s="1661" t="s">
        <v>806</v>
      </c>
    </row>
    <row r="34" spans="1:45" ht="20.25">
      <c r="A34" s="1590">
        <v>5</v>
      </c>
      <c r="B34" s="1591">
        <f>'Calc-2'!G70</f>
        <v>3.7499192660550471</v>
      </c>
      <c r="C34" s="1592" t="s">
        <v>1583</v>
      </c>
      <c r="D34" s="1593">
        <f>'Calc-2'!I70</f>
        <v>1.1571918011009201</v>
      </c>
      <c r="E34" s="1594" t="s">
        <v>1584</v>
      </c>
      <c r="F34" s="1595">
        <v>0.25429999999999403</v>
      </c>
      <c r="G34" s="1596">
        <v>2.7954654711968563</v>
      </c>
      <c r="H34" s="1597">
        <f>G34-B34</f>
        <v>-0.95445379485819082</v>
      </c>
      <c r="K34" s="1590"/>
      <c r="L34" s="1676">
        <f>Hydraulic!P238</f>
        <v>1.6703119082994453</v>
      </c>
      <c r="M34" s="1664" t="s">
        <v>1583</v>
      </c>
      <c r="N34" s="1665">
        <f>Hydraulic!R238</f>
        <v>6.7716743119266148E-2</v>
      </c>
      <c r="O34" s="1661" t="s">
        <v>1584</v>
      </c>
      <c r="P34" s="1672">
        <v>0.21569999999999256</v>
      </c>
      <c r="Q34" s="1674">
        <v>1.6711449114745274</v>
      </c>
      <c r="R34" s="1941">
        <f>Q34-L34</f>
        <v>8.3300317508205879E-4</v>
      </c>
      <c r="T34" s="1590"/>
      <c r="U34" s="1680">
        <f>Hydraulic!P257</f>
        <v>1.2300429778735635</v>
      </c>
      <c r="V34" s="1664" t="s">
        <v>1583</v>
      </c>
      <c r="W34" s="1665">
        <f>Hydraulic!R257</f>
        <v>5.3260803999998921E-3</v>
      </c>
      <c r="X34" s="1661" t="s">
        <v>1584</v>
      </c>
      <c r="Y34" s="1679">
        <v>6.7700000000000912E-2</v>
      </c>
      <c r="Z34" s="1674">
        <v>1.2297648922498365</v>
      </c>
      <c r="AA34" s="1955">
        <f>Z34-U34</f>
        <v>-2.7808562372699797E-4</v>
      </c>
      <c r="AC34" s="1590"/>
      <c r="AD34" s="1680">
        <f>Hydraulic!P275</f>
        <v>3.3202946218263638</v>
      </c>
      <c r="AE34" s="1664" t="s">
        <v>1583</v>
      </c>
      <c r="AF34" s="1665">
        <f>Hydraulic!R275</f>
        <v>2.1003947999999992</v>
      </c>
      <c r="AG34" s="1661" t="s">
        <v>1584</v>
      </c>
      <c r="AH34" s="1679">
        <v>0.93879999999991293</v>
      </c>
      <c r="AI34" s="1674">
        <v>3.3219686245523801</v>
      </c>
      <c r="AJ34" s="1955">
        <f>AI34-AD34</f>
        <v>1.6740027260162549E-3</v>
      </c>
      <c r="AL34" s="1660"/>
      <c r="AM34" s="1676">
        <f>Hydraulic!P297</f>
        <v>2.5159934325003506</v>
      </c>
      <c r="AN34" s="1705" t="s">
        <v>1583</v>
      </c>
      <c r="AO34" s="1706">
        <f>Hydraulic!R297</f>
        <v>0.62519428800000176</v>
      </c>
      <c r="AP34" s="1707" t="s">
        <v>1584</v>
      </c>
      <c r="AQ34" s="1672">
        <v>0.56599999999995398</v>
      </c>
      <c r="AR34" s="1718">
        <v>2.5175610383451184</v>
      </c>
      <c r="AS34" s="1941">
        <f>AR34-AM34</f>
        <v>1.5676058447677832E-3</v>
      </c>
    </row>
    <row r="35" spans="1:45" ht="19.5">
      <c r="A35" s="1590">
        <v>4</v>
      </c>
      <c r="B35" s="1591">
        <f>'Calc-2'!G71</f>
        <v>3.7614950898743795</v>
      </c>
      <c r="C35" s="1592" t="s">
        <v>1583</v>
      </c>
      <c r="D35" s="1593">
        <f>'Calc-2'!I71</f>
        <v>1.2409556198399996</v>
      </c>
      <c r="E35" s="1594" t="s">
        <v>1585</v>
      </c>
      <c r="F35" s="1595">
        <v>0.40359999999997759</v>
      </c>
      <c r="G35" s="1596">
        <v>4.0161743429075321</v>
      </c>
      <c r="H35" s="1597">
        <f>G35-B35</f>
        <v>0.25467925303315253</v>
      </c>
      <c r="K35" s="1590"/>
      <c r="L35" s="1591">
        <f>Hydraulic!P239</f>
        <v>1.823518387839002</v>
      </c>
      <c r="M35" s="1666" t="s">
        <v>1583</v>
      </c>
      <c r="N35" s="1593">
        <f>Hydraulic!R239</f>
        <v>0.11668979261353239</v>
      </c>
      <c r="O35" s="1594" t="s">
        <v>1585</v>
      </c>
      <c r="P35" s="1673">
        <v>0.27429999999998611</v>
      </c>
      <c r="Q35" s="1675">
        <v>1.8251909180886936</v>
      </c>
      <c r="R35" s="1953">
        <f>Q35-L35</f>
        <v>1.6725302496916061E-3</v>
      </c>
      <c r="T35" s="1590"/>
      <c r="U35" s="1663">
        <f>Hydraulic!P258</f>
        <v>1.6556829225872627</v>
      </c>
      <c r="V35" s="1666" t="s">
        <v>1583</v>
      </c>
      <c r="W35" s="1593">
        <f>Hydraulic!R258</f>
        <v>6.3931523040000174E-2</v>
      </c>
      <c r="X35" s="1594" t="s">
        <v>1585</v>
      </c>
      <c r="Y35" s="1662">
        <v>0.21019999999999317</v>
      </c>
      <c r="Z35" s="1675">
        <v>1.6571370170768454</v>
      </c>
      <c r="AA35" s="1956">
        <f>Z35-U35</f>
        <v>1.4540944895826691E-3</v>
      </c>
      <c r="AC35" s="1590"/>
      <c r="AD35" s="1680">
        <f>Hydraulic!P276</f>
        <v>3.3916012315148185</v>
      </c>
      <c r="AE35" s="1666" t="s">
        <v>1583</v>
      </c>
      <c r="AF35" s="1593">
        <f>Hydraulic!R276</f>
        <v>2.2915631916000012</v>
      </c>
      <c r="AG35" s="1594" t="s">
        <v>1585</v>
      </c>
      <c r="AH35" s="1662">
        <v>0.97299999999990916</v>
      </c>
      <c r="AI35" s="1675">
        <v>3.3935059648540853</v>
      </c>
      <c r="AJ35" s="1956">
        <f>AI35-AD35</f>
        <v>1.9047333392667731E-3</v>
      </c>
      <c r="AL35" s="1590"/>
      <c r="AM35" s="1591">
        <f>Hydraulic!P298</f>
        <v>2.9015085904246893</v>
      </c>
      <c r="AN35" s="1708" t="s">
        <v>1583</v>
      </c>
      <c r="AO35" s="1709">
        <f>Hydraulic!R298</f>
        <v>1.1878691472000009</v>
      </c>
      <c r="AP35" s="1710" t="s">
        <v>1585</v>
      </c>
      <c r="AQ35" s="1673">
        <v>0.74119999999993469</v>
      </c>
      <c r="AR35" s="1719">
        <v>2.9034095497772432</v>
      </c>
      <c r="AS35" s="1953">
        <f>AR35-AM35</f>
        <v>1.9009593525538548E-3</v>
      </c>
    </row>
    <row r="36" spans="1:45" ht="19.5">
      <c r="A36" s="1590">
        <v>3</v>
      </c>
      <c r="B36" s="1591">
        <f>'Calc-2'!G72</f>
        <v>5.8195240320000012</v>
      </c>
      <c r="C36" s="1592" t="s">
        <v>1583</v>
      </c>
      <c r="D36" s="1593">
        <f>'Calc-2'!I72</f>
        <v>2.7538336972800015</v>
      </c>
      <c r="E36" s="1594" t="s">
        <v>1586</v>
      </c>
      <c r="F36" s="1595">
        <v>0.499699999999967</v>
      </c>
      <c r="G36" s="1596">
        <v>4.6590449924674715</v>
      </c>
      <c r="H36" s="1597">
        <f>G36-B36</f>
        <v>-1.1604790395325297</v>
      </c>
      <c r="K36" s="1590"/>
      <c r="L36" s="1591">
        <f>Hydraulic!P240</f>
        <v>1.9767248673785587</v>
      </c>
      <c r="M36" s="1666" t="s">
        <v>1583</v>
      </c>
      <c r="N36" s="1593">
        <f>Hydraulic!R240</f>
        <v>0.18493131476146835</v>
      </c>
      <c r="O36" s="1594" t="s">
        <v>1586</v>
      </c>
      <c r="P36" s="1673">
        <v>0.33549999999997937</v>
      </c>
      <c r="Q36" s="1675">
        <v>1.9784540158403057</v>
      </c>
      <c r="R36" s="1953">
        <f>Q36-L36</f>
        <v>1.7291484617469877E-3</v>
      </c>
      <c r="T36" s="1590"/>
      <c r="U36" s="1663">
        <f>Hydraulic!P259</f>
        <v>1.8922450950521661</v>
      </c>
      <c r="V36" s="1666" t="s">
        <v>1583</v>
      </c>
      <c r="W36" s="1593">
        <f>Hydraulic!R259</f>
        <v>0.14472818288000053</v>
      </c>
      <c r="X36" s="1594" t="s">
        <v>1586</v>
      </c>
      <c r="Y36" s="1662">
        <v>0.30149999999998311</v>
      </c>
      <c r="Z36" s="1675">
        <v>1.8936298194490808</v>
      </c>
      <c r="AA36" s="1956">
        <f>Z36-U36</f>
        <v>1.3847243969147272E-3</v>
      </c>
      <c r="AC36" s="1590"/>
      <c r="AD36" s="1680">
        <f>Hydraulic!P277</f>
        <v>3.4604850435096104</v>
      </c>
      <c r="AE36" s="1666" t="s">
        <v>1583</v>
      </c>
      <c r="AF36" s="1593">
        <f>Hydraulic!R277</f>
        <v>2.4869265408000021</v>
      </c>
      <c r="AG36" s="1594" t="s">
        <v>1586</v>
      </c>
      <c r="AH36" s="1662">
        <v>1.0062999999999056</v>
      </c>
      <c r="AI36" s="1675">
        <v>3.4621849167766401</v>
      </c>
      <c r="AJ36" s="1956">
        <f>AI36-AD36</f>
        <v>1.6998732670296945E-3</v>
      </c>
      <c r="AL36" s="1590"/>
      <c r="AM36" s="1591">
        <f>Hydraulic!P299</f>
        <v>3.1776776935769804</v>
      </c>
      <c r="AN36" s="1708" t="s">
        <v>1583</v>
      </c>
      <c r="AO36" s="1709">
        <f>Hydraulic!R299</f>
        <v>1.7505440064000002</v>
      </c>
      <c r="AP36" s="1710" t="s">
        <v>1586</v>
      </c>
      <c r="AQ36" s="1673">
        <v>0.87079999999992042</v>
      </c>
      <c r="AR36" s="1719">
        <v>3.1793335582318982</v>
      </c>
      <c r="AS36" s="1953">
        <f>AR36-AM36</f>
        <v>1.6558646549178491E-3</v>
      </c>
    </row>
    <row r="37" spans="1:45" ht="19.5">
      <c r="A37" s="1598">
        <v>1</v>
      </c>
      <c r="B37" s="1599">
        <f>'Calc-2'!G73</f>
        <v>6.0600497377280007</v>
      </c>
      <c r="C37" s="1600" t="s">
        <v>1583</v>
      </c>
      <c r="D37" s="1601">
        <f>'Calc-2'!I73</f>
        <v>4.0012434432000008</v>
      </c>
      <c r="E37" s="1602" t="s">
        <v>1587</v>
      </c>
      <c r="F37" s="1595">
        <v>0.54259999999996233</v>
      </c>
      <c r="G37" s="1596">
        <v>5.5447056602874092</v>
      </c>
      <c r="H37" s="1597">
        <f>G37-B37</f>
        <v>-0.51534407744059152</v>
      </c>
      <c r="K37" s="1598"/>
      <c r="L37" s="1591">
        <f>Hydraulic!P241</f>
        <v>2.1299313469181147</v>
      </c>
      <c r="M37" s="1666" t="s">
        <v>1583</v>
      </c>
      <c r="N37" s="1593">
        <f>Hydraulic!R241</f>
        <v>0.2756378402442668</v>
      </c>
      <c r="O37" s="1594" t="s">
        <v>1587</v>
      </c>
      <c r="P37" s="1673">
        <v>0.3987999999999724</v>
      </c>
      <c r="Q37" s="1675">
        <v>2.1319196211773521</v>
      </c>
      <c r="R37" s="1953">
        <f>Q37-L37</f>
        <v>1.9882742592374214E-3</v>
      </c>
      <c r="T37" s="1598"/>
      <c r="U37" s="1663">
        <f>Hydraulic!P260</f>
        <v>2.0915412314622071</v>
      </c>
      <c r="V37" s="1666" t="s">
        <v>1583</v>
      </c>
      <c r="W37" s="1593">
        <f>Hydraulic!R260</f>
        <v>0.25062445888000096</v>
      </c>
      <c r="X37" s="1594" t="s">
        <v>1587</v>
      </c>
      <c r="Y37" s="1662">
        <v>0.38279999999997416</v>
      </c>
      <c r="Z37" s="1675">
        <v>2.0931287419653173</v>
      </c>
      <c r="AA37" s="1956">
        <f>Z37-U37</f>
        <v>1.5875105031102343E-3</v>
      </c>
      <c r="AC37" s="1598"/>
      <c r="AD37" s="1680">
        <f>Hydraulic!P278</f>
        <v>3.5377491005098363</v>
      </c>
      <c r="AE37" s="1666" t="s">
        <v>1583</v>
      </c>
      <c r="AF37" s="1593">
        <f>Hydraulic!R278</f>
        <v>2.7189215568000016</v>
      </c>
      <c r="AG37" s="1594" t="s">
        <v>1587</v>
      </c>
      <c r="AH37" s="1662">
        <v>1.0436999999999015</v>
      </c>
      <c r="AI37" s="1675">
        <v>3.5397041958319564</v>
      </c>
      <c r="AJ37" s="1956">
        <f>AI37-AD37</f>
        <v>1.9550953221201262E-3</v>
      </c>
      <c r="AL37" s="1598"/>
      <c r="AM37" s="1591">
        <f>Hydraulic!P300</f>
        <v>3.3994253261927945</v>
      </c>
      <c r="AN37" s="1708" t="s">
        <v>1583</v>
      </c>
      <c r="AO37" s="1709">
        <f>Hydraulic!R300</f>
        <v>2.3132188655999997</v>
      </c>
      <c r="AP37" s="1710" t="s">
        <v>1587</v>
      </c>
      <c r="AQ37" s="1673">
        <v>0.97679999999990874</v>
      </c>
      <c r="AR37" s="1719">
        <v>3.4012064105431357</v>
      </c>
      <c r="AS37" s="1953">
        <f>AR37-AM37</f>
        <v>1.7810843503411888E-3</v>
      </c>
    </row>
    <row r="38" spans="1:45">
      <c r="A38" s="1575"/>
      <c r="B38" s="1575"/>
      <c r="C38" s="1575"/>
      <c r="D38" s="1581"/>
      <c r="E38" s="1582"/>
      <c r="F38" s="1583"/>
      <c r="G38" s="1575"/>
      <c r="H38" s="1575"/>
      <c r="K38" s="1575"/>
      <c r="L38" s="1591">
        <f>Hydraulic!P242</f>
        <v>2.2831378264576716</v>
      </c>
      <c r="M38" s="1667"/>
      <c r="N38" s="1593">
        <f>Hydraulic!R242</f>
        <v>0.3920058997431205</v>
      </c>
      <c r="O38" s="1668"/>
      <c r="P38" s="1943">
        <v>0.46399999999996522</v>
      </c>
      <c r="Q38" s="1943">
        <v>2.2847765111435967</v>
      </c>
      <c r="R38" s="1953">
        <f t="shared" ref="R38:R44" si="0">Q38-L38</f>
        <v>1.6386846859250959E-3</v>
      </c>
      <c r="T38" s="1575"/>
      <c r="U38" s="1663">
        <f>Hydraulic!P261</f>
        <v>2.2742872890428281</v>
      </c>
      <c r="V38" s="1667"/>
      <c r="W38" s="1593">
        <f>Hydraulic!R261</f>
        <v>0.38452875000000158</v>
      </c>
      <c r="X38" s="1668"/>
      <c r="Y38" s="1945">
        <v>0.46019999999996564</v>
      </c>
      <c r="Z38" s="1943">
        <v>2.2758644381703728</v>
      </c>
      <c r="AA38" s="1956">
        <f t="shared" ref="AA38:AA44" si="1">Z38-U38</f>
        <v>1.5771491275446969E-3</v>
      </c>
      <c r="AC38" s="1575"/>
      <c r="AD38" s="1680">
        <f>Hydraulic!P279</f>
        <v>3.5920708973613125</v>
      </c>
      <c r="AE38" s="1667"/>
      <c r="AF38" s="1593">
        <f>Hydraulic!R279</f>
        <v>2.8903850784000031</v>
      </c>
      <c r="AG38" s="1668"/>
      <c r="AH38" s="1945">
        <v>1.0701999999998986</v>
      </c>
      <c r="AI38" s="1943">
        <v>3.5938307655581667</v>
      </c>
      <c r="AJ38" s="1956">
        <f t="shared" ref="AJ38:AJ44" si="2">AI38-AD38</f>
        <v>1.7598681968542529E-3</v>
      </c>
      <c r="AL38" s="1711"/>
      <c r="AM38" s="1591">
        <f>Hydraulic!P301</f>
        <v>3.5875643316950292</v>
      </c>
      <c r="AN38" s="1711"/>
      <c r="AO38" s="1709">
        <f>Hydraulic!R301</f>
        <v>2.8758937247999983</v>
      </c>
      <c r="AP38" s="1712"/>
      <c r="AQ38" s="1947">
        <v>1.0679999999998988</v>
      </c>
      <c r="AR38" s="1948">
        <v>3.589333695240875</v>
      </c>
      <c r="AS38" s="1953">
        <f t="shared" ref="AS38:AS55" si="3">AR38-AM38</f>
        <v>1.7693635458457813E-3</v>
      </c>
    </row>
    <row r="39" spans="1:45">
      <c r="K39" s="1575"/>
      <c r="L39" s="1591">
        <f>Hydraulic!P243</f>
        <v>2.4363443059972281</v>
      </c>
      <c r="M39" s="1667"/>
      <c r="N39" s="1593">
        <f>Hydraulic!R243</f>
        <v>0.53723202393922187</v>
      </c>
      <c r="O39" s="1669"/>
      <c r="P39" s="1943">
        <v>0.53069999999995787</v>
      </c>
      <c r="Q39" s="1943">
        <v>2.4381963580221697</v>
      </c>
      <c r="R39" s="1953">
        <f t="shared" si="0"/>
        <v>1.8520520249416528E-3</v>
      </c>
      <c r="T39" s="1575"/>
      <c r="U39" s="1663">
        <f>Hydraulic!P262</f>
        <v>2.4478094373618937</v>
      </c>
      <c r="V39" s="1667"/>
      <c r="W39" s="1593">
        <f>Hydraulic!R262</f>
        <v>0.54934945520000211</v>
      </c>
      <c r="X39" s="1669"/>
      <c r="Y39" s="1945">
        <v>0.53579999999995731</v>
      </c>
      <c r="Z39" s="1943">
        <v>2.4493652673576669</v>
      </c>
      <c r="AA39" s="1956">
        <f t="shared" si="1"/>
        <v>1.5558299957731947E-3</v>
      </c>
      <c r="AC39" s="1575"/>
      <c r="AD39" s="1680">
        <f>Hydraulic!P280</f>
        <v>3.6806094276642147</v>
      </c>
      <c r="AE39" s="1667"/>
      <c r="AF39" s="1593">
        <f>Hydraulic!R280</f>
        <v>3.1850496000000041</v>
      </c>
      <c r="AG39" s="1669"/>
      <c r="AH39" s="1945">
        <v>1.1134999999998938</v>
      </c>
      <c r="AI39" s="1943">
        <v>3.6823323225858582</v>
      </c>
      <c r="AJ39" s="1956">
        <f t="shared" si="2"/>
        <v>1.7228949216434586E-3</v>
      </c>
      <c r="AL39" s="1711"/>
      <c r="AM39" s="1591">
        <f>Hydraulic!P302</f>
        <v>3.7525098621627282</v>
      </c>
      <c r="AN39" s="1711"/>
      <c r="AO39" s="1709">
        <f>Hydraulic!R302</f>
        <v>3.4385685839999973</v>
      </c>
      <c r="AP39" s="1711"/>
      <c r="AQ39" s="1947">
        <v>1.1487999999998899</v>
      </c>
      <c r="AR39" s="1948">
        <v>3.7542865595495059</v>
      </c>
      <c r="AS39" s="1953">
        <f t="shared" si="3"/>
        <v>1.7766973867776592E-3</v>
      </c>
    </row>
    <row r="40" spans="1:45">
      <c r="K40" s="1575"/>
      <c r="L40" s="1591">
        <f>Hydraulic!P244</f>
        <v>2.5895507855367841</v>
      </c>
      <c r="M40" s="1667"/>
      <c r="N40" s="1593">
        <f>Hydraulic!R244</f>
        <v>0.71451274351376348</v>
      </c>
      <c r="O40" s="1669"/>
      <c r="P40" s="1943">
        <v>0.59879999999995037</v>
      </c>
      <c r="Q40" s="1943">
        <v>2.5915205321181891</v>
      </c>
      <c r="R40" s="1953">
        <f t="shared" si="0"/>
        <v>1.9697465814050297E-3</v>
      </c>
      <c r="T40" s="1575"/>
      <c r="U40" s="1663">
        <f>Hydraulic!P263</f>
        <v>2.6155398766348572</v>
      </c>
      <c r="V40" s="1667"/>
      <c r="W40" s="1593">
        <f>Hydraulic!R263</f>
        <v>0.74799497344000276</v>
      </c>
      <c r="X40" s="1669"/>
      <c r="Y40" s="1945">
        <v>0.61049999999994908</v>
      </c>
      <c r="Z40" s="1943">
        <v>2.6174074393315143</v>
      </c>
      <c r="AA40" s="1956">
        <f t="shared" si="1"/>
        <v>1.8675626966571102E-3</v>
      </c>
      <c r="AC40" s="1575"/>
      <c r="AD40" s="1680">
        <f>Hydraulic!P281</f>
        <v>3.7315743111958328</v>
      </c>
      <c r="AE40" s="1667"/>
      <c r="AF40" s="1593">
        <f>Hydraulic!R281</f>
        <v>3.3634123776000036</v>
      </c>
      <c r="AG40" s="1669"/>
      <c r="AH40" s="1945">
        <v>1.138499999999891</v>
      </c>
      <c r="AI40" s="1943">
        <v>3.7333606977147742</v>
      </c>
      <c r="AJ40" s="1956">
        <f t="shared" si="2"/>
        <v>1.786386518941363E-3</v>
      </c>
      <c r="AL40" s="1711"/>
      <c r="AM40" s="1591">
        <f>Hydraulic!P303</f>
        <v>3.9003108285940811</v>
      </c>
      <c r="AN40" s="1711"/>
      <c r="AO40" s="1709">
        <f>Hydraulic!R303</f>
        <v>4.0012434431999964</v>
      </c>
      <c r="AP40" s="1711"/>
      <c r="AQ40" s="1947">
        <v>1.2217999999998819</v>
      </c>
      <c r="AR40" s="1948">
        <v>3.9021699100759415</v>
      </c>
      <c r="AS40" s="1953">
        <f t="shared" si="3"/>
        <v>1.8590814818604251E-3</v>
      </c>
    </row>
    <row r="41" spans="1:45">
      <c r="A41" s="207" t="s">
        <v>1601</v>
      </c>
      <c r="B41" s="126"/>
      <c r="C41" s="126"/>
      <c r="D41" s="126"/>
      <c r="E41" s="126"/>
      <c r="K41" s="1575"/>
      <c r="L41" s="1591">
        <f>Hydraulic!P245</f>
        <v>2.7427572650763405</v>
      </c>
      <c r="M41" s="1667"/>
      <c r="N41" s="1593">
        <f>Hydraulic!R245</f>
        <v>0.92704458914793886</v>
      </c>
      <c r="O41" s="1669"/>
      <c r="P41" s="1943">
        <v>0.66819999999994273</v>
      </c>
      <c r="Q41" s="1943">
        <v>2.7444884153070332</v>
      </c>
      <c r="R41" s="1953">
        <f t="shared" si="0"/>
        <v>1.7311502306927018E-3</v>
      </c>
      <c r="T41" s="1575"/>
      <c r="U41" s="1663">
        <f>Hydraulic!P264</f>
        <v>2.7793490748479499</v>
      </c>
      <c r="V41" s="1667"/>
      <c r="W41" s="1593">
        <f>Hydraulic!R264</f>
        <v>0.98337370368000354</v>
      </c>
      <c r="X41" s="1669"/>
      <c r="Y41" s="1945">
        <v>0.68489999999994089</v>
      </c>
      <c r="Z41" s="1943">
        <v>2.7812522467354164</v>
      </c>
      <c r="AA41" s="1956">
        <f t="shared" si="1"/>
        <v>1.9031718874664705E-3</v>
      </c>
      <c r="AC41" s="1575"/>
      <c r="AD41" s="1680">
        <f>Hydraulic!P282</f>
        <v>3.7807677952909748</v>
      </c>
      <c r="AE41" s="1667"/>
      <c r="AF41" s="1593">
        <f>Hydraulic!R282</f>
        <v>3.5417751552000052</v>
      </c>
      <c r="AG41" s="1669"/>
      <c r="AH41" s="1945">
        <v>1.1626999999998884</v>
      </c>
      <c r="AI41" s="1943">
        <v>3.7826055941194925</v>
      </c>
      <c r="AJ41" s="1956">
        <f t="shared" si="2"/>
        <v>1.837798828517645E-3</v>
      </c>
      <c r="AL41" s="1711"/>
      <c r="AM41" s="1591">
        <f>Hydraulic!P304</f>
        <v>4.0348291618175747</v>
      </c>
      <c r="AN41" s="1711"/>
      <c r="AO41" s="1709">
        <f>Hydraulic!R304</f>
        <v>4.5639183023999959</v>
      </c>
      <c r="AP41" s="1711"/>
      <c r="AQ41" s="1947">
        <v>1.2886999999998745</v>
      </c>
      <c r="AR41" s="1948">
        <v>4.0368105828909364</v>
      </c>
      <c r="AS41" s="1953">
        <f t="shared" si="3"/>
        <v>1.9814210733617443E-3</v>
      </c>
    </row>
    <row r="42" spans="1:45">
      <c r="A42" s="1620"/>
      <c r="B42" s="1621"/>
      <c r="C42" s="1621"/>
      <c r="D42" s="1622"/>
      <c r="E42" s="1621"/>
      <c r="F42" s="934"/>
      <c r="G42" s="934"/>
      <c r="K42" s="1575"/>
      <c r="L42" s="1591">
        <f>Hydraulic!P246</f>
        <v>2.8959637446158975</v>
      </c>
      <c r="M42" s="1667"/>
      <c r="N42" s="1593">
        <f>Hydraulic!R246</f>
        <v>1.1780240915229399</v>
      </c>
      <c r="O42" s="1669"/>
      <c r="P42" s="1943">
        <v>0.73869999999993496</v>
      </c>
      <c r="Q42" s="1943">
        <v>2.8975276616606989</v>
      </c>
      <c r="R42" s="1953">
        <f t="shared" si="0"/>
        <v>1.5639170448014106E-3</v>
      </c>
      <c r="T42" s="1575"/>
      <c r="U42" s="1663">
        <f>Hydraulic!P265</f>
        <v>2.940360038572615</v>
      </c>
      <c r="V42" s="1667"/>
      <c r="W42" s="1593">
        <f>Hydraulic!R265</f>
        <v>1.2583940448800044</v>
      </c>
      <c r="X42" s="1669"/>
      <c r="Y42" s="1945">
        <v>0.7592999999999327</v>
      </c>
      <c r="Z42" s="1943">
        <v>2.9419789226822202</v>
      </c>
      <c r="AA42" s="1956">
        <f t="shared" si="1"/>
        <v>1.6188841096052009E-3</v>
      </c>
      <c r="AC42" s="1575"/>
      <c r="AD42" s="1680">
        <f>Hydraulic!P283</f>
        <v>3.8283362150870093</v>
      </c>
      <c r="AE42" s="1667"/>
      <c r="AF42" s="1593">
        <f>Hydraulic!R283</f>
        <v>3.720137932800005</v>
      </c>
      <c r="AG42" s="1669"/>
      <c r="AH42" s="1945">
        <v>1.1861999999998858</v>
      </c>
      <c r="AI42" s="1943">
        <v>3.8300889106365994</v>
      </c>
      <c r="AJ42" s="1956">
        <f t="shared" si="2"/>
        <v>1.752695549590122E-3</v>
      </c>
      <c r="AL42" s="1711"/>
      <c r="AM42" s="1591">
        <f>Hydraulic!P305</f>
        <v>4.1586987115945178</v>
      </c>
      <c r="AN42" s="1711"/>
      <c r="AO42" s="1709">
        <f>Hydraulic!R305</f>
        <v>5.1265931615999971</v>
      </c>
      <c r="AP42" s="1711"/>
      <c r="AQ42" s="1947">
        <v>1.3507999999998677</v>
      </c>
      <c r="AR42" s="1948">
        <v>4.1604145931008629</v>
      </c>
      <c r="AS42" s="1953">
        <f t="shared" si="3"/>
        <v>1.7158815063451627E-3</v>
      </c>
    </row>
    <row r="43" spans="1:45" ht="20.25">
      <c r="A43" s="1623">
        <f>Hydraulic!B355</f>
        <v>2.4406238165988907</v>
      </c>
      <c r="B43" s="1624" t="s">
        <v>277</v>
      </c>
      <c r="C43" s="1625">
        <f>Hydraulic!D355</f>
        <v>0.54173394495412919</v>
      </c>
      <c r="D43" s="1626" t="s">
        <v>276</v>
      </c>
      <c r="E43" s="934"/>
      <c r="F43" s="1603" t="s">
        <v>1804</v>
      </c>
      <c r="G43" s="934"/>
      <c r="K43" s="1575"/>
      <c r="L43" s="1591">
        <f>Hydraulic!P247</f>
        <v>3.0491702241554539</v>
      </c>
      <c r="M43" s="1667"/>
      <c r="N43" s="1593">
        <f>Hydraulic!R247</f>
        <v>1.4706477813199594</v>
      </c>
      <c r="O43" s="1669"/>
      <c r="P43" s="1943">
        <v>0.8100999999999271</v>
      </c>
      <c r="Q43" s="1943">
        <v>3.0510460838974605</v>
      </c>
      <c r="R43" s="1953">
        <f t="shared" si="0"/>
        <v>1.875859742006547E-3</v>
      </c>
      <c r="T43" s="1575"/>
      <c r="U43" s="1663">
        <f>Hydraulic!P266</f>
        <v>3.0992945171136972</v>
      </c>
      <c r="V43" s="1667"/>
      <c r="W43" s="1593">
        <f>Hydraulic!R266</f>
        <v>1.575964396000006</v>
      </c>
      <c r="X43" s="1669"/>
      <c r="Y43" s="1945">
        <v>0.8336999999999245</v>
      </c>
      <c r="Z43" s="1943">
        <v>3.1010929854458698</v>
      </c>
      <c r="AA43" s="1956">
        <f t="shared" si="1"/>
        <v>1.7984683321725647E-3</v>
      </c>
      <c r="AC43" s="1575"/>
      <c r="AD43" s="1680">
        <f>Hydraulic!P284</f>
        <v>3.9283842973135061</v>
      </c>
      <c r="AE43" s="1667"/>
      <c r="AF43" s="1593">
        <f>Hydraulic!R284</f>
        <v>4.1146148016000064</v>
      </c>
      <c r="AG43" s="1669"/>
      <c r="AH43" s="1945">
        <v>1.2356999999998803</v>
      </c>
      <c r="AI43" s="1943">
        <v>3.9303545090552241</v>
      </c>
      <c r="AJ43" s="1956">
        <f t="shared" si="2"/>
        <v>1.9702117417179643E-3</v>
      </c>
      <c r="AL43" s="1711"/>
      <c r="AM43" s="1591">
        <f>Hydraulic!P306</f>
        <v>4.2738056061604857</v>
      </c>
      <c r="AN43" s="1711"/>
      <c r="AO43" s="1709">
        <f>Hydraulic!R306</f>
        <v>5.6892680207999939</v>
      </c>
      <c r="AP43" s="1711"/>
      <c r="AQ43" s="1947">
        <v>1.4086999999998613</v>
      </c>
      <c r="AR43" s="1948">
        <v>4.2756450209297734</v>
      </c>
      <c r="AS43" s="1953">
        <f t="shared" si="3"/>
        <v>1.8394147692877283E-3</v>
      </c>
    </row>
    <row r="44" spans="1:45">
      <c r="A44" s="934"/>
      <c r="B44" s="934"/>
      <c r="C44" s="934"/>
      <c r="D44" s="1620"/>
      <c r="E44" s="934"/>
      <c r="F44" s="934"/>
      <c r="G44" s="1620"/>
      <c r="K44" s="1575"/>
      <c r="L44" s="1599">
        <f>Hydraulic!P248</f>
        <v>3.202376703695009</v>
      </c>
      <c r="M44" s="1670"/>
      <c r="N44" s="1601">
        <f>Hydraulic!R248</f>
        <v>1.8081121892201875</v>
      </c>
      <c r="O44" s="1671"/>
      <c r="P44" s="1944">
        <v>0.88249999999991913</v>
      </c>
      <c r="Q44" s="1944">
        <v>3.2041457099830102</v>
      </c>
      <c r="R44" s="1954">
        <f t="shared" si="0"/>
        <v>1.7690062880011403E-3</v>
      </c>
      <c r="T44" s="1575"/>
      <c r="U44" s="1681">
        <f>Hydraulic!P267</f>
        <v>3.2566405688984439</v>
      </c>
      <c r="V44" s="1670"/>
      <c r="W44" s="1601">
        <f>Hydraulic!R267</f>
        <v>1.9389931559999993</v>
      </c>
      <c r="X44" s="1671"/>
      <c r="Y44" s="1946">
        <v>0.90829999999991629</v>
      </c>
      <c r="Z44" s="1944">
        <v>3.2585694086124182</v>
      </c>
      <c r="AA44" s="1957">
        <f t="shared" si="1"/>
        <v>1.9288397139742841E-3</v>
      </c>
      <c r="AC44" s="1575"/>
      <c r="AD44" s="1680">
        <f>Hydraulic!P285</f>
        <v>3.9738818425928844</v>
      </c>
      <c r="AE44" s="1670"/>
      <c r="AF44" s="1593">
        <f>Hydraulic!R285</f>
        <v>4.3028651520000025</v>
      </c>
      <c r="AG44" s="1671"/>
      <c r="AH44" s="1946">
        <v>1.2583999999998778</v>
      </c>
      <c r="AI44" s="1944">
        <v>3.9755919336519141</v>
      </c>
      <c r="AJ44" s="1957">
        <f t="shared" si="2"/>
        <v>1.7100910590297502E-3</v>
      </c>
      <c r="AL44" s="1713"/>
      <c r="AM44" s="1599">
        <f>Hydraulic!P307</f>
        <v>4.3815523098424505</v>
      </c>
      <c r="AN44" s="1713"/>
      <c r="AO44" s="1717">
        <f>Hydraulic!R307</f>
        <v>6.2519428800000005</v>
      </c>
      <c r="AP44" s="1713"/>
      <c r="AQ44" s="1949">
        <v>1.4631999999998553</v>
      </c>
      <c r="AR44" s="1950">
        <v>4.383366514161894</v>
      </c>
      <c r="AS44" s="1954">
        <f t="shared" si="3"/>
        <v>1.8142043194435686E-3</v>
      </c>
    </row>
    <row r="45" spans="1:45" ht="15.75">
      <c r="A45" s="934"/>
      <c r="B45" s="1627" t="s">
        <v>808</v>
      </c>
      <c r="C45" s="934"/>
      <c r="D45" s="595">
        <f>Hydraulic!N354</f>
        <v>0.2</v>
      </c>
      <c r="E45" s="1630" t="s">
        <v>807</v>
      </c>
      <c r="F45" s="1631" t="s">
        <v>393</v>
      </c>
      <c r="G45" s="1632" t="s">
        <v>806</v>
      </c>
      <c r="AL45" s="1714"/>
      <c r="AM45" s="1715">
        <f>Hydraulic!P308</f>
        <v>4.3815523098424505</v>
      </c>
      <c r="AN45" s="1714"/>
      <c r="AO45" s="1716">
        <f>Hydraulic!R308</f>
        <v>6.2519428800000005</v>
      </c>
      <c r="AP45" s="1714"/>
      <c r="AQ45" s="1951">
        <v>1.4631999999998553</v>
      </c>
      <c r="AR45" s="1952">
        <v>4.383366514161894</v>
      </c>
      <c r="AS45" s="1958">
        <f t="shared" si="3"/>
        <v>1.8142043194435686E-3</v>
      </c>
    </row>
    <row r="46" spans="1:45">
      <c r="A46" s="934"/>
      <c r="B46" s="934"/>
      <c r="C46" s="1625"/>
      <c r="D46" s="1628"/>
      <c r="E46" s="594">
        <v>0.53259999999996344</v>
      </c>
      <c r="F46" s="592">
        <v>2.4423816891938626</v>
      </c>
      <c r="G46" s="1633">
        <f>F46-A43</f>
        <v>1.7578725949718432E-3</v>
      </c>
      <c r="AL46" s="1714"/>
      <c r="AM46" s="1715">
        <f>Hydraulic!P309</f>
        <v>4.2738056061604865</v>
      </c>
      <c r="AN46" s="1714"/>
      <c r="AO46" s="1716">
        <f>Hydraulic!R309</f>
        <v>5.6892680208000019</v>
      </c>
      <c r="AP46" s="1714"/>
      <c r="AQ46" s="1951">
        <v>1.4086999999998613</v>
      </c>
      <c r="AR46" s="1952">
        <v>4.2756450209297769</v>
      </c>
      <c r="AS46" s="1958">
        <f t="shared" si="3"/>
        <v>1.8394147692903928E-3</v>
      </c>
    </row>
    <row r="47" spans="1:45">
      <c r="A47" s="934"/>
      <c r="B47" s="934"/>
      <c r="C47" s="1622"/>
      <c r="D47" s="1628"/>
      <c r="E47" s="1629"/>
      <c r="F47" s="1620"/>
      <c r="G47" s="934"/>
      <c r="AL47" s="1714"/>
      <c r="AM47" s="1715">
        <f>Hydraulic!P310</f>
        <v>4.1586987115945204</v>
      </c>
      <c r="AN47" s="1714"/>
      <c r="AO47" s="1716">
        <f>Hydraulic!R310</f>
        <v>5.1265931616000042</v>
      </c>
      <c r="AP47" s="1714"/>
      <c r="AQ47" s="1951">
        <v>1.3507999999998677</v>
      </c>
      <c r="AR47" s="1952">
        <v>4.1604145931008665</v>
      </c>
      <c r="AS47" s="1958">
        <f t="shared" si="3"/>
        <v>1.7158815063460509E-3</v>
      </c>
    </row>
    <row r="48" spans="1:45">
      <c r="AL48" s="1714"/>
      <c r="AM48" s="1715">
        <f>Hydraulic!P311</f>
        <v>4.0348291618175764</v>
      </c>
      <c r="AN48" s="1714"/>
      <c r="AO48" s="1716">
        <f>Hydraulic!R311</f>
        <v>4.5639183024000038</v>
      </c>
      <c r="AP48" s="1714"/>
      <c r="AQ48" s="1951">
        <v>1.2886999999998745</v>
      </c>
      <c r="AR48" s="1952">
        <v>4.0368105828909417</v>
      </c>
      <c r="AS48" s="1958">
        <f t="shared" si="3"/>
        <v>1.981421073365297E-3</v>
      </c>
    </row>
    <row r="49" spans="1:45">
      <c r="AL49" s="1714"/>
      <c r="AM49" s="1715">
        <f>Hydraulic!P312</f>
        <v>3.9003108285940837</v>
      </c>
      <c r="AN49" s="1714"/>
      <c r="AO49" s="1716">
        <f>Hydraulic!R312</f>
        <v>4.0012434432000061</v>
      </c>
      <c r="AP49" s="1714"/>
      <c r="AQ49" s="1951">
        <v>1.2217999999998819</v>
      </c>
      <c r="AR49" s="1952">
        <v>3.9021699100759482</v>
      </c>
      <c r="AS49" s="1958">
        <f t="shared" si="3"/>
        <v>1.8590814818644219E-3</v>
      </c>
    </row>
    <row r="50" spans="1:45">
      <c r="A50" s="207" t="s">
        <v>1602</v>
      </c>
      <c r="B50" s="126"/>
      <c r="C50" s="126"/>
      <c r="D50" s="126"/>
      <c r="E50" s="126"/>
      <c r="AL50" s="1714"/>
      <c r="AM50" s="1715">
        <f>Hydraulic!P313</f>
        <v>3.7525098621627309</v>
      </c>
      <c r="AN50" s="1714"/>
      <c r="AO50" s="1716">
        <f>Hydraulic!R313</f>
        <v>3.4385685840000066</v>
      </c>
      <c r="AP50" s="1714"/>
      <c r="AQ50" s="1951">
        <v>1.1487999999998899</v>
      </c>
      <c r="AR50" s="1952">
        <v>3.754286559549513</v>
      </c>
      <c r="AS50" s="1958">
        <f t="shared" si="3"/>
        <v>1.7766973867821001E-3</v>
      </c>
    </row>
    <row r="51" spans="1:45">
      <c r="A51" s="159"/>
      <c r="B51" s="1634"/>
      <c r="C51" s="1634"/>
      <c r="D51" s="1635"/>
      <c r="E51" s="1634"/>
      <c r="F51" s="159"/>
      <c r="G51" s="159"/>
      <c r="AL51" s="1714"/>
      <c r="AM51" s="1715">
        <f>Hydraulic!P314</f>
        <v>3.5875643316950314</v>
      </c>
      <c r="AN51" s="1714"/>
      <c r="AO51" s="1716">
        <f>Hydraulic!R314</f>
        <v>2.8758937248000063</v>
      </c>
      <c r="AP51" s="1714"/>
      <c r="AQ51" s="1951">
        <v>1.0679999999998988</v>
      </c>
      <c r="AR51" s="1952">
        <v>3.5893336952408821</v>
      </c>
      <c r="AS51" s="1958">
        <f t="shared" si="3"/>
        <v>1.7693635458506662E-3</v>
      </c>
    </row>
    <row r="52" spans="1:45" ht="20.25">
      <c r="A52" s="1636">
        <f>Hydraulic!B416</f>
        <v>2.5159934325003506</v>
      </c>
      <c r="B52" s="1637" t="s">
        <v>277</v>
      </c>
      <c r="C52" s="1638">
        <f>Hydraulic!D416</f>
        <v>0.62519428800000176</v>
      </c>
      <c r="D52" s="161" t="s">
        <v>276</v>
      </c>
      <c r="E52" s="159"/>
      <c r="F52" s="1942" t="s">
        <v>1805</v>
      </c>
      <c r="G52" s="159"/>
      <c r="AL52" s="1714"/>
      <c r="AM52" s="1715">
        <f>Hydraulic!P315</f>
        <v>3.3994253261927976</v>
      </c>
      <c r="AN52" s="1714"/>
      <c r="AO52" s="1716">
        <f>Hydraulic!R315</f>
        <v>2.3132188656000077</v>
      </c>
      <c r="AP52" s="1714"/>
      <c r="AQ52" s="1951">
        <v>0.97679999999990874</v>
      </c>
      <c r="AR52" s="1952">
        <v>3.4012064105431441</v>
      </c>
      <c r="AS52" s="1958">
        <f t="shared" si="3"/>
        <v>1.7810843503465179E-3</v>
      </c>
    </row>
    <row r="53" spans="1:45">
      <c r="A53" s="159"/>
      <c r="B53" s="159"/>
      <c r="C53" s="159"/>
      <c r="D53" s="159"/>
      <c r="E53" s="159"/>
      <c r="F53" s="159"/>
      <c r="G53" s="159"/>
      <c r="AL53" s="1714"/>
      <c r="AM53" s="1715">
        <f>Hydraulic!P316</f>
        <v>3.1776776935769839</v>
      </c>
      <c r="AN53" s="1714"/>
      <c r="AO53" s="1716">
        <f>Hydraulic!R316</f>
        <v>1.7505440064000082</v>
      </c>
      <c r="AP53" s="1714"/>
      <c r="AQ53" s="1951">
        <v>0.87079999999992042</v>
      </c>
      <c r="AR53" s="1952">
        <v>3.1793335582319089</v>
      </c>
      <c r="AS53" s="1958">
        <f t="shared" si="3"/>
        <v>1.6558646549249545E-3</v>
      </c>
    </row>
    <row r="54" spans="1:45" ht="15.75">
      <c r="A54" s="159"/>
      <c r="B54" s="1641" t="s">
        <v>808</v>
      </c>
      <c r="C54" s="159"/>
      <c r="D54" s="590">
        <f>Hydraulic!N417</f>
        <v>0.1</v>
      </c>
      <c r="E54" s="1643" t="s">
        <v>807</v>
      </c>
      <c r="F54" s="1644" t="s">
        <v>393</v>
      </c>
      <c r="G54" s="670" t="s">
        <v>806</v>
      </c>
      <c r="AL54" s="1714"/>
      <c r="AM54" s="1715">
        <f>Hydraulic!P317</f>
        <v>2.9015085904246933</v>
      </c>
      <c r="AN54" s="1714"/>
      <c r="AO54" s="1716">
        <f>Hydraulic!R317</f>
        <v>1.1878691472000082</v>
      </c>
      <c r="AP54" s="1714"/>
      <c r="AQ54" s="1951">
        <v>0.74119999999993469</v>
      </c>
      <c r="AR54" s="1952">
        <v>2.9034095497772565</v>
      </c>
      <c r="AS54" s="1958">
        <f t="shared" si="3"/>
        <v>1.9009593525631807E-3</v>
      </c>
    </row>
    <row r="55" spans="1:45">
      <c r="A55" s="159"/>
      <c r="B55" s="159"/>
      <c r="C55" s="1642"/>
      <c r="D55" s="1639"/>
      <c r="E55" s="594">
        <v>0.56459999999995236</v>
      </c>
      <c r="F55" s="592">
        <v>2.5258513424909803</v>
      </c>
      <c r="G55" s="1645">
        <f>F55-A52</f>
        <v>9.8579099906297429E-3</v>
      </c>
      <c r="AL55" s="1714"/>
      <c r="AM55" s="1715">
        <f>Hydraulic!P318</f>
        <v>2.5159934325003506</v>
      </c>
      <c r="AN55" s="1714"/>
      <c r="AO55" s="1716">
        <f>Hydraulic!R318</f>
        <v>0.62519428800000176</v>
      </c>
      <c r="AP55" s="1714"/>
      <c r="AQ55" s="1951">
        <v>0.56599999999995398</v>
      </c>
      <c r="AR55" s="1952">
        <v>2.5175610383451184</v>
      </c>
      <c r="AS55" s="1959">
        <f t="shared" si="3"/>
        <v>1.5676058447677832E-3</v>
      </c>
    </row>
    <row r="56" spans="1:45">
      <c r="A56" s="159"/>
      <c r="B56" s="159"/>
      <c r="C56" s="1635"/>
      <c r="D56" s="1639"/>
      <c r="E56" s="1640"/>
      <c r="F56" s="159"/>
      <c r="G56" s="159"/>
    </row>
    <row r="61" spans="1:45">
      <c r="B61" s="1547" t="s">
        <v>1520</v>
      </c>
      <c r="C61" s="93"/>
      <c r="D61" s="1518">
        <v>5</v>
      </c>
      <c r="E61" s="1548">
        <v>4</v>
      </c>
      <c r="F61" s="1548">
        <v>3</v>
      </c>
      <c r="G61" s="661">
        <v>1</v>
      </c>
    </row>
    <row r="62" spans="1:45">
      <c r="B62" s="1545" t="s">
        <v>1521</v>
      </c>
      <c r="C62" s="60"/>
      <c r="D62" s="253">
        <f>Hydraulic!E249</f>
        <v>17.868308548167079</v>
      </c>
      <c r="E62" s="1293">
        <f>Hydraulic!E268</f>
        <v>18.503713451263774</v>
      </c>
      <c r="F62" s="1293">
        <f>Hydraulic!G286</f>
        <v>27.564468588023974</v>
      </c>
      <c r="G62" s="1546">
        <f>Hydraulic!F319</f>
        <v>33.226015014599632</v>
      </c>
    </row>
    <row r="65" spans="1:10" ht="16.5">
      <c r="A65" s="187"/>
      <c r="B65" s="1565" t="s">
        <v>1565</v>
      </c>
      <c r="C65" s="3064" t="s">
        <v>1550</v>
      </c>
      <c r="D65" s="3064"/>
      <c r="E65" s="1565" t="s">
        <v>991</v>
      </c>
      <c r="F65" s="45"/>
      <c r="H65" s="1567" t="s">
        <v>1566</v>
      </c>
    </row>
    <row r="66" spans="1:10" ht="15.75">
      <c r="A66" s="187"/>
      <c r="B66" s="1564" t="s">
        <v>990</v>
      </c>
      <c r="C66" s="3064"/>
      <c r="D66" s="3064"/>
      <c r="E66" s="1564" t="s">
        <v>992</v>
      </c>
      <c r="G66" s="54"/>
      <c r="H66" s="187"/>
    </row>
    <row r="67" spans="1:10">
      <c r="I67" s="54"/>
      <c r="J67" s="187"/>
    </row>
    <row r="68" spans="1:10" ht="15.75">
      <c r="A68" s="355" t="s">
        <v>1520</v>
      </c>
      <c r="B68" s="347" t="s">
        <v>1567</v>
      </c>
      <c r="C68" s="355" t="s">
        <v>461</v>
      </c>
      <c r="D68" s="347" t="s">
        <v>1568</v>
      </c>
      <c r="E68" s="355" t="s">
        <v>1569</v>
      </c>
      <c r="F68" s="347" t="s">
        <v>1570</v>
      </c>
      <c r="G68" s="355" t="s">
        <v>1571</v>
      </c>
      <c r="H68" s="347" t="s">
        <v>1572</v>
      </c>
      <c r="I68" s="355" t="s">
        <v>1573</v>
      </c>
      <c r="J68" s="516" t="s">
        <v>1574</v>
      </c>
    </row>
    <row r="69" spans="1:10">
      <c r="A69" s="354"/>
      <c r="B69" s="1572" t="s">
        <v>5</v>
      </c>
      <c r="C69" s="256" t="s">
        <v>179</v>
      </c>
      <c r="D69" s="1572" t="s">
        <v>201</v>
      </c>
      <c r="E69" s="1608" t="s">
        <v>206</v>
      </c>
      <c r="F69" s="1574" t="s">
        <v>5</v>
      </c>
      <c r="G69" s="256" t="s">
        <v>5</v>
      </c>
      <c r="H69" s="1572" t="s">
        <v>201</v>
      </c>
      <c r="I69" s="256" t="s">
        <v>5</v>
      </c>
      <c r="J69" s="1571" t="s">
        <v>5</v>
      </c>
    </row>
    <row r="70" spans="1:10">
      <c r="A70" s="123">
        <v>5</v>
      </c>
      <c r="B70" s="1569">
        <f>Hydraulic!C248</f>
        <v>2.6900000000000013</v>
      </c>
      <c r="C70" s="103">
        <f>Hydraulic!E249</f>
        <v>17.868308548167079</v>
      </c>
      <c r="D70" s="1569">
        <f>C70/Hydraulic!$Z$231</f>
        <v>4.7648822795112213</v>
      </c>
      <c r="E70" s="103">
        <f>D70/B70</f>
        <v>1.7713317024205275</v>
      </c>
      <c r="F70" s="298">
        <f>E70^2/2/g</f>
        <v>0.15991926605504608</v>
      </c>
      <c r="G70" s="103">
        <f>F70+B70+Hydraulic!$I$44</f>
        <v>3.7499192660550471</v>
      </c>
      <c r="H70" s="1569">
        <f>C70/Hydraulic!$Z$232</f>
        <v>4.7648822795112213</v>
      </c>
      <c r="I70" s="441">
        <f>H70^2/(2*g)</f>
        <v>1.1571918011009201</v>
      </c>
      <c r="J70" s="1568">
        <f>B79+I70/B79^2</f>
        <v>18.148514030681309</v>
      </c>
    </row>
    <row r="71" spans="1:10">
      <c r="A71" s="123">
        <v>4</v>
      </c>
      <c r="B71" s="1569">
        <f>Hydraulic!C267</f>
        <v>2.6899999999999995</v>
      </c>
      <c r="C71" s="103">
        <f>Hydraulic!E268</f>
        <v>18.503713451263774</v>
      </c>
      <c r="D71" s="1569">
        <f>C71/Hydraulic!$Z$231</f>
        <v>4.9343235870036732</v>
      </c>
      <c r="E71" s="103">
        <f>D71/B71</f>
        <v>1.8343210360608455</v>
      </c>
      <c r="F71" s="298">
        <f>E71^2/2/g</f>
        <v>0.17149508987437989</v>
      </c>
      <c r="G71" s="103">
        <f>F71+B71+Hydraulic!$I$44</f>
        <v>3.7614950898743795</v>
      </c>
      <c r="H71" s="1569">
        <f>C71/Hydraulic!$Z$232</f>
        <v>4.9343235870036732</v>
      </c>
      <c r="I71" s="441">
        <f>H71^2/(2*g)</f>
        <v>1.2409556198399996</v>
      </c>
      <c r="J71" s="1568">
        <f>B80+I71/B80^2</f>
        <v>8.0218274534156286</v>
      </c>
    </row>
    <row r="72" spans="1:10">
      <c r="A72" s="123">
        <v>3</v>
      </c>
      <c r="B72" s="1569">
        <f>Hydraulic!C285</f>
        <v>4.8000000000000007</v>
      </c>
      <c r="C72" s="103">
        <f>Hydraulic!G286</f>
        <v>27.564468588023974</v>
      </c>
      <c r="D72" s="1569">
        <f>C72/Hydraulic!$Z$231</f>
        <v>7.3505249568063933</v>
      </c>
      <c r="E72" s="103">
        <f>D72/B72</f>
        <v>1.5313593660013316</v>
      </c>
      <c r="F72" s="298">
        <f>E72^2/2/g</f>
        <v>0.119524032</v>
      </c>
      <c r="G72" s="103">
        <f>F72+B72+Hydraulic!$I$44</f>
        <v>5.8195240320000012</v>
      </c>
      <c r="H72" s="1569">
        <f>C72/Hydraulic!$Z$232</f>
        <v>7.3505249568063933</v>
      </c>
      <c r="I72" s="441">
        <f>H72^2/(2*g)</f>
        <v>2.7538336972800015</v>
      </c>
      <c r="J72" s="1568">
        <f>B81+I72/B81^2</f>
        <v>11.528265096954339</v>
      </c>
    </row>
    <row r="73" spans="1:10">
      <c r="A73" s="104">
        <v>1</v>
      </c>
      <c r="B73" s="121">
        <f>Hydraulic!C308</f>
        <v>5</v>
      </c>
      <c r="C73" s="138">
        <f>Hydraulic!F319</f>
        <v>33.226015014599632</v>
      </c>
      <c r="D73" s="121">
        <f>C73/Hydraulic!$Z$231</f>
        <v>8.8602706705599026</v>
      </c>
      <c r="E73" s="138">
        <f>D73/B73</f>
        <v>1.7720541341119804</v>
      </c>
      <c r="F73" s="472">
        <f>E73^2/2/g</f>
        <v>0.16004973772800002</v>
      </c>
      <c r="G73" s="138">
        <f>F73+B73+Hydraulic!$I$44</f>
        <v>6.0600497377280007</v>
      </c>
      <c r="H73" s="121">
        <f>C73/Hydraulic!$Z$232</f>
        <v>8.8602706705599026</v>
      </c>
      <c r="I73" s="658">
        <f>H73^2/(2*g)</f>
        <v>4.0012434432000008</v>
      </c>
      <c r="J73" s="170">
        <f>B82+I73/B82^2</f>
        <v>14.13309880243961</v>
      </c>
    </row>
    <row r="77" spans="1:10" ht="25.5">
      <c r="A77" s="1573" t="s">
        <v>1520</v>
      </c>
      <c r="B77" s="1604" t="s">
        <v>807</v>
      </c>
      <c r="C77" s="1573" t="s">
        <v>1575</v>
      </c>
      <c r="D77" s="1573" t="s">
        <v>458</v>
      </c>
      <c r="E77" s="1604" t="s">
        <v>1576</v>
      </c>
      <c r="F77" s="1573" t="s">
        <v>1577</v>
      </c>
      <c r="G77" s="1605" t="s">
        <v>1578</v>
      </c>
      <c r="H77" s="3085" t="s">
        <v>1588</v>
      </c>
      <c r="I77" s="1605" t="s">
        <v>1595</v>
      </c>
      <c r="J77" s="1573" t="s">
        <v>1589</v>
      </c>
    </row>
    <row r="78" spans="1:10">
      <c r="A78" s="256"/>
      <c r="B78" s="1570" t="s">
        <v>5</v>
      </c>
      <c r="C78" s="256" t="s">
        <v>206</v>
      </c>
      <c r="D78" s="256"/>
      <c r="E78" s="1570" t="s">
        <v>5</v>
      </c>
      <c r="F78" s="256" t="s">
        <v>5</v>
      </c>
      <c r="G78" s="1570" t="s">
        <v>155</v>
      </c>
      <c r="H78" s="3086"/>
      <c r="I78" s="1570" t="s">
        <v>5</v>
      </c>
      <c r="J78" s="172"/>
    </row>
    <row r="79" spans="1:10">
      <c r="A79" s="123">
        <v>5</v>
      </c>
      <c r="B79" s="505">
        <f>'Calc-2'!F34</f>
        <v>0.25429999999999403</v>
      </c>
      <c r="C79" s="103">
        <f>H70/B79</f>
        <v>18.737248444794862</v>
      </c>
      <c r="D79" s="103">
        <f>C79/(g*B79)^0.5</f>
        <v>11.863098367458095</v>
      </c>
      <c r="E79" s="1569">
        <f>0.5*((1+8*D79^2)^0.5-1)*B79</f>
        <v>4.1411238471785792</v>
      </c>
      <c r="F79" s="103">
        <f>E79*1.05</f>
        <v>4.3481800395375085</v>
      </c>
      <c r="G79" s="1569">
        <f>F79+Hydraulic!$I$43</f>
        <v>10.448180039537508</v>
      </c>
      <c r="H79" s="123" t="str">
        <f>IF(Hydraulic!$W$234&gt;G79,"ok","Not ok")</f>
        <v>Not ok</v>
      </c>
      <c r="I79" s="1569">
        <f>Hydraulic!B248-Hydraulic!I43</f>
        <v>1.8000000000000007</v>
      </c>
      <c r="J79" s="123" t="str">
        <f>IF(I79&gt;F79,"ok","Not ok")</f>
        <v>Not ok</v>
      </c>
    </row>
    <row r="80" spans="1:10">
      <c r="A80" s="123">
        <v>4</v>
      </c>
      <c r="B80" s="505">
        <f>'Calc-2'!F35</f>
        <v>0.40359999999997759</v>
      </c>
      <c r="C80" s="103">
        <f>H71/B80</f>
        <v>12.225776974737233</v>
      </c>
      <c r="D80" s="103">
        <f>C80/(g*B80)^0.5</f>
        <v>6.1442147499125532</v>
      </c>
      <c r="E80" s="1569">
        <f>0.5*((1+8*D80^2)^0.5-1)*B80</f>
        <v>3.3109752049901537</v>
      </c>
      <c r="F80" s="103">
        <f>E80*1.05</f>
        <v>3.4765239652396618</v>
      </c>
      <c r="G80" s="1569">
        <f>F80+Hydraulic!$I$43</f>
        <v>9.5765239652396623</v>
      </c>
      <c r="H80" s="123" t="str">
        <f>IF(Hydraulic!$W$234&gt;G80,"ok","Not ok")</f>
        <v>ok</v>
      </c>
      <c r="I80" s="1569">
        <f>Hydraulic!B267-Hydraulic!I43</f>
        <v>2.6900000000000013</v>
      </c>
      <c r="J80" s="123" t="str">
        <f>IF(I80&gt;F80,"ok","Not ok")</f>
        <v>Not ok</v>
      </c>
    </row>
    <row r="81" spans="1:10">
      <c r="A81" s="123">
        <v>3</v>
      </c>
      <c r="B81" s="505">
        <f>'Calc-2'!F36</f>
        <v>0.499699999999967</v>
      </c>
      <c r="C81" s="103">
        <f>H72/B81</f>
        <v>14.709875839117228</v>
      </c>
      <c r="D81" s="103">
        <f>C81/(g*B81)^0.5</f>
        <v>6.6438501514348758</v>
      </c>
      <c r="E81" s="1569">
        <f>0.5*((1+8*D81^2)^0.5-1)*B81</f>
        <v>4.4518859494436818</v>
      </c>
      <c r="F81" s="103">
        <f>E81*1.05</f>
        <v>4.6744802469158664</v>
      </c>
      <c r="G81" s="1569">
        <f>F81+Hydraulic!$I$43</f>
        <v>10.774480246915866</v>
      </c>
      <c r="H81" s="123" t="str">
        <f>IF(Hydraulic!$W$234&gt;G81,"ok","Not ok")</f>
        <v>Not ok</v>
      </c>
      <c r="I81" s="1569">
        <f>Hydraulic!B318-Hydraulic!I43</f>
        <v>2.9000000000000004</v>
      </c>
      <c r="J81" s="123" t="str">
        <f>IF(I81&gt;F81,"ok","Not ok")</f>
        <v>Not ok</v>
      </c>
    </row>
    <row r="82" spans="1:10">
      <c r="A82" s="104">
        <v>1</v>
      </c>
      <c r="B82" s="506">
        <f>'Calc-2'!F37</f>
        <v>0.54259999999996233</v>
      </c>
      <c r="C82" s="138">
        <f>H73/B82</f>
        <v>16.329286160266342</v>
      </c>
      <c r="D82" s="138">
        <f>C82/(g*B82)^0.5</f>
        <v>7.0777106098472125</v>
      </c>
      <c r="E82" s="121">
        <f>0.5*((1+8*D82^2)^0.5-1)*B82</f>
        <v>5.1665692785697939</v>
      </c>
      <c r="F82" s="138">
        <f>E82*1.05</f>
        <v>5.4248977424982838</v>
      </c>
      <c r="G82" s="121">
        <f>F82+Hydraulic!$I$43</f>
        <v>11.524897742498283</v>
      </c>
      <c r="H82" s="104" t="str">
        <f>IF(Hydraulic!$W$234&gt;G82,"ok","Not ok")</f>
        <v>Not ok</v>
      </c>
      <c r="I82" s="121">
        <f>Hydraulic!D318+Hydraulic!I44</f>
        <v>2.9</v>
      </c>
      <c r="J82" s="104" t="str">
        <f>IF(I82&gt;F82,"ok","Not ok")</f>
        <v>Not ok</v>
      </c>
    </row>
    <row r="84" spans="1:10">
      <c r="A84" s="355" t="s">
        <v>1520</v>
      </c>
      <c r="B84" s="1572" t="s">
        <v>1590</v>
      </c>
      <c r="C84" s="256" t="s">
        <v>1591</v>
      </c>
      <c r="D84" s="46"/>
    </row>
    <row r="85" spans="1:10">
      <c r="A85" s="354"/>
      <c r="B85" s="280" t="s">
        <v>201</v>
      </c>
      <c r="C85" s="1609" t="s">
        <v>206</v>
      </c>
      <c r="D85" s="46"/>
    </row>
    <row r="86" spans="1:10">
      <c r="A86" s="123">
        <v>5</v>
      </c>
      <c r="B86" s="505">
        <f>C70/Hydraulic!$AB$233</f>
        <v>1.4890257123472566</v>
      </c>
      <c r="C86" s="103">
        <f>B86/I79</f>
        <v>0.82723650685958661</v>
      </c>
      <c r="D86" s="46"/>
    </row>
    <row r="87" spans="1:10">
      <c r="A87" s="123">
        <v>4</v>
      </c>
      <c r="B87" s="505">
        <f>C71/Hydraulic!$AB$233</f>
        <v>1.5419761209386478</v>
      </c>
      <c r="C87" s="103">
        <f>B87/I80</f>
        <v>0.57322532376901381</v>
      </c>
      <c r="D87" s="46"/>
    </row>
    <row r="88" spans="1:10">
      <c r="A88" s="123">
        <v>3</v>
      </c>
      <c r="B88" s="505">
        <f>C72/Hydraulic!$AB$233</f>
        <v>2.2970390490019978</v>
      </c>
      <c r="C88" s="103">
        <f>B88/I81</f>
        <v>0.79208243069034401</v>
      </c>
      <c r="D88" s="46"/>
    </row>
    <row r="89" spans="1:10">
      <c r="A89" s="104">
        <v>1</v>
      </c>
      <c r="B89" s="506">
        <f>C73/Hydraulic!$AB$233</f>
        <v>2.7688345845499693</v>
      </c>
      <c r="C89" s="138">
        <f>B89/I82</f>
        <v>0.95477054639654113</v>
      </c>
      <c r="D89" s="46"/>
    </row>
    <row r="93" spans="1:10">
      <c r="A93" s="692" t="s">
        <v>1981</v>
      </c>
      <c r="B93" s="126"/>
      <c r="C93" s="126"/>
      <c r="D93" s="126"/>
      <c r="E93" s="126"/>
      <c r="F93" s="126"/>
      <c r="G93" s="126"/>
    </row>
    <row r="94" spans="1:10">
      <c r="A94" s="159"/>
      <c r="B94" s="1634"/>
      <c r="C94" s="1634"/>
      <c r="D94" s="1635"/>
      <c r="E94" s="1634"/>
      <c r="F94" s="159"/>
      <c r="G94" s="159"/>
    </row>
    <row r="95" spans="1:10" ht="20.25">
      <c r="A95" s="1636">
        <f>Hydraulic!B541</f>
        <v>2.4406238165988907</v>
      </c>
      <c r="B95" s="1637" t="s">
        <v>277</v>
      </c>
      <c r="C95" s="1638">
        <f>Hydraulic!D541</f>
        <v>0.54173394495412919</v>
      </c>
      <c r="D95" s="161" t="s">
        <v>276</v>
      </c>
      <c r="E95" s="159"/>
      <c r="F95" s="1942" t="s">
        <v>1982</v>
      </c>
      <c r="G95" s="159"/>
    </row>
    <row r="96" spans="1:10">
      <c r="A96" s="159"/>
      <c r="B96" s="159"/>
      <c r="C96" s="159"/>
      <c r="D96" s="159"/>
      <c r="E96" s="159"/>
      <c r="F96" s="159"/>
      <c r="G96" s="159"/>
    </row>
    <row r="97" spans="1:7" ht="15.75">
      <c r="A97" s="159"/>
      <c r="B97" s="1641" t="s">
        <v>808</v>
      </c>
      <c r="C97" s="159"/>
      <c r="D97" s="590">
        <f>Hydraulic!N541</f>
        <v>0.1</v>
      </c>
      <c r="E97" s="1643" t="s">
        <v>807</v>
      </c>
      <c r="F97" s="1644" t="s">
        <v>393</v>
      </c>
      <c r="G97" s="670" t="s">
        <v>806</v>
      </c>
    </row>
    <row r="98" spans="1:7">
      <c r="A98" s="159"/>
      <c r="B98" s="159"/>
      <c r="C98" s="1642"/>
      <c r="D98" s="1639"/>
      <c r="E98" s="594">
        <v>0.53259999999995589</v>
      </c>
      <c r="F98" s="592">
        <v>2.4423816891939092</v>
      </c>
      <c r="G98" s="1645">
        <f>F98-A95</f>
        <v>1.7578725950184726E-3</v>
      </c>
    </row>
    <row r="99" spans="1:7">
      <c r="A99" s="159"/>
      <c r="B99" s="159"/>
      <c r="C99" s="1635"/>
      <c r="D99" s="1639"/>
      <c r="E99" s="1640"/>
      <c r="F99" s="159"/>
      <c r="G99" s="159"/>
    </row>
    <row r="101" spans="1:7">
      <c r="A101" s="692" t="s">
        <v>1986</v>
      </c>
      <c r="B101" s="126"/>
      <c r="C101" s="126"/>
      <c r="D101" s="126"/>
      <c r="E101" s="126"/>
      <c r="F101" s="126"/>
      <c r="G101" s="126"/>
    </row>
    <row r="102" spans="1:7">
      <c r="A102" s="159"/>
      <c r="B102" s="1634"/>
      <c r="C102" s="1634"/>
      <c r="D102" s="1635"/>
      <c r="E102" s="1634"/>
      <c r="F102" s="159"/>
      <c r="G102" s="159"/>
    </row>
    <row r="103" spans="1:7" ht="20.25">
      <c r="A103" s="1636">
        <f>Hydraulic!B601</f>
        <v>4.3815523098424505</v>
      </c>
      <c r="B103" s="1637" t="s">
        <v>277</v>
      </c>
      <c r="C103" s="1638">
        <f>Hydraulic!D601</f>
        <v>6.2519428800000005</v>
      </c>
      <c r="D103" s="161" t="s">
        <v>276</v>
      </c>
      <c r="E103" s="159"/>
      <c r="F103" s="1942" t="s">
        <v>1987</v>
      </c>
      <c r="G103" s="159"/>
    </row>
    <row r="104" spans="1:7">
      <c r="A104" s="159"/>
      <c r="B104" s="159"/>
      <c r="C104" s="159"/>
      <c r="D104" s="159"/>
      <c r="E104" s="159"/>
      <c r="F104" s="159"/>
      <c r="G104" s="159"/>
    </row>
    <row r="105" spans="1:7" ht="15.75">
      <c r="A105" s="159"/>
      <c r="B105" s="1641" t="s">
        <v>808</v>
      </c>
      <c r="C105" s="159"/>
      <c r="D105" s="590">
        <f>Hydraulic!N601</f>
        <v>0.5</v>
      </c>
      <c r="E105" s="1643" t="s">
        <v>807</v>
      </c>
      <c r="F105" s="1644" t="s">
        <v>393</v>
      </c>
      <c r="G105" s="670" t="s">
        <v>806</v>
      </c>
    </row>
    <row r="106" spans="1:7">
      <c r="A106" s="159"/>
      <c r="B106" s="159"/>
      <c r="C106" s="1642"/>
      <c r="D106" s="1639"/>
      <c r="E106" s="594">
        <v>1.4631999999998939</v>
      </c>
      <c r="F106" s="592">
        <v>4.3833665141617786</v>
      </c>
      <c r="G106" s="1645">
        <f>F106-A103</f>
        <v>1.8142043193281054E-3</v>
      </c>
    </row>
    <row r="107" spans="1:7">
      <c r="A107" s="159"/>
      <c r="B107" s="159"/>
      <c r="C107" s="1635"/>
      <c r="D107" s="1639"/>
      <c r="E107" s="1640"/>
      <c r="F107" s="159"/>
      <c r="G107" s="159"/>
    </row>
  </sheetData>
  <sheetProtection sheet="1" objects="1" scenarios="1" selectLockedCells="1"/>
  <mergeCells count="2">
    <mergeCell ref="C65:D66"/>
    <mergeCell ref="H77:H78"/>
  </mergeCells>
  <pageMargins left="0.7" right="0.7" top="0.75" bottom="0.75" header="0.3" footer="0.3"/>
  <pageSetup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:CH89"/>
  <sheetViews>
    <sheetView workbookViewId="0">
      <selection activeCell="G16" sqref="G16"/>
    </sheetView>
  </sheetViews>
  <sheetFormatPr defaultRowHeight="12.75"/>
  <sheetData>
    <row r="1" spans="1:19" ht="15.75">
      <c r="A1" s="437" t="s">
        <v>1411</v>
      </c>
      <c r="B1" s="174"/>
      <c r="C1" s="940" t="str">
        <f>IF(P7=1,"(C/S)","(R/S)")</f>
        <v>(R/S)</v>
      </c>
      <c r="E1" s="144" t="s">
        <v>2058</v>
      </c>
    </row>
    <row r="2" spans="1:19">
      <c r="L2" s="187" t="s">
        <v>1412</v>
      </c>
    </row>
    <row r="3" spans="1:19">
      <c r="A3" s="187" t="s">
        <v>390</v>
      </c>
      <c r="G3">
        <f>Hydraulic!C7</f>
        <v>2</v>
      </c>
      <c r="L3" t="s">
        <v>1380</v>
      </c>
      <c r="M3" t="s">
        <v>1381</v>
      </c>
      <c r="N3" t="s">
        <v>1382</v>
      </c>
    </row>
    <row r="4" spans="1:19">
      <c r="A4" t="s">
        <v>357</v>
      </c>
      <c r="G4" s="129">
        <f>IF(P7=1,'CS gate'!G79,'RS gate'!G79)</f>
        <v>450</v>
      </c>
      <c r="H4" s="187" t="s">
        <v>98</v>
      </c>
      <c r="J4" s="3311" t="str">
        <f>"Data from  "&amp;C1&amp;"  Gate"</f>
        <v>Data from  (R/S)  Gate</v>
      </c>
      <c r="L4" t="s">
        <v>1380</v>
      </c>
      <c r="M4" t="s">
        <v>1383</v>
      </c>
      <c r="N4" t="s">
        <v>1384</v>
      </c>
      <c r="Q4" s="187" t="s">
        <v>1413</v>
      </c>
    </row>
    <row r="5" spans="1:19">
      <c r="A5" s="187" t="s">
        <v>1377</v>
      </c>
      <c r="G5" s="33">
        <f>IF(P7=1,'CS gate'!G80,'RS gate'!G80)</f>
        <v>2.25</v>
      </c>
      <c r="H5" s="187" t="s">
        <v>1099</v>
      </c>
      <c r="I5" s="187"/>
      <c r="J5" s="3311"/>
    </row>
    <row r="6" spans="1:19">
      <c r="A6" s="187" t="s">
        <v>1378</v>
      </c>
      <c r="G6" s="33">
        <f>IF(G3=2,G5,IF(P7=1,'CS gate'!G81,'RS gate'!G81))</f>
        <v>2.25</v>
      </c>
      <c r="H6" s="187" t="s">
        <v>1099</v>
      </c>
      <c r="I6" s="187"/>
      <c r="J6" s="3311"/>
      <c r="L6" t="s">
        <v>1385</v>
      </c>
    </row>
    <row r="7" spans="1:19">
      <c r="A7" s="187" t="s">
        <v>774</v>
      </c>
      <c r="G7" s="33">
        <f>IF(P7=1,'CS gate'!G82,'RS gate'!G82)</f>
        <v>1.5</v>
      </c>
      <c r="H7" s="187" t="s">
        <v>5</v>
      </c>
      <c r="J7" s="3311"/>
      <c r="P7" s="2593">
        <f>Hydraulic!G13</f>
        <v>2</v>
      </c>
      <c r="Q7" s="101" t="s">
        <v>1017</v>
      </c>
      <c r="R7" s="102"/>
      <c r="S7" s="93"/>
    </row>
    <row r="8" spans="1:19" ht="13.5" thickBot="1">
      <c r="J8" s="3311"/>
      <c r="P8" s="123">
        <v>1</v>
      </c>
      <c r="Q8" s="2565" t="s">
        <v>1018</v>
      </c>
      <c r="R8" s="16"/>
      <c r="S8" s="58"/>
    </row>
    <row r="9" spans="1:19" ht="13.5" thickBot="1">
      <c r="B9" s="187" t="s">
        <v>1379</v>
      </c>
      <c r="G9" s="33">
        <f>IF(P7=1,'CS gate'!F84,'RS gate'!F84)</f>
        <v>10.62</v>
      </c>
      <c r="H9" s="229" t="s">
        <v>725</v>
      </c>
      <c r="J9" s="3311"/>
      <c r="N9" s="1372" t="s">
        <v>1391</v>
      </c>
      <c r="P9" s="104">
        <v>2</v>
      </c>
      <c r="Q9" s="2566" t="s">
        <v>1019</v>
      </c>
      <c r="R9" s="59"/>
      <c r="S9" s="60"/>
    </row>
    <row r="10" spans="1:19">
      <c r="B10" s="204" t="s">
        <v>770</v>
      </c>
      <c r="C10" s="59"/>
      <c r="G10" s="212">
        <f>IF(P7=1,'CS gate'!F85,'RS gate'!F85)</f>
        <v>7.2</v>
      </c>
      <c r="H10" s="229" t="s">
        <v>725</v>
      </c>
      <c r="J10" s="3311"/>
    </row>
    <row r="11" spans="1:19">
      <c r="B11" s="385" t="s">
        <v>773</v>
      </c>
      <c r="G11" s="33">
        <f>IF(P7=1,'CS gate'!F86,'RS gate'!F86)</f>
        <v>17.82</v>
      </c>
      <c r="H11" s="229" t="s">
        <v>725</v>
      </c>
      <c r="J11" s="3311"/>
      <c r="L11" s="423" t="s">
        <v>1402</v>
      </c>
      <c r="M11" s="56"/>
      <c r="N11" s="381">
        <v>0</v>
      </c>
    </row>
    <row r="12" spans="1:19">
      <c r="B12" s="187"/>
      <c r="G12" s="33"/>
      <c r="H12" s="187"/>
      <c r="J12" s="3311"/>
      <c r="L12" s="1373" t="s">
        <v>1403</v>
      </c>
      <c r="M12" s="60"/>
      <c r="N12" s="104">
        <v>1</v>
      </c>
    </row>
    <row r="13" spans="1:19">
      <c r="B13" s="109" t="s">
        <v>504</v>
      </c>
      <c r="C13" s="46"/>
      <c r="D13" s="46"/>
      <c r="G13" s="33">
        <f>IF(P7=1,'CS gate'!F88,'RS gate'!F88)</f>
        <v>205.8</v>
      </c>
      <c r="H13" s="46" t="s">
        <v>4</v>
      </c>
      <c r="J13" s="3311"/>
    </row>
    <row r="14" spans="1:19">
      <c r="B14" t="s">
        <v>1394</v>
      </c>
      <c r="G14" s="577">
        <f>IF(P7=1,'CS gate'!O87,'RS gate'!O87)</f>
        <v>0</v>
      </c>
      <c r="H14" s="229" t="s">
        <v>620</v>
      </c>
    </row>
    <row r="15" spans="1:19">
      <c r="B15" t="s">
        <v>1404</v>
      </c>
      <c r="D15" t="str">
        <f>IF(G15=0,L11,L12)</f>
        <v>Hinged Support</v>
      </c>
      <c r="G15" s="1381">
        <f>IF(P7=1,'CS gate'!O88,'RS gate'!O88)</f>
        <v>1</v>
      </c>
      <c r="K15" s="36"/>
      <c r="L15" s="36"/>
      <c r="M15" s="36"/>
      <c r="N15" s="36"/>
    </row>
    <row r="16" spans="1:19">
      <c r="B16" t="s">
        <v>1399</v>
      </c>
      <c r="D16" t="str">
        <f>IF(G16=0,L11,L12)</f>
        <v>Hinged Support</v>
      </c>
      <c r="G16" s="1381">
        <f>IF(P7=1,'CS gate'!O89,'RS gate'!O89)</f>
        <v>1</v>
      </c>
      <c r="K16" s="36"/>
      <c r="L16" s="36"/>
      <c r="M16" s="36"/>
      <c r="N16" s="36"/>
    </row>
    <row r="17" spans="1:86">
      <c r="A17" s="731"/>
      <c r="B17" s="731"/>
      <c r="C17" s="731"/>
      <c r="D17" s="731"/>
      <c r="E17" s="731"/>
      <c r="F17" s="731"/>
      <c r="G17" s="731"/>
      <c r="H17" s="731"/>
      <c r="I17" s="731"/>
      <c r="J17" s="731"/>
      <c r="K17" s="731"/>
      <c r="L17" s="731"/>
    </row>
    <row r="18" spans="1:86">
      <c r="A18" s="1382" t="s">
        <v>1389</v>
      </c>
      <c r="B18" s="3312">
        <v>1</v>
      </c>
      <c r="C18" s="3313"/>
      <c r="D18" s="3314">
        <v>2</v>
      </c>
      <c r="E18" s="3313"/>
      <c r="F18" s="3312"/>
      <c r="G18" s="3314"/>
      <c r="H18" s="3312"/>
      <c r="I18" s="3313"/>
      <c r="J18" s="3314"/>
      <c r="K18" s="3314"/>
      <c r="L18" s="3312"/>
      <c r="M18" s="3313"/>
      <c r="N18" s="3314"/>
      <c r="O18" s="3313"/>
      <c r="P18" s="3312"/>
      <c r="Q18" s="3313"/>
      <c r="R18" s="3312"/>
      <c r="S18" s="3313"/>
      <c r="T18" s="3312"/>
      <c r="U18" s="3313"/>
      <c r="V18" s="3312"/>
      <c r="W18" s="3313"/>
      <c r="X18" s="3312"/>
      <c r="Y18" s="3313"/>
      <c r="Z18" s="3312"/>
      <c r="AA18" s="3313"/>
      <c r="AB18" s="3312"/>
      <c r="AC18" s="3313"/>
      <c r="AD18" s="3312"/>
      <c r="AE18" s="3313"/>
      <c r="AF18" s="3312"/>
      <c r="AG18" s="3313"/>
      <c r="AH18" s="3312"/>
      <c r="AI18" s="3313"/>
      <c r="AJ18" s="3312"/>
      <c r="AK18" s="3313"/>
      <c r="AL18" s="3312"/>
      <c r="AM18" s="3313"/>
      <c r="AN18" s="3312"/>
      <c r="AO18" s="3313"/>
      <c r="AP18" s="3312"/>
      <c r="AQ18" s="3313"/>
      <c r="AR18" s="3312"/>
      <c r="AS18" s="3313"/>
      <c r="AT18" s="3312"/>
      <c r="AU18" s="3313"/>
      <c r="AV18" s="3312"/>
      <c r="AW18" s="3313"/>
      <c r="AX18" s="3312"/>
      <c r="AY18" s="3313"/>
      <c r="AZ18" s="3312"/>
      <c r="BA18" s="3313"/>
      <c r="BB18" s="3312"/>
      <c r="BC18" s="3313"/>
      <c r="BD18" s="3312"/>
      <c r="BE18" s="3313"/>
      <c r="BF18" s="3312"/>
      <c r="BG18" s="3313"/>
      <c r="BH18" s="3312"/>
      <c r="BI18" s="3313"/>
      <c r="BJ18" s="3312"/>
      <c r="BK18" s="3313"/>
      <c r="BL18" s="3312"/>
      <c r="BM18" s="3313"/>
      <c r="BN18" s="3312"/>
      <c r="BO18" s="3313"/>
      <c r="BP18" s="3312"/>
      <c r="BQ18" s="3313"/>
      <c r="BR18" s="3312"/>
      <c r="BS18" s="3313"/>
      <c r="BT18" s="3312"/>
      <c r="BU18" s="3313"/>
      <c r="BV18" s="3312"/>
      <c r="BW18" s="3313"/>
      <c r="BX18" s="3312"/>
      <c r="BY18" s="3313"/>
      <c r="BZ18" s="3312"/>
      <c r="CA18" s="3313"/>
      <c r="CB18" s="3312"/>
      <c r="CC18" s="3313"/>
      <c r="CD18" s="848"/>
      <c r="CE18" s="848"/>
      <c r="CF18" s="848"/>
      <c r="CG18" s="848"/>
      <c r="CH18" s="848"/>
    </row>
    <row r="19" spans="1:86">
      <c r="A19" s="1383" t="s">
        <v>1376</v>
      </c>
      <c r="B19" s="3318">
        <v>17.82</v>
      </c>
      <c r="C19" s="3319"/>
      <c r="D19" s="3318">
        <v>17.82</v>
      </c>
      <c r="E19" s="3320"/>
      <c r="F19" s="3318"/>
      <c r="G19" s="3320"/>
      <c r="H19" s="3318"/>
      <c r="I19" s="3319"/>
      <c r="J19" s="3320"/>
      <c r="K19" s="3320"/>
      <c r="L19" s="3318"/>
      <c r="M19" s="3319"/>
      <c r="N19" s="3320"/>
      <c r="O19" s="3320"/>
      <c r="P19" s="3320"/>
      <c r="Q19" s="3320"/>
      <c r="R19" s="3320"/>
      <c r="S19" s="3320"/>
      <c r="T19" s="3320"/>
      <c r="U19" s="3320"/>
      <c r="V19" s="3320"/>
      <c r="W19" s="3320"/>
      <c r="X19" s="3320"/>
      <c r="Y19" s="3320"/>
      <c r="Z19" s="3320"/>
      <c r="AA19" s="3320"/>
      <c r="AB19" s="3320"/>
      <c r="AC19" s="3320"/>
      <c r="AD19" s="3320"/>
      <c r="AE19" s="3320"/>
      <c r="AF19" s="3320"/>
      <c r="AG19" s="3320"/>
      <c r="AH19" s="3320"/>
      <c r="AI19" s="3320"/>
      <c r="AJ19" s="3320"/>
      <c r="AK19" s="3320"/>
      <c r="AL19" s="3320"/>
      <c r="AM19" s="3320"/>
      <c r="AN19" s="3320"/>
      <c r="AO19" s="3320"/>
      <c r="AP19" s="3320"/>
      <c r="AQ19" s="3320"/>
      <c r="AR19" s="3320"/>
      <c r="AS19" s="3320"/>
      <c r="AT19" s="3320"/>
      <c r="AU19" s="3320"/>
      <c r="AV19" s="3320"/>
      <c r="AW19" s="3320"/>
      <c r="AX19" s="3320"/>
      <c r="AY19" s="3320"/>
      <c r="AZ19" s="3320"/>
      <c r="BA19" s="3320"/>
      <c r="BB19" s="3318"/>
      <c r="BC19" s="3319"/>
      <c r="BD19" s="3320"/>
      <c r="BE19" s="3320"/>
      <c r="BF19" s="3318"/>
      <c r="BG19" s="3319"/>
      <c r="BH19" s="3318"/>
      <c r="BI19" s="3319"/>
      <c r="BJ19" s="3318"/>
      <c r="BK19" s="3319"/>
      <c r="BL19" s="3320"/>
      <c r="BM19" s="3320"/>
      <c r="BN19" s="3318"/>
      <c r="BO19" s="3319"/>
      <c r="BP19" s="3320"/>
      <c r="BQ19" s="3320"/>
      <c r="BR19" s="3318"/>
      <c r="BS19" s="3319"/>
      <c r="BT19" s="3320"/>
      <c r="BU19" s="3320"/>
      <c r="BV19" s="3318"/>
      <c r="BW19" s="3319"/>
      <c r="BX19" s="3320"/>
      <c r="BY19" s="3320"/>
      <c r="BZ19" s="3318"/>
      <c r="CA19" s="3319"/>
      <c r="CB19" s="3320"/>
      <c r="CC19" s="3319"/>
      <c r="CD19" s="848"/>
      <c r="CE19" s="848"/>
      <c r="CF19" s="848"/>
      <c r="CG19" s="848"/>
      <c r="CH19" s="848"/>
    </row>
    <row r="20" spans="1:86">
      <c r="A20" s="1383" t="s">
        <v>1398</v>
      </c>
      <c r="B20" s="3315">
        <v>205.8</v>
      </c>
      <c r="C20" s="3317"/>
      <c r="D20" s="3315">
        <v>205.8</v>
      </c>
      <c r="E20" s="3316"/>
      <c r="F20" s="3315"/>
      <c r="G20" s="3316"/>
      <c r="H20" s="3315"/>
      <c r="I20" s="3317"/>
      <c r="J20" s="3316"/>
      <c r="K20" s="3316"/>
      <c r="L20" s="3315"/>
      <c r="M20" s="3317"/>
      <c r="N20" s="3316"/>
      <c r="O20" s="3316"/>
      <c r="P20" s="3316"/>
      <c r="Q20" s="3316"/>
      <c r="R20" s="3316"/>
      <c r="S20" s="3316"/>
      <c r="T20" s="3316"/>
      <c r="U20" s="3316"/>
      <c r="V20" s="3316"/>
      <c r="W20" s="3316"/>
      <c r="X20" s="3316"/>
      <c r="Y20" s="3316"/>
      <c r="Z20" s="3316"/>
      <c r="AA20" s="3316"/>
      <c r="AB20" s="3316"/>
      <c r="AC20" s="3316"/>
      <c r="AD20" s="3316"/>
      <c r="AE20" s="3316"/>
      <c r="AF20" s="3316"/>
      <c r="AG20" s="3316"/>
      <c r="AH20" s="3316"/>
      <c r="AI20" s="3316"/>
      <c r="AJ20" s="3316"/>
      <c r="AK20" s="3316"/>
      <c r="AL20" s="3316"/>
      <c r="AM20" s="3316"/>
      <c r="AN20" s="3316"/>
      <c r="AO20" s="3316"/>
      <c r="AP20" s="3316"/>
      <c r="AQ20" s="3316"/>
      <c r="AR20" s="3316"/>
      <c r="AS20" s="3316"/>
      <c r="AT20" s="3316"/>
      <c r="AU20" s="3316"/>
      <c r="AV20" s="3316"/>
      <c r="AW20" s="3316"/>
      <c r="AX20" s="3316"/>
      <c r="AY20" s="3316"/>
      <c r="AZ20" s="3316"/>
      <c r="BA20" s="3316"/>
      <c r="BB20" s="3315"/>
      <c r="BC20" s="3317"/>
      <c r="BD20" s="3316"/>
      <c r="BE20" s="3316"/>
      <c r="BF20" s="3315"/>
      <c r="BG20" s="3317"/>
      <c r="BH20" s="3315"/>
      <c r="BI20" s="3317"/>
      <c r="BJ20" s="3315"/>
      <c r="BK20" s="3317"/>
      <c r="BL20" s="3316"/>
      <c r="BM20" s="3316"/>
      <c r="BN20" s="3315"/>
      <c r="BO20" s="3317"/>
      <c r="BP20" s="3316"/>
      <c r="BQ20" s="3316"/>
      <c r="BR20" s="3315"/>
      <c r="BS20" s="3317"/>
      <c r="BT20" s="3316"/>
      <c r="BU20" s="3316"/>
      <c r="BV20" s="3315"/>
      <c r="BW20" s="3317"/>
      <c r="BX20" s="3316"/>
      <c r="BY20" s="3316"/>
      <c r="BZ20" s="3315"/>
      <c r="CA20" s="3317"/>
      <c r="CB20" s="3316"/>
      <c r="CC20" s="3317"/>
      <c r="CD20" s="848"/>
      <c r="CE20" s="848"/>
      <c r="CF20" s="848"/>
      <c r="CG20" s="848"/>
      <c r="CH20" s="848"/>
    </row>
    <row r="21" spans="1:86">
      <c r="A21" s="1383" t="s">
        <v>1390</v>
      </c>
      <c r="B21" s="3315">
        <v>2.25</v>
      </c>
      <c r="C21" s="3317"/>
      <c r="D21" s="3315">
        <v>2.25</v>
      </c>
      <c r="E21" s="3316"/>
      <c r="F21" s="3315"/>
      <c r="G21" s="3316"/>
      <c r="H21" s="3315"/>
      <c r="I21" s="3317"/>
      <c r="J21" s="3316"/>
      <c r="K21" s="3316"/>
      <c r="L21" s="3315"/>
      <c r="M21" s="3317"/>
      <c r="N21" s="3316"/>
      <c r="O21" s="3316"/>
      <c r="P21" s="3316"/>
      <c r="Q21" s="3316"/>
      <c r="R21" s="3316"/>
      <c r="S21" s="3316"/>
      <c r="T21" s="3316"/>
      <c r="U21" s="3316"/>
      <c r="V21" s="3316"/>
      <c r="W21" s="3316"/>
      <c r="X21" s="3316"/>
      <c r="Y21" s="3316"/>
      <c r="Z21" s="3316"/>
      <c r="AA21" s="3316"/>
      <c r="AB21" s="3316"/>
      <c r="AC21" s="3316"/>
      <c r="AD21" s="3316"/>
      <c r="AE21" s="3316"/>
      <c r="AF21" s="3316"/>
      <c r="AG21" s="3316"/>
      <c r="AH21" s="3316"/>
      <c r="AI21" s="3316"/>
      <c r="AJ21" s="3316"/>
      <c r="AK21" s="3316"/>
      <c r="AL21" s="3316"/>
      <c r="AM21" s="3316"/>
      <c r="AN21" s="3316"/>
      <c r="AO21" s="3316"/>
      <c r="AP21" s="3316"/>
      <c r="AQ21" s="3316"/>
      <c r="AR21" s="3316"/>
      <c r="AS21" s="3316"/>
      <c r="AT21" s="3316"/>
      <c r="AU21" s="3316"/>
      <c r="AV21" s="3316"/>
      <c r="AW21" s="3316"/>
      <c r="AX21" s="3316"/>
      <c r="AY21" s="3316"/>
      <c r="AZ21" s="3316"/>
      <c r="BA21" s="3316"/>
      <c r="BB21" s="3315"/>
      <c r="BC21" s="3317"/>
      <c r="BD21" s="3316"/>
      <c r="BE21" s="3316"/>
      <c r="BF21" s="3315"/>
      <c r="BG21" s="3317"/>
      <c r="BH21" s="3315"/>
      <c r="BI21" s="3317"/>
      <c r="BJ21" s="3315"/>
      <c r="BK21" s="3317"/>
      <c r="BL21" s="3316"/>
      <c r="BM21" s="3316"/>
      <c r="BN21" s="3315"/>
      <c r="BO21" s="3317"/>
      <c r="BP21" s="3316"/>
      <c r="BQ21" s="3316"/>
      <c r="BR21" s="3315"/>
      <c r="BS21" s="3317"/>
      <c r="BT21" s="3316"/>
      <c r="BU21" s="3316"/>
      <c r="BV21" s="3315"/>
      <c r="BW21" s="3317"/>
      <c r="BX21" s="3316"/>
      <c r="BY21" s="3316"/>
      <c r="BZ21" s="3315"/>
      <c r="CA21" s="3317"/>
      <c r="CB21" s="3316"/>
      <c r="CC21" s="3317"/>
      <c r="CD21" s="848"/>
      <c r="CE21" s="848"/>
      <c r="CF21" s="848"/>
      <c r="CG21" s="848"/>
      <c r="CH21" s="848"/>
    </row>
    <row r="22" spans="1:86">
      <c r="A22" s="1383" t="s">
        <v>1387</v>
      </c>
      <c r="B22" s="1384">
        <v>-7.5178125000000007</v>
      </c>
      <c r="C22" s="1385">
        <v>7.5178125000000007</v>
      </c>
      <c r="D22" s="1384">
        <v>-7.5178125000000007</v>
      </c>
      <c r="E22" s="1386">
        <v>7.5178125000000007</v>
      </c>
      <c r="F22" s="1384"/>
      <c r="G22" s="1386"/>
      <c r="H22" s="1384"/>
      <c r="I22" s="1387"/>
      <c r="J22" s="1388"/>
      <c r="K22" s="1388"/>
      <c r="L22" s="1384"/>
      <c r="M22" s="1389"/>
      <c r="N22" s="1388"/>
      <c r="O22" s="1388"/>
      <c r="P22" s="1388"/>
      <c r="Q22" s="1388"/>
      <c r="R22" s="1388"/>
      <c r="S22" s="1388"/>
      <c r="T22" s="1388"/>
      <c r="U22" s="1388"/>
      <c r="V22" s="1388"/>
      <c r="W22" s="1388"/>
      <c r="X22" s="1388"/>
      <c r="Y22" s="1388"/>
      <c r="Z22" s="1388"/>
      <c r="AA22" s="1388"/>
      <c r="AB22" s="1388"/>
      <c r="AC22" s="1388"/>
      <c r="AD22" s="1388"/>
      <c r="AE22" s="1388"/>
      <c r="AF22" s="1388"/>
      <c r="AG22" s="1388"/>
      <c r="AH22" s="1388"/>
      <c r="AI22" s="1388"/>
      <c r="AJ22" s="1388"/>
      <c r="AK22" s="1388"/>
      <c r="AL22" s="1388"/>
      <c r="AM22" s="1388"/>
      <c r="AN22" s="1388"/>
      <c r="AO22" s="1388"/>
      <c r="AP22" s="1388"/>
      <c r="AQ22" s="1388"/>
      <c r="AR22" s="1388"/>
      <c r="AS22" s="1388"/>
      <c r="AT22" s="1388"/>
      <c r="AU22" s="1388"/>
      <c r="AV22" s="1388"/>
      <c r="AW22" s="1388"/>
      <c r="AX22" s="1388"/>
      <c r="AY22" s="1388"/>
      <c r="AZ22" s="1388"/>
      <c r="BA22" s="1388"/>
      <c r="BB22" s="1384"/>
      <c r="BC22" s="1389"/>
      <c r="BD22" s="1388"/>
      <c r="BE22" s="1388"/>
      <c r="BF22" s="1384"/>
      <c r="BG22" s="1389"/>
      <c r="BH22" s="1384"/>
      <c r="BI22" s="1389"/>
      <c r="BJ22" s="1384"/>
      <c r="BK22" s="1389"/>
      <c r="BL22" s="1388"/>
      <c r="BM22" s="1388"/>
      <c r="BN22" s="1384"/>
      <c r="BO22" s="1389"/>
      <c r="BP22" s="1388"/>
      <c r="BQ22" s="1388"/>
      <c r="BR22" s="1384"/>
      <c r="BS22" s="1389"/>
      <c r="BT22" s="1388"/>
      <c r="BU22" s="1388"/>
      <c r="BV22" s="1384"/>
      <c r="BW22" s="1389"/>
      <c r="BX22" s="1388"/>
      <c r="BY22" s="1388"/>
      <c r="BZ22" s="1384"/>
      <c r="CA22" s="1389"/>
      <c r="CB22" s="1388"/>
      <c r="CC22" s="1387"/>
      <c r="CD22" s="848"/>
      <c r="CE22" s="848"/>
      <c r="CF22" s="848"/>
      <c r="CG22" s="848"/>
      <c r="CH22" s="848"/>
    </row>
    <row r="23" spans="1:86">
      <c r="A23" s="1383" t="s">
        <v>1392</v>
      </c>
      <c r="B23" s="1384">
        <v>-57.881250000000001</v>
      </c>
      <c r="C23" s="1385">
        <v>57.881250000000001</v>
      </c>
      <c r="D23" s="1384">
        <v>-57.881250000000001</v>
      </c>
      <c r="E23" s="1386">
        <v>57.881250000000001</v>
      </c>
      <c r="F23" s="1384"/>
      <c r="G23" s="1386"/>
      <c r="H23" s="1384"/>
      <c r="I23" s="1387"/>
      <c r="J23" s="1388"/>
      <c r="K23" s="1388"/>
      <c r="L23" s="1384"/>
      <c r="M23" s="1389"/>
      <c r="N23" s="1388"/>
      <c r="O23" s="1388"/>
      <c r="P23" s="1388"/>
      <c r="Q23" s="1388"/>
      <c r="R23" s="1388"/>
      <c r="S23" s="1388"/>
      <c r="T23" s="1388"/>
      <c r="U23" s="1388"/>
      <c r="V23" s="1388"/>
      <c r="W23" s="1388"/>
      <c r="X23" s="1388"/>
      <c r="Y23" s="1388"/>
      <c r="Z23" s="1388"/>
      <c r="AA23" s="1388"/>
      <c r="AB23" s="1388"/>
      <c r="AC23" s="1388"/>
      <c r="AD23" s="1388"/>
      <c r="AE23" s="1388"/>
      <c r="AF23" s="1388"/>
      <c r="AG23" s="1388"/>
      <c r="AH23" s="1388"/>
      <c r="AI23" s="1388"/>
      <c r="AJ23" s="1388"/>
      <c r="AK23" s="1388"/>
      <c r="AL23" s="1388"/>
      <c r="AM23" s="1388"/>
      <c r="AN23" s="1388"/>
      <c r="AO23" s="1388"/>
      <c r="AP23" s="1388"/>
      <c r="AQ23" s="1388"/>
      <c r="AR23" s="1388"/>
      <c r="AS23" s="1388"/>
      <c r="AT23" s="1388"/>
      <c r="AU23" s="1388"/>
      <c r="AV23" s="1388"/>
      <c r="AW23" s="1388"/>
      <c r="AX23" s="1388"/>
      <c r="AY23" s="1388"/>
      <c r="AZ23" s="1388"/>
      <c r="BA23" s="1388"/>
      <c r="BB23" s="1384"/>
      <c r="BC23" s="1389"/>
      <c r="BD23" s="1388"/>
      <c r="BE23" s="1388"/>
      <c r="BF23" s="1384"/>
      <c r="BG23" s="1389"/>
      <c r="BH23" s="1384"/>
      <c r="BI23" s="1389"/>
      <c r="BJ23" s="1384"/>
      <c r="BK23" s="1389"/>
      <c r="BL23" s="1388"/>
      <c r="BM23" s="1388"/>
      <c r="BN23" s="1384"/>
      <c r="BO23" s="1389"/>
      <c r="BP23" s="1388"/>
      <c r="BQ23" s="1388"/>
      <c r="BR23" s="1384"/>
      <c r="BS23" s="1389"/>
      <c r="BT23" s="1388"/>
      <c r="BU23" s="1388"/>
      <c r="BV23" s="1384"/>
      <c r="BW23" s="1389"/>
      <c r="BX23" s="1388"/>
      <c r="BY23" s="1388"/>
      <c r="BZ23" s="1384"/>
      <c r="CA23" s="1389"/>
      <c r="CB23" s="1388"/>
      <c r="CC23" s="1387"/>
      <c r="CD23" s="848"/>
      <c r="CE23" s="848"/>
      <c r="CF23" s="848"/>
      <c r="CG23" s="848"/>
      <c r="CH23" s="848"/>
    </row>
    <row r="24" spans="1:86">
      <c r="A24" s="1383" t="s">
        <v>1388</v>
      </c>
      <c r="B24" s="1384">
        <v>-65.399062499999999</v>
      </c>
      <c r="C24" s="1385">
        <v>65.399062499999999</v>
      </c>
      <c r="D24" s="1384">
        <v>-65.399062499999999</v>
      </c>
      <c r="E24" s="1386">
        <v>65.399062499999999</v>
      </c>
      <c r="F24" s="1384"/>
      <c r="G24" s="1386"/>
      <c r="H24" s="1384"/>
      <c r="I24" s="1387"/>
      <c r="J24" s="1388"/>
      <c r="K24" s="1388"/>
      <c r="L24" s="1384"/>
      <c r="M24" s="1389"/>
      <c r="N24" s="1388"/>
      <c r="O24" s="1388"/>
      <c r="P24" s="1388"/>
      <c r="Q24" s="1388"/>
      <c r="R24" s="1388"/>
      <c r="S24" s="1388"/>
      <c r="T24" s="1388"/>
      <c r="U24" s="1388"/>
      <c r="V24" s="1388"/>
      <c r="W24" s="1388"/>
      <c r="X24" s="1388"/>
      <c r="Y24" s="1388"/>
      <c r="Z24" s="1388"/>
      <c r="AA24" s="1388"/>
      <c r="AB24" s="1388"/>
      <c r="AC24" s="1388"/>
      <c r="AD24" s="1388"/>
      <c r="AE24" s="1388"/>
      <c r="AF24" s="1388"/>
      <c r="AG24" s="1388"/>
      <c r="AH24" s="1388"/>
      <c r="AI24" s="1388"/>
      <c r="AJ24" s="1388"/>
      <c r="AK24" s="1388"/>
      <c r="AL24" s="1388"/>
      <c r="AM24" s="1388"/>
      <c r="AN24" s="1388"/>
      <c r="AO24" s="1388"/>
      <c r="AP24" s="1388"/>
      <c r="AQ24" s="1388"/>
      <c r="AR24" s="1388"/>
      <c r="AS24" s="1388"/>
      <c r="AT24" s="1388"/>
      <c r="AU24" s="1388"/>
      <c r="AV24" s="1388"/>
      <c r="AW24" s="1388"/>
      <c r="AX24" s="1388"/>
      <c r="AY24" s="1388"/>
      <c r="AZ24" s="1388"/>
      <c r="BA24" s="1388"/>
      <c r="BB24" s="1384"/>
      <c r="BC24" s="1389"/>
      <c r="BD24" s="1388"/>
      <c r="BE24" s="1388"/>
      <c r="BF24" s="1384"/>
      <c r="BG24" s="1389"/>
      <c r="BH24" s="1384"/>
      <c r="BI24" s="1389"/>
      <c r="BJ24" s="1384"/>
      <c r="BK24" s="1389"/>
      <c r="BL24" s="1388"/>
      <c r="BM24" s="1388"/>
      <c r="BN24" s="1384"/>
      <c r="BO24" s="1389"/>
      <c r="BP24" s="1388"/>
      <c r="BQ24" s="1388"/>
      <c r="BR24" s="1384"/>
      <c r="BS24" s="1389"/>
      <c r="BT24" s="1388"/>
      <c r="BU24" s="1388"/>
      <c r="BV24" s="1384"/>
      <c r="BW24" s="1389"/>
      <c r="BX24" s="1388"/>
      <c r="BY24" s="1388"/>
      <c r="BZ24" s="1384"/>
      <c r="CA24" s="1389"/>
      <c r="CB24" s="1388"/>
      <c r="CC24" s="1387"/>
      <c r="CD24" s="848"/>
      <c r="CE24" s="848"/>
      <c r="CF24" s="848"/>
      <c r="CG24" s="848"/>
      <c r="CH24" s="848"/>
    </row>
    <row r="25" spans="1:86">
      <c r="A25" s="1390" t="s">
        <v>1380</v>
      </c>
      <c r="B25" s="3315">
        <v>1.3333333333333333</v>
      </c>
      <c r="C25" s="3317"/>
      <c r="D25" s="3315">
        <v>1.3333333333333333</v>
      </c>
      <c r="E25" s="3316"/>
      <c r="F25" s="3315"/>
      <c r="G25" s="3316"/>
      <c r="H25" s="3315"/>
      <c r="I25" s="3317"/>
      <c r="J25" s="3316"/>
      <c r="K25" s="3316"/>
      <c r="L25" s="3315"/>
      <c r="M25" s="3317"/>
      <c r="N25" s="3316"/>
      <c r="O25" s="3316"/>
      <c r="P25" s="3316"/>
      <c r="Q25" s="3316"/>
      <c r="R25" s="3316"/>
      <c r="S25" s="3316"/>
      <c r="T25" s="3316"/>
      <c r="U25" s="3316"/>
      <c r="V25" s="3316"/>
      <c r="W25" s="3316"/>
      <c r="X25" s="3316"/>
      <c r="Y25" s="3316"/>
      <c r="Z25" s="3316"/>
      <c r="AA25" s="3316"/>
      <c r="AB25" s="3316"/>
      <c r="AC25" s="3316"/>
      <c r="AD25" s="3316"/>
      <c r="AE25" s="3316"/>
      <c r="AF25" s="3316"/>
      <c r="AG25" s="3316"/>
      <c r="AH25" s="3316"/>
      <c r="AI25" s="3316"/>
      <c r="AJ25" s="3316"/>
      <c r="AK25" s="3316"/>
      <c r="AL25" s="3316"/>
      <c r="AM25" s="3316"/>
      <c r="AN25" s="3316"/>
      <c r="AO25" s="3316"/>
      <c r="AP25" s="3316"/>
      <c r="AQ25" s="3316"/>
      <c r="AR25" s="3316"/>
      <c r="AS25" s="3316"/>
      <c r="AT25" s="3316"/>
      <c r="AU25" s="3316"/>
      <c r="AV25" s="3316"/>
      <c r="AW25" s="3316"/>
      <c r="AX25" s="3316"/>
      <c r="AY25" s="3316"/>
      <c r="AZ25" s="3316"/>
      <c r="BA25" s="3316"/>
      <c r="BB25" s="3315"/>
      <c r="BC25" s="3317"/>
      <c r="BD25" s="3316"/>
      <c r="BE25" s="3316"/>
      <c r="BF25" s="3315"/>
      <c r="BG25" s="3317"/>
      <c r="BH25" s="3315"/>
      <c r="BI25" s="3317"/>
      <c r="BJ25" s="3315"/>
      <c r="BK25" s="3317"/>
      <c r="BL25" s="3316"/>
      <c r="BM25" s="3316"/>
      <c r="BN25" s="3315"/>
      <c r="BO25" s="3317"/>
      <c r="BP25" s="3316"/>
      <c r="BQ25" s="3316"/>
      <c r="BR25" s="3315"/>
      <c r="BS25" s="3317"/>
      <c r="BT25" s="3316"/>
      <c r="BU25" s="3316"/>
      <c r="BV25" s="3315"/>
      <c r="BW25" s="3317"/>
      <c r="BX25" s="3316"/>
      <c r="BY25" s="3316"/>
      <c r="BZ25" s="3315"/>
      <c r="CA25" s="3317"/>
      <c r="CB25" s="3316"/>
      <c r="CC25" s="3317"/>
      <c r="CD25" s="848"/>
      <c r="CE25" s="848"/>
      <c r="CF25" s="848"/>
      <c r="CG25" s="848"/>
      <c r="CH25" s="848"/>
    </row>
    <row r="26" spans="1:86">
      <c r="A26" s="1391" t="s">
        <v>1386</v>
      </c>
      <c r="B26" s="1392">
        <v>1</v>
      </c>
      <c r="C26" s="1393">
        <v>0.5</v>
      </c>
      <c r="D26" s="1394">
        <v>0.5</v>
      </c>
      <c r="E26" s="1395">
        <v>1</v>
      </c>
      <c r="F26" s="1394"/>
      <c r="G26" s="1395"/>
      <c r="H26" s="1394"/>
      <c r="I26" s="1396"/>
      <c r="J26" s="1397"/>
      <c r="K26" s="1398"/>
      <c r="L26" s="1394"/>
      <c r="M26" s="1396"/>
      <c r="N26" s="1397"/>
      <c r="O26" s="1398"/>
      <c r="P26" s="1397"/>
      <c r="Q26" s="1398"/>
      <c r="R26" s="1397"/>
      <c r="S26" s="1398"/>
      <c r="T26" s="1397"/>
      <c r="U26" s="1398"/>
      <c r="V26" s="1397"/>
      <c r="W26" s="1398"/>
      <c r="X26" s="1397"/>
      <c r="Y26" s="1398"/>
      <c r="Z26" s="1397"/>
      <c r="AA26" s="1398"/>
      <c r="AB26" s="1397"/>
      <c r="AC26" s="1398"/>
      <c r="AD26" s="1397"/>
      <c r="AE26" s="1398"/>
      <c r="AF26" s="1397"/>
      <c r="AG26" s="1398"/>
      <c r="AH26" s="1397"/>
      <c r="AI26" s="1398"/>
      <c r="AJ26" s="1397"/>
      <c r="AK26" s="1398"/>
      <c r="AL26" s="1397"/>
      <c r="AM26" s="1398"/>
      <c r="AN26" s="1397"/>
      <c r="AO26" s="1398"/>
      <c r="AP26" s="1397"/>
      <c r="AQ26" s="1398"/>
      <c r="AR26" s="1397"/>
      <c r="AS26" s="1398"/>
      <c r="AT26" s="1397"/>
      <c r="AU26" s="1398"/>
      <c r="AV26" s="1397"/>
      <c r="AW26" s="1398"/>
      <c r="AX26" s="1397"/>
      <c r="AY26" s="1398"/>
      <c r="AZ26" s="1397"/>
      <c r="BA26" s="1398"/>
      <c r="BB26" s="1394"/>
      <c r="BC26" s="1396"/>
      <c r="BD26" s="1397"/>
      <c r="BE26" s="1398"/>
      <c r="BF26" s="1394"/>
      <c r="BG26" s="1396"/>
      <c r="BH26" s="1394"/>
      <c r="BI26" s="1396"/>
      <c r="BJ26" s="1394"/>
      <c r="BK26" s="1396"/>
      <c r="BL26" s="1397"/>
      <c r="BM26" s="1398"/>
      <c r="BN26" s="1394"/>
      <c r="BO26" s="1396"/>
      <c r="BP26" s="1397"/>
      <c r="BQ26" s="1398"/>
      <c r="BR26" s="1394"/>
      <c r="BS26" s="1396"/>
      <c r="BT26" s="1397"/>
      <c r="BU26" s="1398"/>
      <c r="BV26" s="1394"/>
      <c r="BW26" s="1396"/>
      <c r="BX26" s="1397"/>
      <c r="BY26" s="1398"/>
      <c r="BZ26" s="1394"/>
      <c r="CA26" s="1396"/>
      <c r="CB26" s="1397"/>
      <c r="CC26" s="1396"/>
      <c r="CD26" s="1414"/>
      <c r="CE26" s="848"/>
      <c r="CF26" s="848"/>
      <c r="CG26" s="848"/>
      <c r="CH26" s="848"/>
    </row>
    <row r="27" spans="1:86">
      <c r="A27" s="848"/>
      <c r="B27" s="1399"/>
      <c r="C27" s="1400"/>
      <c r="D27" s="1399"/>
      <c r="E27" s="1400"/>
      <c r="F27" s="1399"/>
      <c r="G27" s="1400"/>
      <c r="H27" s="1399"/>
      <c r="I27" s="1400"/>
      <c r="J27" s="1399"/>
      <c r="K27" s="1400"/>
      <c r="L27" s="1399"/>
      <c r="M27" s="1400"/>
      <c r="N27" s="1399"/>
      <c r="O27" s="1400"/>
      <c r="P27" s="1399"/>
      <c r="Q27" s="848"/>
      <c r="R27" s="1401"/>
      <c r="S27" s="848"/>
      <c r="T27" s="1401"/>
      <c r="U27" s="848"/>
      <c r="V27" s="1401"/>
      <c r="W27" s="848"/>
      <c r="X27" s="1401"/>
      <c r="Y27" s="848"/>
      <c r="Z27" s="1401"/>
      <c r="AA27" s="848"/>
      <c r="AB27" s="1401"/>
      <c r="AC27" s="848"/>
      <c r="AD27" s="1401"/>
      <c r="AE27" s="848"/>
      <c r="AF27" s="1401"/>
      <c r="AG27" s="848"/>
      <c r="AH27" s="1401"/>
      <c r="AI27" s="848"/>
      <c r="AJ27" s="1401"/>
      <c r="AK27" s="848"/>
      <c r="AL27" s="1401"/>
      <c r="AM27" s="848"/>
      <c r="AN27" s="1401"/>
      <c r="AO27" s="848"/>
      <c r="AP27" s="1401"/>
      <c r="AQ27" s="848"/>
      <c r="AR27" s="1401"/>
      <c r="AS27" s="848"/>
      <c r="AT27" s="1401"/>
      <c r="AU27" s="848"/>
      <c r="AV27" s="1401"/>
      <c r="AW27" s="848"/>
      <c r="AX27" s="1401"/>
      <c r="AY27" s="848"/>
      <c r="AZ27" s="1401"/>
      <c r="BA27" s="848"/>
      <c r="BB27" s="1401"/>
      <c r="BC27" s="848"/>
      <c r="BD27" s="1401"/>
      <c r="BE27" s="848"/>
      <c r="BF27" s="1401"/>
      <c r="BG27" s="848"/>
      <c r="BH27" s="1401"/>
      <c r="BI27" s="848"/>
      <c r="BJ27" s="1401"/>
      <c r="BK27" s="848"/>
      <c r="BL27" s="1401"/>
      <c r="BM27" s="848"/>
      <c r="BN27" s="1401"/>
      <c r="BO27" s="848"/>
      <c r="BP27" s="1401"/>
      <c r="BQ27" s="848"/>
      <c r="BR27" s="1401"/>
      <c r="BS27" s="848"/>
      <c r="BT27" s="1401"/>
      <c r="BU27" s="848"/>
      <c r="BV27" s="1401"/>
      <c r="BW27" s="848"/>
      <c r="BX27" s="1401"/>
      <c r="BY27" s="848"/>
      <c r="BZ27" s="1401"/>
      <c r="CA27" s="848"/>
      <c r="CB27" s="1401"/>
      <c r="CC27" s="848"/>
      <c r="CD27" s="848"/>
      <c r="CE27" s="848"/>
      <c r="CF27" s="848"/>
      <c r="CG27" s="848"/>
      <c r="CH27" s="848"/>
    </row>
    <row r="28" spans="1:86">
      <c r="A28" s="1402">
        <v>1</v>
      </c>
      <c r="B28" s="1403"/>
      <c r="C28" s="1403"/>
      <c r="D28" s="1403"/>
      <c r="E28" s="1403">
        <v>5</v>
      </c>
      <c r="F28" s="1403"/>
      <c r="G28" s="1403"/>
      <c r="H28" s="1403"/>
      <c r="I28" s="1403"/>
      <c r="J28" s="1403"/>
      <c r="K28" s="1404"/>
      <c r="L28" s="1403"/>
      <c r="M28" s="1403"/>
      <c r="N28" s="1403"/>
      <c r="O28" s="1403"/>
      <c r="P28" s="1403"/>
      <c r="Q28" s="1403"/>
      <c r="R28" s="1403"/>
      <c r="S28" s="1403"/>
      <c r="T28" s="1403"/>
      <c r="U28" s="1403"/>
      <c r="V28" s="1403"/>
      <c r="W28" s="1403"/>
      <c r="X28" s="1403"/>
      <c r="Y28" s="1403"/>
      <c r="Z28" s="1403"/>
      <c r="AA28" s="1403"/>
      <c r="AB28" s="1403"/>
      <c r="AC28" s="1403"/>
      <c r="AD28" s="1403"/>
      <c r="AE28" s="1403"/>
      <c r="AF28" s="1403"/>
      <c r="AG28" s="1403"/>
      <c r="AH28" s="1403"/>
      <c r="AI28" s="1403"/>
      <c r="AJ28" s="1403"/>
      <c r="AK28" s="1403"/>
      <c r="AL28" s="1403"/>
      <c r="AM28" s="1403"/>
      <c r="AN28" s="1403"/>
      <c r="AO28" s="1403"/>
      <c r="AP28" s="1403"/>
      <c r="AQ28" s="1403"/>
      <c r="AR28" s="1403"/>
      <c r="AS28" s="1403"/>
      <c r="AT28" s="1403"/>
      <c r="AU28" s="1403"/>
      <c r="AV28" s="1403"/>
      <c r="AW28" s="1403"/>
      <c r="AX28" s="1403"/>
      <c r="AY28" s="1403"/>
      <c r="AZ28" s="1403"/>
      <c r="BA28" s="1403"/>
      <c r="BB28" s="1403"/>
      <c r="BC28" s="1403"/>
      <c r="BD28" s="1403"/>
      <c r="BE28" s="1403"/>
      <c r="BF28" s="1403"/>
      <c r="BG28" s="1403"/>
      <c r="BH28" s="1403"/>
      <c r="BI28" s="1403"/>
      <c r="BJ28" s="1403"/>
      <c r="BK28" s="1403"/>
      <c r="BL28" s="1403"/>
      <c r="BM28" s="1403"/>
      <c r="BN28" s="1403"/>
      <c r="BO28" s="1403"/>
      <c r="BP28" s="1403"/>
      <c r="BQ28" s="1403"/>
      <c r="BR28" s="1403"/>
      <c r="BS28" s="1403"/>
      <c r="BT28" s="1403"/>
      <c r="BU28" s="1403"/>
      <c r="BV28" s="1403"/>
      <c r="BW28" s="1403"/>
      <c r="BX28" s="1403"/>
      <c r="BY28" s="1403"/>
      <c r="BZ28" s="1403"/>
      <c r="CA28" s="1403"/>
      <c r="CB28" s="1403"/>
      <c r="CC28" s="1403"/>
      <c r="CD28" s="1403"/>
      <c r="CE28" s="848"/>
      <c r="CF28" s="848"/>
      <c r="CG28" s="848"/>
      <c r="CH28" s="848"/>
    </row>
    <row r="29" spans="1:86">
      <c r="A29" s="1405" t="s">
        <v>642</v>
      </c>
      <c r="B29" s="1401">
        <v>1</v>
      </c>
      <c r="C29" s="1401"/>
      <c r="D29" s="1401">
        <v>2</v>
      </c>
      <c r="E29" s="1401"/>
      <c r="F29" s="1401">
        <v>3</v>
      </c>
      <c r="G29" s="1401"/>
      <c r="H29" s="1401"/>
      <c r="I29" s="848"/>
      <c r="J29" s="1401"/>
      <c r="K29" s="1401"/>
      <c r="L29" s="1401"/>
      <c r="M29" s="1401"/>
      <c r="N29" s="1401"/>
      <c r="O29" s="1401"/>
      <c r="P29" s="1401"/>
      <c r="Q29" s="1401"/>
      <c r="R29" s="1401"/>
      <c r="S29" s="848"/>
      <c r="T29" s="1401"/>
      <c r="U29" s="1401"/>
      <c r="V29" s="1401"/>
      <c r="W29" s="1401"/>
      <c r="X29" s="1401"/>
      <c r="Y29" s="1401"/>
      <c r="Z29" s="1401"/>
      <c r="AA29" s="1401"/>
      <c r="AB29" s="1401"/>
      <c r="AC29" s="1401"/>
      <c r="AD29" s="1401"/>
      <c r="AE29" s="1401"/>
      <c r="AF29" s="1401"/>
      <c r="AG29" s="1401"/>
      <c r="AH29" s="1401"/>
      <c r="AI29" s="1401"/>
      <c r="AJ29" s="1401"/>
      <c r="AK29" s="1401"/>
      <c r="AL29" s="1401"/>
      <c r="AM29" s="1401"/>
      <c r="AN29" s="1401"/>
      <c r="AO29" s="1401"/>
      <c r="AP29" s="1401"/>
      <c r="AQ29" s="1401"/>
      <c r="AR29" s="1401"/>
      <c r="AS29" s="1401"/>
      <c r="AT29" s="1401"/>
      <c r="AU29" s="1401"/>
      <c r="AV29" s="1401"/>
      <c r="AW29" s="1401"/>
      <c r="AX29" s="1401"/>
      <c r="AY29" s="1401"/>
      <c r="AZ29" s="1401"/>
      <c r="BA29" s="1401"/>
      <c r="BB29" s="1401"/>
      <c r="BC29" s="1401"/>
      <c r="BD29" s="1401"/>
      <c r="BE29" s="1401"/>
      <c r="BF29" s="1401"/>
      <c r="BG29" s="1401"/>
      <c r="BH29" s="1401"/>
      <c r="BI29" s="1401"/>
      <c r="BJ29" s="1401"/>
      <c r="BK29" s="1401"/>
      <c r="BL29" s="1401"/>
      <c r="BM29" s="1401"/>
      <c r="BN29" s="1401"/>
      <c r="BO29" s="1401"/>
      <c r="BP29" s="1401"/>
      <c r="BQ29" s="1401"/>
      <c r="BR29" s="1401"/>
      <c r="BS29" s="1401"/>
      <c r="BT29" s="1401"/>
      <c r="BU29" s="1401"/>
      <c r="BV29" s="1401"/>
      <c r="BW29" s="1401"/>
      <c r="BX29" s="1401"/>
      <c r="BY29" s="1401"/>
      <c r="BZ29" s="1401"/>
      <c r="CA29" s="1401"/>
      <c r="CB29" s="1401"/>
      <c r="CC29" s="1401"/>
      <c r="CD29" s="1401">
        <v>41</v>
      </c>
      <c r="CE29" s="848"/>
      <c r="CF29" s="848"/>
      <c r="CG29" s="848"/>
      <c r="CH29" s="848"/>
    </row>
    <row r="30" spans="1:86">
      <c r="A30" s="848"/>
      <c r="B30" s="848"/>
      <c r="C30" s="848"/>
      <c r="D30" s="848"/>
      <c r="E30" s="848"/>
      <c r="F30" s="848"/>
      <c r="G30" s="848"/>
      <c r="H30" s="848"/>
      <c r="I30" s="848"/>
      <c r="J30" s="848"/>
      <c r="K30" s="848"/>
      <c r="L30" s="848"/>
      <c r="M30" s="848"/>
      <c r="N30" s="848"/>
      <c r="O30" s="848"/>
      <c r="P30" s="848"/>
      <c r="Q30" s="848"/>
      <c r="R30" s="848"/>
      <c r="S30" s="848"/>
      <c r="T30" s="848"/>
      <c r="U30" s="848"/>
      <c r="V30" s="848"/>
      <c r="W30" s="848"/>
      <c r="X30" s="848"/>
      <c r="Y30" s="848"/>
      <c r="Z30" s="848"/>
      <c r="AA30" s="848"/>
      <c r="AB30" s="848"/>
      <c r="AC30" s="848"/>
      <c r="AD30" s="848"/>
      <c r="AE30" s="848"/>
      <c r="AF30" s="848"/>
      <c r="AG30" s="848"/>
      <c r="AH30" s="848"/>
      <c r="AI30" s="848"/>
      <c r="AJ30" s="848"/>
      <c r="AK30" s="848"/>
      <c r="AL30" s="848"/>
      <c r="AM30" s="848"/>
      <c r="AN30" s="848"/>
      <c r="AO30" s="848"/>
      <c r="AP30" s="848"/>
      <c r="AQ30" s="848"/>
      <c r="AR30" s="848"/>
      <c r="AS30" s="848"/>
      <c r="AT30" s="848"/>
      <c r="AU30" s="848"/>
      <c r="AV30" s="848"/>
      <c r="AW30" s="848"/>
      <c r="AX30" s="848"/>
      <c r="AY30" s="848"/>
      <c r="AZ30" s="848"/>
      <c r="BA30" s="848"/>
      <c r="BB30" s="848"/>
      <c r="BC30" s="848"/>
      <c r="BD30" s="848"/>
      <c r="BE30" s="848"/>
      <c r="BF30" s="848"/>
      <c r="BG30" s="848"/>
      <c r="BH30" s="848"/>
      <c r="BI30" s="848"/>
      <c r="BJ30" s="848"/>
      <c r="BK30" s="848"/>
      <c r="BL30" s="848"/>
      <c r="BM30" s="848"/>
      <c r="BN30" s="848"/>
      <c r="BO30" s="848"/>
      <c r="BP30" s="848"/>
      <c r="BQ30" s="848"/>
      <c r="BR30" s="848"/>
      <c r="BS30" s="848"/>
      <c r="BT30" s="848"/>
      <c r="BU30" s="848"/>
      <c r="BV30" s="848"/>
      <c r="BW30" s="848"/>
      <c r="BX30" s="848"/>
      <c r="BY30" s="848"/>
      <c r="BZ30" s="848"/>
      <c r="CA30" s="848"/>
      <c r="CB30" s="848"/>
      <c r="CC30" s="848"/>
      <c r="CD30" s="848"/>
      <c r="CE30" s="848"/>
      <c r="CF30" s="848"/>
      <c r="CG30" s="848"/>
      <c r="CH30" s="848"/>
    </row>
    <row r="31" spans="1:86">
      <c r="A31" s="1406" t="s">
        <v>1388</v>
      </c>
      <c r="B31" s="1407">
        <v>-65.399062499999999</v>
      </c>
      <c r="C31" s="1408">
        <v>65.399062499999999</v>
      </c>
      <c r="D31" s="1407">
        <v>-65.399062499999999</v>
      </c>
      <c r="E31" s="1408">
        <v>65.399062499999999</v>
      </c>
      <c r="F31" s="1407"/>
      <c r="G31" s="1408"/>
      <c r="H31" s="1407"/>
      <c r="I31" s="1408"/>
      <c r="J31" s="1407"/>
      <c r="K31" s="1408"/>
      <c r="L31" s="1407"/>
      <c r="M31" s="1408"/>
      <c r="N31" s="1407"/>
      <c r="O31" s="1408"/>
      <c r="P31" s="1407"/>
      <c r="Q31" s="1408"/>
      <c r="R31" s="1407"/>
      <c r="S31" s="1408"/>
      <c r="T31" s="1407"/>
      <c r="U31" s="1408"/>
      <c r="V31" s="1407"/>
      <c r="W31" s="1408"/>
      <c r="X31" s="1407"/>
      <c r="Y31" s="1408"/>
      <c r="Z31" s="1407"/>
      <c r="AA31" s="1408"/>
      <c r="AB31" s="1407"/>
      <c r="AC31" s="1408"/>
      <c r="AD31" s="1407"/>
      <c r="AE31" s="1408"/>
      <c r="AF31" s="1407"/>
      <c r="AG31" s="1408"/>
      <c r="AH31" s="1407"/>
      <c r="AI31" s="1408"/>
      <c r="AJ31" s="1407"/>
      <c r="AK31" s="1408"/>
      <c r="AL31" s="1407"/>
      <c r="AM31" s="1408"/>
      <c r="AN31" s="1407"/>
      <c r="AO31" s="1408"/>
      <c r="AP31" s="1407"/>
      <c r="AQ31" s="1408"/>
      <c r="AR31" s="1407"/>
      <c r="AS31" s="1408"/>
      <c r="AT31" s="1407"/>
      <c r="AU31" s="1408"/>
      <c r="AV31" s="1407"/>
      <c r="AW31" s="1408"/>
      <c r="AX31" s="1407"/>
      <c r="AY31" s="1408"/>
      <c r="AZ31" s="1407"/>
      <c r="BA31" s="1408"/>
      <c r="BB31" s="1407"/>
      <c r="BC31" s="1408"/>
      <c r="BD31" s="1407"/>
      <c r="BE31" s="1408"/>
      <c r="BF31" s="1407"/>
      <c r="BG31" s="1408"/>
      <c r="BH31" s="1407"/>
      <c r="BI31" s="1408"/>
      <c r="BJ31" s="1407"/>
      <c r="BK31" s="1408"/>
      <c r="BL31" s="1407"/>
      <c r="BM31" s="1408"/>
      <c r="BN31" s="1407"/>
      <c r="BO31" s="1408"/>
      <c r="BP31" s="1407"/>
      <c r="BQ31" s="1408"/>
      <c r="BR31" s="1407"/>
      <c r="BS31" s="1408"/>
      <c r="BT31" s="1407"/>
      <c r="BU31" s="1408"/>
      <c r="BV31" s="1407"/>
      <c r="BW31" s="1408"/>
      <c r="BX31" s="1407"/>
      <c r="BY31" s="1408"/>
      <c r="BZ31" s="1407"/>
      <c r="CA31" s="1408"/>
      <c r="CB31" s="1407"/>
      <c r="CC31" s="1408"/>
      <c r="CD31" s="1408"/>
      <c r="CE31" s="848"/>
      <c r="CF31" s="848"/>
      <c r="CG31" s="848"/>
      <c r="CH31" s="848"/>
    </row>
    <row r="32" spans="1:86">
      <c r="A32" s="1406" t="s">
        <v>1393</v>
      </c>
      <c r="B32" s="1409">
        <v>65.399062499999999</v>
      </c>
      <c r="C32" s="1410">
        <v>32.69953125</v>
      </c>
      <c r="D32" s="1409">
        <v>-32.69953125</v>
      </c>
      <c r="E32" s="1410">
        <v>-65.399062499999999</v>
      </c>
      <c r="F32" s="1409"/>
      <c r="G32" s="1410"/>
      <c r="H32" s="1409"/>
      <c r="I32" s="1410"/>
      <c r="J32" s="1409"/>
      <c r="K32" s="1410"/>
      <c r="L32" s="1409"/>
      <c r="M32" s="1410"/>
      <c r="N32" s="1409"/>
      <c r="O32" s="1410"/>
      <c r="P32" s="1409"/>
      <c r="Q32" s="1410"/>
      <c r="R32" s="1409"/>
      <c r="S32" s="1410"/>
      <c r="T32" s="1409"/>
      <c r="U32" s="1410"/>
      <c r="V32" s="1409"/>
      <c r="W32" s="1410"/>
      <c r="X32" s="1409"/>
      <c r="Y32" s="1410"/>
      <c r="Z32" s="1409"/>
      <c r="AA32" s="1410"/>
      <c r="AB32" s="1409"/>
      <c r="AC32" s="1410"/>
      <c r="AD32" s="1409"/>
      <c r="AE32" s="1410"/>
      <c r="AF32" s="1409"/>
      <c r="AG32" s="1410"/>
      <c r="AH32" s="1409"/>
      <c r="AI32" s="1410"/>
      <c r="AJ32" s="1409"/>
      <c r="AK32" s="1410"/>
      <c r="AL32" s="1409"/>
      <c r="AM32" s="1410"/>
      <c r="AN32" s="1409"/>
      <c r="AO32" s="1410"/>
      <c r="AP32" s="1409"/>
      <c r="AQ32" s="1410"/>
      <c r="AR32" s="1409"/>
      <c r="AS32" s="1410"/>
      <c r="AT32" s="1409"/>
      <c r="AU32" s="1410"/>
      <c r="AV32" s="1409"/>
      <c r="AW32" s="1410"/>
      <c r="AX32" s="1409"/>
      <c r="AY32" s="1410"/>
      <c r="AZ32" s="1409"/>
      <c r="BA32" s="1410"/>
      <c r="BB32" s="1409"/>
      <c r="BC32" s="1410"/>
      <c r="BD32" s="1409"/>
      <c r="BE32" s="1410"/>
      <c r="BF32" s="1409"/>
      <c r="BG32" s="1410"/>
      <c r="BH32" s="1409"/>
      <c r="BI32" s="1410"/>
      <c r="BJ32" s="1409"/>
      <c r="BK32" s="1410"/>
      <c r="BL32" s="1409"/>
      <c r="BM32" s="1410"/>
      <c r="BN32" s="1409"/>
      <c r="BO32" s="1410"/>
      <c r="BP32" s="1409"/>
      <c r="BQ32" s="1410"/>
      <c r="BR32" s="1409"/>
      <c r="BS32" s="1410"/>
      <c r="BT32" s="1409"/>
      <c r="BU32" s="1410"/>
      <c r="BV32" s="1409"/>
      <c r="BW32" s="1410"/>
      <c r="BX32" s="1409"/>
      <c r="BY32" s="1410"/>
      <c r="BZ32" s="1409"/>
      <c r="CA32" s="1410"/>
      <c r="CB32" s="1409"/>
      <c r="CC32" s="1410"/>
      <c r="CD32" s="1408"/>
      <c r="CE32" s="848"/>
      <c r="CF32" s="848"/>
      <c r="CG32" s="848"/>
      <c r="CH32" s="848"/>
    </row>
    <row r="33" spans="1:86">
      <c r="A33" s="1406" t="s">
        <v>1397</v>
      </c>
      <c r="B33" s="1411">
        <v>0</v>
      </c>
      <c r="C33" s="1412">
        <v>98.098593749999992</v>
      </c>
      <c r="D33" s="1413">
        <v>-98.098593749999992</v>
      </c>
      <c r="E33" s="1412">
        <v>0</v>
      </c>
      <c r="F33" s="1411"/>
      <c r="G33" s="1414"/>
      <c r="H33" s="1411"/>
      <c r="I33" s="1414"/>
      <c r="J33" s="1411"/>
      <c r="K33" s="1414"/>
      <c r="L33" s="1411"/>
      <c r="M33" s="1414"/>
      <c r="N33" s="1411"/>
      <c r="O33" s="1414"/>
      <c r="P33" s="1411"/>
      <c r="Q33" s="1414"/>
      <c r="R33" s="1411"/>
      <c r="S33" s="1414"/>
      <c r="T33" s="1411"/>
      <c r="U33" s="1414"/>
      <c r="V33" s="1411"/>
      <c r="W33" s="1414"/>
      <c r="X33" s="1411"/>
      <c r="Y33" s="1414"/>
      <c r="Z33" s="1411"/>
      <c r="AA33" s="1414"/>
      <c r="AB33" s="1411"/>
      <c r="AC33" s="1414"/>
      <c r="AD33" s="1411"/>
      <c r="AE33" s="1414"/>
      <c r="AF33" s="1411"/>
      <c r="AG33" s="1414"/>
      <c r="AH33" s="1411"/>
      <c r="AI33" s="1414"/>
      <c r="AJ33" s="1411"/>
      <c r="AK33" s="1414"/>
      <c r="AL33" s="1411"/>
      <c r="AM33" s="1414"/>
      <c r="AN33" s="1411"/>
      <c r="AO33" s="1414"/>
      <c r="AP33" s="1411"/>
      <c r="AQ33" s="1414"/>
      <c r="AR33" s="1411"/>
      <c r="AS33" s="1414"/>
      <c r="AT33" s="1411"/>
      <c r="AU33" s="1414"/>
      <c r="AV33" s="1411"/>
      <c r="AW33" s="1414"/>
      <c r="AX33" s="1411"/>
      <c r="AY33" s="1414"/>
      <c r="AZ33" s="1411"/>
      <c r="BA33" s="1414"/>
      <c r="BB33" s="1411"/>
      <c r="BC33" s="1414"/>
      <c r="BD33" s="1411"/>
      <c r="BE33" s="1414"/>
      <c r="BF33" s="1411"/>
      <c r="BG33" s="1414"/>
      <c r="BH33" s="1411"/>
      <c r="BI33" s="1414"/>
      <c r="BJ33" s="1411"/>
      <c r="BK33" s="1414"/>
      <c r="BL33" s="1411"/>
      <c r="BM33" s="1414"/>
      <c r="BN33" s="1411"/>
      <c r="BO33" s="1414"/>
      <c r="BP33" s="1411"/>
      <c r="BQ33" s="1414"/>
      <c r="BR33" s="1411"/>
      <c r="BS33" s="1414"/>
      <c r="BT33" s="1411"/>
      <c r="BU33" s="1414"/>
      <c r="BV33" s="1411"/>
      <c r="BW33" s="1414"/>
      <c r="BX33" s="1411"/>
      <c r="BY33" s="1414"/>
      <c r="BZ33" s="1411"/>
      <c r="CA33" s="1414"/>
      <c r="CB33" s="1411"/>
      <c r="CC33" s="1414"/>
      <c r="CD33" s="1408"/>
      <c r="CE33" s="848"/>
      <c r="CF33" s="848"/>
      <c r="CG33" s="848"/>
      <c r="CH33" s="848"/>
    </row>
    <row r="34" spans="1:86">
      <c r="A34" s="1406" t="s">
        <v>1396</v>
      </c>
      <c r="B34" s="1414"/>
      <c r="C34" s="1414">
        <v>0</v>
      </c>
      <c r="D34" s="1411">
        <v>0</v>
      </c>
      <c r="E34" s="1414"/>
      <c r="F34" s="1411"/>
      <c r="G34" s="1414"/>
      <c r="H34" s="1411"/>
      <c r="I34" s="1414"/>
      <c r="J34" s="1411"/>
      <c r="K34" s="1414"/>
      <c r="L34" s="1411"/>
      <c r="M34" s="1414"/>
      <c r="N34" s="1411"/>
      <c r="O34" s="1414"/>
      <c r="P34" s="1411"/>
      <c r="Q34" s="1414"/>
      <c r="R34" s="1411"/>
      <c r="S34" s="1414"/>
      <c r="T34" s="1411"/>
      <c r="U34" s="1414"/>
      <c r="V34" s="1411"/>
      <c r="W34" s="1414"/>
      <c r="X34" s="1411"/>
      <c r="Y34" s="1414"/>
      <c r="Z34" s="1411"/>
      <c r="AA34" s="1414"/>
      <c r="AB34" s="1411"/>
      <c r="AC34" s="1414"/>
      <c r="AD34" s="1411"/>
      <c r="AE34" s="1414"/>
      <c r="AF34" s="1411"/>
      <c r="AG34" s="1414"/>
      <c r="AH34" s="1411"/>
      <c r="AI34" s="1414"/>
      <c r="AJ34" s="1411"/>
      <c r="AK34" s="1414"/>
      <c r="AL34" s="1411"/>
      <c r="AM34" s="1414"/>
      <c r="AN34" s="1411"/>
      <c r="AO34" s="1414"/>
      <c r="AP34" s="1411"/>
      <c r="AQ34" s="1414"/>
      <c r="AR34" s="1411"/>
      <c r="AS34" s="1414"/>
      <c r="AT34" s="1411"/>
      <c r="AU34" s="1414"/>
      <c r="AV34" s="1411"/>
      <c r="AW34" s="1414"/>
      <c r="AX34" s="1411"/>
      <c r="AY34" s="1414"/>
      <c r="AZ34" s="1411"/>
      <c r="BA34" s="1414"/>
      <c r="BB34" s="1411"/>
      <c r="BC34" s="1414"/>
      <c r="BD34" s="1411"/>
      <c r="BE34" s="1414"/>
      <c r="BF34" s="1411"/>
      <c r="BG34" s="1414"/>
      <c r="BH34" s="1411"/>
      <c r="BI34" s="1414"/>
      <c r="BJ34" s="1411"/>
      <c r="BK34" s="1414"/>
      <c r="BL34" s="1411"/>
      <c r="BM34" s="1414"/>
      <c r="BN34" s="1411"/>
      <c r="BO34" s="1414"/>
      <c r="BP34" s="1411"/>
      <c r="BQ34" s="1414"/>
      <c r="BR34" s="1411"/>
      <c r="BS34" s="1414"/>
      <c r="BT34" s="1411"/>
      <c r="BU34" s="1414"/>
      <c r="BV34" s="1411"/>
      <c r="BW34" s="1414"/>
      <c r="BX34" s="1411"/>
      <c r="BY34" s="1414"/>
      <c r="BZ34" s="1411"/>
      <c r="CA34" s="1414"/>
      <c r="CB34" s="1411"/>
      <c r="CC34" s="1414"/>
      <c r="CD34" s="1408"/>
      <c r="CE34" s="848"/>
      <c r="CF34" s="848"/>
      <c r="CG34" s="848"/>
      <c r="CH34" s="848"/>
    </row>
    <row r="35" spans="1:86">
      <c r="A35" s="1415" t="s">
        <v>1395</v>
      </c>
      <c r="B35" s="1416">
        <v>0</v>
      </c>
      <c r="C35" s="1417">
        <v>0</v>
      </c>
      <c r="D35" s="1416">
        <v>0</v>
      </c>
      <c r="E35" s="1417">
        <v>0</v>
      </c>
      <c r="F35" s="1416"/>
      <c r="G35" s="1417"/>
      <c r="H35" s="1416"/>
      <c r="I35" s="1417"/>
      <c r="J35" s="1416"/>
      <c r="K35" s="1417"/>
      <c r="L35" s="1411"/>
      <c r="M35" s="1414"/>
      <c r="N35" s="1411"/>
      <c r="O35" s="1414"/>
      <c r="P35" s="1411"/>
      <c r="Q35" s="1414"/>
      <c r="R35" s="1411"/>
      <c r="S35" s="1414"/>
      <c r="T35" s="1411"/>
      <c r="U35" s="1414"/>
      <c r="V35" s="1411"/>
      <c r="W35" s="1414"/>
      <c r="X35" s="1411"/>
      <c r="Y35" s="1414"/>
      <c r="Z35" s="1411"/>
      <c r="AA35" s="1414"/>
      <c r="AB35" s="1411"/>
      <c r="AC35" s="1414"/>
      <c r="AD35" s="1411"/>
      <c r="AE35" s="1414"/>
      <c r="AF35" s="1411"/>
      <c r="AG35" s="1414"/>
      <c r="AH35" s="1411"/>
      <c r="AI35" s="1414"/>
      <c r="AJ35" s="1411"/>
      <c r="AK35" s="1414"/>
      <c r="AL35" s="1411"/>
      <c r="AM35" s="1414"/>
      <c r="AN35" s="1411"/>
      <c r="AO35" s="1414"/>
      <c r="AP35" s="1411"/>
      <c r="AQ35" s="1414"/>
      <c r="AR35" s="1411"/>
      <c r="AS35" s="1414"/>
      <c r="AT35" s="1411"/>
      <c r="AU35" s="1414"/>
      <c r="AV35" s="1411"/>
      <c r="AW35" s="1414"/>
      <c r="AX35" s="1411"/>
      <c r="AY35" s="1414"/>
      <c r="AZ35" s="1411"/>
      <c r="BA35" s="1414"/>
      <c r="BB35" s="1411"/>
      <c r="BC35" s="1414"/>
      <c r="BD35" s="1411"/>
      <c r="BE35" s="1414"/>
      <c r="BF35" s="1411"/>
      <c r="BG35" s="1414"/>
      <c r="BH35" s="1411"/>
      <c r="BI35" s="1414"/>
      <c r="BJ35" s="1411"/>
      <c r="BK35" s="1414"/>
      <c r="BL35" s="1411"/>
      <c r="BM35" s="1414"/>
      <c r="BN35" s="1411"/>
      <c r="BO35" s="1414"/>
      <c r="BP35" s="1411"/>
      <c r="BQ35" s="1414"/>
      <c r="BR35" s="1411"/>
      <c r="BS35" s="1414"/>
      <c r="BT35" s="1411"/>
      <c r="BU35" s="1414"/>
      <c r="BV35" s="1411"/>
      <c r="BW35" s="1414"/>
      <c r="BX35" s="1411"/>
      <c r="BY35" s="1414"/>
      <c r="BZ35" s="1411"/>
      <c r="CA35" s="1414"/>
      <c r="CB35" s="1411"/>
      <c r="CC35" s="1414"/>
      <c r="CD35" s="1408"/>
      <c r="CE35" s="848"/>
      <c r="CF35" s="848"/>
      <c r="CG35" s="848"/>
      <c r="CH35" s="848"/>
    </row>
    <row r="36" spans="1:86">
      <c r="A36" s="1406" t="s">
        <v>1396</v>
      </c>
      <c r="B36" s="1416"/>
      <c r="C36" s="1417">
        <v>0</v>
      </c>
      <c r="D36" s="1416">
        <v>0</v>
      </c>
      <c r="E36" s="1417"/>
      <c r="F36" s="1416"/>
      <c r="G36" s="1417"/>
      <c r="H36" s="1416"/>
      <c r="I36" s="1417"/>
      <c r="J36" s="1416"/>
      <c r="K36" s="1417"/>
      <c r="L36" s="1411"/>
      <c r="M36" s="1414"/>
      <c r="N36" s="1411"/>
      <c r="O36" s="1414"/>
      <c r="P36" s="1411"/>
      <c r="Q36" s="1414"/>
      <c r="R36" s="1411"/>
      <c r="S36" s="1414"/>
      <c r="T36" s="1411"/>
      <c r="U36" s="1414"/>
      <c r="V36" s="1411"/>
      <c r="W36" s="1414"/>
      <c r="X36" s="1411"/>
      <c r="Y36" s="1414"/>
      <c r="Z36" s="1411"/>
      <c r="AA36" s="1414"/>
      <c r="AB36" s="1411"/>
      <c r="AC36" s="1414"/>
      <c r="AD36" s="1411"/>
      <c r="AE36" s="1414"/>
      <c r="AF36" s="1411"/>
      <c r="AG36" s="1414"/>
      <c r="AH36" s="1411"/>
      <c r="AI36" s="1414"/>
      <c r="AJ36" s="1411"/>
      <c r="AK36" s="1414"/>
      <c r="AL36" s="1411"/>
      <c r="AM36" s="1414"/>
      <c r="AN36" s="1411"/>
      <c r="AO36" s="1414"/>
      <c r="AP36" s="1411"/>
      <c r="AQ36" s="1414"/>
      <c r="AR36" s="1411"/>
      <c r="AS36" s="1414"/>
      <c r="AT36" s="1411"/>
      <c r="AU36" s="1414"/>
      <c r="AV36" s="1411"/>
      <c r="AW36" s="1414"/>
      <c r="AX36" s="1411"/>
      <c r="AY36" s="1414"/>
      <c r="AZ36" s="1411"/>
      <c r="BA36" s="1414"/>
      <c r="BB36" s="1411"/>
      <c r="BC36" s="1414"/>
      <c r="BD36" s="1411"/>
      <c r="BE36" s="1414"/>
      <c r="BF36" s="1411"/>
      <c r="BG36" s="1414"/>
      <c r="BH36" s="1411"/>
      <c r="BI36" s="1414"/>
      <c r="BJ36" s="1411"/>
      <c r="BK36" s="1414"/>
      <c r="BL36" s="1411"/>
      <c r="BM36" s="1414"/>
      <c r="BN36" s="1411"/>
      <c r="BO36" s="1414"/>
      <c r="BP36" s="1411"/>
      <c r="BQ36" s="1414"/>
      <c r="BR36" s="1411"/>
      <c r="BS36" s="1414"/>
      <c r="BT36" s="1411"/>
      <c r="BU36" s="1414"/>
      <c r="BV36" s="1411"/>
      <c r="BW36" s="1414"/>
      <c r="BX36" s="1411"/>
      <c r="BY36" s="1414"/>
      <c r="BZ36" s="1411"/>
      <c r="CA36" s="1414"/>
      <c r="CB36" s="1411"/>
      <c r="CC36" s="1414"/>
      <c r="CD36" s="1408"/>
      <c r="CE36" s="848"/>
      <c r="CF36" s="848"/>
      <c r="CG36" s="848"/>
      <c r="CH36" s="848"/>
    </row>
    <row r="37" spans="1:86">
      <c r="A37" s="1415" t="s">
        <v>1395</v>
      </c>
      <c r="B37" s="1416">
        <v>0</v>
      </c>
      <c r="C37" s="1417">
        <v>0</v>
      </c>
      <c r="D37" s="1416">
        <v>0</v>
      </c>
      <c r="E37" s="1417">
        <v>0</v>
      </c>
      <c r="F37" s="1416"/>
      <c r="G37" s="1417"/>
      <c r="H37" s="1416"/>
      <c r="I37" s="1417"/>
      <c r="J37" s="1416"/>
      <c r="K37" s="1417"/>
      <c r="L37" s="1411"/>
      <c r="M37" s="1414"/>
      <c r="N37" s="1411"/>
      <c r="O37" s="1414"/>
      <c r="P37" s="1411"/>
      <c r="Q37" s="1414"/>
      <c r="R37" s="1411"/>
      <c r="S37" s="1414"/>
      <c r="T37" s="1411"/>
      <c r="U37" s="1414"/>
      <c r="V37" s="1411"/>
      <c r="W37" s="1414"/>
      <c r="X37" s="1411"/>
      <c r="Y37" s="1414"/>
      <c r="Z37" s="1411"/>
      <c r="AA37" s="1414"/>
      <c r="AB37" s="1411"/>
      <c r="AC37" s="1414"/>
      <c r="AD37" s="1411"/>
      <c r="AE37" s="1414"/>
      <c r="AF37" s="1411"/>
      <c r="AG37" s="1414"/>
      <c r="AH37" s="1411"/>
      <c r="AI37" s="1414"/>
      <c r="AJ37" s="1411"/>
      <c r="AK37" s="1414"/>
      <c r="AL37" s="1411"/>
      <c r="AM37" s="1414"/>
      <c r="AN37" s="1411"/>
      <c r="AO37" s="1414"/>
      <c r="AP37" s="1411"/>
      <c r="AQ37" s="1414"/>
      <c r="AR37" s="1411"/>
      <c r="AS37" s="1414"/>
      <c r="AT37" s="1411"/>
      <c r="AU37" s="1414"/>
      <c r="AV37" s="1411"/>
      <c r="AW37" s="1414"/>
      <c r="AX37" s="1411"/>
      <c r="AY37" s="1414"/>
      <c r="AZ37" s="1411"/>
      <c r="BA37" s="1414"/>
      <c r="BB37" s="1411"/>
      <c r="BC37" s="1414"/>
      <c r="BD37" s="1411"/>
      <c r="BE37" s="1414"/>
      <c r="BF37" s="1411"/>
      <c r="BG37" s="1414"/>
      <c r="BH37" s="1411"/>
      <c r="BI37" s="1414"/>
      <c r="BJ37" s="1411"/>
      <c r="BK37" s="1414"/>
      <c r="BL37" s="1411"/>
      <c r="BM37" s="1414"/>
      <c r="BN37" s="1411"/>
      <c r="BO37" s="1414"/>
      <c r="BP37" s="1411"/>
      <c r="BQ37" s="1414"/>
      <c r="BR37" s="1411"/>
      <c r="BS37" s="1414"/>
      <c r="BT37" s="1411"/>
      <c r="BU37" s="1414"/>
      <c r="BV37" s="1411"/>
      <c r="BW37" s="1414"/>
      <c r="BX37" s="1411"/>
      <c r="BY37" s="1414"/>
      <c r="BZ37" s="1411"/>
      <c r="CA37" s="1414"/>
      <c r="CB37" s="1411"/>
      <c r="CC37" s="1414"/>
      <c r="CD37" s="1408"/>
      <c r="CE37" s="848"/>
      <c r="CF37" s="848"/>
      <c r="CG37" s="848"/>
      <c r="CH37" s="848"/>
    </row>
    <row r="38" spans="1:86">
      <c r="A38" s="1406" t="s">
        <v>1396</v>
      </c>
      <c r="B38" s="1416"/>
      <c r="C38" s="1417">
        <v>0</v>
      </c>
      <c r="D38" s="1416">
        <v>0</v>
      </c>
      <c r="E38" s="1417"/>
      <c r="F38" s="1416"/>
      <c r="G38" s="1417"/>
      <c r="H38" s="1416"/>
      <c r="I38" s="1417"/>
      <c r="J38" s="1416"/>
      <c r="K38" s="1417"/>
      <c r="L38" s="1411"/>
      <c r="M38" s="1414"/>
      <c r="N38" s="1411"/>
      <c r="O38" s="1414"/>
      <c r="P38" s="1411"/>
      <c r="Q38" s="1414"/>
      <c r="R38" s="1411"/>
      <c r="S38" s="1414"/>
      <c r="T38" s="1411"/>
      <c r="U38" s="1414"/>
      <c r="V38" s="1411"/>
      <c r="W38" s="1414"/>
      <c r="X38" s="1411"/>
      <c r="Y38" s="1414"/>
      <c r="Z38" s="1411"/>
      <c r="AA38" s="1414"/>
      <c r="AB38" s="1411"/>
      <c r="AC38" s="1414"/>
      <c r="AD38" s="1411"/>
      <c r="AE38" s="1414"/>
      <c r="AF38" s="1411"/>
      <c r="AG38" s="1414"/>
      <c r="AH38" s="1411"/>
      <c r="AI38" s="1414"/>
      <c r="AJ38" s="1411"/>
      <c r="AK38" s="1414"/>
      <c r="AL38" s="1411"/>
      <c r="AM38" s="1414"/>
      <c r="AN38" s="1411"/>
      <c r="AO38" s="1414"/>
      <c r="AP38" s="1411"/>
      <c r="AQ38" s="1414"/>
      <c r="AR38" s="1411"/>
      <c r="AS38" s="1414"/>
      <c r="AT38" s="1411"/>
      <c r="AU38" s="1414"/>
      <c r="AV38" s="1411"/>
      <c r="AW38" s="1414"/>
      <c r="AX38" s="1411"/>
      <c r="AY38" s="1414"/>
      <c r="AZ38" s="1411"/>
      <c r="BA38" s="1414"/>
      <c r="BB38" s="1411"/>
      <c r="BC38" s="1414"/>
      <c r="BD38" s="1411"/>
      <c r="BE38" s="1414"/>
      <c r="BF38" s="1411"/>
      <c r="BG38" s="1414"/>
      <c r="BH38" s="1411"/>
      <c r="BI38" s="1414"/>
      <c r="BJ38" s="1411"/>
      <c r="BK38" s="1414"/>
      <c r="BL38" s="1411"/>
      <c r="BM38" s="1414"/>
      <c r="BN38" s="1411"/>
      <c r="BO38" s="1414"/>
      <c r="BP38" s="1411"/>
      <c r="BQ38" s="1414"/>
      <c r="BR38" s="1411"/>
      <c r="BS38" s="1414"/>
      <c r="BT38" s="1411"/>
      <c r="BU38" s="1414"/>
      <c r="BV38" s="1411"/>
      <c r="BW38" s="1414"/>
      <c r="BX38" s="1411"/>
      <c r="BY38" s="1414"/>
      <c r="BZ38" s="1411"/>
      <c r="CA38" s="1414"/>
      <c r="CB38" s="1411"/>
      <c r="CC38" s="1414"/>
      <c r="CD38" s="1408"/>
      <c r="CE38" s="848"/>
      <c r="CF38" s="848"/>
      <c r="CG38" s="848"/>
      <c r="CH38" s="848"/>
    </row>
    <row r="39" spans="1:86">
      <c r="A39" s="1415" t="s">
        <v>1395</v>
      </c>
      <c r="B39" s="1416">
        <v>0</v>
      </c>
      <c r="C39" s="1417">
        <v>0</v>
      </c>
      <c r="D39" s="1416">
        <v>0</v>
      </c>
      <c r="E39" s="1417">
        <v>0</v>
      </c>
      <c r="F39" s="1416"/>
      <c r="G39" s="1417"/>
      <c r="H39" s="1416"/>
      <c r="I39" s="1417"/>
      <c r="J39" s="1416"/>
      <c r="K39" s="1417"/>
      <c r="L39" s="1411"/>
      <c r="M39" s="1414"/>
      <c r="N39" s="1411"/>
      <c r="O39" s="1414"/>
      <c r="P39" s="1411"/>
      <c r="Q39" s="1414"/>
      <c r="R39" s="1411"/>
      <c r="S39" s="1414"/>
      <c r="T39" s="1411"/>
      <c r="U39" s="1414"/>
      <c r="V39" s="1411"/>
      <c r="W39" s="1414"/>
      <c r="X39" s="1411"/>
      <c r="Y39" s="1414"/>
      <c r="Z39" s="1411"/>
      <c r="AA39" s="1414"/>
      <c r="AB39" s="1411"/>
      <c r="AC39" s="1414"/>
      <c r="AD39" s="1411"/>
      <c r="AE39" s="1414"/>
      <c r="AF39" s="1411"/>
      <c r="AG39" s="1414"/>
      <c r="AH39" s="1411"/>
      <c r="AI39" s="1414"/>
      <c r="AJ39" s="1411"/>
      <c r="AK39" s="1414"/>
      <c r="AL39" s="1411"/>
      <c r="AM39" s="1414"/>
      <c r="AN39" s="1411"/>
      <c r="AO39" s="1414"/>
      <c r="AP39" s="1411"/>
      <c r="AQ39" s="1414"/>
      <c r="AR39" s="1411"/>
      <c r="AS39" s="1414"/>
      <c r="AT39" s="1411"/>
      <c r="AU39" s="1414"/>
      <c r="AV39" s="1411"/>
      <c r="AW39" s="1414"/>
      <c r="AX39" s="1411"/>
      <c r="AY39" s="1414"/>
      <c r="AZ39" s="1411"/>
      <c r="BA39" s="1414"/>
      <c r="BB39" s="1411"/>
      <c r="BC39" s="1414"/>
      <c r="BD39" s="1411"/>
      <c r="BE39" s="1414"/>
      <c r="BF39" s="1411"/>
      <c r="BG39" s="1414"/>
      <c r="BH39" s="1411"/>
      <c r="BI39" s="1414"/>
      <c r="BJ39" s="1411"/>
      <c r="BK39" s="1414"/>
      <c r="BL39" s="1411"/>
      <c r="BM39" s="1414"/>
      <c r="BN39" s="1411"/>
      <c r="BO39" s="1414"/>
      <c r="BP39" s="1411"/>
      <c r="BQ39" s="1414"/>
      <c r="BR39" s="1411"/>
      <c r="BS39" s="1414"/>
      <c r="BT39" s="1411"/>
      <c r="BU39" s="1414"/>
      <c r="BV39" s="1411"/>
      <c r="BW39" s="1414"/>
      <c r="BX39" s="1411"/>
      <c r="BY39" s="1414"/>
      <c r="BZ39" s="1411"/>
      <c r="CA39" s="1414"/>
      <c r="CB39" s="1411"/>
      <c r="CC39" s="1414"/>
      <c r="CD39" s="1408"/>
      <c r="CE39" s="848"/>
      <c r="CF39" s="848"/>
      <c r="CG39" s="848"/>
      <c r="CH39" s="848"/>
    </row>
    <row r="40" spans="1:86">
      <c r="A40" s="1406" t="s">
        <v>1396</v>
      </c>
      <c r="B40" s="1416"/>
      <c r="C40" s="1417">
        <v>0</v>
      </c>
      <c r="D40" s="1416">
        <v>0</v>
      </c>
      <c r="E40" s="1417"/>
      <c r="F40" s="1416"/>
      <c r="G40" s="1417"/>
      <c r="H40" s="1416"/>
      <c r="I40" s="1417"/>
      <c r="J40" s="1416"/>
      <c r="K40" s="1417"/>
      <c r="L40" s="1411"/>
      <c r="M40" s="1414"/>
      <c r="N40" s="1411"/>
      <c r="O40" s="1414"/>
      <c r="P40" s="1411"/>
      <c r="Q40" s="1414"/>
      <c r="R40" s="1411"/>
      <c r="S40" s="1414"/>
      <c r="T40" s="1411"/>
      <c r="U40" s="1414"/>
      <c r="V40" s="1411"/>
      <c r="W40" s="1414"/>
      <c r="X40" s="1411"/>
      <c r="Y40" s="1414"/>
      <c r="Z40" s="1411"/>
      <c r="AA40" s="1414"/>
      <c r="AB40" s="1411"/>
      <c r="AC40" s="1414"/>
      <c r="AD40" s="1411"/>
      <c r="AE40" s="1414"/>
      <c r="AF40" s="1411"/>
      <c r="AG40" s="1414"/>
      <c r="AH40" s="1411"/>
      <c r="AI40" s="1414"/>
      <c r="AJ40" s="1411"/>
      <c r="AK40" s="1414"/>
      <c r="AL40" s="1411"/>
      <c r="AM40" s="1414"/>
      <c r="AN40" s="1411"/>
      <c r="AO40" s="1414"/>
      <c r="AP40" s="1411"/>
      <c r="AQ40" s="1414"/>
      <c r="AR40" s="1411"/>
      <c r="AS40" s="1414"/>
      <c r="AT40" s="1411"/>
      <c r="AU40" s="1414"/>
      <c r="AV40" s="1411"/>
      <c r="AW40" s="1414"/>
      <c r="AX40" s="1411"/>
      <c r="AY40" s="1414"/>
      <c r="AZ40" s="1411"/>
      <c r="BA40" s="1414"/>
      <c r="BB40" s="1411"/>
      <c r="BC40" s="1414"/>
      <c r="BD40" s="1411"/>
      <c r="BE40" s="1414"/>
      <c r="BF40" s="1411"/>
      <c r="BG40" s="1414"/>
      <c r="BH40" s="1411"/>
      <c r="BI40" s="1414"/>
      <c r="BJ40" s="1411"/>
      <c r="BK40" s="1414"/>
      <c r="BL40" s="1411"/>
      <c r="BM40" s="1414"/>
      <c r="BN40" s="1411"/>
      <c r="BO40" s="1414"/>
      <c r="BP40" s="1411"/>
      <c r="BQ40" s="1414"/>
      <c r="BR40" s="1411"/>
      <c r="BS40" s="1414"/>
      <c r="BT40" s="1411"/>
      <c r="BU40" s="1414"/>
      <c r="BV40" s="1411"/>
      <c r="BW40" s="1414"/>
      <c r="BX40" s="1411"/>
      <c r="BY40" s="1414"/>
      <c r="BZ40" s="1411"/>
      <c r="CA40" s="1414"/>
      <c r="CB40" s="1411"/>
      <c r="CC40" s="1414"/>
      <c r="CD40" s="1408"/>
      <c r="CE40" s="848"/>
      <c r="CF40" s="848"/>
      <c r="CG40" s="848"/>
      <c r="CH40" s="848"/>
    </row>
    <row r="41" spans="1:86">
      <c r="A41" s="1415" t="s">
        <v>1395</v>
      </c>
      <c r="B41" s="1411">
        <v>0</v>
      </c>
      <c r="C41" s="1414">
        <v>0</v>
      </c>
      <c r="D41" s="1411">
        <v>0</v>
      </c>
      <c r="E41" s="1414">
        <v>0</v>
      </c>
      <c r="F41" s="1411"/>
      <c r="G41" s="1414"/>
      <c r="H41" s="1411"/>
      <c r="I41" s="1414"/>
      <c r="J41" s="1411"/>
      <c r="K41" s="1414"/>
      <c r="L41" s="1411"/>
      <c r="M41" s="1414"/>
      <c r="N41" s="1411"/>
      <c r="O41" s="1414"/>
      <c r="P41" s="1411"/>
      <c r="Q41" s="1414"/>
      <c r="R41" s="1411"/>
      <c r="S41" s="1414"/>
      <c r="T41" s="1411"/>
      <c r="U41" s="1414"/>
      <c r="V41" s="1411"/>
      <c r="W41" s="1414"/>
      <c r="X41" s="1411"/>
      <c r="Y41" s="1414"/>
      <c r="Z41" s="1411"/>
      <c r="AA41" s="1414"/>
      <c r="AB41" s="1411"/>
      <c r="AC41" s="1414"/>
      <c r="AD41" s="1411"/>
      <c r="AE41" s="1414"/>
      <c r="AF41" s="1411"/>
      <c r="AG41" s="1414"/>
      <c r="AH41" s="1411"/>
      <c r="AI41" s="1414"/>
      <c r="AJ41" s="1411"/>
      <c r="AK41" s="1414"/>
      <c r="AL41" s="1411"/>
      <c r="AM41" s="1414"/>
      <c r="AN41" s="1411"/>
      <c r="AO41" s="1414"/>
      <c r="AP41" s="1411"/>
      <c r="AQ41" s="1414"/>
      <c r="AR41" s="1411"/>
      <c r="AS41" s="1414"/>
      <c r="AT41" s="1411"/>
      <c r="AU41" s="1414"/>
      <c r="AV41" s="1411"/>
      <c r="AW41" s="1414"/>
      <c r="AX41" s="1411"/>
      <c r="AY41" s="1414"/>
      <c r="AZ41" s="1411"/>
      <c r="BA41" s="1414"/>
      <c r="BB41" s="1411"/>
      <c r="BC41" s="1414"/>
      <c r="BD41" s="1411"/>
      <c r="BE41" s="1414"/>
      <c r="BF41" s="1411"/>
      <c r="BG41" s="1414"/>
      <c r="BH41" s="1411"/>
      <c r="BI41" s="1414"/>
      <c r="BJ41" s="1411"/>
      <c r="BK41" s="1414"/>
      <c r="BL41" s="1411"/>
      <c r="BM41" s="1414"/>
      <c r="BN41" s="1411"/>
      <c r="BO41" s="1414"/>
      <c r="BP41" s="1411"/>
      <c r="BQ41" s="1414"/>
      <c r="BR41" s="1411"/>
      <c r="BS41" s="1414"/>
      <c r="BT41" s="1411"/>
      <c r="BU41" s="1414"/>
      <c r="BV41" s="1411"/>
      <c r="BW41" s="1414"/>
      <c r="BX41" s="1411"/>
      <c r="BY41" s="1414"/>
      <c r="BZ41" s="1411"/>
      <c r="CA41" s="1414"/>
      <c r="CB41" s="1411"/>
      <c r="CC41" s="1414"/>
      <c r="CD41" s="1408"/>
      <c r="CE41" s="848"/>
      <c r="CF41" s="848"/>
      <c r="CG41" s="848"/>
      <c r="CH41" s="848"/>
    </row>
    <row r="42" spans="1:86">
      <c r="A42" s="1406" t="s">
        <v>1396</v>
      </c>
      <c r="B42" s="1411"/>
      <c r="C42" s="1414">
        <v>0</v>
      </c>
      <c r="D42" s="1411">
        <v>0</v>
      </c>
      <c r="E42" s="1414"/>
      <c r="F42" s="1411"/>
      <c r="G42" s="1414"/>
      <c r="H42" s="1411"/>
      <c r="I42" s="1414"/>
      <c r="J42" s="1411"/>
      <c r="K42" s="1414"/>
      <c r="L42" s="1411"/>
      <c r="M42" s="1414"/>
      <c r="N42" s="1411"/>
      <c r="O42" s="1414"/>
      <c r="P42" s="1411"/>
      <c r="Q42" s="1414"/>
      <c r="R42" s="1411"/>
      <c r="S42" s="1414"/>
      <c r="T42" s="1411"/>
      <c r="U42" s="1414"/>
      <c r="V42" s="1411"/>
      <c r="W42" s="1414"/>
      <c r="X42" s="1411"/>
      <c r="Y42" s="1414"/>
      <c r="Z42" s="1411"/>
      <c r="AA42" s="1414"/>
      <c r="AB42" s="1411"/>
      <c r="AC42" s="1414"/>
      <c r="AD42" s="1411"/>
      <c r="AE42" s="1414"/>
      <c r="AF42" s="1411"/>
      <c r="AG42" s="1414"/>
      <c r="AH42" s="1411"/>
      <c r="AI42" s="1414"/>
      <c r="AJ42" s="1411"/>
      <c r="AK42" s="1414"/>
      <c r="AL42" s="1411"/>
      <c r="AM42" s="1414"/>
      <c r="AN42" s="1411"/>
      <c r="AO42" s="1414"/>
      <c r="AP42" s="1411"/>
      <c r="AQ42" s="1414"/>
      <c r="AR42" s="1411"/>
      <c r="AS42" s="1414"/>
      <c r="AT42" s="1411"/>
      <c r="AU42" s="1414"/>
      <c r="AV42" s="1411"/>
      <c r="AW42" s="1414"/>
      <c r="AX42" s="1411"/>
      <c r="AY42" s="1414"/>
      <c r="AZ42" s="1411"/>
      <c r="BA42" s="1414"/>
      <c r="BB42" s="1411"/>
      <c r="BC42" s="1414"/>
      <c r="BD42" s="1411"/>
      <c r="BE42" s="1414"/>
      <c r="BF42" s="1411"/>
      <c r="BG42" s="1414"/>
      <c r="BH42" s="1411"/>
      <c r="BI42" s="1414"/>
      <c r="BJ42" s="1411"/>
      <c r="BK42" s="1414"/>
      <c r="BL42" s="1411"/>
      <c r="BM42" s="1414"/>
      <c r="BN42" s="1411"/>
      <c r="BO42" s="1414"/>
      <c r="BP42" s="1411"/>
      <c r="BQ42" s="1414"/>
      <c r="BR42" s="1411"/>
      <c r="BS42" s="1414"/>
      <c r="BT42" s="1411"/>
      <c r="BU42" s="1414"/>
      <c r="BV42" s="1411"/>
      <c r="BW42" s="1414"/>
      <c r="BX42" s="1411"/>
      <c r="BY42" s="1414"/>
      <c r="BZ42" s="1411"/>
      <c r="CA42" s="1414"/>
      <c r="CB42" s="1411"/>
      <c r="CC42" s="1414"/>
      <c r="CD42" s="1408"/>
      <c r="CE42" s="848"/>
      <c r="CF42" s="848"/>
      <c r="CG42" s="848"/>
      <c r="CH42" s="848"/>
    </row>
    <row r="43" spans="1:86">
      <c r="A43" s="1415" t="s">
        <v>1395</v>
      </c>
      <c r="B43" s="1411">
        <v>0</v>
      </c>
      <c r="C43" s="1414">
        <v>0</v>
      </c>
      <c r="D43" s="1411">
        <v>0</v>
      </c>
      <c r="E43" s="1414">
        <v>0</v>
      </c>
      <c r="F43" s="1411"/>
      <c r="G43" s="1414"/>
      <c r="H43" s="1411"/>
      <c r="I43" s="1414"/>
      <c r="J43" s="1411"/>
      <c r="K43" s="1414"/>
      <c r="L43" s="1411"/>
      <c r="M43" s="1414"/>
      <c r="N43" s="1411"/>
      <c r="O43" s="1414"/>
      <c r="P43" s="1411"/>
      <c r="Q43" s="1414"/>
      <c r="R43" s="1411"/>
      <c r="S43" s="1414"/>
      <c r="T43" s="1411"/>
      <c r="U43" s="1414"/>
      <c r="V43" s="1411"/>
      <c r="W43" s="1414"/>
      <c r="X43" s="1411"/>
      <c r="Y43" s="1414"/>
      <c r="Z43" s="1411"/>
      <c r="AA43" s="1414"/>
      <c r="AB43" s="1411"/>
      <c r="AC43" s="1414"/>
      <c r="AD43" s="1411"/>
      <c r="AE43" s="1414"/>
      <c r="AF43" s="1411"/>
      <c r="AG43" s="1414"/>
      <c r="AH43" s="1411"/>
      <c r="AI43" s="1414"/>
      <c r="AJ43" s="1411"/>
      <c r="AK43" s="1414"/>
      <c r="AL43" s="1411"/>
      <c r="AM43" s="1414"/>
      <c r="AN43" s="1411"/>
      <c r="AO43" s="1414"/>
      <c r="AP43" s="1411"/>
      <c r="AQ43" s="1414"/>
      <c r="AR43" s="1411"/>
      <c r="AS43" s="1414"/>
      <c r="AT43" s="1411"/>
      <c r="AU43" s="1414"/>
      <c r="AV43" s="1411"/>
      <c r="AW43" s="1414"/>
      <c r="AX43" s="1411"/>
      <c r="AY43" s="1414"/>
      <c r="AZ43" s="1411"/>
      <c r="BA43" s="1414"/>
      <c r="BB43" s="1411"/>
      <c r="BC43" s="1414"/>
      <c r="BD43" s="1411"/>
      <c r="BE43" s="1414"/>
      <c r="BF43" s="1411"/>
      <c r="BG43" s="1414"/>
      <c r="BH43" s="1411"/>
      <c r="BI43" s="1414"/>
      <c r="BJ43" s="1411"/>
      <c r="BK43" s="1414"/>
      <c r="BL43" s="1411"/>
      <c r="BM43" s="1414"/>
      <c r="BN43" s="1411"/>
      <c r="BO43" s="1414"/>
      <c r="BP43" s="1411"/>
      <c r="BQ43" s="1414"/>
      <c r="BR43" s="1411"/>
      <c r="BS43" s="1414"/>
      <c r="BT43" s="1411"/>
      <c r="BU43" s="1414"/>
      <c r="BV43" s="1411"/>
      <c r="BW43" s="1414"/>
      <c r="BX43" s="1411"/>
      <c r="BY43" s="1414"/>
      <c r="BZ43" s="1411"/>
      <c r="CA43" s="1414"/>
      <c r="CB43" s="1411"/>
      <c r="CC43" s="1414"/>
      <c r="CD43" s="1408"/>
      <c r="CE43" s="848"/>
      <c r="CF43" s="848"/>
      <c r="CG43" s="848"/>
      <c r="CH43" s="848"/>
    </row>
    <row r="44" spans="1:86">
      <c r="A44" s="1406" t="s">
        <v>1396</v>
      </c>
      <c r="B44" s="1411"/>
      <c r="C44" s="1414">
        <v>0</v>
      </c>
      <c r="D44" s="1411">
        <v>0</v>
      </c>
      <c r="E44" s="1414"/>
      <c r="F44" s="1411"/>
      <c r="G44" s="1414"/>
      <c r="H44" s="1411"/>
      <c r="I44" s="1414"/>
      <c r="J44" s="1411"/>
      <c r="K44" s="1414"/>
      <c r="L44" s="1411"/>
      <c r="M44" s="1414"/>
      <c r="N44" s="1411"/>
      <c r="O44" s="1414"/>
      <c r="P44" s="1411"/>
      <c r="Q44" s="1414"/>
      <c r="R44" s="1411"/>
      <c r="S44" s="1414"/>
      <c r="T44" s="1411"/>
      <c r="U44" s="1414"/>
      <c r="V44" s="1411"/>
      <c r="W44" s="1414"/>
      <c r="X44" s="1411"/>
      <c r="Y44" s="1414"/>
      <c r="Z44" s="1411"/>
      <c r="AA44" s="1414"/>
      <c r="AB44" s="1411"/>
      <c r="AC44" s="1414"/>
      <c r="AD44" s="1411"/>
      <c r="AE44" s="1414"/>
      <c r="AF44" s="1411"/>
      <c r="AG44" s="1414"/>
      <c r="AH44" s="1411"/>
      <c r="AI44" s="1414"/>
      <c r="AJ44" s="1411"/>
      <c r="AK44" s="1414"/>
      <c r="AL44" s="1411"/>
      <c r="AM44" s="1414"/>
      <c r="AN44" s="1411"/>
      <c r="AO44" s="1414"/>
      <c r="AP44" s="1411"/>
      <c r="AQ44" s="1414"/>
      <c r="AR44" s="1411"/>
      <c r="AS44" s="1414"/>
      <c r="AT44" s="1411"/>
      <c r="AU44" s="1414"/>
      <c r="AV44" s="1411"/>
      <c r="AW44" s="1414"/>
      <c r="AX44" s="1411"/>
      <c r="AY44" s="1414"/>
      <c r="AZ44" s="1411"/>
      <c r="BA44" s="1414"/>
      <c r="BB44" s="1411"/>
      <c r="BC44" s="1414"/>
      <c r="BD44" s="1411"/>
      <c r="BE44" s="1414"/>
      <c r="BF44" s="1411"/>
      <c r="BG44" s="1414"/>
      <c r="BH44" s="1411"/>
      <c r="BI44" s="1414"/>
      <c r="BJ44" s="1411"/>
      <c r="BK44" s="1414"/>
      <c r="BL44" s="1411"/>
      <c r="BM44" s="1414"/>
      <c r="BN44" s="1411"/>
      <c r="BO44" s="1414"/>
      <c r="BP44" s="1411"/>
      <c r="BQ44" s="1414"/>
      <c r="BR44" s="1411"/>
      <c r="BS44" s="1414"/>
      <c r="BT44" s="1411"/>
      <c r="BU44" s="1414"/>
      <c r="BV44" s="1411"/>
      <c r="BW44" s="1414"/>
      <c r="BX44" s="1411"/>
      <c r="BY44" s="1414"/>
      <c r="BZ44" s="1411"/>
      <c r="CA44" s="1414"/>
      <c r="CB44" s="1411"/>
      <c r="CC44" s="1414"/>
      <c r="CD44" s="1408"/>
      <c r="CE44" s="848"/>
      <c r="CF44" s="848"/>
      <c r="CG44" s="848"/>
      <c r="CH44" s="848"/>
    </row>
    <row r="45" spans="1:86">
      <c r="A45" s="1415" t="s">
        <v>1395</v>
      </c>
      <c r="B45" s="1411">
        <v>0</v>
      </c>
      <c r="C45" s="1414">
        <v>0</v>
      </c>
      <c r="D45" s="1411">
        <v>0</v>
      </c>
      <c r="E45" s="1414">
        <v>0</v>
      </c>
      <c r="F45" s="1411"/>
      <c r="G45" s="1414"/>
      <c r="H45" s="1411"/>
      <c r="I45" s="1414"/>
      <c r="J45" s="1411"/>
      <c r="K45" s="1414"/>
      <c r="L45" s="1411"/>
      <c r="M45" s="1414"/>
      <c r="N45" s="1411"/>
      <c r="O45" s="1414"/>
      <c r="P45" s="1411"/>
      <c r="Q45" s="1414"/>
      <c r="R45" s="1411"/>
      <c r="S45" s="1414"/>
      <c r="T45" s="1411"/>
      <c r="U45" s="1414"/>
      <c r="V45" s="1411"/>
      <c r="W45" s="1414"/>
      <c r="X45" s="1411"/>
      <c r="Y45" s="1414"/>
      <c r="Z45" s="1411"/>
      <c r="AA45" s="1414"/>
      <c r="AB45" s="1411"/>
      <c r="AC45" s="1414"/>
      <c r="AD45" s="1411"/>
      <c r="AE45" s="1414"/>
      <c r="AF45" s="1411"/>
      <c r="AG45" s="1414"/>
      <c r="AH45" s="1411"/>
      <c r="AI45" s="1414"/>
      <c r="AJ45" s="1411"/>
      <c r="AK45" s="1414"/>
      <c r="AL45" s="1411"/>
      <c r="AM45" s="1414"/>
      <c r="AN45" s="1411"/>
      <c r="AO45" s="1414"/>
      <c r="AP45" s="1411"/>
      <c r="AQ45" s="1414"/>
      <c r="AR45" s="1411"/>
      <c r="AS45" s="1414"/>
      <c r="AT45" s="1411"/>
      <c r="AU45" s="1414"/>
      <c r="AV45" s="1411"/>
      <c r="AW45" s="1414"/>
      <c r="AX45" s="1411"/>
      <c r="AY45" s="1414"/>
      <c r="AZ45" s="1411"/>
      <c r="BA45" s="1414"/>
      <c r="BB45" s="1411"/>
      <c r="BC45" s="1414"/>
      <c r="BD45" s="1411"/>
      <c r="BE45" s="1414"/>
      <c r="BF45" s="1411"/>
      <c r="BG45" s="1414"/>
      <c r="BH45" s="1411"/>
      <c r="BI45" s="1414"/>
      <c r="BJ45" s="1411"/>
      <c r="BK45" s="1414"/>
      <c r="BL45" s="1411"/>
      <c r="BM45" s="1414"/>
      <c r="BN45" s="1411"/>
      <c r="BO45" s="1414"/>
      <c r="BP45" s="1411"/>
      <c r="BQ45" s="1414"/>
      <c r="BR45" s="1411"/>
      <c r="BS45" s="1414"/>
      <c r="BT45" s="1411"/>
      <c r="BU45" s="1414"/>
      <c r="BV45" s="1411"/>
      <c r="BW45" s="1414"/>
      <c r="BX45" s="1411"/>
      <c r="BY45" s="1414"/>
      <c r="BZ45" s="1411"/>
      <c r="CA45" s="1414"/>
      <c r="CB45" s="1411"/>
      <c r="CC45" s="1414"/>
      <c r="CD45" s="1408"/>
      <c r="CE45" s="848"/>
      <c r="CF45" s="848"/>
      <c r="CG45" s="848"/>
      <c r="CH45" s="848"/>
    </row>
    <row r="46" spans="1:86">
      <c r="A46" s="1406" t="s">
        <v>1396</v>
      </c>
      <c r="B46" s="1411"/>
      <c r="C46" s="1414">
        <v>0</v>
      </c>
      <c r="D46" s="1411">
        <v>0</v>
      </c>
      <c r="E46" s="1414"/>
      <c r="F46" s="1411"/>
      <c r="G46" s="1414"/>
      <c r="H46" s="1411"/>
      <c r="I46" s="1414"/>
      <c r="J46" s="1411"/>
      <c r="K46" s="1414"/>
      <c r="L46" s="1411"/>
      <c r="M46" s="1414"/>
      <c r="N46" s="1411"/>
      <c r="O46" s="1414"/>
      <c r="P46" s="1411"/>
      <c r="Q46" s="1414"/>
      <c r="R46" s="1411"/>
      <c r="S46" s="1414"/>
      <c r="T46" s="1411"/>
      <c r="U46" s="1414"/>
      <c r="V46" s="1411"/>
      <c r="W46" s="1414"/>
      <c r="X46" s="1411"/>
      <c r="Y46" s="1414"/>
      <c r="Z46" s="1411"/>
      <c r="AA46" s="1414"/>
      <c r="AB46" s="1411"/>
      <c r="AC46" s="1414"/>
      <c r="AD46" s="1411"/>
      <c r="AE46" s="1414"/>
      <c r="AF46" s="1411"/>
      <c r="AG46" s="1414"/>
      <c r="AH46" s="1411"/>
      <c r="AI46" s="1414"/>
      <c r="AJ46" s="1411"/>
      <c r="AK46" s="1414"/>
      <c r="AL46" s="1411"/>
      <c r="AM46" s="1414"/>
      <c r="AN46" s="1411"/>
      <c r="AO46" s="1414"/>
      <c r="AP46" s="1411"/>
      <c r="AQ46" s="1414"/>
      <c r="AR46" s="1411"/>
      <c r="AS46" s="1414"/>
      <c r="AT46" s="1411"/>
      <c r="AU46" s="1414"/>
      <c r="AV46" s="1411"/>
      <c r="AW46" s="1414"/>
      <c r="AX46" s="1411"/>
      <c r="AY46" s="1414"/>
      <c r="AZ46" s="1411"/>
      <c r="BA46" s="1414"/>
      <c r="BB46" s="1411"/>
      <c r="BC46" s="1414"/>
      <c r="BD46" s="1411"/>
      <c r="BE46" s="1414"/>
      <c r="BF46" s="1411"/>
      <c r="BG46" s="1414"/>
      <c r="BH46" s="1411"/>
      <c r="BI46" s="1414"/>
      <c r="BJ46" s="1411"/>
      <c r="BK46" s="1414"/>
      <c r="BL46" s="1411"/>
      <c r="BM46" s="1414"/>
      <c r="BN46" s="1411"/>
      <c r="BO46" s="1414"/>
      <c r="BP46" s="1411"/>
      <c r="BQ46" s="1414"/>
      <c r="BR46" s="1411"/>
      <c r="BS46" s="1414"/>
      <c r="BT46" s="1411"/>
      <c r="BU46" s="1414"/>
      <c r="BV46" s="1411"/>
      <c r="BW46" s="1414"/>
      <c r="BX46" s="1411"/>
      <c r="BY46" s="1414"/>
      <c r="BZ46" s="1411"/>
      <c r="CA46" s="1414"/>
      <c r="CB46" s="1411"/>
      <c r="CC46" s="1414"/>
      <c r="CD46" s="1408"/>
      <c r="CE46" s="848"/>
      <c r="CF46" s="848"/>
      <c r="CG46" s="848"/>
      <c r="CH46" s="848"/>
    </row>
    <row r="47" spans="1:86">
      <c r="A47" s="1415" t="s">
        <v>1395</v>
      </c>
      <c r="B47" s="1411">
        <v>0</v>
      </c>
      <c r="C47" s="1414">
        <v>0</v>
      </c>
      <c r="D47" s="1411">
        <v>0</v>
      </c>
      <c r="E47" s="1414">
        <v>0</v>
      </c>
      <c r="F47" s="1411"/>
      <c r="G47" s="1414"/>
      <c r="H47" s="1411"/>
      <c r="I47" s="1414"/>
      <c r="J47" s="1411"/>
      <c r="K47" s="1414"/>
      <c r="L47" s="1411"/>
      <c r="M47" s="1414"/>
      <c r="N47" s="1411"/>
      <c r="O47" s="1414"/>
      <c r="P47" s="1411"/>
      <c r="Q47" s="1414"/>
      <c r="R47" s="1411"/>
      <c r="S47" s="1414"/>
      <c r="T47" s="1411"/>
      <c r="U47" s="1414"/>
      <c r="V47" s="1411"/>
      <c r="W47" s="1414"/>
      <c r="X47" s="1411"/>
      <c r="Y47" s="1414"/>
      <c r="Z47" s="1411"/>
      <c r="AA47" s="1414"/>
      <c r="AB47" s="1411"/>
      <c r="AC47" s="1414"/>
      <c r="AD47" s="1411"/>
      <c r="AE47" s="1414"/>
      <c r="AF47" s="1411"/>
      <c r="AG47" s="1414"/>
      <c r="AH47" s="1411"/>
      <c r="AI47" s="1414"/>
      <c r="AJ47" s="1411"/>
      <c r="AK47" s="1414"/>
      <c r="AL47" s="1411"/>
      <c r="AM47" s="1414"/>
      <c r="AN47" s="1411"/>
      <c r="AO47" s="1414"/>
      <c r="AP47" s="1411"/>
      <c r="AQ47" s="1414"/>
      <c r="AR47" s="1411"/>
      <c r="AS47" s="1414"/>
      <c r="AT47" s="1411"/>
      <c r="AU47" s="1414"/>
      <c r="AV47" s="1411"/>
      <c r="AW47" s="1414"/>
      <c r="AX47" s="1411"/>
      <c r="AY47" s="1414"/>
      <c r="AZ47" s="1411"/>
      <c r="BA47" s="1414"/>
      <c r="BB47" s="1411"/>
      <c r="BC47" s="1414"/>
      <c r="BD47" s="1411"/>
      <c r="BE47" s="1414"/>
      <c r="BF47" s="1411"/>
      <c r="BG47" s="1414"/>
      <c r="BH47" s="1411"/>
      <c r="BI47" s="1414"/>
      <c r="BJ47" s="1411"/>
      <c r="BK47" s="1414"/>
      <c r="BL47" s="1411"/>
      <c r="BM47" s="1414"/>
      <c r="BN47" s="1411"/>
      <c r="BO47" s="1414"/>
      <c r="BP47" s="1411"/>
      <c r="BQ47" s="1414"/>
      <c r="BR47" s="1411"/>
      <c r="BS47" s="1414"/>
      <c r="BT47" s="1411"/>
      <c r="BU47" s="1414"/>
      <c r="BV47" s="1411"/>
      <c r="BW47" s="1414"/>
      <c r="BX47" s="1411"/>
      <c r="BY47" s="1414"/>
      <c r="BZ47" s="1411"/>
      <c r="CA47" s="1414"/>
      <c r="CB47" s="1411"/>
      <c r="CC47" s="1414"/>
      <c r="CD47" s="1408"/>
      <c r="CE47" s="848"/>
      <c r="CF47" s="848"/>
      <c r="CG47" s="848"/>
      <c r="CH47" s="848"/>
    </row>
    <row r="48" spans="1:86">
      <c r="A48" s="1406" t="s">
        <v>1396</v>
      </c>
      <c r="B48" s="1411"/>
      <c r="C48" s="1414">
        <v>0</v>
      </c>
      <c r="D48" s="1411">
        <v>0</v>
      </c>
      <c r="E48" s="1414"/>
      <c r="F48" s="1411"/>
      <c r="G48" s="1414"/>
      <c r="H48" s="1411"/>
      <c r="I48" s="1414"/>
      <c r="J48" s="1411"/>
      <c r="K48" s="1414"/>
      <c r="L48" s="1411"/>
      <c r="M48" s="1414"/>
      <c r="N48" s="1411"/>
      <c r="O48" s="1414"/>
      <c r="P48" s="1411"/>
      <c r="Q48" s="1414"/>
      <c r="R48" s="1411"/>
      <c r="S48" s="1414"/>
      <c r="T48" s="1411"/>
      <c r="U48" s="1414"/>
      <c r="V48" s="1411"/>
      <c r="W48" s="1414"/>
      <c r="X48" s="1411"/>
      <c r="Y48" s="1414"/>
      <c r="Z48" s="1411"/>
      <c r="AA48" s="1414"/>
      <c r="AB48" s="1411"/>
      <c r="AC48" s="1414"/>
      <c r="AD48" s="1411"/>
      <c r="AE48" s="1414"/>
      <c r="AF48" s="1411"/>
      <c r="AG48" s="1414"/>
      <c r="AH48" s="1411"/>
      <c r="AI48" s="1414"/>
      <c r="AJ48" s="1411"/>
      <c r="AK48" s="1414"/>
      <c r="AL48" s="1411"/>
      <c r="AM48" s="1414"/>
      <c r="AN48" s="1411"/>
      <c r="AO48" s="1414"/>
      <c r="AP48" s="1411"/>
      <c r="AQ48" s="1414"/>
      <c r="AR48" s="1411"/>
      <c r="AS48" s="1414"/>
      <c r="AT48" s="1411"/>
      <c r="AU48" s="1414"/>
      <c r="AV48" s="1411"/>
      <c r="AW48" s="1414"/>
      <c r="AX48" s="1411"/>
      <c r="AY48" s="1414"/>
      <c r="AZ48" s="1411"/>
      <c r="BA48" s="1414"/>
      <c r="BB48" s="1411"/>
      <c r="BC48" s="1414"/>
      <c r="BD48" s="1411"/>
      <c r="BE48" s="1414"/>
      <c r="BF48" s="1411"/>
      <c r="BG48" s="1414"/>
      <c r="BH48" s="1411"/>
      <c r="BI48" s="1414"/>
      <c r="BJ48" s="1411"/>
      <c r="BK48" s="1414"/>
      <c r="BL48" s="1411"/>
      <c r="BM48" s="1414"/>
      <c r="BN48" s="1411"/>
      <c r="BO48" s="1414"/>
      <c r="BP48" s="1411"/>
      <c r="BQ48" s="1414"/>
      <c r="BR48" s="1411"/>
      <c r="BS48" s="1414"/>
      <c r="BT48" s="1411"/>
      <c r="BU48" s="1414"/>
      <c r="BV48" s="1411"/>
      <c r="BW48" s="1414"/>
      <c r="BX48" s="1411"/>
      <c r="BY48" s="1414"/>
      <c r="BZ48" s="1411"/>
      <c r="CA48" s="1414"/>
      <c r="CB48" s="1411"/>
      <c r="CC48" s="1414"/>
      <c r="CD48" s="1408"/>
      <c r="CE48" s="848"/>
      <c r="CF48" s="848"/>
      <c r="CG48" s="848"/>
      <c r="CH48" s="848"/>
    </row>
    <row r="49" spans="1:86">
      <c r="A49" s="1415" t="s">
        <v>1395</v>
      </c>
      <c r="B49" s="1411">
        <v>0</v>
      </c>
      <c r="C49" s="1414">
        <v>0</v>
      </c>
      <c r="D49" s="1411">
        <v>0</v>
      </c>
      <c r="E49" s="1414">
        <v>0</v>
      </c>
      <c r="F49" s="1411"/>
      <c r="G49" s="1414"/>
      <c r="H49" s="1411"/>
      <c r="I49" s="1414"/>
      <c r="J49" s="1411"/>
      <c r="K49" s="1414"/>
      <c r="L49" s="1411"/>
      <c r="M49" s="1414"/>
      <c r="N49" s="1411"/>
      <c r="O49" s="1414"/>
      <c r="P49" s="1411"/>
      <c r="Q49" s="1414"/>
      <c r="R49" s="1411"/>
      <c r="S49" s="1414"/>
      <c r="T49" s="1411"/>
      <c r="U49" s="1414"/>
      <c r="V49" s="1411"/>
      <c r="W49" s="1414"/>
      <c r="X49" s="1411"/>
      <c r="Y49" s="1414"/>
      <c r="Z49" s="1411"/>
      <c r="AA49" s="1414"/>
      <c r="AB49" s="1411"/>
      <c r="AC49" s="1414"/>
      <c r="AD49" s="1411"/>
      <c r="AE49" s="1414"/>
      <c r="AF49" s="1411"/>
      <c r="AG49" s="1414"/>
      <c r="AH49" s="1411"/>
      <c r="AI49" s="1414"/>
      <c r="AJ49" s="1411"/>
      <c r="AK49" s="1414"/>
      <c r="AL49" s="1411"/>
      <c r="AM49" s="1414"/>
      <c r="AN49" s="1411"/>
      <c r="AO49" s="1414"/>
      <c r="AP49" s="1411"/>
      <c r="AQ49" s="1414"/>
      <c r="AR49" s="1411"/>
      <c r="AS49" s="1414"/>
      <c r="AT49" s="1411"/>
      <c r="AU49" s="1414"/>
      <c r="AV49" s="1411"/>
      <c r="AW49" s="1414"/>
      <c r="AX49" s="1411"/>
      <c r="AY49" s="1414"/>
      <c r="AZ49" s="1411"/>
      <c r="BA49" s="1414"/>
      <c r="BB49" s="1411"/>
      <c r="BC49" s="1414"/>
      <c r="BD49" s="1411"/>
      <c r="BE49" s="1414"/>
      <c r="BF49" s="1411"/>
      <c r="BG49" s="1414"/>
      <c r="BH49" s="1411"/>
      <c r="BI49" s="1414"/>
      <c r="BJ49" s="1411"/>
      <c r="BK49" s="1414"/>
      <c r="BL49" s="1411"/>
      <c r="BM49" s="1414"/>
      <c r="BN49" s="1411"/>
      <c r="BO49" s="1414"/>
      <c r="BP49" s="1411"/>
      <c r="BQ49" s="1414"/>
      <c r="BR49" s="1411"/>
      <c r="BS49" s="1414"/>
      <c r="BT49" s="1411"/>
      <c r="BU49" s="1414"/>
      <c r="BV49" s="1411"/>
      <c r="BW49" s="1414"/>
      <c r="BX49" s="1411"/>
      <c r="BY49" s="1414"/>
      <c r="BZ49" s="1411"/>
      <c r="CA49" s="1414"/>
      <c r="CB49" s="1411"/>
      <c r="CC49" s="1414"/>
      <c r="CD49" s="1408"/>
      <c r="CE49" s="848"/>
      <c r="CF49" s="848"/>
      <c r="CG49" s="848"/>
      <c r="CH49" s="848"/>
    </row>
    <row r="50" spans="1:86">
      <c r="A50" s="1406" t="s">
        <v>1396</v>
      </c>
      <c r="B50" s="1411"/>
      <c r="C50" s="1414">
        <v>0</v>
      </c>
      <c r="D50" s="1411">
        <v>0</v>
      </c>
      <c r="E50" s="1414"/>
      <c r="F50" s="1411"/>
      <c r="G50" s="1414"/>
      <c r="H50" s="1411"/>
      <c r="I50" s="1414"/>
      <c r="J50" s="1411"/>
      <c r="K50" s="1414"/>
      <c r="L50" s="1411"/>
      <c r="M50" s="1414"/>
      <c r="N50" s="1411"/>
      <c r="O50" s="1414"/>
      <c r="P50" s="1411"/>
      <c r="Q50" s="1414"/>
      <c r="R50" s="1411"/>
      <c r="S50" s="1414"/>
      <c r="T50" s="1411"/>
      <c r="U50" s="1414"/>
      <c r="V50" s="1411"/>
      <c r="W50" s="1414"/>
      <c r="X50" s="1411"/>
      <c r="Y50" s="1414"/>
      <c r="Z50" s="1411"/>
      <c r="AA50" s="1414"/>
      <c r="AB50" s="1411"/>
      <c r="AC50" s="1414"/>
      <c r="AD50" s="1411"/>
      <c r="AE50" s="1414"/>
      <c r="AF50" s="1411"/>
      <c r="AG50" s="1414"/>
      <c r="AH50" s="1411"/>
      <c r="AI50" s="1414"/>
      <c r="AJ50" s="1411"/>
      <c r="AK50" s="1414"/>
      <c r="AL50" s="1411"/>
      <c r="AM50" s="1414"/>
      <c r="AN50" s="1411"/>
      <c r="AO50" s="1414"/>
      <c r="AP50" s="1411"/>
      <c r="AQ50" s="1414"/>
      <c r="AR50" s="1411"/>
      <c r="AS50" s="1414"/>
      <c r="AT50" s="1411"/>
      <c r="AU50" s="1414"/>
      <c r="AV50" s="1411"/>
      <c r="AW50" s="1414"/>
      <c r="AX50" s="1411"/>
      <c r="AY50" s="1414"/>
      <c r="AZ50" s="1411"/>
      <c r="BA50" s="1414"/>
      <c r="BB50" s="1411"/>
      <c r="BC50" s="1414"/>
      <c r="BD50" s="1411"/>
      <c r="BE50" s="1414"/>
      <c r="BF50" s="1411"/>
      <c r="BG50" s="1414"/>
      <c r="BH50" s="1411"/>
      <c r="BI50" s="1414"/>
      <c r="BJ50" s="1411"/>
      <c r="BK50" s="1414"/>
      <c r="BL50" s="1411"/>
      <c r="BM50" s="1414"/>
      <c r="BN50" s="1411"/>
      <c r="BO50" s="1414"/>
      <c r="BP50" s="1411"/>
      <c r="BQ50" s="1414"/>
      <c r="BR50" s="1411"/>
      <c r="BS50" s="1414"/>
      <c r="BT50" s="1411"/>
      <c r="BU50" s="1414"/>
      <c r="BV50" s="1411"/>
      <c r="BW50" s="1414"/>
      <c r="BX50" s="1411"/>
      <c r="BY50" s="1414"/>
      <c r="BZ50" s="1411"/>
      <c r="CA50" s="1414"/>
      <c r="CB50" s="1411"/>
      <c r="CC50" s="1414"/>
      <c r="CD50" s="848"/>
      <c r="CE50" s="848"/>
      <c r="CF50" s="848"/>
      <c r="CG50" s="848"/>
      <c r="CH50" s="848"/>
    </row>
    <row r="51" spans="1:86">
      <c r="A51" s="1415" t="s">
        <v>1395</v>
      </c>
      <c r="B51" s="1411">
        <v>0</v>
      </c>
      <c r="C51" s="1414">
        <v>0</v>
      </c>
      <c r="D51" s="1411">
        <v>0</v>
      </c>
      <c r="E51" s="1414">
        <v>0</v>
      </c>
      <c r="F51" s="1411"/>
      <c r="G51" s="1414"/>
      <c r="H51" s="1411"/>
      <c r="I51" s="1414"/>
      <c r="J51" s="1411"/>
      <c r="K51" s="1414"/>
      <c r="L51" s="1411"/>
      <c r="M51" s="1414"/>
      <c r="N51" s="1411"/>
      <c r="O51" s="1414"/>
      <c r="P51" s="1411"/>
      <c r="Q51" s="1414"/>
      <c r="R51" s="1411"/>
      <c r="S51" s="1414"/>
      <c r="T51" s="1411"/>
      <c r="U51" s="1414"/>
      <c r="V51" s="1411"/>
      <c r="W51" s="1414"/>
      <c r="X51" s="1411"/>
      <c r="Y51" s="1414"/>
      <c r="Z51" s="1411"/>
      <c r="AA51" s="1414"/>
      <c r="AB51" s="1411"/>
      <c r="AC51" s="1414"/>
      <c r="AD51" s="1411"/>
      <c r="AE51" s="1414"/>
      <c r="AF51" s="1411"/>
      <c r="AG51" s="1414"/>
      <c r="AH51" s="1411"/>
      <c r="AI51" s="1414"/>
      <c r="AJ51" s="1411"/>
      <c r="AK51" s="1414"/>
      <c r="AL51" s="1411"/>
      <c r="AM51" s="1414"/>
      <c r="AN51" s="1411"/>
      <c r="AO51" s="1414"/>
      <c r="AP51" s="1411"/>
      <c r="AQ51" s="1414"/>
      <c r="AR51" s="1411"/>
      <c r="AS51" s="1414"/>
      <c r="AT51" s="1411"/>
      <c r="AU51" s="1414"/>
      <c r="AV51" s="1411"/>
      <c r="AW51" s="1414"/>
      <c r="AX51" s="1411"/>
      <c r="AY51" s="1414"/>
      <c r="AZ51" s="1411"/>
      <c r="BA51" s="1414"/>
      <c r="BB51" s="1411"/>
      <c r="BC51" s="1414"/>
      <c r="BD51" s="1411"/>
      <c r="BE51" s="1414"/>
      <c r="BF51" s="1411"/>
      <c r="BG51" s="1414"/>
      <c r="BH51" s="1411"/>
      <c r="BI51" s="1414"/>
      <c r="BJ51" s="1411"/>
      <c r="BK51" s="1414"/>
      <c r="BL51" s="1411"/>
      <c r="BM51" s="1414"/>
      <c r="BN51" s="1411"/>
      <c r="BO51" s="1414"/>
      <c r="BP51" s="1411"/>
      <c r="BQ51" s="1414"/>
      <c r="BR51" s="1411"/>
      <c r="BS51" s="1414"/>
      <c r="BT51" s="1411"/>
      <c r="BU51" s="1414"/>
      <c r="BV51" s="1411"/>
      <c r="BW51" s="1414"/>
      <c r="BX51" s="1411"/>
      <c r="BY51" s="1414"/>
      <c r="BZ51" s="1411"/>
      <c r="CA51" s="1414"/>
      <c r="CB51" s="1411"/>
      <c r="CC51" s="1414"/>
      <c r="CD51" s="848"/>
      <c r="CE51" s="848"/>
      <c r="CF51" s="848"/>
      <c r="CG51" s="848"/>
      <c r="CH51" s="848"/>
    </row>
    <row r="52" spans="1:86">
      <c r="A52" s="1406" t="s">
        <v>1396</v>
      </c>
      <c r="B52" s="1411"/>
      <c r="C52" s="1414">
        <v>0</v>
      </c>
      <c r="D52" s="1411">
        <v>0</v>
      </c>
      <c r="E52" s="1414"/>
      <c r="F52" s="1411"/>
      <c r="G52" s="1414"/>
      <c r="H52" s="1411"/>
      <c r="I52" s="1414"/>
      <c r="J52" s="1411"/>
      <c r="K52" s="1414"/>
      <c r="L52" s="1411"/>
      <c r="M52" s="1414"/>
      <c r="N52" s="1411"/>
      <c r="O52" s="1414"/>
      <c r="P52" s="1411"/>
      <c r="Q52" s="1414"/>
      <c r="R52" s="1411"/>
      <c r="S52" s="1414"/>
      <c r="T52" s="1411"/>
      <c r="U52" s="1414"/>
      <c r="V52" s="1411"/>
      <c r="W52" s="1414"/>
      <c r="X52" s="1411"/>
      <c r="Y52" s="1414"/>
      <c r="Z52" s="1411"/>
      <c r="AA52" s="1414"/>
      <c r="AB52" s="1411"/>
      <c r="AC52" s="1414"/>
      <c r="AD52" s="1411"/>
      <c r="AE52" s="1414"/>
      <c r="AF52" s="1411"/>
      <c r="AG52" s="1414"/>
      <c r="AH52" s="1411"/>
      <c r="AI52" s="1414"/>
      <c r="AJ52" s="1411"/>
      <c r="AK52" s="1414"/>
      <c r="AL52" s="1411"/>
      <c r="AM52" s="1414"/>
      <c r="AN52" s="1411"/>
      <c r="AO52" s="1414"/>
      <c r="AP52" s="1411"/>
      <c r="AQ52" s="1414"/>
      <c r="AR52" s="1411"/>
      <c r="AS52" s="1414"/>
      <c r="AT52" s="1411"/>
      <c r="AU52" s="1414"/>
      <c r="AV52" s="1411"/>
      <c r="AW52" s="1414"/>
      <c r="AX52" s="1411"/>
      <c r="AY52" s="1414"/>
      <c r="AZ52" s="1411"/>
      <c r="BA52" s="1414"/>
      <c r="BB52" s="1411"/>
      <c r="BC52" s="1414"/>
      <c r="BD52" s="1411"/>
      <c r="BE52" s="1414"/>
      <c r="BF52" s="1411"/>
      <c r="BG52" s="1414"/>
      <c r="BH52" s="1411"/>
      <c r="BI52" s="1414"/>
      <c r="BJ52" s="1411"/>
      <c r="BK52" s="1414"/>
      <c r="BL52" s="1411"/>
      <c r="BM52" s="1414"/>
      <c r="BN52" s="1411"/>
      <c r="BO52" s="1414"/>
      <c r="BP52" s="1411"/>
      <c r="BQ52" s="1414"/>
      <c r="BR52" s="1411"/>
      <c r="BS52" s="1414"/>
      <c r="BT52" s="1411"/>
      <c r="BU52" s="1414"/>
      <c r="BV52" s="1411"/>
      <c r="BW52" s="1414"/>
      <c r="BX52" s="1411"/>
      <c r="BY52" s="1414"/>
      <c r="BZ52" s="1411"/>
      <c r="CA52" s="1414"/>
      <c r="CB52" s="1411"/>
      <c r="CC52" s="1414"/>
      <c r="CD52" s="848"/>
      <c r="CE52" s="848"/>
      <c r="CF52" s="848"/>
      <c r="CG52" s="848"/>
      <c r="CH52" s="848"/>
    </row>
    <row r="53" spans="1:86">
      <c r="A53" s="1415" t="s">
        <v>1395</v>
      </c>
      <c r="B53" s="1411">
        <v>0</v>
      </c>
      <c r="C53" s="1414">
        <v>0</v>
      </c>
      <c r="D53" s="1411">
        <v>0</v>
      </c>
      <c r="E53" s="1414">
        <v>0</v>
      </c>
      <c r="F53" s="1411"/>
      <c r="G53" s="1414"/>
      <c r="H53" s="1411"/>
      <c r="I53" s="1414"/>
      <c r="J53" s="1411"/>
      <c r="K53" s="1414"/>
      <c r="L53" s="1411"/>
      <c r="M53" s="1414"/>
      <c r="N53" s="1411"/>
      <c r="O53" s="1414"/>
      <c r="P53" s="1411"/>
      <c r="Q53" s="1414"/>
      <c r="R53" s="1411"/>
      <c r="S53" s="1414"/>
      <c r="T53" s="1411"/>
      <c r="U53" s="1414"/>
      <c r="V53" s="1411"/>
      <c r="W53" s="1414"/>
      <c r="X53" s="1411"/>
      <c r="Y53" s="1414"/>
      <c r="Z53" s="1411"/>
      <c r="AA53" s="1414"/>
      <c r="AB53" s="1411"/>
      <c r="AC53" s="1414"/>
      <c r="AD53" s="1411"/>
      <c r="AE53" s="1414"/>
      <c r="AF53" s="1411"/>
      <c r="AG53" s="1414"/>
      <c r="AH53" s="1411"/>
      <c r="AI53" s="1414"/>
      <c r="AJ53" s="1411"/>
      <c r="AK53" s="1414"/>
      <c r="AL53" s="1411"/>
      <c r="AM53" s="1414"/>
      <c r="AN53" s="1411"/>
      <c r="AO53" s="1414"/>
      <c r="AP53" s="1411"/>
      <c r="AQ53" s="1414"/>
      <c r="AR53" s="1411"/>
      <c r="AS53" s="1414"/>
      <c r="AT53" s="1411"/>
      <c r="AU53" s="1414"/>
      <c r="AV53" s="1411"/>
      <c r="AW53" s="1414"/>
      <c r="AX53" s="1411"/>
      <c r="AY53" s="1414"/>
      <c r="AZ53" s="1411"/>
      <c r="BA53" s="1414"/>
      <c r="BB53" s="1411"/>
      <c r="BC53" s="1414"/>
      <c r="BD53" s="1411"/>
      <c r="BE53" s="1414"/>
      <c r="BF53" s="1411"/>
      <c r="BG53" s="1414"/>
      <c r="BH53" s="1411"/>
      <c r="BI53" s="1414"/>
      <c r="BJ53" s="1411"/>
      <c r="BK53" s="1414"/>
      <c r="BL53" s="1411"/>
      <c r="BM53" s="1414"/>
      <c r="BN53" s="1411"/>
      <c r="BO53" s="1414"/>
      <c r="BP53" s="1411"/>
      <c r="BQ53" s="1414"/>
      <c r="BR53" s="1411"/>
      <c r="BS53" s="1414"/>
      <c r="BT53" s="1411"/>
      <c r="BU53" s="1414"/>
      <c r="BV53" s="1411"/>
      <c r="BW53" s="1414"/>
      <c r="BX53" s="1411"/>
      <c r="BY53" s="1414"/>
      <c r="BZ53" s="1411"/>
      <c r="CA53" s="1414"/>
      <c r="CB53" s="1411"/>
      <c r="CC53" s="1414"/>
      <c r="CD53" s="848"/>
      <c r="CE53" s="848"/>
      <c r="CF53" s="848"/>
      <c r="CG53" s="848"/>
      <c r="CH53" s="848"/>
    </row>
    <row r="54" spans="1:86">
      <c r="A54" s="1406" t="s">
        <v>1396</v>
      </c>
      <c r="B54" s="1411"/>
      <c r="C54" s="1414">
        <v>0</v>
      </c>
      <c r="D54" s="1411">
        <v>0</v>
      </c>
      <c r="E54" s="1414"/>
      <c r="F54" s="1411"/>
      <c r="G54" s="1414"/>
      <c r="H54" s="1411"/>
      <c r="I54" s="1414"/>
      <c r="J54" s="1411"/>
      <c r="K54" s="1414"/>
      <c r="L54" s="1411"/>
      <c r="M54" s="1414"/>
      <c r="N54" s="1411"/>
      <c r="O54" s="1414"/>
      <c r="P54" s="1411"/>
      <c r="Q54" s="1414"/>
      <c r="R54" s="1411"/>
      <c r="S54" s="1414"/>
      <c r="T54" s="1411"/>
      <c r="U54" s="1414"/>
      <c r="V54" s="1411"/>
      <c r="W54" s="1414"/>
      <c r="X54" s="1411"/>
      <c r="Y54" s="1414"/>
      <c r="Z54" s="1411"/>
      <c r="AA54" s="1414"/>
      <c r="AB54" s="1411"/>
      <c r="AC54" s="1414"/>
      <c r="AD54" s="1411"/>
      <c r="AE54" s="1414"/>
      <c r="AF54" s="1411"/>
      <c r="AG54" s="1414"/>
      <c r="AH54" s="1411"/>
      <c r="AI54" s="1414"/>
      <c r="AJ54" s="1411"/>
      <c r="AK54" s="1414"/>
      <c r="AL54" s="1411"/>
      <c r="AM54" s="1414"/>
      <c r="AN54" s="1411"/>
      <c r="AO54" s="1414"/>
      <c r="AP54" s="1411"/>
      <c r="AQ54" s="1414"/>
      <c r="AR54" s="1411"/>
      <c r="AS54" s="1414"/>
      <c r="AT54" s="1411"/>
      <c r="AU54" s="1414"/>
      <c r="AV54" s="1411"/>
      <c r="AW54" s="1414"/>
      <c r="AX54" s="1411"/>
      <c r="AY54" s="1414"/>
      <c r="AZ54" s="1411"/>
      <c r="BA54" s="1414"/>
      <c r="BB54" s="1411"/>
      <c r="BC54" s="1414"/>
      <c r="BD54" s="1411"/>
      <c r="BE54" s="1414"/>
      <c r="BF54" s="1411"/>
      <c r="BG54" s="1414"/>
      <c r="BH54" s="1411"/>
      <c r="BI54" s="1414"/>
      <c r="BJ54" s="1411"/>
      <c r="BK54" s="1414"/>
      <c r="BL54" s="1411"/>
      <c r="BM54" s="1414"/>
      <c r="BN54" s="1411"/>
      <c r="BO54" s="1414"/>
      <c r="BP54" s="1411"/>
      <c r="BQ54" s="1414"/>
      <c r="BR54" s="1411"/>
      <c r="BS54" s="1414"/>
      <c r="BT54" s="1411"/>
      <c r="BU54" s="1414"/>
      <c r="BV54" s="1411"/>
      <c r="BW54" s="1414"/>
      <c r="BX54" s="1411"/>
      <c r="BY54" s="1414"/>
      <c r="BZ54" s="1411"/>
      <c r="CA54" s="1414"/>
      <c r="CB54" s="1411"/>
      <c r="CC54" s="1414"/>
      <c r="CD54" s="848"/>
      <c r="CE54" s="848"/>
      <c r="CF54" s="848"/>
      <c r="CG54" s="848"/>
      <c r="CH54" s="848"/>
    </row>
    <row r="55" spans="1:86">
      <c r="A55" s="1415" t="s">
        <v>1395</v>
      </c>
      <c r="B55" s="1411">
        <v>0</v>
      </c>
      <c r="C55" s="1414">
        <v>0</v>
      </c>
      <c r="D55" s="1411">
        <v>0</v>
      </c>
      <c r="E55" s="1414">
        <v>0</v>
      </c>
      <c r="F55" s="1411"/>
      <c r="G55" s="1414"/>
      <c r="H55" s="1411"/>
      <c r="I55" s="1414"/>
      <c r="J55" s="1411"/>
      <c r="K55" s="1414"/>
      <c r="L55" s="1411"/>
      <c r="M55" s="1414"/>
      <c r="N55" s="1411"/>
      <c r="O55" s="1414"/>
      <c r="P55" s="1411"/>
      <c r="Q55" s="1414"/>
      <c r="R55" s="1411"/>
      <c r="S55" s="1414"/>
      <c r="T55" s="1411"/>
      <c r="U55" s="1414"/>
      <c r="V55" s="1411"/>
      <c r="W55" s="1414"/>
      <c r="X55" s="1411"/>
      <c r="Y55" s="1414"/>
      <c r="Z55" s="1411"/>
      <c r="AA55" s="1414"/>
      <c r="AB55" s="1411"/>
      <c r="AC55" s="1414"/>
      <c r="AD55" s="1411"/>
      <c r="AE55" s="1414"/>
      <c r="AF55" s="1411"/>
      <c r="AG55" s="1414"/>
      <c r="AH55" s="1411"/>
      <c r="AI55" s="1414"/>
      <c r="AJ55" s="1411"/>
      <c r="AK55" s="1414"/>
      <c r="AL55" s="1411"/>
      <c r="AM55" s="1414"/>
      <c r="AN55" s="1411"/>
      <c r="AO55" s="1414"/>
      <c r="AP55" s="1411"/>
      <c r="AQ55" s="1414"/>
      <c r="AR55" s="1411"/>
      <c r="AS55" s="1414"/>
      <c r="AT55" s="1411"/>
      <c r="AU55" s="1414"/>
      <c r="AV55" s="1411"/>
      <c r="AW55" s="1414"/>
      <c r="AX55" s="1411"/>
      <c r="AY55" s="1414"/>
      <c r="AZ55" s="1411"/>
      <c r="BA55" s="1414"/>
      <c r="BB55" s="1411"/>
      <c r="BC55" s="1414"/>
      <c r="BD55" s="1411"/>
      <c r="BE55" s="1414"/>
      <c r="BF55" s="1411"/>
      <c r="BG55" s="1414"/>
      <c r="BH55" s="1411"/>
      <c r="BI55" s="1414"/>
      <c r="BJ55" s="1411"/>
      <c r="BK55" s="1414"/>
      <c r="BL55" s="1411"/>
      <c r="BM55" s="1414"/>
      <c r="BN55" s="1411"/>
      <c r="BO55" s="1414"/>
      <c r="BP55" s="1411"/>
      <c r="BQ55" s="1414"/>
      <c r="BR55" s="1411"/>
      <c r="BS55" s="1414"/>
      <c r="BT55" s="1411"/>
      <c r="BU55" s="1414"/>
      <c r="BV55" s="1411"/>
      <c r="BW55" s="1414"/>
      <c r="BX55" s="1411"/>
      <c r="BY55" s="1414"/>
      <c r="BZ55" s="1411"/>
      <c r="CA55" s="1414"/>
      <c r="CB55" s="1411"/>
      <c r="CC55" s="1414"/>
      <c r="CD55" s="848"/>
      <c r="CE55" s="848"/>
      <c r="CF55" s="848"/>
      <c r="CG55" s="848"/>
      <c r="CH55" s="848"/>
    </row>
    <row r="56" spans="1:86" ht="18" customHeight="1">
      <c r="A56" s="1369" t="s">
        <v>835</v>
      </c>
      <c r="B56" s="1370">
        <f>SUM(B33:B55)</f>
        <v>0</v>
      </c>
      <c r="C56" s="1371">
        <f t="shared" ref="C56:BN56" si="0">SUM(C33:C55)</f>
        <v>98.098593749999992</v>
      </c>
      <c r="D56" s="1370">
        <f t="shared" si="0"/>
        <v>-98.098593749999992</v>
      </c>
      <c r="E56" s="1371">
        <f t="shared" si="0"/>
        <v>0</v>
      </c>
      <c r="F56" s="1370">
        <f t="shared" si="0"/>
        <v>0</v>
      </c>
      <c r="G56" s="1371">
        <f t="shared" si="0"/>
        <v>0</v>
      </c>
      <c r="H56" s="1370">
        <f t="shared" si="0"/>
        <v>0</v>
      </c>
      <c r="I56" s="1371">
        <f t="shared" si="0"/>
        <v>0</v>
      </c>
      <c r="J56" s="1370">
        <f t="shared" si="0"/>
        <v>0</v>
      </c>
      <c r="K56" s="1371">
        <f t="shared" si="0"/>
        <v>0</v>
      </c>
      <c r="L56" s="1370">
        <f t="shared" si="0"/>
        <v>0</v>
      </c>
      <c r="M56" s="1371">
        <f t="shared" si="0"/>
        <v>0</v>
      </c>
      <c r="N56" s="1370">
        <f t="shared" si="0"/>
        <v>0</v>
      </c>
      <c r="O56" s="1371">
        <f t="shared" si="0"/>
        <v>0</v>
      </c>
      <c r="P56" s="1370">
        <f t="shared" si="0"/>
        <v>0</v>
      </c>
      <c r="Q56" s="1371">
        <f t="shared" si="0"/>
        <v>0</v>
      </c>
      <c r="R56" s="1370">
        <f t="shared" si="0"/>
        <v>0</v>
      </c>
      <c r="S56" s="1371">
        <f t="shared" si="0"/>
        <v>0</v>
      </c>
      <c r="T56" s="1370">
        <f t="shared" si="0"/>
        <v>0</v>
      </c>
      <c r="U56" s="1371">
        <f t="shared" si="0"/>
        <v>0</v>
      </c>
      <c r="V56" s="1370">
        <f t="shared" si="0"/>
        <v>0</v>
      </c>
      <c r="W56" s="1371">
        <f t="shared" si="0"/>
        <v>0</v>
      </c>
      <c r="X56" s="1370">
        <f t="shared" si="0"/>
        <v>0</v>
      </c>
      <c r="Y56" s="1371">
        <f t="shared" si="0"/>
        <v>0</v>
      </c>
      <c r="Z56" s="1370">
        <f t="shared" si="0"/>
        <v>0</v>
      </c>
      <c r="AA56" s="1371">
        <f t="shared" si="0"/>
        <v>0</v>
      </c>
      <c r="AB56" s="1370">
        <f t="shared" si="0"/>
        <v>0</v>
      </c>
      <c r="AC56" s="1371">
        <f t="shared" si="0"/>
        <v>0</v>
      </c>
      <c r="AD56" s="1370">
        <f t="shared" si="0"/>
        <v>0</v>
      </c>
      <c r="AE56" s="1371">
        <f t="shared" si="0"/>
        <v>0</v>
      </c>
      <c r="AF56" s="1370">
        <f t="shared" si="0"/>
        <v>0</v>
      </c>
      <c r="AG56" s="1371">
        <f t="shared" si="0"/>
        <v>0</v>
      </c>
      <c r="AH56" s="1370">
        <f t="shared" si="0"/>
        <v>0</v>
      </c>
      <c r="AI56" s="1371">
        <f t="shared" si="0"/>
        <v>0</v>
      </c>
      <c r="AJ56" s="1370">
        <f t="shared" si="0"/>
        <v>0</v>
      </c>
      <c r="AK56" s="1371">
        <f t="shared" si="0"/>
        <v>0</v>
      </c>
      <c r="AL56" s="1370">
        <f t="shared" si="0"/>
        <v>0</v>
      </c>
      <c r="AM56" s="1371">
        <f t="shared" si="0"/>
        <v>0</v>
      </c>
      <c r="AN56" s="1370">
        <f t="shared" si="0"/>
        <v>0</v>
      </c>
      <c r="AO56" s="1371">
        <f t="shared" si="0"/>
        <v>0</v>
      </c>
      <c r="AP56" s="1370">
        <f t="shared" si="0"/>
        <v>0</v>
      </c>
      <c r="AQ56" s="1371">
        <f t="shared" si="0"/>
        <v>0</v>
      </c>
      <c r="AR56" s="1370">
        <f t="shared" si="0"/>
        <v>0</v>
      </c>
      <c r="AS56" s="1371">
        <f t="shared" si="0"/>
        <v>0</v>
      </c>
      <c r="AT56" s="1370">
        <f t="shared" si="0"/>
        <v>0</v>
      </c>
      <c r="AU56" s="1371">
        <f t="shared" si="0"/>
        <v>0</v>
      </c>
      <c r="AV56" s="1370">
        <f t="shared" si="0"/>
        <v>0</v>
      </c>
      <c r="AW56" s="1371">
        <f t="shared" si="0"/>
        <v>0</v>
      </c>
      <c r="AX56" s="1370">
        <f t="shared" si="0"/>
        <v>0</v>
      </c>
      <c r="AY56" s="1371">
        <f t="shared" si="0"/>
        <v>0</v>
      </c>
      <c r="AZ56" s="1370">
        <f t="shared" si="0"/>
        <v>0</v>
      </c>
      <c r="BA56" s="1371">
        <f t="shared" si="0"/>
        <v>0</v>
      </c>
      <c r="BB56" s="1370">
        <f t="shared" si="0"/>
        <v>0</v>
      </c>
      <c r="BC56" s="1371">
        <f t="shared" si="0"/>
        <v>0</v>
      </c>
      <c r="BD56" s="1370">
        <f t="shared" si="0"/>
        <v>0</v>
      </c>
      <c r="BE56" s="1371">
        <f t="shared" si="0"/>
        <v>0</v>
      </c>
      <c r="BF56" s="1370">
        <f t="shared" si="0"/>
        <v>0</v>
      </c>
      <c r="BG56" s="1371">
        <f t="shared" si="0"/>
        <v>0</v>
      </c>
      <c r="BH56" s="1370">
        <f t="shared" si="0"/>
        <v>0</v>
      </c>
      <c r="BI56" s="1371">
        <f t="shared" si="0"/>
        <v>0</v>
      </c>
      <c r="BJ56" s="1370">
        <f t="shared" si="0"/>
        <v>0</v>
      </c>
      <c r="BK56" s="1371">
        <f t="shared" si="0"/>
        <v>0</v>
      </c>
      <c r="BL56" s="1370">
        <f t="shared" si="0"/>
        <v>0</v>
      </c>
      <c r="BM56" s="1371">
        <f t="shared" si="0"/>
        <v>0</v>
      </c>
      <c r="BN56" s="1370">
        <f t="shared" si="0"/>
        <v>0</v>
      </c>
      <c r="BO56" s="1371">
        <f t="shared" ref="BO56:CC56" si="1">SUM(BO33:BO55)</f>
        <v>0</v>
      </c>
      <c r="BP56" s="1370">
        <f t="shared" si="1"/>
        <v>0</v>
      </c>
      <c r="BQ56" s="1371">
        <f t="shared" si="1"/>
        <v>0</v>
      </c>
      <c r="BR56" s="1370">
        <f t="shared" si="1"/>
        <v>0</v>
      </c>
      <c r="BS56" s="1371">
        <f t="shared" si="1"/>
        <v>0</v>
      </c>
      <c r="BT56" s="1370">
        <f t="shared" si="1"/>
        <v>0</v>
      </c>
      <c r="BU56" s="1371">
        <f t="shared" si="1"/>
        <v>0</v>
      </c>
      <c r="BV56" s="1370">
        <f t="shared" si="1"/>
        <v>0</v>
      </c>
      <c r="BW56" s="1371">
        <f t="shared" si="1"/>
        <v>0</v>
      </c>
      <c r="BX56" s="1370">
        <f t="shared" si="1"/>
        <v>0</v>
      </c>
      <c r="BY56" s="1371">
        <f t="shared" si="1"/>
        <v>0</v>
      </c>
      <c r="BZ56" s="1370">
        <f t="shared" si="1"/>
        <v>0</v>
      </c>
      <c r="CA56" s="1371">
        <f t="shared" si="1"/>
        <v>0</v>
      </c>
      <c r="CB56" s="1370">
        <f t="shared" si="1"/>
        <v>0</v>
      </c>
      <c r="CC56" s="1371">
        <f t="shared" si="1"/>
        <v>0</v>
      </c>
    </row>
    <row r="57" spans="1:86">
      <c r="A57" s="423"/>
      <c r="B57" s="423"/>
      <c r="C57" s="56"/>
      <c r="D57" s="423"/>
      <c r="E57" s="56"/>
      <c r="F57" s="423"/>
      <c r="G57" s="56"/>
      <c r="H57" s="423"/>
      <c r="I57" s="56"/>
      <c r="J57" s="423"/>
      <c r="K57" s="56"/>
      <c r="L57" s="423"/>
      <c r="M57" s="56"/>
      <c r="N57" s="423"/>
      <c r="O57" s="56"/>
      <c r="P57" s="423"/>
      <c r="Q57" s="56"/>
      <c r="R57" s="423"/>
      <c r="S57" s="56"/>
      <c r="T57" s="423"/>
      <c r="U57" s="56"/>
      <c r="V57" s="423"/>
      <c r="W57" s="56"/>
      <c r="X57" s="423"/>
      <c r="Y57" s="56"/>
      <c r="Z57" s="423"/>
      <c r="AA57" s="56"/>
      <c r="AB57" s="423"/>
      <c r="AC57" s="56"/>
      <c r="AD57" s="423"/>
      <c r="AE57" s="56"/>
      <c r="AF57" s="423"/>
      <c r="AG57" s="56"/>
      <c r="AH57" s="423"/>
      <c r="AI57" s="56"/>
      <c r="AJ57" s="423"/>
      <c r="AK57" s="56"/>
      <c r="AL57" s="423"/>
      <c r="AM57" s="56"/>
      <c r="AN57" s="423"/>
      <c r="AO57" s="56"/>
      <c r="AP57" s="423"/>
      <c r="AQ57" s="56"/>
      <c r="AR57" s="423"/>
      <c r="AS57" s="56"/>
      <c r="AT57" s="423"/>
      <c r="AU57" s="56"/>
      <c r="AV57" s="423"/>
      <c r="AW57" s="56"/>
      <c r="AX57" s="423"/>
      <c r="AY57" s="56"/>
      <c r="AZ57" s="423"/>
      <c r="BA57" s="56"/>
      <c r="BB57" s="423"/>
      <c r="BC57" s="56"/>
      <c r="BD57" s="423"/>
      <c r="BE57" s="56"/>
      <c r="BF57" s="423"/>
      <c r="BG57" s="56"/>
      <c r="BH57" s="423"/>
      <c r="BI57" s="56"/>
      <c r="BJ57" s="423"/>
      <c r="BK57" s="56"/>
      <c r="BL57" s="423"/>
      <c r="BM57" s="56"/>
      <c r="BN57" s="423"/>
      <c r="BO57" s="56"/>
      <c r="BP57" s="423"/>
      <c r="BQ57" s="56"/>
      <c r="BR57" s="423"/>
      <c r="BS57" s="56"/>
      <c r="BT57" s="423"/>
      <c r="BU57" s="56"/>
      <c r="BV57" s="423"/>
      <c r="BW57" s="56"/>
      <c r="BX57" s="423"/>
      <c r="BY57" s="56"/>
      <c r="BZ57" s="423"/>
      <c r="CA57" s="56"/>
      <c r="CB57" s="423"/>
      <c r="CC57" s="56"/>
    </row>
    <row r="58" spans="1:86">
      <c r="A58" s="1375" t="s">
        <v>1400</v>
      </c>
      <c r="B58" s="1378">
        <f>(B19*B21^2/2+B20*B21/2-B56-C56)/B21</f>
        <v>79.348125000000024</v>
      </c>
      <c r="C58" s="1377">
        <f>B19*B21+B20-B58</f>
        <v>166.546875</v>
      </c>
      <c r="D58" s="1378">
        <f>IF(D18="","",(D19*D21^2/2+D20*D21/2-D56-E56)/D21)</f>
        <v>166.546875</v>
      </c>
      <c r="E58" s="1377">
        <f>IF(D18="","",D19*D21+D20-D58)</f>
        <v>79.34812500000001</v>
      </c>
      <c r="F58" s="1378" t="str">
        <f t="shared" ref="F58" si="2">IF(F18="","",(F19*F21^2/2+F20*F21/2-F56-G56)/F21)</f>
        <v/>
      </c>
      <c r="G58" s="1377" t="str">
        <f t="shared" ref="G58" si="3">IF(F18="","",F19*F21+F20-F58)</f>
        <v/>
      </c>
      <c r="H58" s="1378" t="str">
        <f t="shared" ref="H58" si="4">IF(H18="","",(H19*H21^2/2+H20*H21/2-H56-I56)/H21)</f>
        <v/>
      </c>
      <c r="I58" s="1377" t="str">
        <f t="shared" ref="I58" si="5">IF(H18="","",H19*H21+H20-H58)</f>
        <v/>
      </c>
      <c r="J58" s="1378" t="str">
        <f t="shared" ref="J58" si="6">IF(J18="","",(J19*J21^2/2+J20*J21/2-J56-K56)/J21)</f>
        <v/>
      </c>
      <c r="K58" s="1377" t="str">
        <f t="shared" ref="K58" si="7">IF(J18="","",J19*J21+J20-J58)</f>
        <v/>
      </c>
      <c r="L58" s="1378" t="str">
        <f t="shared" ref="L58" si="8">IF(L18="","",(L19*L21^2/2+L20*L21/2-L56-M56)/L21)</f>
        <v/>
      </c>
      <c r="M58" s="1377" t="str">
        <f t="shared" ref="M58" si="9">IF(L18="","",L19*L21+L20-L58)</f>
        <v/>
      </c>
      <c r="N58" s="1378" t="str">
        <f t="shared" ref="N58" si="10">IF(N18="","",(N19*N21^2/2+N20*N21/2-N56-O56)/N21)</f>
        <v/>
      </c>
      <c r="O58" s="1377" t="str">
        <f t="shared" ref="O58" si="11">IF(N18="","",N19*N21+N20-N58)</f>
        <v/>
      </c>
      <c r="P58" s="1378" t="str">
        <f t="shared" ref="P58" si="12">IF(P18="","",(P19*P21^2/2+P20*P21/2-P56-Q56)/P21)</f>
        <v/>
      </c>
      <c r="Q58" s="1377" t="str">
        <f t="shared" ref="Q58" si="13">IF(P18="","",P19*P21+P20-P58)</f>
        <v/>
      </c>
      <c r="R58" s="1378" t="str">
        <f t="shared" ref="R58" si="14">IF(R18="","",(R19*R21^2/2+R20*R21/2-R56-S56)/R21)</f>
        <v/>
      </c>
      <c r="S58" s="1377" t="str">
        <f t="shared" ref="S58" si="15">IF(R18="","",R19*R21+R20-R58)</f>
        <v/>
      </c>
      <c r="T58" s="1378" t="str">
        <f t="shared" ref="T58" si="16">IF(T18="","",(T19*T21^2/2+T20*T21/2-T56-U56)/T21)</f>
        <v/>
      </c>
      <c r="U58" s="1377" t="str">
        <f t="shared" ref="U58" si="17">IF(T18="","",T19*T21+T20-T58)</f>
        <v/>
      </c>
      <c r="V58" s="1378" t="str">
        <f t="shared" ref="V58" si="18">IF(V18="","",(V19*V21^2/2+V20*V21/2-V56-W56)/V21)</f>
        <v/>
      </c>
      <c r="W58" s="1377" t="str">
        <f t="shared" ref="W58" si="19">IF(V18="","",V19*V21+V20-V58)</f>
        <v/>
      </c>
      <c r="X58" s="1378" t="str">
        <f t="shared" ref="X58" si="20">IF(X18="","",(X19*X21^2/2+X20*X21/2-X56-Y56)/X21)</f>
        <v/>
      </c>
      <c r="Y58" s="1377" t="str">
        <f t="shared" ref="Y58" si="21">IF(X18="","",X19*X21+X20-X58)</f>
        <v/>
      </c>
      <c r="Z58" s="1378" t="str">
        <f t="shared" ref="Z58" si="22">IF(Z18="","",(Z19*Z21^2/2+Z20*Z21/2-Z56-AA56)/Z21)</f>
        <v/>
      </c>
      <c r="AA58" s="1377" t="str">
        <f t="shared" ref="AA58" si="23">IF(Z18="","",Z19*Z21+Z20-Z58)</f>
        <v/>
      </c>
      <c r="AB58" s="1378" t="str">
        <f t="shared" ref="AB58" si="24">IF(AB18="","",(AB19*AB21^2/2+AB20*AB21/2-AB56-AC56)/AB21)</f>
        <v/>
      </c>
      <c r="AC58" s="1377" t="str">
        <f t="shared" ref="AC58" si="25">IF(AB18="","",AB19*AB21+AB20-AB58)</f>
        <v/>
      </c>
      <c r="AD58" s="1378" t="str">
        <f t="shared" ref="AD58" si="26">IF(AD18="","",(AD19*AD21^2/2+AD20*AD21/2-AD56-AE56)/AD21)</f>
        <v/>
      </c>
      <c r="AE58" s="1377" t="str">
        <f t="shared" ref="AE58" si="27">IF(AD18="","",AD19*AD21+AD20-AD58)</f>
        <v/>
      </c>
      <c r="AF58" s="1378" t="str">
        <f t="shared" ref="AF58" si="28">IF(AF18="","",(AF19*AF21^2/2+AF20*AF21/2-AF56-AG56)/AF21)</f>
        <v/>
      </c>
      <c r="AG58" s="1377" t="str">
        <f t="shared" ref="AG58" si="29">IF(AF18="","",AF19*AF21+AF20-AF58)</f>
        <v/>
      </c>
      <c r="AH58" s="1378" t="str">
        <f t="shared" ref="AH58" si="30">IF(AH18="","",(AH19*AH21^2/2+AH20*AH21/2-AH56-AI56)/AH21)</f>
        <v/>
      </c>
      <c r="AI58" s="1377" t="str">
        <f t="shared" ref="AI58" si="31">IF(AH18="","",AH19*AH21+AH20-AH58)</f>
        <v/>
      </c>
      <c r="AJ58" s="1378" t="str">
        <f t="shared" ref="AJ58" si="32">IF(AJ18="","",(AJ19*AJ21^2/2+AJ20*AJ21/2-AJ56-AK56)/AJ21)</f>
        <v/>
      </c>
      <c r="AK58" s="1377" t="str">
        <f t="shared" ref="AK58" si="33">IF(AJ18="","",AJ19*AJ21+AJ20-AJ58)</f>
        <v/>
      </c>
      <c r="AL58" s="1378" t="str">
        <f t="shared" ref="AL58" si="34">IF(AL18="","",(AL19*AL21^2/2+AL20*AL21/2-AL56-AM56)/AL21)</f>
        <v/>
      </c>
      <c r="AM58" s="1377" t="str">
        <f t="shared" ref="AM58" si="35">IF(AL18="","",AL19*AL21+AL20-AL58)</f>
        <v/>
      </c>
      <c r="AN58" s="1378" t="str">
        <f t="shared" ref="AN58" si="36">IF(AN18="","",(AN19*AN21^2/2+AN20*AN21/2-AN56-AO56)/AN21)</f>
        <v/>
      </c>
      <c r="AO58" s="1377" t="str">
        <f t="shared" ref="AO58" si="37">IF(AN18="","",AN19*AN21+AN20-AN58)</f>
        <v/>
      </c>
      <c r="AP58" s="1378" t="str">
        <f t="shared" ref="AP58" si="38">IF(AP18="","",(AP19*AP21^2/2+AP20*AP21/2-AP56-AQ56)/AP21)</f>
        <v/>
      </c>
      <c r="AQ58" s="1377" t="str">
        <f t="shared" ref="AQ58" si="39">IF(AP18="","",AP19*AP21+AP20-AP58)</f>
        <v/>
      </c>
      <c r="AR58" s="1378" t="str">
        <f t="shared" ref="AR58" si="40">IF(AR18="","",(AR19*AR21^2/2+AR20*AR21/2-AR56-AS56)/AR21)</f>
        <v/>
      </c>
      <c r="AS58" s="1377" t="str">
        <f t="shared" ref="AS58" si="41">IF(AR18="","",AR19*AR21+AR20-AR58)</f>
        <v/>
      </c>
      <c r="AT58" s="1378" t="str">
        <f t="shared" ref="AT58" si="42">IF(AT18="","",(AT19*AT21^2/2+AT20*AT21/2-AT56-AU56)/AT21)</f>
        <v/>
      </c>
      <c r="AU58" s="1377" t="str">
        <f t="shared" ref="AU58" si="43">IF(AT18="","",AT19*AT21+AT20-AT58)</f>
        <v/>
      </c>
      <c r="AV58" s="1378" t="str">
        <f t="shared" ref="AV58" si="44">IF(AV18="","",(AV19*AV21^2/2+AV20*AV21/2-AV56-AW56)/AV21)</f>
        <v/>
      </c>
      <c r="AW58" s="1377" t="str">
        <f t="shared" ref="AW58" si="45">IF(AV18="","",AV19*AV21+AV20-AV58)</f>
        <v/>
      </c>
      <c r="AX58" s="1378" t="str">
        <f t="shared" ref="AX58" si="46">IF(AX18="","",(AX19*AX21^2/2+AX20*AX21/2-AX56-AY56)/AX21)</f>
        <v/>
      </c>
      <c r="AY58" s="1377" t="str">
        <f t="shared" ref="AY58" si="47">IF(AX18="","",AX19*AX21+AX20-AX58)</f>
        <v/>
      </c>
      <c r="AZ58" s="1378" t="str">
        <f t="shared" ref="AZ58" si="48">IF(AZ18="","",(AZ19*AZ21^2/2+AZ20*AZ21/2-AZ56-BA56)/AZ21)</f>
        <v/>
      </c>
      <c r="BA58" s="1377" t="str">
        <f t="shared" ref="BA58" si="49">IF(AZ18="","",AZ19*AZ21+AZ20-AZ58)</f>
        <v/>
      </c>
      <c r="BB58" s="1378" t="str">
        <f t="shared" ref="BB58" si="50">IF(BB18="","",(BB19*BB21^2/2+BB20*BB21/2-BB56-BC56)/BB21)</f>
        <v/>
      </c>
      <c r="BC58" s="1377" t="str">
        <f t="shared" ref="BC58" si="51">IF(BB18="","",BB19*BB21+BB20-BB58)</f>
        <v/>
      </c>
      <c r="BD58" s="1378" t="str">
        <f t="shared" ref="BD58" si="52">IF(BD18="","",(BD19*BD21^2/2+BD20*BD21/2-BD56-BE56)/BD21)</f>
        <v/>
      </c>
      <c r="BE58" s="1377" t="str">
        <f t="shared" ref="BE58" si="53">IF(BD18="","",BD19*BD21+BD20-BD58)</f>
        <v/>
      </c>
      <c r="BF58" s="1378" t="str">
        <f t="shared" ref="BF58" si="54">IF(BF18="","",(BF19*BF21^2/2+BF20*BF21/2-BF56-BG56)/BF21)</f>
        <v/>
      </c>
      <c r="BG58" s="1377" t="str">
        <f t="shared" ref="BG58" si="55">IF(BF18="","",BF19*BF21+BF20-BF58)</f>
        <v/>
      </c>
      <c r="BH58" s="1378" t="str">
        <f t="shared" ref="BH58" si="56">IF(BH18="","",(BH19*BH21^2/2+BH20*BH21/2-BH56-BI56)/BH21)</f>
        <v/>
      </c>
      <c r="BI58" s="1377" t="str">
        <f t="shared" ref="BI58" si="57">IF(BH18="","",BH19*BH21+BH20-BH58)</f>
        <v/>
      </c>
      <c r="BJ58" s="1378" t="str">
        <f t="shared" ref="BJ58" si="58">IF(BJ18="","",(BJ19*BJ21^2/2+BJ20*BJ21/2-BJ56-BK56)/BJ21)</f>
        <v/>
      </c>
      <c r="BK58" s="1377" t="str">
        <f t="shared" ref="BK58" si="59">IF(BJ18="","",BJ19*BJ21+BJ20-BJ58)</f>
        <v/>
      </c>
      <c r="BL58" s="1378" t="str">
        <f t="shared" ref="BL58" si="60">IF(BL18="","",(BL19*BL21^2/2+BL20*BL21/2-BL56-BM56)/BL21)</f>
        <v/>
      </c>
      <c r="BM58" s="1377" t="str">
        <f t="shared" ref="BM58" si="61">IF(BL18="","",BL19*BL21+BL20-BL58)</f>
        <v/>
      </c>
      <c r="BN58" s="1378" t="str">
        <f t="shared" ref="BN58" si="62">IF(BN18="","",(BN19*BN21^2/2+BN20*BN21/2-BN56-BO56)/BN21)</f>
        <v/>
      </c>
      <c r="BO58" s="1377" t="str">
        <f t="shared" ref="BO58" si="63">IF(BN18="","",BN19*BN21+BN20-BN58)</f>
        <v/>
      </c>
      <c r="BP58" s="1378" t="str">
        <f t="shared" ref="BP58" si="64">IF(BP18="","",(BP19*BP21^2/2+BP20*BP21/2-BP56-BQ56)/BP21)</f>
        <v/>
      </c>
      <c r="BQ58" s="1377" t="str">
        <f t="shared" ref="BQ58" si="65">IF(BP18="","",BP19*BP21+BP20-BP58)</f>
        <v/>
      </c>
      <c r="BR58" s="1378" t="str">
        <f t="shared" ref="BR58" si="66">IF(BR18="","",(BR19*BR21^2/2+BR20*BR21/2-BR56-BS56)/BR21)</f>
        <v/>
      </c>
      <c r="BS58" s="1377" t="str">
        <f t="shared" ref="BS58" si="67">IF(BR18="","",BR19*BR21+BR20-BR58)</f>
        <v/>
      </c>
      <c r="BT58" s="1378" t="str">
        <f t="shared" ref="BT58" si="68">IF(BT18="","",(BT19*BT21^2/2+BT20*BT21/2-BT56-BU56)/BT21)</f>
        <v/>
      </c>
      <c r="BU58" s="1377" t="str">
        <f t="shared" ref="BU58" si="69">IF(BT18="","",BT19*BT21+BT20-BT58)</f>
        <v/>
      </c>
      <c r="BV58" s="1378" t="str">
        <f t="shared" ref="BV58" si="70">IF(BV18="","",(BV19*BV21^2/2+BV20*BV21/2-BV56-BW56)/BV21)</f>
        <v/>
      </c>
      <c r="BW58" s="1377" t="str">
        <f t="shared" ref="BW58" si="71">IF(BV18="","",BV19*BV21+BV20-BV58)</f>
        <v/>
      </c>
      <c r="BX58" s="1378" t="str">
        <f t="shared" ref="BX58" si="72">IF(BX18="","",(BX19*BX21^2/2+BX20*BX21/2-BX56-BY56)/BX21)</f>
        <v/>
      </c>
      <c r="BY58" s="1377" t="str">
        <f t="shared" ref="BY58" si="73">IF(BX18="","",BX19*BX21+BX20-BX58)</f>
        <v/>
      </c>
      <c r="BZ58" s="1378" t="str">
        <f t="shared" ref="BZ58" si="74">IF(BZ18="","",(BZ19*BZ21^2/2+BZ20*BZ21/2-BZ56-CA56)/BZ21)</f>
        <v/>
      </c>
      <c r="CA58" s="1377" t="str">
        <f t="shared" ref="CA58" si="75">IF(BZ18="","",BZ19*BZ21+BZ20-BZ58)</f>
        <v/>
      </c>
      <c r="CB58" s="1378" t="str">
        <f t="shared" ref="CB58" si="76">IF(CB18="","",(CB19*CB21^2/2+CB20*CB21/2-CB56-CC56)/CB21)</f>
        <v/>
      </c>
      <c r="CC58" s="1377" t="str">
        <f t="shared" ref="CC58" si="77">IF(CB18="","",CB19*CB21+CB20-CB58)</f>
        <v/>
      </c>
    </row>
    <row r="59" spans="1:86">
      <c r="A59" s="1376" t="s">
        <v>1401</v>
      </c>
      <c r="B59" s="3178">
        <f>B58*B21/2-B19*B21^2/8+B56</f>
        <v>77.989921875000022</v>
      </c>
      <c r="C59" s="3179"/>
      <c r="D59" s="3178">
        <f>IF(D18="","",D58*D21/2-D19*D21^2/8+D56)</f>
        <v>77.989921875000022</v>
      </c>
      <c r="E59" s="3179"/>
      <c r="F59" s="3178" t="str">
        <f t="shared" ref="F59" si="78">IF(F18="","",F58*F21/2-F19*F21^2/8+F56)</f>
        <v/>
      </c>
      <c r="G59" s="3179"/>
      <c r="H59" s="3178" t="str">
        <f t="shared" ref="H59" si="79">IF(H18="","",H58*H21/2-H19*H21^2/8+H56)</f>
        <v/>
      </c>
      <c r="I59" s="3179"/>
      <c r="J59" s="3178" t="str">
        <f t="shared" ref="J59" si="80">IF(J18="","",J58*J21/2-J19*J21^2/8+J56)</f>
        <v/>
      </c>
      <c r="K59" s="3179"/>
      <c r="L59" s="3178" t="str">
        <f t="shared" ref="L59" si="81">IF(L18="","",L58*L21/2-L19*L21^2/8+L56)</f>
        <v/>
      </c>
      <c r="M59" s="3179"/>
      <c r="N59" s="3178" t="str">
        <f t="shared" ref="N59" si="82">IF(N18="","",N58*N21/2-N19*N21^2/8+N56)</f>
        <v/>
      </c>
      <c r="O59" s="3179"/>
      <c r="P59" s="3178" t="str">
        <f t="shared" ref="P59" si="83">IF(P18="","",P58*P21/2-P19*P21^2/8+P56)</f>
        <v/>
      </c>
      <c r="Q59" s="3179"/>
      <c r="R59" s="3178" t="str">
        <f t="shared" ref="R59" si="84">IF(R18="","",R58*R21/2-R19*R21^2/8+R56)</f>
        <v/>
      </c>
      <c r="S59" s="3179"/>
      <c r="T59" s="3178" t="str">
        <f t="shared" ref="T59" si="85">IF(T18="","",T58*T21/2-T19*T21^2/8+T56)</f>
        <v/>
      </c>
      <c r="U59" s="3179"/>
      <c r="V59" s="3178" t="str">
        <f t="shared" ref="V59" si="86">IF(V18="","",V58*V21/2-V19*V21^2/8+V56)</f>
        <v/>
      </c>
      <c r="W59" s="3179"/>
      <c r="X59" s="3178" t="str">
        <f t="shared" ref="X59" si="87">IF(X18="","",X58*X21/2-X19*X21^2/8+X56)</f>
        <v/>
      </c>
      <c r="Y59" s="3179"/>
      <c r="Z59" s="3178" t="str">
        <f t="shared" ref="Z59" si="88">IF(Z18="","",Z58*Z21/2-Z19*Z21^2/8+Z56)</f>
        <v/>
      </c>
      <c r="AA59" s="3179"/>
      <c r="AB59" s="3178" t="str">
        <f t="shared" ref="AB59" si="89">IF(AB18="","",AB58*AB21/2-AB19*AB21^2/8+AB56)</f>
        <v/>
      </c>
      <c r="AC59" s="3179"/>
      <c r="AD59" s="3178" t="str">
        <f t="shared" ref="AD59" si="90">IF(AD18="","",AD58*AD21/2-AD19*AD21^2/8+AD56)</f>
        <v/>
      </c>
      <c r="AE59" s="3179"/>
      <c r="AF59" s="3178" t="str">
        <f t="shared" ref="AF59" si="91">IF(AF18="","",AF58*AF21/2-AF19*AF21^2/8+AF56)</f>
        <v/>
      </c>
      <c r="AG59" s="3179"/>
      <c r="AH59" s="3178" t="str">
        <f t="shared" ref="AH59" si="92">IF(AH18="","",AH58*AH21/2-AH19*AH21^2/8+AH56)</f>
        <v/>
      </c>
      <c r="AI59" s="3179"/>
      <c r="AJ59" s="3178" t="str">
        <f t="shared" ref="AJ59" si="93">IF(AJ18="","",AJ58*AJ21/2-AJ19*AJ21^2/8+AJ56)</f>
        <v/>
      </c>
      <c r="AK59" s="3179"/>
      <c r="AL59" s="3178" t="str">
        <f t="shared" ref="AL59" si="94">IF(AL18="","",AL58*AL21/2-AL19*AL21^2/8+AL56)</f>
        <v/>
      </c>
      <c r="AM59" s="3179"/>
      <c r="AN59" s="3178" t="str">
        <f t="shared" ref="AN59" si="95">IF(AN18="","",AN58*AN21/2-AN19*AN21^2/8+AN56)</f>
        <v/>
      </c>
      <c r="AO59" s="3179"/>
      <c r="AP59" s="3178" t="str">
        <f t="shared" ref="AP59" si="96">IF(AP18="","",AP58*AP21/2-AP19*AP21^2/8+AP56)</f>
        <v/>
      </c>
      <c r="AQ59" s="3179"/>
      <c r="AR59" s="3178" t="str">
        <f t="shared" ref="AR59" si="97">IF(AR18="","",AR58*AR21/2-AR19*AR21^2/8+AR56)</f>
        <v/>
      </c>
      <c r="AS59" s="3179"/>
      <c r="AT59" s="3178" t="str">
        <f t="shared" ref="AT59" si="98">IF(AT18="","",AT58*AT21/2-AT19*AT21^2/8+AT56)</f>
        <v/>
      </c>
      <c r="AU59" s="3179"/>
      <c r="AV59" s="3178" t="str">
        <f t="shared" ref="AV59" si="99">IF(AV18="","",AV58*AV21/2-AV19*AV21^2/8+AV56)</f>
        <v/>
      </c>
      <c r="AW59" s="3179"/>
      <c r="AX59" s="3178" t="str">
        <f t="shared" ref="AX59" si="100">IF(AX18="","",AX58*AX21/2-AX19*AX21^2/8+AX56)</f>
        <v/>
      </c>
      <c r="AY59" s="3179"/>
      <c r="AZ59" s="3178" t="str">
        <f t="shared" ref="AZ59" si="101">IF(AZ18="","",AZ58*AZ21/2-AZ19*AZ21^2/8+AZ56)</f>
        <v/>
      </c>
      <c r="BA59" s="3179"/>
      <c r="BB59" s="3178" t="str">
        <f t="shared" ref="BB59" si="102">IF(BB18="","",BB58*BB21/2-BB19*BB21^2/8+BB56)</f>
        <v/>
      </c>
      <c r="BC59" s="3179"/>
      <c r="BD59" s="3178" t="str">
        <f t="shared" ref="BD59" si="103">IF(BD18="","",BD58*BD21/2-BD19*BD21^2/8+BD56)</f>
        <v/>
      </c>
      <c r="BE59" s="3179"/>
      <c r="BF59" s="3178" t="str">
        <f t="shared" ref="BF59" si="104">IF(BF18="","",BF58*BF21/2-BF19*BF21^2/8+BF56)</f>
        <v/>
      </c>
      <c r="BG59" s="3179"/>
      <c r="BH59" s="3178" t="str">
        <f t="shared" ref="BH59" si="105">IF(BH18="","",BH58*BH21/2-BH19*BH21^2/8+BH56)</f>
        <v/>
      </c>
      <c r="BI59" s="3179"/>
      <c r="BJ59" s="3178" t="str">
        <f t="shared" ref="BJ59" si="106">IF(BJ18="","",BJ58*BJ21/2-BJ19*BJ21^2/8+BJ56)</f>
        <v/>
      </c>
      <c r="BK59" s="3179"/>
      <c r="BL59" s="3178" t="str">
        <f t="shared" ref="BL59" si="107">IF(BL18="","",BL58*BL21/2-BL19*BL21^2/8+BL56)</f>
        <v/>
      </c>
      <c r="BM59" s="3179"/>
      <c r="BN59" s="3178" t="str">
        <f t="shared" ref="BN59" si="108">IF(BN18="","",BN58*BN21/2-BN19*BN21^2/8+BN56)</f>
        <v/>
      </c>
      <c r="BO59" s="3179"/>
      <c r="BP59" s="3178" t="str">
        <f t="shared" ref="BP59" si="109">IF(BP18="","",BP58*BP21/2-BP19*BP21^2/8+BP56)</f>
        <v/>
      </c>
      <c r="BQ59" s="3179"/>
      <c r="BR59" s="3178" t="str">
        <f t="shared" ref="BR59" si="110">IF(BR18="","",BR58*BR21/2-BR19*BR21^2/8+BR56)</f>
        <v/>
      </c>
      <c r="BS59" s="3179"/>
      <c r="BT59" s="3178" t="str">
        <f t="shared" ref="BT59" si="111">IF(BT18="","",BT58*BT21/2-BT19*BT21^2/8+BT56)</f>
        <v/>
      </c>
      <c r="BU59" s="3179"/>
      <c r="BV59" s="3178" t="str">
        <f t="shared" ref="BV59" si="112">IF(BV18="","",BV58*BV21/2-BV19*BV21^2/8+BV56)</f>
        <v/>
      </c>
      <c r="BW59" s="3179"/>
      <c r="BX59" s="3178" t="str">
        <f t="shared" ref="BX59" si="113">IF(BX18="","",BX58*BX21/2-BX19*BX21^2/8+BX56)</f>
        <v/>
      </c>
      <c r="BY59" s="3179"/>
      <c r="BZ59" s="3178" t="str">
        <f t="shared" ref="BZ59" si="114">IF(BZ18="","",BZ58*BZ21/2-BZ19*BZ21^2/8+BZ56)</f>
        <v/>
      </c>
      <c r="CA59" s="3179"/>
      <c r="CB59" s="3178" t="str">
        <f t="shared" ref="CB59" si="115">IF(CB18="","",CB58*CB21/2-CB19*CB21^2/8+CB56)</f>
        <v/>
      </c>
      <c r="CC59" s="3179"/>
    </row>
    <row r="60" spans="1:86">
      <c r="B60" s="3177">
        <f>C58*B21/2-B19*B21^2/8-C56</f>
        <v>77.989921875000022</v>
      </c>
      <c r="C60" s="3177"/>
      <c r="D60" s="3177">
        <f t="shared" ref="D60" si="116">E58*D21/2-D19*D21^2/8-E56</f>
        <v>77.989921875000007</v>
      </c>
      <c r="E60" s="3177"/>
      <c r="F60" s="3177" t="e">
        <f t="shared" ref="F60" si="117">G58*F21/2-F19*F21^2/8-G56</f>
        <v>#VALUE!</v>
      </c>
      <c r="G60" s="3177"/>
      <c r="H60" s="3177" t="e">
        <f t="shared" ref="H60" si="118">I58*H21/2-H19*H21^2/8-I56</f>
        <v>#VALUE!</v>
      </c>
      <c r="I60" s="3177"/>
      <c r="J60" s="3177" t="e">
        <f t="shared" ref="J60:BT60" si="119">K58*J21/2-J19*J21^2/8-K56</f>
        <v>#VALUE!</v>
      </c>
      <c r="K60" s="3177"/>
      <c r="L60" s="3177" t="e">
        <f t="shared" si="119"/>
        <v>#VALUE!</v>
      </c>
      <c r="M60" s="3177"/>
      <c r="N60" s="3177" t="e">
        <f t="shared" si="119"/>
        <v>#VALUE!</v>
      </c>
      <c r="O60" s="3177"/>
      <c r="P60" s="3177" t="e">
        <f t="shared" si="119"/>
        <v>#VALUE!</v>
      </c>
      <c r="Q60" s="3177"/>
      <c r="R60" s="3177" t="e">
        <f t="shared" si="119"/>
        <v>#VALUE!</v>
      </c>
      <c r="S60" s="3177"/>
      <c r="T60" s="3177" t="e">
        <f t="shared" si="119"/>
        <v>#VALUE!</v>
      </c>
      <c r="U60" s="3177"/>
      <c r="V60" s="3177" t="e">
        <f t="shared" si="119"/>
        <v>#VALUE!</v>
      </c>
      <c r="W60" s="3177"/>
      <c r="X60" s="3177" t="e">
        <f t="shared" si="119"/>
        <v>#VALUE!</v>
      </c>
      <c r="Y60" s="3177"/>
      <c r="Z60" s="3177" t="e">
        <f t="shared" si="119"/>
        <v>#VALUE!</v>
      </c>
      <c r="AA60" s="3177"/>
      <c r="AB60" s="3177" t="e">
        <f t="shared" si="119"/>
        <v>#VALUE!</v>
      </c>
      <c r="AC60" s="3177"/>
      <c r="AD60" s="3177" t="e">
        <f t="shared" si="119"/>
        <v>#VALUE!</v>
      </c>
      <c r="AE60" s="3177"/>
      <c r="AF60" s="3177" t="e">
        <f t="shared" si="119"/>
        <v>#VALUE!</v>
      </c>
      <c r="AG60" s="3177"/>
      <c r="AH60" s="3177" t="e">
        <f t="shared" si="119"/>
        <v>#VALUE!</v>
      </c>
      <c r="AI60" s="3177"/>
      <c r="AJ60" s="3177" t="e">
        <f t="shared" si="119"/>
        <v>#VALUE!</v>
      </c>
      <c r="AK60" s="3177"/>
      <c r="AL60" s="3177" t="e">
        <f t="shared" si="119"/>
        <v>#VALUE!</v>
      </c>
      <c r="AM60" s="3177"/>
      <c r="AN60" s="3177" t="e">
        <f t="shared" si="119"/>
        <v>#VALUE!</v>
      </c>
      <c r="AO60" s="3177"/>
      <c r="AP60" s="3177" t="e">
        <f t="shared" si="119"/>
        <v>#VALUE!</v>
      </c>
      <c r="AQ60" s="3177"/>
      <c r="AR60" s="3177" t="e">
        <f t="shared" si="119"/>
        <v>#VALUE!</v>
      </c>
      <c r="AS60" s="3177"/>
      <c r="AT60" s="3177" t="e">
        <f t="shared" si="119"/>
        <v>#VALUE!</v>
      </c>
      <c r="AU60" s="3177"/>
      <c r="AV60" s="3177" t="e">
        <f t="shared" si="119"/>
        <v>#VALUE!</v>
      </c>
      <c r="AW60" s="3177"/>
      <c r="AX60" s="3177" t="e">
        <f t="shared" si="119"/>
        <v>#VALUE!</v>
      </c>
      <c r="AY60" s="3177"/>
      <c r="AZ60" s="3177" t="e">
        <f t="shared" si="119"/>
        <v>#VALUE!</v>
      </c>
      <c r="BA60" s="3177"/>
      <c r="BB60" s="3177" t="e">
        <f t="shared" si="119"/>
        <v>#VALUE!</v>
      </c>
      <c r="BC60" s="3177"/>
      <c r="BD60" s="3177" t="e">
        <f t="shared" si="119"/>
        <v>#VALUE!</v>
      </c>
      <c r="BE60" s="3177"/>
      <c r="BF60" s="3177" t="e">
        <f t="shared" si="119"/>
        <v>#VALUE!</v>
      </c>
      <c r="BG60" s="3177"/>
      <c r="BH60" s="3177" t="e">
        <f t="shared" si="119"/>
        <v>#VALUE!</v>
      </c>
      <c r="BI60" s="3177"/>
      <c r="BJ60" s="3177" t="e">
        <f t="shared" si="119"/>
        <v>#VALUE!</v>
      </c>
      <c r="BK60" s="3177"/>
      <c r="BL60" s="3177" t="e">
        <f t="shared" si="119"/>
        <v>#VALUE!</v>
      </c>
      <c r="BM60" s="3177"/>
      <c r="BN60" s="3177" t="e">
        <f t="shared" si="119"/>
        <v>#VALUE!</v>
      </c>
      <c r="BO60" s="3177"/>
      <c r="BP60" s="3177" t="e">
        <f t="shared" si="119"/>
        <v>#VALUE!</v>
      </c>
      <c r="BQ60" s="3177"/>
      <c r="BR60" s="3177" t="e">
        <f t="shared" si="119"/>
        <v>#VALUE!</v>
      </c>
      <c r="BS60" s="3177"/>
      <c r="BT60" s="3177" t="e">
        <f t="shared" si="119"/>
        <v>#VALUE!</v>
      </c>
      <c r="BU60" s="3177"/>
      <c r="BV60" s="3177" t="e">
        <f t="shared" ref="BV60:CB60" si="120">BW58*BV21/2-BV19*BV21^2/8-BW56</f>
        <v>#VALUE!</v>
      </c>
      <c r="BW60" s="3177"/>
      <c r="BX60" s="3177" t="e">
        <f t="shared" si="120"/>
        <v>#VALUE!</v>
      </c>
      <c r="BY60" s="3177"/>
      <c r="BZ60" s="3177" t="e">
        <f t="shared" si="120"/>
        <v>#VALUE!</v>
      </c>
      <c r="CA60" s="3177"/>
      <c r="CB60" s="3177" t="e">
        <f t="shared" si="120"/>
        <v>#VALUE!</v>
      </c>
      <c r="CC60" s="3177"/>
    </row>
    <row r="62" spans="1:86">
      <c r="A62" t="s">
        <v>1405</v>
      </c>
      <c r="E62" s="115">
        <f>MAX(MAX(B56:CC56),-MIN(B56:CC56))</f>
        <v>98.098593749999992</v>
      </c>
      <c r="F62" t="s">
        <v>620</v>
      </c>
      <c r="G62" t="s">
        <v>1407</v>
      </c>
      <c r="K62" t="s">
        <v>888</v>
      </c>
    </row>
    <row r="63" spans="1:86">
      <c r="A63" t="s">
        <v>1406</v>
      </c>
      <c r="E63" s="115">
        <f>MAX(B59:CC59)</f>
        <v>77.989921875000022</v>
      </c>
      <c r="F63" t="s">
        <v>620</v>
      </c>
      <c r="G63" t="s">
        <v>1408</v>
      </c>
      <c r="K63" t="s">
        <v>889</v>
      </c>
    </row>
    <row r="64" spans="1:86">
      <c r="A64" t="s">
        <v>1409</v>
      </c>
      <c r="E64" s="115">
        <f>MAX(B58:CC58)</f>
        <v>166.546875</v>
      </c>
      <c r="F64" t="s">
        <v>341</v>
      </c>
    </row>
    <row r="66" spans="1:9">
      <c r="A66" s="61"/>
      <c r="B66" s="46"/>
      <c r="C66" s="46"/>
    </row>
    <row r="69" spans="1:9">
      <c r="H69" s="36">
        <f>B19</f>
        <v>17.82</v>
      </c>
    </row>
    <row r="71" spans="1:9">
      <c r="A71" t="s">
        <v>1061</v>
      </c>
      <c r="E71" s="187" t="s">
        <v>742</v>
      </c>
      <c r="I71" s="191" t="s">
        <v>743</v>
      </c>
    </row>
    <row r="72" spans="1:9">
      <c r="A72" s="187" t="s">
        <v>823</v>
      </c>
      <c r="B72" s="1374">
        <f>B56</f>
        <v>0</v>
      </c>
      <c r="C72" s="187" t="s">
        <v>620</v>
      </c>
    </row>
    <row r="73" spans="1:9">
      <c r="A73" s="187" t="s">
        <v>824</v>
      </c>
      <c r="B73" s="1374">
        <f>C56</f>
        <v>98.098593749999992</v>
      </c>
      <c r="C73" s="187" t="s">
        <v>620</v>
      </c>
      <c r="F73" s="33">
        <f>B21</f>
        <v>2.25</v>
      </c>
      <c r="G73" s="187" t="s">
        <v>5</v>
      </c>
    </row>
    <row r="75" spans="1:9">
      <c r="E75" s="191" t="str">
        <f>"R1="&amp;FIXED(B58,2)</f>
        <v>R1=79.35</v>
      </c>
      <c r="H75" s="203" t="str">
        <f>"R2="&amp;FIXED(C58,2)</f>
        <v>R2=166.55</v>
      </c>
    </row>
    <row r="77" spans="1:9">
      <c r="A77" t="str">
        <f>"R1 = ( "&amp;FIXED(H69,2)&amp;" * "&amp;F73&amp;"^ 2 / 2 - ( "&amp;B72&amp;" ) - "&amp;B73&amp;" ) / "&amp;F73&amp;" ="</f>
        <v>R1 = ( 17.82 * 2.25^ 2 / 2 - ( 0 ) - 98.09859375 ) / 2.25 =</v>
      </c>
      <c r="G77" s="33">
        <f>(H69*F73^2/2-B72-B73)/F73</f>
        <v>-23.551874999999995</v>
      </c>
      <c r="H77" t="s">
        <v>341</v>
      </c>
    </row>
    <row r="78" spans="1:9">
      <c r="A78" t="str">
        <f>"R2  =  "&amp;FIXED(H69,2)&amp;" * "&amp;F73&amp;" - "&amp;FIXED(G77,2)&amp;" ="</f>
        <v>R2  =  17.82 * 2.25 - -23.55 =</v>
      </c>
      <c r="G78" s="33">
        <f>H69*F73-G77</f>
        <v>63.646874999999994</v>
      </c>
      <c r="H78" t="s">
        <v>341</v>
      </c>
    </row>
    <row r="79" spans="1:9">
      <c r="A79" t="str">
        <f>"Xvo = "&amp;F73&amp;" * "&amp;FIXED(G77,2)&amp;" / ( "&amp;FIXED(G77,2)&amp;" + "&amp;FIXED(G78,2)&amp;" ) ="</f>
        <v>Xvo = 2.25 * -23.55 / ( -23.55 + 63.65 ) =</v>
      </c>
      <c r="G79" s="33">
        <f>F73*G77/(G77+G78)</f>
        <v>-1.3216540404040402</v>
      </c>
      <c r="H79" t="s">
        <v>5</v>
      </c>
    </row>
    <row r="80" spans="1:9">
      <c r="A80" t="str">
        <f>"Mc = "&amp;B72&amp;" + 0.5 * "&amp;FIXED(G77,2)&amp;" * "&amp;FIXED(G79,2)&amp;" ="</f>
        <v>Mc = 0 + 0.5 * -23.55 * -1.32 =</v>
      </c>
      <c r="G80" s="33">
        <f>B72+0.5*G77*G79</f>
        <v>15.563715376420449</v>
      </c>
      <c r="H80" s="187" t="s">
        <v>620</v>
      </c>
    </row>
    <row r="82" spans="1:8">
      <c r="A82" t="s">
        <v>828</v>
      </c>
      <c r="G82" s="742">
        <f>MAX(ABS(B72),ABS(B73))</f>
        <v>98.098593749999992</v>
      </c>
      <c r="H82" s="187" t="s">
        <v>620</v>
      </c>
    </row>
    <row r="83" spans="1:8">
      <c r="A83" t="s">
        <v>829</v>
      </c>
      <c r="G83" s="742">
        <f>ABS(G80)</f>
        <v>15.563715376420449</v>
      </c>
      <c r="H83" s="187" t="s">
        <v>620</v>
      </c>
    </row>
    <row r="84" spans="1:8">
      <c r="A84" t="s">
        <v>827</v>
      </c>
      <c r="G84" s="742">
        <f>MAX(G77:G78)</f>
        <v>63.646874999999994</v>
      </c>
      <c r="H84" s="187" t="s">
        <v>620</v>
      </c>
    </row>
    <row r="88" spans="1:8">
      <c r="D88" s="187"/>
    </row>
    <row r="89" spans="1:8">
      <c r="A89" s="187"/>
    </row>
  </sheetData>
  <sheetProtection sheet="1" objects="1" scenarios="1" selectLockedCells="1"/>
  <mergeCells count="281">
    <mergeCell ref="BV59:BW59"/>
    <mergeCell ref="BX59:BY59"/>
    <mergeCell ref="BZ59:CA59"/>
    <mergeCell ref="CB59:CC59"/>
    <mergeCell ref="BD59:BE59"/>
    <mergeCell ref="BF59:BG59"/>
    <mergeCell ref="BH59:BI59"/>
    <mergeCell ref="BJ59:BK59"/>
    <mergeCell ref="BL59:BM59"/>
    <mergeCell ref="BN59:BO59"/>
    <mergeCell ref="BP59:BQ59"/>
    <mergeCell ref="BR59:BS59"/>
    <mergeCell ref="BT59:BU59"/>
    <mergeCell ref="AL59:AM59"/>
    <mergeCell ref="AN59:AO59"/>
    <mergeCell ref="AP59:AQ59"/>
    <mergeCell ref="AR59:AS59"/>
    <mergeCell ref="AT59:AU59"/>
    <mergeCell ref="AV59:AW59"/>
    <mergeCell ref="AX59:AY59"/>
    <mergeCell ref="AZ59:BA59"/>
    <mergeCell ref="BB59:BC59"/>
    <mergeCell ref="T59:U59"/>
    <mergeCell ref="V59:W59"/>
    <mergeCell ref="X59:Y59"/>
    <mergeCell ref="Z59:AA59"/>
    <mergeCell ref="AB59:AC59"/>
    <mergeCell ref="AD59:AE59"/>
    <mergeCell ref="AF59:AG59"/>
    <mergeCell ref="AH59:AI59"/>
    <mergeCell ref="AJ59:AK59"/>
    <mergeCell ref="B59:C59"/>
    <mergeCell ref="D59:E59"/>
    <mergeCell ref="F59:G59"/>
    <mergeCell ref="H59:I59"/>
    <mergeCell ref="J59:K59"/>
    <mergeCell ref="L59:M59"/>
    <mergeCell ref="N59:O59"/>
    <mergeCell ref="P59:Q59"/>
    <mergeCell ref="R59:S59"/>
    <mergeCell ref="BV25:BW25"/>
    <mergeCell ref="BX25:BY25"/>
    <mergeCell ref="BZ25:CA25"/>
    <mergeCell ref="CB25:CC25"/>
    <mergeCell ref="BL25:BM25"/>
    <mergeCell ref="BN25:BO25"/>
    <mergeCell ref="BP25:BQ25"/>
    <mergeCell ref="BR25:BS25"/>
    <mergeCell ref="BT25:BU25"/>
    <mergeCell ref="BB25:BC25"/>
    <mergeCell ref="BD25:BE25"/>
    <mergeCell ref="BF25:BG25"/>
    <mergeCell ref="BH25:BI25"/>
    <mergeCell ref="BJ25:BK25"/>
    <mergeCell ref="AR25:AS25"/>
    <mergeCell ref="AT25:AU25"/>
    <mergeCell ref="AV25:AW25"/>
    <mergeCell ref="AX25:AY25"/>
    <mergeCell ref="AZ25:BA25"/>
    <mergeCell ref="AH25:AI25"/>
    <mergeCell ref="AJ25:AK25"/>
    <mergeCell ref="AL25:AM25"/>
    <mergeCell ref="AN25:AO25"/>
    <mergeCell ref="AP25:AQ25"/>
    <mergeCell ref="CB21:CC21"/>
    <mergeCell ref="D25:E25"/>
    <mergeCell ref="F25:G25"/>
    <mergeCell ref="H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AB25:AC25"/>
    <mergeCell ref="AD25:AE25"/>
    <mergeCell ref="AF25:AG25"/>
    <mergeCell ref="BR21:BS21"/>
    <mergeCell ref="BT21:BU21"/>
    <mergeCell ref="BV21:BW21"/>
    <mergeCell ref="BX21:BY21"/>
    <mergeCell ref="BZ21:CA21"/>
    <mergeCell ref="BH21:BI21"/>
    <mergeCell ref="BJ21:BK21"/>
    <mergeCell ref="BL21:BM21"/>
    <mergeCell ref="BN21:BO21"/>
    <mergeCell ref="BP21:BQ21"/>
    <mergeCell ref="AX21:AY21"/>
    <mergeCell ref="AZ21:BA21"/>
    <mergeCell ref="BB21:BC21"/>
    <mergeCell ref="BD21:BE21"/>
    <mergeCell ref="BF21:BG21"/>
    <mergeCell ref="AN21:AO21"/>
    <mergeCell ref="AP21:AQ21"/>
    <mergeCell ref="AR21:AS21"/>
    <mergeCell ref="AT21:AU21"/>
    <mergeCell ref="AV21:AW21"/>
    <mergeCell ref="BZ20:CA20"/>
    <mergeCell ref="CB20:CC20"/>
    <mergeCell ref="L21:M21"/>
    <mergeCell ref="N21:O21"/>
    <mergeCell ref="P21:Q21"/>
    <mergeCell ref="R21:S21"/>
    <mergeCell ref="T21:U21"/>
    <mergeCell ref="V21:W21"/>
    <mergeCell ref="X21:Y21"/>
    <mergeCell ref="Z21:AA21"/>
    <mergeCell ref="AB21:AC21"/>
    <mergeCell ref="AD21:AE21"/>
    <mergeCell ref="AF21:AG21"/>
    <mergeCell ref="AH21:AI21"/>
    <mergeCell ref="AJ21:AK21"/>
    <mergeCell ref="AL21:AM21"/>
    <mergeCell ref="BP20:BQ20"/>
    <mergeCell ref="BR20:BS20"/>
    <mergeCell ref="BT20:BU20"/>
    <mergeCell ref="BV20:BW20"/>
    <mergeCell ref="BX20:BY20"/>
    <mergeCell ref="BF20:BG20"/>
    <mergeCell ref="BH20:BI20"/>
    <mergeCell ref="BJ20:BK20"/>
    <mergeCell ref="BL20:BM20"/>
    <mergeCell ref="BN20:BO20"/>
    <mergeCell ref="AV20:AW20"/>
    <mergeCell ref="AX20:AY20"/>
    <mergeCell ref="AZ20:BA20"/>
    <mergeCell ref="BB20:BC20"/>
    <mergeCell ref="BD20:BE20"/>
    <mergeCell ref="AL20:AM20"/>
    <mergeCell ref="AN20:AO20"/>
    <mergeCell ref="AP20:AQ20"/>
    <mergeCell ref="AR20:AS20"/>
    <mergeCell ref="AT20:AU20"/>
    <mergeCell ref="BX19:BY19"/>
    <mergeCell ref="BZ19:CA19"/>
    <mergeCell ref="CB19:CC19"/>
    <mergeCell ref="L20:M20"/>
    <mergeCell ref="N20:O20"/>
    <mergeCell ref="P20:Q20"/>
    <mergeCell ref="R20:S20"/>
    <mergeCell ref="T20:U20"/>
    <mergeCell ref="V20:W20"/>
    <mergeCell ref="X20:Y20"/>
    <mergeCell ref="Z20:AA20"/>
    <mergeCell ref="AB20:AC20"/>
    <mergeCell ref="AD20:AE20"/>
    <mergeCell ref="AF20:AG20"/>
    <mergeCell ref="AH20:AI20"/>
    <mergeCell ref="AJ20:AK20"/>
    <mergeCell ref="BN19:BO19"/>
    <mergeCell ref="BP19:BQ19"/>
    <mergeCell ref="BR19:BS19"/>
    <mergeCell ref="BT19:BU19"/>
    <mergeCell ref="BV19:BW19"/>
    <mergeCell ref="BD19:BE19"/>
    <mergeCell ref="BF19:BG19"/>
    <mergeCell ref="BH19:BI19"/>
    <mergeCell ref="BJ19:BK19"/>
    <mergeCell ref="BL19:BM19"/>
    <mergeCell ref="AT19:AU19"/>
    <mergeCell ref="AV19:AW19"/>
    <mergeCell ref="AX19:AY19"/>
    <mergeCell ref="AZ19:BA19"/>
    <mergeCell ref="BB19:BC19"/>
    <mergeCell ref="AJ19:AK19"/>
    <mergeCell ref="AL19:AM19"/>
    <mergeCell ref="AN19:AO19"/>
    <mergeCell ref="AP19:AQ19"/>
    <mergeCell ref="AR19:AS19"/>
    <mergeCell ref="Z19:AA19"/>
    <mergeCell ref="AB19:AC19"/>
    <mergeCell ref="AD19:AE19"/>
    <mergeCell ref="AF19:AG19"/>
    <mergeCell ref="AH19:AI19"/>
    <mergeCell ref="P19:Q19"/>
    <mergeCell ref="R19:S19"/>
    <mergeCell ref="T19:U19"/>
    <mergeCell ref="V19:W19"/>
    <mergeCell ref="X19:Y19"/>
    <mergeCell ref="F21:G21"/>
    <mergeCell ref="H21:I21"/>
    <mergeCell ref="J21:K21"/>
    <mergeCell ref="L19:M19"/>
    <mergeCell ref="N19:O19"/>
    <mergeCell ref="F19:G19"/>
    <mergeCell ref="H19:I19"/>
    <mergeCell ref="J19:K19"/>
    <mergeCell ref="D20:E20"/>
    <mergeCell ref="F20:G20"/>
    <mergeCell ref="H20:I20"/>
    <mergeCell ref="J20:K20"/>
    <mergeCell ref="B19:C19"/>
    <mergeCell ref="B20:C20"/>
    <mergeCell ref="B21:C21"/>
    <mergeCell ref="B25:C25"/>
    <mergeCell ref="D19:E19"/>
    <mergeCell ref="D21:E21"/>
    <mergeCell ref="BV18:BW18"/>
    <mergeCell ref="BX18:BY18"/>
    <mergeCell ref="BZ18:CA18"/>
    <mergeCell ref="CB18:CC18"/>
    <mergeCell ref="BJ18:BK18"/>
    <mergeCell ref="BL18:BM18"/>
    <mergeCell ref="BN18:BO18"/>
    <mergeCell ref="BP18:BQ18"/>
    <mergeCell ref="BR18:BS18"/>
    <mergeCell ref="BT18:BU18"/>
    <mergeCell ref="BH18:BI18"/>
    <mergeCell ref="AL18:AM18"/>
    <mergeCell ref="AN18:AO18"/>
    <mergeCell ref="AP18:AQ18"/>
    <mergeCell ref="AR18:AS18"/>
    <mergeCell ref="AT18:AU18"/>
    <mergeCell ref="AV18:AW18"/>
    <mergeCell ref="AX18:AY18"/>
    <mergeCell ref="AZ18:BA18"/>
    <mergeCell ref="BB18:BC18"/>
    <mergeCell ref="BD18:BE18"/>
    <mergeCell ref="BF18:BG18"/>
    <mergeCell ref="L18:M18"/>
    <mergeCell ref="B18:C18"/>
    <mergeCell ref="D18:E18"/>
    <mergeCell ref="F18:G18"/>
    <mergeCell ref="H18:I18"/>
    <mergeCell ref="J18:K18"/>
    <mergeCell ref="AJ18:AK18"/>
    <mergeCell ref="N18:O18"/>
    <mergeCell ref="P18:Q18"/>
    <mergeCell ref="R18:S18"/>
    <mergeCell ref="T18:U18"/>
    <mergeCell ref="V18:W18"/>
    <mergeCell ref="X18:Y18"/>
    <mergeCell ref="Z18:AA18"/>
    <mergeCell ref="AB18:AC18"/>
    <mergeCell ref="AD18:AE18"/>
    <mergeCell ref="AF18:AG18"/>
    <mergeCell ref="AH18:AI18"/>
    <mergeCell ref="V60:W60"/>
    <mergeCell ref="X60:Y60"/>
    <mergeCell ref="Z60:AA60"/>
    <mergeCell ref="AB60:AC60"/>
    <mergeCell ref="AD60:AE60"/>
    <mergeCell ref="AF60:AG60"/>
    <mergeCell ref="AH60:AI60"/>
    <mergeCell ref="AJ60:AK60"/>
    <mergeCell ref="B60:C60"/>
    <mergeCell ref="D60:E60"/>
    <mergeCell ref="F60:G60"/>
    <mergeCell ref="H60:I60"/>
    <mergeCell ref="J60:K60"/>
    <mergeCell ref="L60:M60"/>
    <mergeCell ref="N60:O60"/>
    <mergeCell ref="P60:Q60"/>
    <mergeCell ref="R60:S60"/>
    <mergeCell ref="BV60:BW60"/>
    <mergeCell ref="BX60:BY60"/>
    <mergeCell ref="BZ60:CA60"/>
    <mergeCell ref="CB60:CC60"/>
    <mergeCell ref="J4:J13"/>
    <mergeCell ref="BD60:BE60"/>
    <mergeCell ref="BF60:BG60"/>
    <mergeCell ref="BH60:BI60"/>
    <mergeCell ref="BJ60:BK60"/>
    <mergeCell ref="BL60:BM60"/>
    <mergeCell ref="BN60:BO60"/>
    <mergeCell ref="BP60:BQ60"/>
    <mergeCell ref="BR60:BS60"/>
    <mergeCell ref="BT60:BU60"/>
    <mergeCell ref="AL60:AM60"/>
    <mergeCell ref="AN60:AO60"/>
    <mergeCell ref="AP60:AQ60"/>
    <mergeCell ref="AR60:AS60"/>
    <mergeCell ref="AT60:AU60"/>
    <mergeCell ref="AV60:AW60"/>
    <mergeCell ref="AX60:AY60"/>
    <mergeCell ref="AZ60:BA60"/>
    <mergeCell ref="BB60:BC60"/>
    <mergeCell ref="T60:U60"/>
  </mergeCells>
  <pageMargins left="0.7" right="0.7" top="0.75" bottom="0.75" header="0.3" footer="0.3"/>
  <pageSetup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BN247"/>
  <sheetViews>
    <sheetView topLeftCell="A99" workbookViewId="0">
      <selection activeCell="L94" sqref="L94"/>
    </sheetView>
  </sheetViews>
  <sheetFormatPr defaultRowHeight="12.75"/>
  <sheetData>
    <row r="1" spans="1:66" ht="13.5" thickBot="1">
      <c r="D1" s="112" t="s">
        <v>200</v>
      </c>
      <c r="E1" s="46"/>
      <c r="F1" s="133">
        <v>16</v>
      </c>
      <c r="G1" s="109" t="s">
        <v>179</v>
      </c>
      <c r="BB1" s="2456"/>
      <c r="BC1" s="842"/>
      <c r="BD1" s="842"/>
      <c r="BE1" s="842"/>
      <c r="BF1" s="842"/>
      <c r="BG1" s="842"/>
      <c r="BH1" s="842"/>
      <c r="BI1" s="842"/>
      <c r="BJ1" s="842"/>
      <c r="BK1" s="842"/>
      <c r="BL1" s="673"/>
      <c r="BM1" s="673"/>
      <c r="BN1" s="672"/>
    </row>
    <row r="2" spans="1:66">
      <c r="A2" s="533" t="s">
        <v>918</v>
      </c>
      <c r="B2" s="534"/>
      <c r="K2" s="689" t="s">
        <v>275</v>
      </c>
      <c r="L2" s="690"/>
      <c r="M2" s="690"/>
      <c r="N2" s="679"/>
      <c r="O2" s="680"/>
      <c r="P2" s="681"/>
      <c r="BB2" s="1358"/>
      <c r="BC2" s="673"/>
      <c r="BD2" s="673"/>
      <c r="BE2" s="673"/>
      <c r="BF2" s="673"/>
      <c r="BG2" s="673"/>
      <c r="BH2" s="673"/>
      <c r="BI2" s="673"/>
      <c r="BJ2" s="673"/>
      <c r="BK2" s="673"/>
      <c r="BL2" s="673"/>
      <c r="BM2" s="673"/>
      <c r="BN2" s="672"/>
    </row>
    <row r="3" spans="1:66">
      <c r="A3" s="751"/>
      <c r="B3" s="536"/>
      <c r="D3" s="753" t="str">
        <f>"b  = "&amp;Hydraulic!C7&amp;" * "&amp;Hydraulic!I36&amp;" + "&amp;Hydraulic!D29&amp;" * "&amp;Hydraulic!I35&amp;"  ="</f>
        <v>b  = 2 * 1.5 + 1 * 0.75  =</v>
      </c>
      <c r="E3" s="753"/>
      <c r="F3" s="753"/>
      <c r="G3" s="756">
        <f>Hydraulic!C7*Hydraulic!I36+Hydraulic!D29*Hydraulic!I35</f>
        <v>3.75</v>
      </c>
      <c r="K3" s="682" t="s">
        <v>161</v>
      </c>
      <c r="L3" s="670"/>
      <c r="M3" s="671" t="s">
        <v>162</v>
      </c>
      <c r="N3" s="669"/>
      <c r="O3" s="678" t="s">
        <v>980</v>
      </c>
      <c r="P3" s="683"/>
      <c r="BB3" s="1358"/>
      <c r="BC3" s="673"/>
      <c r="BD3" s="673"/>
      <c r="BE3" s="673"/>
      <c r="BF3" s="673"/>
      <c r="BG3" s="673"/>
      <c r="BH3" s="673"/>
      <c r="BI3" s="673"/>
      <c r="BJ3" s="673"/>
      <c r="BK3" s="673"/>
      <c r="BL3" s="673"/>
      <c r="BM3" s="673"/>
      <c r="BN3" s="672"/>
    </row>
    <row r="4" spans="1:66">
      <c r="A4" s="535">
        <f>Hydraulic!C10*1000</f>
        <v>10000</v>
      </c>
      <c r="B4" s="536" t="s">
        <v>98</v>
      </c>
      <c r="K4" s="684" t="s">
        <v>165</v>
      </c>
      <c r="L4" s="672"/>
      <c r="M4" s="676" t="s">
        <v>166</v>
      </c>
      <c r="N4" s="673"/>
      <c r="O4" s="687" t="s">
        <v>163</v>
      </c>
      <c r="P4" s="683"/>
      <c r="AQ4" s="159" t="str">
        <f>IF(AND(Hydraulic!P169&lt;1.5*Hydraulic!V169,Hydraulic!Q169&lt;=Hydraulic!AA169),"Condition - 5 will occur","Condition - 5 will not occur")</f>
        <v>Condition - 5 will occur</v>
      </c>
      <c r="AR4" s="159"/>
      <c r="AS4" s="159"/>
      <c r="BB4" s="1358"/>
      <c r="BC4" s="673"/>
      <c r="BD4" s="673"/>
      <c r="BE4" s="673"/>
      <c r="BF4" s="673"/>
      <c r="BG4" s="673"/>
      <c r="BH4" s="673"/>
      <c r="BI4" s="673"/>
      <c r="BJ4" s="673"/>
      <c r="BK4" s="673"/>
      <c r="BL4" s="673"/>
      <c r="BM4" s="673"/>
      <c r="BN4" s="672"/>
    </row>
    <row r="5" spans="1:66">
      <c r="A5" s="535">
        <f>Hydraulic!D34*1000</f>
        <v>1500</v>
      </c>
      <c r="B5" s="536" t="s">
        <v>98</v>
      </c>
      <c r="D5" s="753" t="str">
        <f>"b  = "&amp;Hydraulic!C7&amp;" * "&amp;Hydraulic!I36&amp;" + "&amp;Hydraulic!D29&amp;" * "&amp;Hydraulic!I35&amp;"  ="</f>
        <v>b  = 2 * 1.5 + 1 * 0.75  =</v>
      </c>
      <c r="E5" s="753"/>
      <c r="F5" s="753"/>
      <c r="G5" s="756">
        <f>Hydraulic!C7*Hydraulic!I36+Hydraulic!D29*Hydraulic!I35</f>
        <v>3.75</v>
      </c>
      <c r="H5" s="753"/>
      <c r="K5" s="685" t="s">
        <v>979</v>
      </c>
      <c r="L5" s="674"/>
      <c r="M5" s="677" t="s">
        <v>978</v>
      </c>
      <c r="N5" s="675"/>
      <c r="O5" s="688" t="s">
        <v>164</v>
      </c>
      <c r="P5" s="683"/>
      <c r="AQ5" s="207" t="s">
        <v>981</v>
      </c>
      <c r="AR5" s="127"/>
      <c r="AS5" s="159" t="str">
        <f>IF(AND(Hydraulic!N177&lt;1.5*Hydraulic!D183,Hydraulic!O177&lt;=Hydraulic!S177),"Condition - 5 will occur","Condition - 5 will not occur")</f>
        <v>Condition - 5 will not occur</v>
      </c>
      <c r="AT5" s="159"/>
      <c r="AU5" s="159"/>
      <c r="AW5" s="46"/>
      <c r="AX5" s="46"/>
      <c r="BB5" s="1358"/>
      <c r="BC5" s="673"/>
      <c r="BD5" s="673"/>
      <c r="BE5" s="673"/>
      <c r="BF5" s="673"/>
      <c r="BG5" s="673"/>
      <c r="BH5" s="673"/>
      <c r="BI5" s="673"/>
      <c r="BJ5" s="673"/>
      <c r="BK5" s="673"/>
      <c r="BL5" s="673"/>
      <c r="BM5" s="673"/>
      <c r="BN5" s="672"/>
    </row>
    <row r="6" spans="1:66">
      <c r="A6" s="535">
        <f>Hydraulic!D36*1000</f>
        <v>300</v>
      </c>
      <c r="B6" s="536" t="s">
        <v>98</v>
      </c>
      <c r="AW6" s="46"/>
      <c r="AX6" s="46"/>
      <c r="BB6" s="1358"/>
      <c r="BC6" s="673"/>
      <c r="BD6" s="673"/>
      <c r="BE6" s="673"/>
      <c r="BF6" s="673"/>
      <c r="BG6" s="673"/>
      <c r="BH6" s="673"/>
      <c r="BI6" s="673"/>
      <c r="BJ6" s="673"/>
      <c r="BK6" s="673"/>
      <c r="BL6" s="673"/>
      <c r="BM6" s="673"/>
      <c r="BN6" s="672"/>
    </row>
    <row r="7" spans="1:66" ht="15.75">
      <c r="A7" s="535"/>
      <c r="B7" s="536"/>
      <c r="D7" s="113" t="s">
        <v>60</v>
      </c>
      <c r="E7" s="80">
        <f>Hydraulic!T169</f>
        <v>3</v>
      </c>
      <c r="F7" s="26" t="s">
        <v>5</v>
      </c>
      <c r="G7" s="46"/>
      <c r="AQ7" s="113" t="s">
        <v>170</v>
      </c>
      <c r="AS7" s="26" t="s">
        <v>5</v>
      </c>
      <c r="AT7" s="26" t="s">
        <v>178</v>
      </c>
      <c r="AU7" s="666"/>
      <c r="AX7" s="26" t="s">
        <v>198</v>
      </c>
      <c r="AY7" s="129">
        <f>Hydraulic!R177*35.31</f>
        <v>1503.8848933882575</v>
      </c>
      <c r="AZ7" s="26" t="s">
        <v>54</v>
      </c>
      <c r="BB7" s="1358"/>
      <c r="BC7" s="673"/>
      <c r="BD7" s="673"/>
      <c r="BE7" s="673"/>
      <c r="BF7" s="673"/>
      <c r="BG7" s="673"/>
      <c r="BH7" s="673"/>
      <c r="BI7" s="673"/>
      <c r="BJ7" s="673"/>
      <c r="BK7" s="673"/>
      <c r="BL7" s="673"/>
      <c r="BM7" s="673"/>
      <c r="BN7" s="672"/>
    </row>
    <row r="8" spans="1:66" ht="14.25">
      <c r="A8" s="535">
        <f>Hydraulic!D37*1000</f>
        <v>300</v>
      </c>
      <c r="B8" s="536" t="s">
        <v>98</v>
      </c>
      <c r="D8" s="113" t="s">
        <v>180</v>
      </c>
      <c r="F8" s="26" t="s">
        <v>5</v>
      </c>
      <c r="AQ8" s="113" t="s">
        <v>171</v>
      </c>
      <c r="AS8" s="26" t="s">
        <v>5</v>
      </c>
      <c r="AT8" s="487" t="s">
        <v>1540</v>
      </c>
      <c r="AU8" s="163"/>
      <c r="AV8" s="164"/>
      <c r="AX8" s="164" t="s">
        <v>5</v>
      </c>
      <c r="AY8" s="46"/>
      <c r="AZ8" s="46"/>
      <c r="BB8" s="1358"/>
      <c r="BC8" s="673"/>
      <c r="BD8" s="673"/>
      <c r="BE8" s="673"/>
      <c r="BF8" s="673"/>
      <c r="BG8" s="673"/>
      <c r="BH8" s="673"/>
      <c r="BI8" s="673"/>
      <c r="BJ8" s="673"/>
      <c r="BK8" s="673"/>
      <c r="BL8" s="673"/>
      <c r="BM8" s="673"/>
      <c r="BN8" s="672"/>
    </row>
    <row r="9" spans="1:66">
      <c r="A9" s="535">
        <f>Hydraulic!D38*1000</f>
        <v>1500</v>
      </c>
      <c r="B9" s="536" t="s">
        <v>98</v>
      </c>
      <c r="D9" s="113" t="s">
        <v>177</v>
      </c>
      <c r="E9" s="668">
        <f>Hydraulic!M169</f>
        <v>1.35</v>
      </c>
      <c r="F9" s="30" t="s">
        <v>706</v>
      </c>
      <c r="Z9" s="46"/>
      <c r="AQ9" s="113" t="s">
        <v>195</v>
      </c>
      <c r="AS9" t="s">
        <v>5</v>
      </c>
      <c r="BB9" s="1358"/>
      <c r="BC9" s="673"/>
      <c r="BD9" s="673"/>
      <c r="BE9" s="673"/>
      <c r="BF9" s="673"/>
      <c r="BG9" s="673"/>
      <c r="BH9" s="673"/>
      <c r="BI9" s="673"/>
      <c r="BJ9" s="673"/>
      <c r="BK9" s="673"/>
      <c r="BL9" s="673"/>
      <c r="BM9" s="673"/>
      <c r="BN9" s="672"/>
    </row>
    <row r="10" spans="1:66" ht="15.75">
      <c r="A10" s="537">
        <f>SUM(A4:A9)/1000</f>
        <v>13.6</v>
      </c>
      <c r="B10" s="538" t="s">
        <v>5</v>
      </c>
      <c r="K10" t="s">
        <v>299</v>
      </c>
      <c r="N10" s="153">
        <f>Hydraulic!C19</f>
        <v>23.6</v>
      </c>
      <c r="O10" s="26" t="s">
        <v>251</v>
      </c>
      <c r="Z10" s="46"/>
      <c r="AQ10" s="1" t="s">
        <v>963</v>
      </c>
      <c r="AW10" s="113" t="s">
        <v>168</v>
      </c>
      <c r="AX10" s="187" t="s">
        <v>958</v>
      </c>
      <c r="BB10" s="1358"/>
      <c r="BC10" s="673"/>
      <c r="BD10" s="673"/>
      <c r="BE10" s="673"/>
      <c r="BF10" s="673"/>
      <c r="BG10" s="673"/>
      <c r="BH10" s="673"/>
      <c r="BI10" s="673"/>
      <c r="BJ10" s="673"/>
      <c r="BK10" s="673"/>
      <c r="BL10" s="673"/>
      <c r="BM10" s="673"/>
      <c r="BN10" s="672"/>
    </row>
    <row r="11" spans="1:66" ht="15">
      <c r="D11" s="203" t="s">
        <v>1502</v>
      </c>
      <c r="E11" s="80">
        <f>Hydraulic!T170</f>
        <v>3</v>
      </c>
      <c r="F11" s="26" t="s">
        <v>5</v>
      </c>
      <c r="K11" t="s">
        <v>300</v>
      </c>
      <c r="N11" s="153">
        <f>Hydraulic!C20</f>
        <v>9.81</v>
      </c>
      <c r="O11" s="26" t="s">
        <v>251</v>
      </c>
      <c r="Z11" s="46"/>
      <c r="AF11" s="224"/>
      <c r="AG11" s="46"/>
      <c r="AH11" s="46"/>
      <c r="AI11" s="46"/>
      <c r="AJ11" s="46"/>
      <c r="AK11" s="46"/>
      <c r="AL11" s="46"/>
      <c r="AM11" s="337"/>
      <c r="AN11" s="46"/>
      <c r="AQ11" s="207" t="s">
        <v>982</v>
      </c>
      <c r="AR11" s="126"/>
      <c r="AS11" s="126" t="str">
        <f>IF(AND(Hydraulic!P170&lt;1.5*Hydraulic!V170,Hydraulic!Q170&gt;Hydraulic!AA170),"Condition - 4 will occur","Condition - 4 will not occur")</f>
        <v>Condition - 4 will not occur</v>
      </c>
      <c r="AT11" s="126"/>
      <c r="AU11" s="126"/>
      <c r="AX11" s="26" t="s">
        <v>167</v>
      </c>
      <c r="BB11" s="1358"/>
      <c r="BC11" s="673"/>
      <c r="BD11" s="673"/>
      <c r="BE11" s="673"/>
      <c r="BF11" s="673"/>
      <c r="BG11" s="673"/>
      <c r="BH11" s="673"/>
      <c r="BI11" s="673"/>
      <c r="BJ11" s="673"/>
      <c r="BK11" s="673"/>
      <c r="BL11" s="673"/>
      <c r="BM11" s="673"/>
      <c r="BN11" s="672"/>
    </row>
    <row r="12" spans="1:66" ht="15">
      <c r="D12" s="203" t="s">
        <v>1682</v>
      </c>
      <c r="E12" s="35">
        <f>Hydraulic!V170</f>
        <v>1.8</v>
      </c>
      <c r="F12" s="26" t="s">
        <v>5</v>
      </c>
      <c r="P12" s="224">
        <f>+'RS Wing'!I55+'RS Wing'!J53</f>
        <v>1.2</v>
      </c>
      <c r="AF12" s="337"/>
      <c r="AG12" s="337"/>
      <c r="AH12" s="337"/>
      <c r="AI12" s="337"/>
      <c r="AJ12" s="337"/>
      <c r="AK12" s="337" t="e">
        <f>'RS Wing'!#REF!</f>
        <v>#REF!</v>
      </c>
      <c r="AL12" s="337"/>
      <c r="AN12" s="46"/>
      <c r="AX12" s="26" t="s">
        <v>173</v>
      </c>
      <c r="BB12" s="1358"/>
      <c r="BC12" s="673"/>
      <c r="BD12" s="673"/>
      <c r="BE12" s="673"/>
      <c r="BF12" s="673"/>
      <c r="BG12" s="673"/>
      <c r="BH12" s="673"/>
      <c r="BI12" s="673"/>
      <c r="BJ12" s="673"/>
      <c r="BK12" s="673"/>
      <c r="BL12" s="673"/>
      <c r="BM12" s="673"/>
      <c r="BN12" s="672"/>
    </row>
    <row r="13" spans="1:66" ht="15">
      <c r="D13" s="113" t="s">
        <v>177</v>
      </c>
      <c r="E13" s="1794">
        <v>0.82</v>
      </c>
      <c r="F13" s="30" t="s">
        <v>969</v>
      </c>
      <c r="U13" s="337"/>
      <c r="W13" s="337"/>
      <c r="X13" s="337"/>
      <c r="Y13" s="337"/>
      <c r="Z13" s="337"/>
      <c r="AA13" s="337"/>
      <c r="AC13" s="337"/>
      <c r="AF13" s="337"/>
      <c r="AG13" s="849" t="e">
        <f>'RS Wing'!#REF!</f>
        <v>#REF!</v>
      </c>
      <c r="AH13" s="337"/>
      <c r="AI13" s="852" t="e">
        <f>'RS Wing'!#REF!</f>
        <v>#REF!</v>
      </c>
      <c r="AJ13" s="849" t="e">
        <f>'RS Wing'!#REF!</f>
        <v>#REF!</v>
      </c>
      <c r="AK13" s="337"/>
      <c r="AL13" s="337"/>
      <c r="AN13" s="46"/>
      <c r="AQ13" s="113" t="s">
        <v>170</v>
      </c>
      <c r="AS13" s="203" t="s">
        <v>967</v>
      </c>
      <c r="AU13" s="26" t="s">
        <v>5</v>
      </c>
      <c r="AX13" s="187" t="s">
        <v>185</v>
      </c>
      <c r="BB13" s="1358"/>
      <c r="BC13" s="673"/>
      <c r="BD13" s="673"/>
      <c r="BE13" s="673"/>
      <c r="BF13" s="673"/>
      <c r="BG13" s="673"/>
      <c r="BH13" s="673"/>
      <c r="BI13" s="673"/>
      <c r="BJ13" s="673"/>
      <c r="BK13" s="673"/>
      <c r="BL13" s="673"/>
      <c r="BM13" s="673"/>
      <c r="BN13" s="672"/>
    </row>
    <row r="14" spans="1:66" ht="15">
      <c r="K14" s="1366" t="s">
        <v>1765</v>
      </c>
      <c r="L14" s="1883">
        <f>(DATA!C56-DATA!E57)*1000+DATA!B59</f>
        <v>5866.5366986024992</v>
      </c>
      <c r="M14" s="46"/>
      <c r="U14" s="337"/>
      <c r="W14" s="337"/>
      <c r="X14" s="337"/>
      <c r="Y14" s="337"/>
      <c r="Z14" s="340"/>
      <c r="AB14" s="337"/>
      <c r="AC14" s="337"/>
      <c r="AF14" s="337"/>
      <c r="AG14" s="337"/>
      <c r="AH14" s="851" t="e">
        <f>'RS Wing'!#REF!</f>
        <v>#REF!</v>
      </c>
      <c r="AI14" s="340"/>
      <c r="AJ14" s="337"/>
      <c r="AK14" s="337"/>
      <c r="AL14" s="337"/>
      <c r="AN14" s="46"/>
      <c r="AQ14" s="113" t="s">
        <v>171</v>
      </c>
      <c r="AS14" s="203" t="s">
        <v>968</v>
      </c>
      <c r="AU14" s="26" t="s">
        <v>5</v>
      </c>
      <c r="AX14" t="s">
        <v>455</v>
      </c>
      <c r="BB14" s="1358"/>
      <c r="BC14" s="673"/>
      <c r="BD14" s="673"/>
      <c r="BE14" s="673"/>
      <c r="BF14" s="673"/>
      <c r="BG14" s="673"/>
      <c r="BH14" s="673"/>
      <c r="BI14" s="673"/>
      <c r="BJ14" s="673"/>
      <c r="BK14" s="673"/>
      <c r="BL14" s="673"/>
      <c r="BM14" s="673"/>
      <c r="BN14" s="672"/>
    </row>
    <row r="15" spans="1:66" ht="15">
      <c r="D15" s="113" t="s">
        <v>189</v>
      </c>
      <c r="E15" s="80">
        <f>Hydraulic!U171</f>
        <v>5.4</v>
      </c>
      <c r="F15" s="26" t="s">
        <v>5</v>
      </c>
      <c r="K15" s="549" t="s">
        <v>1766</v>
      </c>
      <c r="L15" s="1884">
        <f>(DATA!G54-DATA!E57)*1000+DATA!G57+DATA!I59</f>
        <v>6433.4633013975008</v>
      </c>
      <c r="M15" s="46"/>
      <c r="U15" s="337"/>
      <c r="Z15" s="340"/>
      <c r="AA15" s="337"/>
      <c r="AB15" s="337"/>
      <c r="AC15" s="337"/>
      <c r="AF15" s="337"/>
      <c r="AG15" s="337"/>
      <c r="AH15" s="337"/>
      <c r="AI15" s="340"/>
      <c r="AJ15" s="337"/>
      <c r="AK15" s="337"/>
      <c r="AL15" s="337"/>
      <c r="AN15" s="46"/>
      <c r="AQ15" s="113" t="s">
        <v>195</v>
      </c>
      <c r="AS15" s="113" t="s">
        <v>177</v>
      </c>
      <c r="BB15" s="1358"/>
      <c r="BC15" s="673"/>
      <c r="BD15" s="673"/>
      <c r="BE15" s="673"/>
      <c r="BF15" s="673"/>
      <c r="BG15" s="673"/>
      <c r="BH15" s="673"/>
      <c r="BI15" s="673"/>
      <c r="BJ15" s="673"/>
      <c r="BK15" s="673"/>
      <c r="BL15" s="673"/>
      <c r="BM15" s="673"/>
      <c r="BN15" s="672"/>
    </row>
    <row r="16" spans="1:66" ht="15">
      <c r="D16" s="113" t="s">
        <v>180</v>
      </c>
      <c r="E16" s="35">
        <f>Hydraulic!V171</f>
        <v>1.8</v>
      </c>
      <c r="F16" s="26" t="s">
        <v>5</v>
      </c>
      <c r="K16" s="960"/>
      <c r="L16" s="1239"/>
      <c r="M16" s="46"/>
      <c r="U16" s="337"/>
      <c r="W16" s="337"/>
      <c r="X16" s="337"/>
      <c r="Y16" s="337"/>
      <c r="Z16" s="340"/>
      <c r="AA16" s="337"/>
      <c r="AB16" s="337"/>
      <c r="AC16" s="337"/>
      <c r="AF16" s="337"/>
      <c r="AG16" s="337"/>
      <c r="AH16" s="337"/>
      <c r="AI16" s="340"/>
      <c r="AJ16" s="337"/>
      <c r="AK16" s="337"/>
      <c r="AL16" s="337"/>
      <c r="AN16" s="46"/>
      <c r="BB16" s="1358"/>
      <c r="BC16" s="673"/>
      <c r="BD16" s="673"/>
      <c r="BE16" s="673"/>
      <c r="BF16" s="673"/>
      <c r="BG16" s="673"/>
      <c r="BH16" s="673"/>
      <c r="BI16" s="673"/>
      <c r="BJ16" s="673"/>
      <c r="BK16" s="673"/>
      <c r="BL16" s="673"/>
      <c r="BM16" s="673"/>
      <c r="BN16" s="672"/>
    </row>
    <row r="17" spans="1:66" ht="15.75">
      <c r="K17" s="1885"/>
      <c r="L17" s="1244"/>
      <c r="M17" s="46"/>
      <c r="U17" s="337"/>
      <c r="V17" s="337"/>
      <c r="X17" s="337"/>
      <c r="Y17" s="337"/>
      <c r="Z17" s="340"/>
      <c r="AA17" s="337"/>
      <c r="AB17" s="337"/>
      <c r="AC17" s="337"/>
      <c r="AF17" s="190">
        <f>'RS Wing'!S135</f>
        <v>0</v>
      </c>
      <c r="AG17" s="337"/>
      <c r="AH17" s="337"/>
      <c r="AI17" s="340"/>
      <c r="AJ17" s="337"/>
      <c r="AK17" s="291"/>
      <c r="AL17" s="337"/>
      <c r="AN17" s="46"/>
      <c r="AR17" s="187" t="s">
        <v>983</v>
      </c>
      <c r="AS17" s="657"/>
      <c r="AV17" s="26" t="s">
        <v>198</v>
      </c>
      <c r="AW17" s="129">
        <f>Hydraulic!Z170*35.31</f>
        <v>328.50810601548147</v>
      </c>
      <c r="AX17" s="26" t="s">
        <v>54</v>
      </c>
      <c r="BB17" s="1358"/>
      <c r="BC17" s="673"/>
      <c r="BD17" s="673"/>
      <c r="BE17" s="673"/>
      <c r="BF17" s="673"/>
      <c r="BG17" s="673"/>
      <c r="BH17" s="673"/>
      <c r="BI17" s="673"/>
      <c r="BJ17" s="673"/>
      <c r="BK17" s="673"/>
      <c r="BL17" s="673"/>
      <c r="BM17" s="673"/>
      <c r="BN17" s="672"/>
    </row>
    <row r="18" spans="1:66" ht="15">
      <c r="D18" s="113" t="s">
        <v>197</v>
      </c>
      <c r="E18" s="80">
        <f>Hydraulic!C7*Hydraulic!C8*Hydraulic!E8</f>
        <v>5.4</v>
      </c>
      <c r="F18" s="26" t="s">
        <v>5</v>
      </c>
      <c r="P18" s="337">
        <v>2</v>
      </c>
      <c r="U18" s="337"/>
      <c r="X18" s="337"/>
      <c r="Y18" s="337"/>
      <c r="Z18" s="340"/>
      <c r="AA18" s="337"/>
      <c r="AB18" s="291"/>
      <c r="AC18" s="337"/>
      <c r="AF18" s="337"/>
      <c r="AG18" s="337"/>
      <c r="AH18" s="337"/>
      <c r="AI18" s="340"/>
      <c r="AJ18" s="337"/>
      <c r="AK18" s="337"/>
      <c r="AL18" s="337"/>
      <c r="AN18" s="46"/>
      <c r="AR18" s="487" t="s">
        <v>959</v>
      </c>
      <c r="AS18" s="163"/>
      <c r="AT18" s="164"/>
      <c r="AU18" s="165"/>
      <c r="AW18" t="s">
        <v>5</v>
      </c>
      <c r="BB18" s="1358"/>
      <c r="BC18" s="673"/>
      <c r="BD18" s="673"/>
      <c r="BE18" s="673"/>
      <c r="BF18" s="673"/>
      <c r="BG18" s="673"/>
      <c r="BH18" s="673"/>
      <c r="BI18" s="673"/>
      <c r="BJ18" s="673"/>
      <c r="BK18" s="673"/>
      <c r="BL18" s="673"/>
      <c r="BM18" s="673"/>
      <c r="BN18" s="672"/>
    </row>
    <row r="19" spans="1:66" ht="15">
      <c r="D19" s="113" t="s">
        <v>180</v>
      </c>
      <c r="E19" s="35">
        <f>Hydraulic!E8</f>
        <v>1.8</v>
      </c>
      <c r="F19" s="26" t="s">
        <v>5</v>
      </c>
      <c r="U19" s="337"/>
      <c r="V19" s="337"/>
      <c r="X19" s="337"/>
      <c r="Y19" s="337"/>
      <c r="Z19" s="340"/>
      <c r="AA19" s="337"/>
      <c r="AB19" s="337"/>
      <c r="AC19" s="337"/>
      <c r="AF19" s="337"/>
      <c r="AG19" s="337"/>
      <c r="AH19" s="337"/>
      <c r="AI19" s="340"/>
      <c r="AJ19" s="337"/>
      <c r="AK19" s="337"/>
      <c r="AL19" s="337"/>
      <c r="AN19" s="46"/>
      <c r="BB19" s="1358"/>
      <c r="BC19" s="673"/>
      <c r="BD19" s="673"/>
      <c r="BE19" s="673"/>
      <c r="BF19" s="673"/>
      <c r="BG19" s="673"/>
      <c r="BH19" s="673"/>
      <c r="BI19" s="673"/>
      <c r="BJ19" s="673"/>
      <c r="BK19" s="673"/>
      <c r="BL19" s="673"/>
      <c r="BM19" s="673"/>
      <c r="BN19" s="672"/>
    </row>
    <row r="20" spans="1:66" ht="15">
      <c r="D20" s="113" t="s">
        <v>177</v>
      </c>
      <c r="E20" s="1794">
        <v>0.80200000000000005</v>
      </c>
      <c r="P20" s="224">
        <f>2*0.5*('RS Wing'!H862+'RS Wing'!H880)*'RS Wing'!I869/'RS Wing'!F882</f>
        <v>0.25744014320877162</v>
      </c>
      <c r="U20" s="793"/>
      <c r="V20" s="337"/>
      <c r="X20" s="337"/>
      <c r="Y20" s="337"/>
      <c r="Z20" s="340"/>
      <c r="AA20" s="337"/>
      <c r="AB20" s="337"/>
      <c r="AC20" s="337"/>
      <c r="AF20" s="337"/>
      <c r="AG20" s="337"/>
      <c r="AH20" s="337"/>
      <c r="AI20" s="338" t="e">
        <f>('RS Wing'!#REF!+'RS Wing'!#REF!)*(AK21-AF21)/AI33+AF21</f>
        <v>#REF!</v>
      </c>
      <c r="AJ20" s="337"/>
      <c r="AK20" s="337"/>
      <c r="AL20" s="337"/>
      <c r="AN20" s="46"/>
      <c r="AQ20" s="207" t="s">
        <v>981</v>
      </c>
      <c r="AR20" s="126"/>
      <c r="AS20" s="126" t="str">
        <f>IF(AND(Hydraulic!N178&lt;1.5*'Run Off'!E12,Hydraulic!O178&gt;Hydraulic!S178),"Condition - 4 will occur","Condition - 4 will not occur")</f>
        <v>Condition - 4 will not occur</v>
      </c>
      <c r="AT20" s="126"/>
      <c r="AU20" s="126"/>
      <c r="AX20" s="16"/>
      <c r="BB20" s="1358"/>
      <c r="BC20" s="673"/>
      <c r="BD20" s="673"/>
      <c r="BE20" s="673"/>
      <c r="BF20" s="673"/>
      <c r="BG20" s="673"/>
      <c r="BH20" s="673"/>
      <c r="BI20" s="673"/>
      <c r="BJ20" s="673"/>
      <c r="BK20" s="673"/>
      <c r="BL20" s="2457"/>
      <c r="BM20" s="673"/>
      <c r="BN20" s="672"/>
    </row>
    <row r="21" spans="1:66" ht="15">
      <c r="E21" s="30" t="s">
        <v>971</v>
      </c>
      <c r="U21" s="337"/>
      <c r="V21" s="793"/>
      <c r="W21" s="115"/>
      <c r="X21" s="337"/>
      <c r="Y21" s="1933"/>
      <c r="Z21" s="340"/>
      <c r="AA21" s="337"/>
      <c r="AB21" s="337"/>
      <c r="AC21" s="337"/>
      <c r="AF21" s="223">
        <f>DATA!S32</f>
        <v>0</v>
      </c>
      <c r="AG21" s="337"/>
      <c r="AH21" s="115">
        <f>AG30*(AK21-AF21)/AI33+AF21</f>
        <v>0</v>
      </c>
      <c r="AI21" s="187" t="s">
        <v>5</v>
      </c>
      <c r="AJ21" s="2046">
        <f>AI31*(AK21-AF21)/AI33+AF21</f>
        <v>0</v>
      </c>
      <c r="AK21" s="54">
        <f>Hydraulic!T375</f>
        <v>0</v>
      </c>
      <c r="AL21" s="341" t="s">
        <v>5</v>
      </c>
      <c r="AM21" s="33">
        <f>Hydraulic!T375</f>
        <v>0</v>
      </c>
      <c r="AN21" s="109" t="s">
        <v>5</v>
      </c>
      <c r="AX21" s="16"/>
      <c r="BB21" s="1358"/>
      <c r="BC21" s="673"/>
      <c r="BD21" s="673"/>
      <c r="BE21" s="673"/>
      <c r="BF21" s="673"/>
      <c r="BG21" s="673"/>
      <c r="BH21" s="673"/>
      <c r="BI21" s="673"/>
      <c r="BJ21" s="673"/>
      <c r="BK21" s="673"/>
      <c r="BL21" s="673"/>
      <c r="BM21" s="673"/>
      <c r="BN21" s="672"/>
    </row>
    <row r="22" spans="1:66" ht="15.75">
      <c r="K22" s="1366"/>
      <c r="L22" s="56"/>
      <c r="U22" s="337"/>
      <c r="Y22" s="187"/>
      <c r="AF22" s="337"/>
      <c r="AG22" s="337"/>
      <c r="AH22" s="337"/>
      <c r="AI22" s="340"/>
      <c r="AJ22" s="337"/>
      <c r="AK22" s="337"/>
      <c r="AL22" s="337"/>
      <c r="AN22" s="46"/>
      <c r="AQ22" s="113" t="s">
        <v>170</v>
      </c>
      <c r="AS22" t="s">
        <v>5</v>
      </c>
      <c r="AT22" s="187" t="s">
        <v>984</v>
      </c>
      <c r="AU22" s="667"/>
      <c r="AX22" s="26" t="s">
        <v>198</v>
      </c>
      <c r="AY22" s="129">
        <f>Hydraulic!R178*35.31</f>
        <v>948.32121719506256</v>
      </c>
      <c r="AZ22" s="16" t="s">
        <v>54</v>
      </c>
      <c r="BB22" s="1358"/>
      <c r="BC22" s="673"/>
      <c r="BD22" s="673"/>
      <c r="BE22" s="673"/>
      <c r="BF22" s="673"/>
      <c r="BG22" s="673"/>
      <c r="BH22" s="673"/>
      <c r="BI22" s="673"/>
      <c r="BJ22" s="673"/>
      <c r="BK22" s="673"/>
      <c r="BL22" s="673"/>
      <c r="BM22" s="673"/>
      <c r="BN22" s="672"/>
    </row>
    <row r="23" spans="1:66" ht="15">
      <c r="A23" t="s">
        <v>398</v>
      </c>
      <c r="E23" s="33">
        <f>'Run Off'!B72</f>
        <v>10.50698850170877</v>
      </c>
      <c r="F23" s="187" t="s">
        <v>179</v>
      </c>
      <c r="K23" s="522">
        <v>0.74</v>
      </c>
      <c r="L23" s="523" t="s">
        <v>5</v>
      </c>
      <c r="U23" s="337"/>
      <c r="V23" s="337"/>
      <c r="X23" s="337"/>
      <c r="Y23" s="337"/>
      <c r="Z23" s="340"/>
      <c r="AA23" s="337"/>
      <c r="AB23" s="337"/>
      <c r="AC23" s="337"/>
      <c r="AF23" s="337"/>
      <c r="AG23" s="337"/>
      <c r="AH23" s="337"/>
      <c r="AI23" s="340"/>
      <c r="AJ23" s="337"/>
      <c r="AK23" s="337"/>
      <c r="AL23" s="337"/>
      <c r="AN23" s="46"/>
      <c r="AQ23" s="113" t="s">
        <v>171</v>
      </c>
      <c r="AS23" t="s">
        <v>5</v>
      </c>
      <c r="AT23" s="487" t="s">
        <v>959</v>
      </c>
      <c r="AU23" s="163"/>
      <c r="AV23" s="164"/>
      <c r="AW23" s="165"/>
      <c r="AY23" t="s">
        <v>5</v>
      </c>
      <c r="AZ23" s="16"/>
      <c r="BB23" s="1358"/>
      <c r="BC23" s="673"/>
      <c r="BD23" s="673"/>
      <c r="BE23" s="673"/>
      <c r="BF23" s="673"/>
      <c r="BG23" s="673"/>
      <c r="BH23" s="673"/>
      <c r="BI23" s="673"/>
      <c r="BJ23" s="673"/>
      <c r="BK23" s="673"/>
      <c r="BL23" s="673"/>
      <c r="BM23" s="673"/>
      <c r="BN23" s="672"/>
    </row>
    <row r="24" spans="1:66" ht="15">
      <c r="A24" s="187" t="s">
        <v>400</v>
      </c>
      <c r="E24" s="33">
        <f>'Run Off'!E72</f>
        <v>1.8411366771536775</v>
      </c>
      <c r="K24" s="522">
        <f>K23</f>
        <v>0.74</v>
      </c>
      <c r="L24" s="523" t="s">
        <v>5</v>
      </c>
      <c r="U24" s="337"/>
      <c r="V24" s="337"/>
      <c r="X24" s="337"/>
      <c r="Y24" s="337"/>
      <c r="Z24" s="340"/>
      <c r="AA24" s="337"/>
      <c r="AB24" s="337"/>
      <c r="AC24" s="337"/>
      <c r="AF24" s="337"/>
      <c r="AG24" s="337"/>
      <c r="AH24" s="337"/>
      <c r="AI24" s="340"/>
      <c r="AJ24" s="337"/>
      <c r="AK24" s="337"/>
      <c r="AL24" s="337"/>
      <c r="AN24" s="46"/>
      <c r="AQ24" s="113" t="s">
        <v>195</v>
      </c>
      <c r="AS24" t="s">
        <v>5</v>
      </c>
      <c r="AX24" s="16"/>
      <c r="BB24" s="1358"/>
      <c r="BC24" s="673"/>
      <c r="BD24" s="673"/>
      <c r="BE24" s="673"/>
      <c r="BF24" s="673"/>
      <c r="BG24" s="673"/>
      <c r="BH24" s="673"/>
      <c r="BI24" s="673"/>
      <c r="BJ24" s="673"/>
      <c r="BK24" s="673"/>
      <c r="BL24" s="673"/>
      <c r="BM24" s="673"/>
      <c r="BN24" s="672"/>
    </row>
    <row r="25" spans="1:66" ht="15">
      <c r="K25" s="835">
        <v>0.4</v>
      </c>
      <c r="L25" s="524" t="s">
        <v>5</v>
      </c>
      <c r="U25" s="337"/>
      <c r="V25" s="337"/>
      <c r="X25" s="337"/>
      <c r="Y25" s="337"/>
      <c r="Z25" s="340"/>
      <c r="AA25" s="337"/>
      <c r="AB25" s="337"/>
      <c r="AC25" s="337"/>
      <c r="AF25" s="190">
        <f>'RS Wing'!S135</f>
        <v>0</v>
      </c>
      <c r="AG25" s="337"/>
      <c r="AH25" s="337"/>
      <c r="AI25" s="340"/>
      <c r="AJ25" s="337"/>
      <c r="AK25" s="337"/>
      <c r="AL25" s="337"/>
      <c r="AN25" s="46"/>
      <c r="AQ25" s="16"/>
      <c r="AR25" s="75"/>
      <c r="AS25" s="75"/>
      <c r="AT25" s="75"/>
      <c r="AU25" s="75"/>
      <c r="AV25" s="75"/>
      <c r="AW25" s="75"/>
      <c r="AX25" s="16"/>
      <c r="BB25" s="1358"/>
      <c r="BC25" s="673"/>
      <c r="BD25" s="673"/>
      <c r="BE25" s="673"/>
      <c r="BF25" s="673"/>
      <c r="BG25" s="673"/>
      <c r="BH25" s="673"/>
      <c r="BI25" s="673"/>
      <c r="BJ25" s="673"/>
      <c r="BK25" s="673"/>
      <c r="BL25" s="673"/>
      <c r="BM25" s="673"/>
      <c r="BN25" s="672"/>
    </row>
    <row r="26" spans="1:66" ht="15">
      <c r="A26" s="1" t="s">
        <v>1006</v>
      </c>
      <c r="U26" s="337"/>
      <c r="X26" s="337"/>
      <c r="Y26" s="337"/>
      <c r="Z26" s="340"/>
      <c r="AA26" s="337"/>
      <c r="AB26" s="337"/>
      <c r="AC26" s="337"/>
      <c r="AF26" s="337"/>
      <c r="AG26" s="337"/>
      <c r="AH26" s="337"/>
      <c r="AI26" s="340"/>
      <c r="AJ26" s="337"/>
      <c r="AK26" s="337"/>
      <c r="AL26" s="337"/>
      <c r="AN26" s="46"/>
      <c r="AQ26" s="1" t="s">
        <v>964</v>
      </c>
      <c r="BB26" s="1358"/>
      <c r="BC26" s="673"/>
      <c r="BD26" s="673"/>
      <c r="BE26" s="673"/>
      <c r="BF26" s="673"/>
      <c r="BG26" s="673"/>
      <c r="BH26" s="673"/>
      <c r="BI26" s="673"/>
      <c r="BJ26" s="673"/>
      <c r="BK26" s="673"/>
      <c r="BL26" s="673"/>
      <c r="BM26" s="673"/>
      <c r="BN26" s="672"/>
    </row>
    <row r="27" spans="1:66" ht="15.75">
      <c r="A27" t="s">
        <v>61</v>
      </c>
      <c r="C27" t="s">
        <v>396</v>
      </c>
      <c r="D27" s="17"/>
      <c r="F27" s="54">
        <f>IF('Run Off'!D79&gt;=Hydraulic!I44,Hydraulic!I44,'Run Off'!D72)</f>
        <v>0.56459999999995236</v>
      </c>
      <c r="G27" s="26" t="s">
        <v>5</v>
      </c>
      <c r="U27" s="337"/>
      <c r="V27" s="337"/>
      <c r="X27" s="337"/>
      <c r="Y27" s="337"/>
      <c r="Z27" s="340"/>
      <c r="AA27" s="337"/>
      <c r="AB27" s="337"/>
      <c r="AC27" s="337"/>
      <c r="AF27" s="337"/>
      <c r="AG27" s="337"/>
      <c r="AH27" s="337"/>
      <c r="AI27" s="340"/>
      <c r="AJ27" s="337"/>
      <c r="AK27" s="337"/>
      <c r="AL27" s="337"/>
      <c r="AN27" s="46"/>
      <c r="AQ27" s="207" t="s">
        <v>982</v>
      </c>
      <c r="AR27" s="126"/>
      <c r="AS27" s="126" t="str">
        <f>IF(AND(Hydraulic!P171&gt;=1.5*Hydraulic!V171,Hydraulic!Q171&lt;Hydraulic!V171),"Condition - 3 will occur","Condition - 3 will not occur")</f>
        <v>Condition - 3 will not occur</v>
      </c>
      <c r="AT27" s="126"/>
      <c r="AW27" s="26" t="s">
        <v>168</v>
      </c>
      <c r="AX27" s="26" t="s">
        <v>183</v>
      </c>
      <c r="BB27" s="1358"/>
      <c r="BC27" s="673"/>
      <c r="BD27" s="673"/>
      <c r="BE27" s="673"/>
      <c r="BF27" s="673"/>
      <c r="BG27" s="673"/>
      <c r="BH27" s="673"/>
      <c r="BI27" s="673"/>
      <c r="BJ27" s="673"/>
      <c r="BK27" s="673"/>
      <c r="BL27" s="673"/>
      <c r="BM27" s="673"/>
      <c r="BN27" s="672"/>
    </row>
    <row r="28" spans="1:66" ht="15">
      <c r="C28" t="s">
        <v>401</v>
      </c>
      <c r="D28" s="17"/>
      <c r="F28" s="54">
        <f>0.7*'Run Off'!D72</f>
        <v>0.39521999999996665</v>
      </c>
      <c r="G28" s="26" t="s">
        <v>5</v>
      </c>
      <c r="K28" s="834"/>
      <c r="L28" s="56"/>
      <c r="U28" s="337"/>
      <c r="W28" s="337"/>
      <c r="X28" s="337"/>
      <c r="Y28" s="337"/>
      <c r="Z28" s="340"/>
      <c r="AA28" s="337"/>
      <c r="AB28" s="337"/>
      <c r="AC28" s="337"/>
      <c r="AF28" s="337"/>
      <c r="AG28" s="849">
        <v>1</v>
      </c>
      <c r="AH28" s="851">
        <v>2</v>
      </c>
      <c r="AI28" s="852">
        <v>3</v>
      </c>
      <c r="AJ28" s="849">
        <v>4</v>
      </c>
      <c r="AK28" s="337"/>
      <c r="AL28" s="337"/>
      <c r="AN28" s="46"/>
      <c r="AX28" s="26" t="s">
        <v>181</v>
      </c>
      <c r="BB28" s="1358"/>
      <c r="BC28" s="673"/>
      <c r="BD28" s="673"/>
      <c r="BE28" s="673"/>
      <c r="BF28" s="673"/>
      <c r="BG28" s="673"/>
      <c r="BH28" s="673"/>
      <c r="BI28" s="673"/>
      <c r="BJ28" s="673"/>
      <c r="BK28" s="673"/>
      <c r="BL28" s="673"/>
      <c r="BM28" s="673"/>
      <c r="BN28" s="672"/>
    </row>
    <row r="29" spans="1:66" ht="15">
      <c r="C29" t="str">
        <f>"Length (L)  = "&amp;Hydraulic!I45&amp;" y1 ="</f>
        <v>Length (L)  = 3 y1 =</v>
      </c>
      <c r="F29" s="54">
        <f>Hydraulic!I45*'Run Off'!D72</f>
        <v>1.693799999999857</v>
      </c>
      <c r="G29" s="26" t="s">
        <v>5</v>
      </c>
      <c r="K29" s="522">
        <v>0.4</v>
      </c>
      <c r="L29" s="521" t="s">
        <v>5</v>
      </c>
      <c r="U29" s="337"/>
      <c r="Z29" s="340"/>
      <c r="AB29" s="337"/>
      <c r="AC29" s="337"/>
      <c r="AF29" s="337"/>
      <c r="AG29" s="337"/>
      <c r="AH29" s="337"/>
      <c r="AI29" s="337"/>
      <c r="AJ29" s="337"/>
      <c r="AK29" s="337"/>
      <c r="AL29" s="337"/>
      <c r="AN29" s="46"/>
      <c r="AQ29" s="113" t="s">
        <v>170</v>
      </c>
      <c r="AS29" s="26" t="s">
        <v>5</v>
      </c>
      <c r="AT29" s="113" t="s">
        <v>189</v>
      </c>
      <c r="AV29" s="26" t="s">
        <v>5</v>
      </c>
      <c r="AX29" s="187" t="s">
        <v>683</v>
      </c>
      <c r="BB29" s="1358"/>
      <c r="BC29" s="673"/>
      <c r="BD29" s="673"/>
      <c r="BE29" s="673"/>
      <c r="BF29" s="673"/>
      <c r="BG29" s="673"/>
      <c r="BH29" s="673"/>
      <c r="BI29" s="673"/>
      <c r="BJ29" s="673"/>
      <c r="BK29" s="673"/>
      <c r="BL29" s="673"/>
      <c r="BM29" s="673"/>
      <c r="BN29" s="672"/>
    </row>
    <row r="30" spans="1:66" ht="15">
      <c r="C30" t="s">
        <v>402</v>
      </c>
      <c r="F30" s="54">
        <f>0.7*'Run Off'!D72</f>
        <v>0.39521999999996665</v>
      </c>
      <c r="G30" s="26" t="s">
        <v>5</v>
      </c>
      <c r="K30" s="522">
        <f>K31</f>
        <v>0.6</v>
      </c>
      <c r="L30" s="521" t="s">
        <v>5</v>
      </c>
      <c r="U30" s="337"/>
      <c r="W30" s="337"/>
      <c r="X30" s="337"/>
      <c r="Y30" s="337"/>
      <c r="Z30" s="337"/>
      <c r="AA30" s="337"/>
      <c r="AB30" s="337"/>
      <c r="AC30" s="337"/>
      <c r="AF30" s="337"/>
      <c r="AG30" s="54">
        <f>'RS Wing'!B58</f>
        <v>2.7</v>
      </c>
      <c r="AH30" s="337"/>
      <c r="AI30" s="337"/>
      <c r="AJ30" s="337"/>
      <c r="AK30" s="337" t="e">
        <f>AK12</f>
        <v>#REF!</v>
      </c>
      <c r="AL30" s="337"/>
      <c r="AN30" s="46"/>
      <c r="AQ30" s="113" t="s">
        <v>171</v>
      </c>
      <c r="AS30" s="26" t="s">
        <v>5</v>
      </c>
      <c r="AT30" s="113" t="s">
        <v>180</v>
      </c>
      <c r="AV30" s="26" t="s">
        <v>5</v>
      </c>
      <c r="AX30" s="26" t="s">
        <v>185</v>
      </c>
      <c r="BB30" s="1358"/>
      <c r="BC30" s="673"/>
      <c r="BD30" s="673"/>
      <c r="BE30" s="673"/>
      <c r="BF30" s="673"/>
      <c r="BG30" s="673"/>
      <c r="BH30" s="673"/>
      <c r="BI30" s="673"/>
      <c r="BJ30" s="673"/>
      <c r="BK30" s="673"/>
      <c r="BL30" s="673"/>
      <c r="BM30" s="673"/>
      <c r="BN30" s="672"/>
    </row>
    <row r="31" spans="1:66" ht="15">
      <c r="K31" s="835">
        <v>0.6</v>
      </c>
      <c r="L31" s="524" t="s">
        <v>5</v>
      </c>
      <c r="U31" s="337"/>
      <c r="W31" s="337"/>
      <c r="X31" s="337"/>
      <c r="Y31" s="337"/>
      <c r="Z31" s="337"/>
      <c r="AA31" s="337"/>
      <c r="AB31" s="337"/>
      <c r="AC31" s="337"/>
      <c r="AF31" s="337"/>
      <c r="AG31" s="337"/>
      <c r="AH31" s="337"/>
      <c r="AI31" s="2047">
        <f>'RS Wing'!B28+'RS Wing'!D28</f>
        <v>14.400000000000002</v>
      </c>
      <c r="AJ31" s="337"/>
      <c r="AK31" s="190">
        <f>'RS Wing'!E94-'RS Wing'!D92</f>
        <v>3.2999999999999972</v>
      </c>
      <c r="AL31" s="337"/>
      <c r="AN31" s="46"/>
      <c r="AQ31" s="113" t="s">
        <v>187</v>
      </c>
      <c r="AT31" s="113" t="s">
        <v>188</v>
      </c>
      <c r="AX31" s="26" t="s">
        <v>184</v>
      </c>
      <c r="BB31" s="1358"/>
      <c r="BC31" s="673"/>
      <c r="BD31" s="673"/>
      <c r="BE31" s="673"/>
      <c r="BF31" s="673"/>
      <c r="BG31" s="673"/>
      <c r="BH31" s="673"/>
      <c r="BI31" s="673"/>
      <c r="BJ31" s="673"/>
      <c r="BK31" s="673"/>
      <c r="BL31" s="673"/>
      <c r="BM31" s="673"/>
      <c r="BN31" s="672"/>
    </row>
    <row r="32" spans="1:66" ht="15">
      <c r="A32" t="s">
        <v>62</v>
      </c>
      <c r="C32" t="s">
        <v>396</v>
      </c>
      <c r="D32" s="17"/>
      <c r="F32" s="54">
        <f>F27</f>
        <v>0.56459999999995236</v>
      </c>
      <c r="G32" s="26" t="s">
        <v>5</v>
      </c>
      <c r="U32" s="337"/>
      <c r="W32" s="337"/>
      <c r="X32" s="337"/>
      <c r="Y32" s="337"/>
      <c r="Z32" s="337"/>
      <c r="AA32" s="337"/>
      <c r="AB32" s="337"/>
      <c r="AC32" s="337"/>
      <c r="AF32" s="337"/>
      <c r="AG32" s="337"/>
      <c r="AH32" s="337"/>
      <c r="AI32" s="337"/>
      <c r="AJ32" s="337"/>
      <c r="AK32" s="337"/>
      <c r="AL32" s="337"/>
      <c r="AN32" s="46"/>
      <c r="AX32" s="187" t="s">
        <v>454</v>
      </c>
      <c r="BB32" s="1358"/>
      <c r="BC32" s="673"/>
      <c r="BD32" s="673"/>
      <c r="BE32" s="673"/>
      <c r="BF32" s="673"/>
      <c r="BG32" s="673"/>
      <c r="BH32" s="673"/>
      <c r="BI32" s="673"/>
      <c r="BJ32" s="673"/>
      <c r="BK32" s="673"/>
      <c r="BL32" s="673"/>
      <c r="BM32" s="673"/>
      <c r="BN32" s="672"/>
    </row>
    <row r="33" spans="1:66" ht="15.75">
      <c r="C33" t="s">
        <v>401</v>
      </c>
      <c r="D33" s="17"/>
      <c r="F33" s="54">
        <f>0.7*'Run Off'!D72</f>
        <v>0.39521999999996665</v>
      </c>
      <c r="G33" s="26" t="s">
        <v>5</v>
      </c>
      <c r="U33" s="337"/>
      <c r="Z33" s="337"/>
      <c r="AA33" s="337"/>
      <c r="AC33" s="337"/>
      <c r="AF33" s="337"/>
      <c r="AG33" s="337"/>
      <c r="AH33" s="337"/>
      <c r="AI33" s="33">
        <f>'RS Wing'!B58+'RS Wing'!F58</f>
        <v>17.7</v>
      </c>
      <c r="AJ33" s="337"/>
      <c r="AK33" s="337"/>
      <c r="AL33" s="337"/>
      <c r="AN33" s="46"/>
      <c r="AR33" s="187" t="s">
        <v>693</v>
      </c>
      <c r="AU33" s="187" t="s">
        <v>1675</v>
      </c>
      <c r="AV33" s="129">
        <f>Hydraulic!Z171*35.31</f>
        <v>555.23049573056153</v>
      </c>
      <c r="AW33" s="26" t="s">
        <v>54</v>
      </c>
      <c r="AX33" s="187" t="s">
        <v>456</v>
      </c>
      <c r="BB33" s="1358"/>
      <c r="BC33" s="673"/>
      <c r="BD33" s="673"/>
      <c r="BE33" s="673"/>
      <c r="BF33" s="673"/>
      <c r="BG33" s="673"/>
      <c r="BH33" s="673"/>
      <c r="BI33" s="673"/>
      <c r="BJ33" s="673"/>
      <c r="BK33" s="673"/>
      <c r="BL33" s="673"/>
      <c r="BM33" s="673"/>
      <c r="BN33" s="672"/>
    </row>
    <row r="34" spans="1:66" ht="15">
      <c r="C34" t="s">
        <v>405</v>
      </c>
      <c r="D34" s="17"/>
      <c r="F34" s="54">
        <f>0.2*'Run Off'!D72</f>
        <v>0.11291999999999047</v>
      </c>
      <c r="G34" s="187" t="s">
        <v>5</v>
      </c>
      <c r="U34" s="46"/>
      <c r="W34" s="337"/>
      <c r="X34" s="337"/>
      <c r="Y34" s="337"/>
      <c r="AA34" s="337"/>
      <c r="AC34" s="337"/>
      <c r="AN34" s="46"/>
      <c r="AR34" s="487" t="s">
        <v>959</v>
      </c>
      <c r="AS34" s="163"/>
      <c r="AT34" s="164"/>
      <c r="AU34" s="165"/>
      <c r="AW34" t="s">
        <v>5</v>
      </c>
      <c r="BB34" s="1358"/>
      <c r="BC34" s="673"/>
      <c r="BD34" s="673"/>
      <c r="BE34" s="673"/>
      <c r="BF34" s="673"/>
      <c r="BG34" s="673"/>
      <c r="BH34" s="673"/>
      <c r="BI34" s="673"/>
      <c r="BJ34" s="673"/>
      <c r="BK34" s="673"/>
      <c r="BL34" s="673"/>
      <c r="BM34" s="673"/>
      <c r="BN34" s="672"/>
    </row>
    <row r="35" spans="1:66" ht="15">
      <c r="C35" s="711" t="s">
        <v>406</v>
      </c>
      <c r="D35" s="17"/>
      <c r="F35" s="54">
        <f>1.2*'Run Off'!D72</f>
        <v>0.67751999999994283</v>
      </c>
      <c r="G35" s="26" t="s">
        <v>5</v>
      </c>
      <c r="U35" s="46"/>
      <c r="W35" s="337"/>
      <c r="X35" s="337"/>
      <c r="Y35" s="337"/>
      <c r="Z35" s="337"/>
      <c r="AA35" s="337"/>
      <c r="AB35" s="337"/>
      <c r="AC35" s="337"/>
      <c r="BB35" s="1358"/>
      <c r="BC35" s="676"/>
      <c r="BD35" s="673"/>
      <c r="BE35" s="673"/>
      <c r="BF35" s="673"/>
      <c r="BG35" s="673"/>
      <c r="BH35" s="673"/>
      <c r="BI35" s="673"/>
      <c r="BJ35" s="673"/>
      <c r="BK35" s="673"/>
      <c r="BL35" s="673"/>
      <c r="BM35" s="673"/>
      <c r="BN35" s="672"/>
    </row>
    <row r="36" spans="1:66" ht="15">
      <c r="C36" t="s">
        <v>404</v>
      </c>
      <c r="F36" s="54">
        <f>F30</f>
        <v>0.39521999999996665</v>
      </c>
      <c r="G36" s="26" t="s">
        <v>5</v>
      </c>
      <c r="U36" s="46"/>
      <c r="W36" s="337"/>
      <c r="X36" s="337"/>
      <c r="Y36" s="337"/>
      <c r="AA36" s="337"/>
      <c r="AB36" s="337"/>
      <c r="AC36" s="337"/>
      <c r="AQ36" s="207" t="s">
        <v>966</v>
      </c>
      <c r="AR36" s="126"/>
      <c r="AS36" s="126" t="str">
        <f>IF(AND(Hydraulic!N179&gt;=1.5*'Run Off'!E16,Hydraulic!O179&lt;'Run Off'!E16),"Condition - 3will occur","Condition - 3 will not occur")</f>
        <v>Condition - 3 will not occur</v>
      </c>
      <c r="AT36" s="126"/>
      <c r="AU36" s="126"/>
      <c r="AW36" s="75"/>
      <c r="AX36" s="16"/>
      <c r="BB36" s="1358"/>
      <c r="BC36" s="673"/>
      <c r="BD36" s="673"/>
      <c r="BE36" s="673"/>
      <c r="BF36" s="673"/>
      <c r="BG36" s="673"/>
      <c r="BH36" s="673"/>
      <c r="BI36" s="673"/>
      <c r="BJ36" s="673"/>
      <c r="BK36" s="673"/>
      <c r="BL36" s="673"/>
      <c r="BM36" s="673"/>
      <c r="BN36" s="672"/>
    </row>
    <row r="37" spans="1:66">
      <c r="U37" s="46"/>
      <c r="V37" s="46"/>
      <c r="W37" s="46"/>
      <c r="X37" s="46"/>
      <c r="Y37" s="46"/>
      <c r="Z37" s="46"/>
      <c r="AW37" s="75"/>
      <c r="AX37" s="16"/>
      <c r="BB37" s="1358"/>
      <c r="BC37" s="673"/>
      <c r="BD37" s="673"/>
      <c r="BE37" s="673"/>
      <c r="BF37" s="673"/>
      <c r="BG37" s="673"/>
      <c r="BH37" s="673"/>
      <c r="BI37" s="673"/>
      <c r="BJ37" s="673"/>
      <c r="BK37" s="673"/>
      <c r="BL37" s="673"/>
      <c r="BM37" s="673"/>
      <c r="BN37" s="672"/>
    </row>
    <row r="38" spans="1:66">
      <c r="A38" t="s">
        <v>63</v>
      </c>
      <c r="C38" t="s">
        <v>64</v>
      </c>
      <c r="F38" s="54">
        <f>IF(0.2*'Run Off'!E72&gt;=Hydraulic!I44,Hydraulic!I44,0.2*'Run Off'!E72)</f>
        <v>0.36822733543073549</v>
      </c>
      <c r="G38" s="26" t="s">
        <v>5</v>
      </c>
      <c r="U38" s="46"/>
      <c r="V38" s="46"/>
      <c r="W38" s="46"/>
      <c r="X38" s="46"/>
      <c r="Y38" s="46"/>
      <c r="Z38" s="46"/>
      <c r="AQ38" s="113" t="s">
        <v>170</v>
      </c>
      <c r="AS38" s="26" t="s">
        <v>5</v>
      </c>
      <c r="AT38" s="113" t="s">
        <v>188</v>
      </c>
      <c r="AW38" s="75"/>
      <c r="BB38" s="1358"/>
      <c r="BC38" s="673"/>
      <c r="BD38" s="673"/>
      <c r="BE38" s="673"/>
      <c r="BF38" s="673"/>
      <c r="BG38" s="673"/>
      <c r="BH38" s="673"/>
      <c r="BI38" s="673"/>
      <c r="BJ38" s="673"/>
      <c r="BK38" s="673"/>
      <c r="BL38" s="673"/>
      <c r="BM38" s="673"/>
      <c r="BN38" s="672"/>
    </row>
    <row r="39" spans="1:66" ht="15.75">
      <c r="C39" t="s">
        <v>407</v>
      </c>
      <c r="F39" s="54">
        <f>0.15*'Run Off'!E72</f>
        <v>0.27617050157305162</v>
      </c>
      <c r="G39" s="26" t="s">
        <v>5</v>
      </c>
      <c r="AQ39" s="113" t="s">
        <v>171</v>
      </c>
      <c r="AS39" s="26" t="s">
        <v>5</v>
      </c>
      <c r="AT39" s="187" t="s">
        <v>693</v>
      </c>
      <c r="AX39" s="187" t="s">
        <v>970</v>
      </c>
      <c r="BB39" s="1358"/>
      <c r="BC39" s="673"/>
      <c r="BD39" s="673"/>
      <c r="BE39" s="673"/>
      <c r="BF39" s="673"/>
      <c r="BG39" s="673"/>
      <c r="BH39" s="673"/>
      <c r="BI39" s="673"/>
      <c r="BJ39" s="673"/>
      <c r="BK39" s="673"/>
      <c r="BL39" s="673"/>
      <c r="BM39" s="673"/>
      <c r="BN39" s="672"/>
    </row>
    <row r="40" spans="1:66" ht="14.25">
      <c r="C40" t="s">
        <v>408</v>
      </c>
      <c r="F40" s="33">
        <f>0.2*F38</f>
        <v>7.3645467086147096E-2</v>
      </c>
      <c r="G40" s="187" t="s">
        <v>5</v>
      </c>
      <c r="AQ40" s="113" t="s">
        <v>187</v>
      </c>
      <c r="AT40" s="487" t="s">
        <v>1540</v>
      </c>
      <c r="AU40" s="163"/>
      <c r="AV40" s="164"/>
      <c r="AX40" t="s">
        <v>5</v>
      </c>
      <c r="BB40" s="1358"/>
      <c r="BC40" s="673"/>
      <c r="BD40" s="673"/>
      <c r="BE40" s="673"/>
      <c r="BF40" s="673"/>
      <c r="BG40" s="673"/>
      <c r="BH40" s="673"/>
      <c r="BI40" s="673"/>
      <c r="BJ40" s="673"/>
      <c r="BK40" s="673"/>
      <c r="BL40" s="673"/>
      <c r="BM40" s="673"/>
      <c r="BN40" s="672"/>
    </row>
    <row r="41" spans="1:66">
      <c r="C41" t="s">
        <v>409</v>
      </c>
      <c r="F41" s="33">
        <f>0.2*F38+2*F38</f>
        <v>0.81010013794761804</v>
      </c>
      <c r="G41" s="187" t="s">
        <v>5</v>
      </c>
      <c r="Y41" s="46"/>
      <c r="Z41" s="46"/>
      <c r="AA41" s="332"/>
      <c r="AB41" s="46"/>
      <c r="AC41" s="46"/>
      <c r="AD41" s="90"/>
      <c r="AW41" s="75"/>
      <c r="AX41" s="16"/>
      <c r="BB41" s="1358"/>
      <c r="BC41" s="673"/>
      <c r="BD41" s="673"/>
      <c r="BE41" s="673"/>
      <c r="BF41" s="673"/>
      <c r="BG41" s="673"/>
      <c r="BH41" s="673"/>
      <c r="BI41" s="673"/>
      <c r="BJ41" s="673"/>
      <c r="BK41" s="673"/>
      <c r="BL41" s="673"/>
      <c r="BM41" s="673"/>
      <c r="BN41" s="672"/>
    </row>
    <row r="42" spans="1:66" ht="15">
      <c r="C42" t="s">
        <v>403</v>
      </c>
      <c r="F42" s="54">
        <f>0.15*'Run Off'!E72</f>
        <v>0.27617050157305162</v>
      </c>
      <c r="G42" s="26" t="s">
        <v>5</v>
      </c>
      <c r="Y42" s="337"/>
      <c r="Z42" s="337"/>
      <c r="AA42" s="337"/>
      <c r="AD42" s="337" t="s">
        <v>5</v>
      </c>
      <c r="AE42" s="339"/>
      <c r="AF42" s="291"/>
      <c r="AG42" s="337"/>
      <c r="AQ42" s="1" t="s">
        <v>965</v>
      </c>
      <c r="AV42" s="46"/>
      <c r="AW42" s="46"/>
      <c r="AX42" s="46"/>
      <c r="BB42" s="1358"/>
      <c r="BC42" s="673"/>
      <c r="BD42" s="673"/>
      <c r="BE42" s="673"/>
      <c r="BF42" s="673"/>
      <c r="BG42" s="673"/>
      <c r="BH42" s="673"/>
      <c r="BI42" s="673"/>
      <c r="BJ42" s="673"/>
      <c r="BK42" s="673"/>
      <c r="BL42" s="673"/>
      <c r="BM42" s="673"/>
      <c r="BN42" s="672"/>
    </row>
    <row r="43" spans="1:66" ht="15">
      <c r="Y43" s="337"/>
      <c r="Z43" s="337"/>
      <c r="AA43" s="337"/>
      <c r="AC43" s="337" t="s">
        <v>5</v>
      </c>
      <c r="AD43" s="337"/>
      <c r="AE43" s="337"/>
      <c r="AF43" s="337"/>
      <c r="AG43" s="337"/>
      <c r="AQ43" s="207" t="s">
        <v>986</v>
      </c>
      <c r="AR43" s="126"/>
      <c r="AS43" s="126" t="str">
        <f>IF(AND(Hydraulic!P172&gt;Hydraulic!V172,Hydraulic!Q172&gt;Hydraulic!V172),"Condition - 1 will occur","Condition - 1 will not occur")</f>
        <v>Condition - 1 will not occur</v>
      </c>
      <c r="AT43" s="126"/>
      <c r="AU43" s="126"/>
      <c r="AV43" s="46"/>
      <c r="AW43" s="46"/>
      <c r="AX43" s="46"/>
      <c r="BB43" s="1358"/>
      <c r="BC43" s="673"/>
      <c r="BD43" s="673"/>
      <c r="BE43" s="673"/>
      <c r="BF43" s="673"/>
      <c r="BG43" s="673"/>
      <c r="BH43" s="673"/>
      <c r="BI43" s="673"/>
      <c r="BJ43" s="673"/>
      <c r="BK43" s="673"/>
      <c r="BL43" s="673"/>
      <c r="BM43" s="673"/>
      <c r="BN43" s="672"/>
    </row>
    <row r="44" spans="1:66" ht="15.75">
      <c r="A44" s="134" t="s">
        <v>148</v>
      </c>
      <c r="Y44" s="337"/>
      <c r="Z44" s="337"/>
      <c r="AA44" s="337"/>
      <c r="AC44" s="337"/>
      <c r="AD44" s="337"/>
      <c r="AE44" s="337"/>
      <c r="AF44" s="337"/>
      <c r="AG44" s="337"/>
      <c r="AQ44" s="113" t="s">
        <v>170</v>
      </c>
      <c r="AS44" s="26" t="s">
        <v>5</v>
      </c>
      <c r="AT44" s="113" t="s">
        <v>197</v>
      </c>
      <c r="AV44" s="26" t="s">
        <v>5</v>
      </c>
      <c r="AW44" s="113" t="s">
        <v>168</v>
      </c>
      <c r="AX44" s="26" t="s">
        <v>191</v>
      </c>
      <c r="BB44" s="1358"/>
      <c r="BC44" s="673"/>
      <c r="BD44" s="673"/>
      <c r="BE44" s="673"/>
      <c r="BF44" s="673"/>
      <c r="BG44" s="673"/>
      <c r="BH44" s="673"/>
      <c r="BI44" s="673"/>
      <c r="BJ44" s="673"/>
      <c r="BK44" s="673"/>
      <c r="BL44" s="673"/>
      <c r="BM44" s="673"/>
      <c r="BN44" s="672"/>
    </row>
    <row r="45" spans="1:66" ht="15">
      <c r="A45" t="s">
        <v>457</v>
      </c>
      <c r="Y45" s="337"/>
      <c r="Z45" s="337"/>
      <c r="AA45" s="337"/>
      <c r="AB45" s="33"/>
      <c r="AC45" s="337"/>
      <c r="AD45" s="337"/>
      <c r="AE45" s="337"/>
      <c r="AF45" s="337"/>
      <c r="AG45" s="337"/>
      <c r="AQ45" s="113" t="s">
        <v>171</v>
      </c>
      <c r="AS45" s="26" t="s">
        <v>5</v>
      </c>
      <c r="AT45" s="113" t="s">
        <v>180</v>
      </c>
      <c r="AV45" s="26" t="s">
        <v>5</v>
      </c>
      <c r="AX45" s="26" t="s">
        <v>192</v>
      </c>
      <c r="BB45" s="1358"/>
      <c r="BC45" s="673"/>
      <c r="BD45" s="673"/>
      <c r="BE45" s="673"/>
      <c r="BF45" s="673"/>
      <c r="BG45" s="673"/>
      <c r="BH45" s="673"/>
      <c r="BI45" s="673"/>
      <c r="BJ45" s="673"/>
      <c r="BK45" s="673"/>
      <c r="BL45" s="673"/>
      <c r="BM45" s="673"/>
      <c r="BN45" s="672"/>
    </row>
    <row r="46" spans="1:66" ht="15">
      <c r="A46" s="22" t="s">
        <v>1007</v>
      </c>
      <c r="Y46" s="337"/>
      <c r="Z46" s="337"/>
      <c r="AB46" s="109"/>
      <c r="AE46" s="337"/>
      <c r="AF46" s="337"/>
      <c r="AG46" s="337"/>
      <c r="AQ46" s="113" t="s">
        <v>195</v>
      </c>
      <c r="AS46" s="26" t="s">
        <v>5</v>
      </c>
      <c r="AT46" s="113" t="s">
        <v>177</v>
      </c>
      <c r="AX46" s="26" t="s">
        <v>182</v>
      </c>
      <c r="BB46" s="1358"/>
      <c r="BC46" s="673"/>
      <c r="BD46" s="673"/>
      <c r="BE46" s="673"/>
      <c r="BF46" s="673"/>
      <c r="BG46" s="673"/>
      <c r="BH46" s="673"/>
      <c r="BI46" s="673"/>
      <c r="BJ46" s="673"/>
      <c r="BK46" s="673"/>
      <c r="BL46" s="673"/>
      <c r="BM46" s="673"/>
      <c r="BN46" s="672"/>
    </row>
    <row r="47" spans="1:66" ht="15">
      <c r="A47" t="s">
        <v>1004</v>
      </c>
      <c r="Y47" s="337"/>
      <c r="Z47" s="337"/>
      <c r="AA47" s="337"/>
      <c r="AB47" s="337"/>
      <c r="AC47" s="340"/>
      <c r="AD47" s="337"/>
      <c r="AE47" s="337"/>
      <c r="AF47" s="337"/>
      <c r="AG47" s="337"/>
      <c r="AX47" s="26" t="s">
        <v>193</v>
      </c>
      <c r="BB47" s="1358"/>
      <c r="BC47" s="673"/>
      <c r="BD47" s="673"/>
      <c r="BE47" s="673"/>
      <c r="BF47" s="673"/>
      <c r="BG47" s="673"/>
      <c r="BH47" s="673"/>
      <c r="BI47" s="673"/>
      <c r="BJ47" s="673"/>
      <c r="BK47" s="673"/>
      <c r="BL47" s="673"/>
      <c r="BM47" s="673"/>
      <c r="BN47" s="672"/>
    </row>
    <row r="48" spans="1:66" ht="15">
      <c r="A48" t="s">
        <v>309</v>
      </c>
      <c r="B48" s="696" t="str">
        <f>IF('Run Off'!C72&lt;2.5,VLOOKUP(Hydraulic!E422,Table!D178:G186,2,TRUE),"")</f>
        <v/>
      </c>
      <c r="D48" s="30" t="s">
        <v>1005</v>
      </c>
      <c r="G48" s="246" t="str">
        <f>IF('Run Off'!C72&lt;2.5,B48*'Run Off'!E72,"")</f>
        <v/>
      </c>
      <c r="H48" t="s">
        <v>5</v>
      </c>
      <c r="I48" s="185" t="str">
        <f>IF('Run Off'!C72&lt;2.5,IF(G48&lt;=Hydraulic!I48,"Ok","Not Ok"),"")</f>
        <v/>
      </c>
      <c r="Y48" s="337"/>
      <c r="Z48" s="337"/>
      <c r="AC48" s="340"/>
      <c r="AD48" s="61"/>
      <c r="AE48" s="337"/>
      <c r="AF48" s="337"/>
      <c r="AG48" s="339"/>
      <c r="AR48" s="26" t="s">
        <v>196</v>
      </c>
      <c r="AU48" s="26" t="s">
        <v>198</v>
      </c>
      <c r="AV48" s="129">
        <f>Hydraulic!Z172*35.31</f>
        <v>642.59390493760031</v>
      </c>
      <c r="AW48" s="26" t="s">
        <v>54</v>
      </c>
      <c r="AX48" s="187" t="s">
        <v>453</v>
      </c>
      <c r="BB48" s="1358"/>
      <c r="BC48" s="673"/>
      <c r="BD48" s="673"/>
      <c r="BE48" s="673"/>
      <c r="BF48" s="673"/>
      <c r="BG48" s="673"/>
      <c r="BH48" s="673"/>
      <c r="BI48" s="673"/>
      <c r="BJ48" s="673"/>
      <c r="BK48" s="673"/>
      <c r="BL48" s="673"/>
      <c r="BM48" s="673"/>
      <c r="BN48" s="672"/>
    </row>
    <row r="49" spans="1:66" ht="15">
      <c r="A49" s="139" t="str">
        <f>"b) From Post monsoon condition : "&amp;IF(AND(Hydraulic!E422&gt;=2.5,Hydraulic!E422&lt;=4.5),"Use USBR ERC Type Stilling basin",IF(Hydraulic!E422&gt;4.5,"Use USBR type - III Stilling basin ( F&gt;4.5 )","Use Stilling basin type - I ( F&lt;2.5 )"))</f>
        <v>b) From Post monsoon condition : Use USBR ERC Type Stilling basin</v>
      </c>
      <c r="Y49" s="61"/>
      <c r="Z49" s="337"/>
      <c r="AA49" s="337"/>
      <c r="AB49" s="337"/>
      <c r="AC49" s="340"/>
      <c r="AD49" s="337"/>
      <c r="AE49" s="337"/>
      <c r="AF49" s="337"/>
      <c r="AG49" s="337"/>
      <c r="AR49" s="487" t="s">
        <v>959</v>
      </c>
      <c r="AS49" s="163"/>
      <c r="AT49" s="164"/>
      <c r="AU49" s="165"/>
      <c r="AW49" t="s">
        <v>5</v>
      </c>
      <c r="AX49" s="26" t="s">
        <v>194</v>
      </c>
      <c r="BB49" s="1358"/>
      <c r="BC49" s="673"/>
      <c r="BD49" s="673"/>
      <c r="BE49" s="673"/>
      <c r="BF49" s="673"/>
      <c r="BG49" s="673"/>
      <c r="BH49" s="673"/>
      <c r="BI49" s="673"/>
      <c r="BJ49" s="673"/>
      <c r="BK49" s="673"/>
      <c r="BL49" s="673"/>
      <c r="BM49" s="673"/>
      <c r="BN49" s="672"/>
    </row>
    <row r="50" spans="1:66" ht="15">
      <c r="Y50" s="61"/>
      <c r="Z50" s="337"/>
      <c r="AA50" s="337"/>
      <c r="AB50" s="337"/>
      <c r="AC50" s="340"/>
      <c r="AD50" s="337"/>
      <c r="AE50" s="337"/>
      <c r="AF50" s="337"/>
      <c r="AG50" s="337"/>
      <c r="BB50" s="1358"/>
      <c r="BC50" s="673"/>
      <c r="BD50" s="673"/>
      <c r="BE50" s="673"/>
      <c r="BF50" s="673"/>
      <c r="BG50" s="673"/>
      <c r="BH50" s="673"/>
      <c r="BI50" s="673"/>
      <c r="BJ50" s="673"/>
      <c r="BK50" s="673"/>
      <c r="BL50" s="673"/>
      <c r="BM50" s="673"/>
      <c r="BN50" s="672"/>
    </row>
    <row r="51" spans="1:66" ht="15">
      <c r="Y51" s="203" t="s">
        <v>149</v>
      </c>
      <c r="AA51" s="338"/>
      <c r="AF51" s="337"/>
      <c r="AG51" s="337"/>
      <c r="AQ51" s="207" t="s">
        <v>985</v>
      </c>
      <c r="AR51" s="126"/>
      <c r="AS51" s="126" t="str">
        <f>IF(AND(Hydraulic!N180&gt;'Run Off'!E19,Hydraulic!O180&gt;'Run Off'!E19),"Condition - 1 will occur","Condition - 1 will not occur")</f>
        <v>Condition - 1 will occur</v>
      </c>
      <c r="AT51" s="126"/>
      <c r="AY51" s="46"/>
      <c r="BB51" s="1358"/>
      <c r="BC51" s="673"/>
      <c r="BD51" s="673"/>
      <c r="BE51" s="673"/>
      <c r="BF51" s="673"/>
      <c r="BG51" s="673"/>
      <c r="BH51" s="673"/>
      <c r="BI51" s="673"/>
      <c r="BJ51" s="673"/>
      <c r="BK51" s="673"/>
      <c r="BL51" s="673"/>
      <c r="BM51" s="673"/>
      <c r="BN51" s="672"/>
    </row>
    <row r="52" spans="1:66" ht="15">
      <c r="A52" t="s">
        <v>1838</v>
      </c>
      <c r="Y52" s="337"/>
      <c r="Z52" s="337"/>
      <c r="AA52" s="337"/>
      <c r="AC52" s="189"/>
      <c r="AD52" s="337"/>
      <c r="AF52" s="337"/>
      <c r="AG52" s="337"/>
      <c r="AQ52" s="113" t="s">
        <v>170</v>
      </c>
      <c r="AS52" s="26" t="s">
        <v>5</v>
      </c>
      <c r="AX52" s="46"/>
      <c r="AY52" s="46"/>
      <c r="BB52" s="1358"/>
      <c r="BC52" s="673"/>
      <c r="BD52" s="673"/>
      <c r="BE52" s="673"/>
      <c r="BF52" s="673"/>
      <c r="BG52" s="673"/>
      <c r="BH52" s="673"/>
      <c r="BI52" s="673"/>
      <c r="BJ52" s="673"/>
      <c r="BK52" s="673"/>
      <c r="BL52" s="673"/>
      <c r="BM52" s="673"/>
      <c r="BN52" s="672"/>
    </row>
    <row r="53" spans="1:66" ht="15">
      <c r="A53" s="652" t="str">
        <f>'CS Wing'!L66</f>
        <v>1-1</v>
      </c>
      <c r="B53" s="2093"/>
      <c r="C53" s="406"/>
      <c r="D53" s="406"/>
      <c r="E53" s="406"/>
      <c r="F53" s="406"/>
      <c r="G53" s="55"/>
      <c r="H53" s="55"/>
      <c r="I53" s="55"/>
      <c r="J53" s="2054"/>
      <c r="Y53" s="337"/>
      <c r="Z53" s="337"/>
      <c r="AA53" s="337"/>
      <c r="AB53" s="337"/>
      <c r="AD53" s="337"/>
      <c r="AE53" s="337"/>
      <c r="AF53" s="337"/>
      <c r="AG53" s="337"/>
      <c r="AQ53" s="113" t="s">
        <v>171</v>
      </c>
      <c r="AS53" s="26" t="s">
        <v>5</v>
      </c>
      <c r="AT53" s="26" t="s">
        <v>196</v>
      </c>
      <c r="AW53" s="26" t="s">
        <v>198</v>
      </c>
      <c r="AX53" s="129">
        <f>Hydraulic!R180*35.31</f>
        <v>371.00176399533672</v>
      </c>
      <c r="AY53" s="26" t="s">
        <v>54</v>
      </c>
      <c r="BB53" s="1358"/>
      <c r="BC53" s="673"/>
      <c r="BD53" s="673"/>
      <c r="BE53" s="673"/>
      <c r="BF53" s="673"/>
      <c r="BG53" s="673"/>
      <c r="BH53" s="673"/>
      <c r="BI53" s="673"/>
      <c r="BJ53" s="673"/>
      <c r="BK53" s="673"/>
      <c r="BL53" s="673"/>
      <c r="BM53" s="673"/>
      <c r="BN53" s="672"/>
    </row>
    <row r="54" spans="1:66" ht="15">
      <c r="A54" s="2053"/>
      <c r="B54" s="241" t="s">
        <v>1824</v>
      </c>
      <c r="C54" s="16"/>
      <c r="D54" s="16"/>
      <c r="E54" s="16"/>
      <c r="F54" s="16"/>
      <c r="G54" s="16"/>
      <c r="H54" s="16"/>
      <c r="I54" s="3118" t="s">
        <v>945</v>
      </c>
      <c r="J54" s="1239"/>
      <c r="Y54" s="337"/>
      <c r="AA54" s="337"/>
      <c r="AB54" s="337"/>
      <c r="AC54" s="340"/>
      <c r="AD54" s="337"/>
      <c r="AE54" s="338"/>
      <c r="AF54" s="288" t="s">
        <v>149</v>
      </c>
      <c r="AQ54" s="113" t="s">
        <v>195</v>
      </c>
      <c r="AS54" s="26" t="s">
        <v>5</v>
      </c>
      <c r="AT54" s="487" t="s">
        <v>959</v>
      </c>
      <c r="AU54" s="163"/>
      <c r="AV54" s="164"/>
      <c r="AW54" s="165"/>
      <c r="AY54" t="s">
        <v>5</v>
      </c>
      <c r="BB54" s="1358"/>
      <c r="BC54" s="673"/>
      <c r="BD54" s="673"/>
      <c r="BE54" s="673"/>
      <c r="BF54" s="673"/>
      <c r="BG54" s="673"/>
      <c r="BH54" s="673"/>
      <c r="BI54" s="673"/>
      <c r="BJ54" s="673"/>
      <c r="BK54" s="673"/>
      <c r="BL54" s="673"/>
      <c r="BM54" s="673"/>
      <c r="BN54" s="672"/>
    </row>
    <row r="55" spans="1:66" ht="15">
      <c r="A55" s="2053"/>
      <c r="B55" s="241" t="s">
        <v>941</v>
      </c>
      <c r="C55" s="16"/>
      <c r="D55" s="16"/>
      <c r="E55" s="16"/>
      <c r="F55" s="16"/>
      <c r="G55" s="16"/>
      <c r="H55" s="16"/>
      <c r="I55" s="3092"/>
      <c r="J55" s="1239"/>
      <c r="Y55" s="337"/>
      <c r="Z55" s="337"/>
      <c r="AA55" s="337"/>
      <c r="AD55" s="341"/>
      <c r="AE55" s="337"/>
      <c r="AF55" s="337"/>
      <c r="AG55" s="337"/>
      <c r="BB55" s="1358"/>
      <c r="BC55" s="673"/>
      <c r="BD55" s="673"/>
      <c r="BE55" s="673"/>
      <c r="BF55" s="673"/>
      <c r="BG55" s="673"/>
      <c r="BH55" s="673"/>
      <c r="BI55" s="673"/>
      <c r="BJ55" s="673"/>
      <c r="BK55" s="673"/>
      <c r="BL55" s="673"/>
      <c r="BM55" s="673"/>
      <c r="BN55" s="672"/>
    </row>
    <row r="56" spans="1:66" ht="15">
      <c r="A56" s="259" t="s">
        <v>707</v>
      </c>
      <c r="B56" s="241" t="s">
        <v>942</v>
      </c>
      <c r="C56" s="16"/>
      <c r="D56" s="16"/>
      <c r="E56" s="16"/>
      <c r="F56" s="16"/>
      <c r="G56" s="16"/>
      <c r="H56" s="16"/>
      <c r="I56" s="3239"/>
      <c r="J56" s="1239"/>
      <c r="Z56" s="337"/>
      <c r="AA56" s="338"/>
      <c r="AB56" s="337"/>
      <c r="AD56" s="337"/>
      <c r="AF56" s="337"/>
      <c r="AG56" s="337"/>
      <c r="AQ56" s="1754" t="s">
        <v>977</v>
      </c>
      <c r="AR56" s="1755" t="s">
        <v>974</v>
      </c>
      <c r="AS56" s="1756" t="s">
        <v>975</v>
      </c>
      <c r="AT56" s="1755" t="s">
        <v>976</v>
      </c>
      <c r="BB56" s="1358"/>
      <c r="BC56" s="673"/>
      <c r="BD56" s="673"/>
      <c r="BE56" s="673"/>
      <c r="BF56" s="673"/>
      <c r="BG56" s="673"/>
      <c r="BH56" s="673"/>
      <c r="BI56" s="673"/>
      <c r="BJ56" s="673"/>
      <c r="BK56" s="673"/>
      <c r="BL56" s="673"/>
      <c r="BM56" s="673"/>
      <c r="BN56" s="672"/>
    </row>
    <row r="57" spans="1:66" ht="15">
      <c r="A57" s="2053"/>
      <c r="B57" s="242">
        <f>'CS Wing'!F249/'CS Wing'!F231</f>
        <v>51.625794392523382</v>
      </c>
      <c r="C57" s="434" t="s">
        <v>685</v>
      </c>
      <c r="D57" s="242">
        <f>'CS Wing'!F249*2</f>
        <v>276.19800000000009</v>
      </c>
      <c r="E57" s="434" t="s">
        <v>686</v>
      </c>
      <c r="F57" s="242">
        <f>'CS Wing'!F249*'CS Wing'!H142+'CS Wing'!F250</f>
        <v>650.16605923224392</v>
      </c>
      <c r="G57" s="2050" t="s">
        <v>35</v>
      </c>
      <c r="H57" s="1048">
        <v>0</v>
      </c>
      <c r="I57" s="256" t="s">
        <v>491</v>
      </c>
      <c r="J57" s="1239"/>
      <c r="Y57" s="337"/>
      <c r="Z57" s="337"/>
      <c r="AA57" s="337"/>
      <c r="AB57" s="337"/>
      <c r="AC57" s="340"/>
      <c r="AD57" s="337"/>
      <c r="AE57" s="337"/>
      <c r="AF57" s="337"/>
      <c r="AQ57" s="1757" t="s">
        <v>973</v>
      </c>
      <c r="AR57" s="1758" t="s">
        <v>179</v>
      </c>
      <c r="AS57" s="1759" t="s">
        <v>179</v>
      </c>
      <c r="AT57" s="1758" t="s">
        <v>179</v>
      </c>
      <c r="BB57" s="1358"/>
      <c r="BC57" s="673"/>
      <c r="BD57" s="673"/>
      <c r="BE57" s="673"/>
      <c r="BF57" s="673"/>
      <c r="BG57" s="673"/>
      <c r="BH57" s="673"/>
      <c r="BI57" s="673"/>
      <c r="BJ57" s="673"/>
      <c r="BK57" s="673"/>
      <c r="BL57" s="673"/>
      <c r="BM57" s="673"/>
      <c r="BN57" s="672"/>
    </row>
    <row r="58" spans="1:66" ht="15">
      <c r="A58" s="2053"/>
      <c r="B58" s="16"/>
      <c r="C58" s="16"/>
      <c r="D58" s="16"/>
      <c r="E58" s="16"/>
      <c r="F58" s="16"/>
      <c r="G58" s="16"/>
      <c r="H58" s="16"/>
      <c r="I58" s="316" t="e">
        <f>F60*10^6/('CS Wing'!$C$18*'CS Wing'!$C$22*'CS Wing'!H283)</f>
        <v>#NUM!</v>
      </c>
      <c r="J58" s="1239"/>
      <c r="Y58" s="61"/>
      <c r="Z58" s="337"/>
      <c r="AA58" s="337"/>
      <c r="AB58" s="337"/>
      <c r="AC58" s="340"/>
      <c r="AD58" s="337"/>
      <c r="AE58" s="339" t="s">
        <v>320</v>
      </c>
      <c r="AF58" s="337"/>
      <c r="AG58" s="337"/>
      <c r="AQ58" s="1760">
        <v>1</v>
      </c>
      <c r="AR58" s="1761" t="str">
        <f>IF(AND(Hydraulic!P172&gt;Hydraulic!V172,Hydraulic!Q172&gt;Hydraulic!V172),Hydraulic!Z172,"")</f>
        <v/>
      </c>
      <c r="AS58" s="1762">
        <f>IF(AND(Hydraulic!N180&gt;'Run Off'!E19,Hydraulic!O180&gt;'Run Off'!E19),Hydraulic!R180,"")</f>
        <v>10.50698850170877</v>
      </c>
      <c r="AT58" s="1763">
        <f>Hydraulic!F319</f>
        <v>33.226015014599632</v>
      </c>
      <c r="BB58" s="1358"/>
      <c r="BC58" s="673"/>
      <c r="BD58" s="673"/>
      <c r="BE58" s="673"/>
      <c r="BF58" s="673"/>
      <c r="BG58" s="673"/>
      <c r="BH58" s="673"/>
      <c r="BI58" s="673"/>
      <c r="BJ58" s="673"/>
      <c r="BK58" s="673"/>
      <c r="BL58" s="673"/>
      <c r="BM58" s="673"/>
      <c r="BN58" s="672"/>
    </row>
    <row r="59" spans="1:66" ht="15">
      <c r="A59" s="2053"/>
      <c r="B59" s="241" t="s">
        <v>691</v>
      </c>
      <c r="C59" s="2094" t="e">
        <f>(-(-D57)-SQRT(D57^2-4*B57*F57))/(2*B57)</f>
        <v>#NUM!</v>
      </c>
      <c r="D59" s="241" t="s">
        <v>688</v>
      </c>
      <c r="E59" s="16"/>
      <c r="F59" s="16"/>
      <c r="G59" s="241" t="s">
        <v>1820</v>
      </c>
      <c r="H59" s="16"/>
      <c r="I59" s="16"/>
      <c r="J59" s="1239"/>
      <c r="Y59" s="337"/>
      <c r="Z59" s="337"/>
      <c r="AA59" s="337"/>
      <c r="AB59" s="337"/>
      <c r="AC59" s="338" t="s">
        <v>650</v>
      </c>
      <c r="AE59" s="337"/>
      <c r="AF59" s="337"/>
      <c r="AQ59" s="1760">
        <v>3</v>
      </c>
      <c r="AR59" s="1761" t="str">
        <f>IF(AND(Hydraulic!P171&gt;=1.5*Hydraulic!V171,Hydraulic!Q171&lt;Hydraulic!V171),Hydraulic!Z171,"")</f>
        <v/>
      </c>
      <c r="AS59" s="1762" t="str">
        <f>IF(AND(Hydraulic!N179&gt;=1.5*'Run Off'!E16,Hydraulic!O179&lt;'Run Off'!E16),Hydraulic!R179,"")</f>
        <v/>
      </c>
      <c r="AT59" s="1761">
        <f>Hydraulic!G285</f>
        <v>27.564468588023974</v>
      </c>
      <c r="BB59" s="1358"/>
      <c r="BC59" s="673"/>
      <c r="BD59" s="673"/>
      <c r="BE59" s="673"/>
      <c r="BF59" s="673"/>
      <c r="BG59" s="673"/>
      <c r="BH59" s="673"/>
      <c r="BI59" s="673"/>
      <c r="BJ59" s="673"/>
      <c r="BK59" s="673"/>
      <c r="BL59" s="673"/>
      <c r="BM59" s="673"/>
      <c r="BN59" s="672"/>
    </row>
    <row r="60" spans="1:66" ht="15">
      <c r="A60" s="2053"/>
      <c r="B60" s="241" t="s">
        <v>687</v>
      </c>
      <c r="C60" s="16"/>
      <c r="D60" s="16"/>
      <c r="E60" s="16"/>
      <c r="F60" s="242" t="e">
        <f>'CS Wing'!F250+C59^2*'CS Wing'!F249/(2*'CS Wing'!F231)-'CS Wing'!F249*(C59-'CS Wing'!H142/2)</f>
        <v>#NUM!</v>
      </c>
      <c r="G60" s="241" t="s">
        <v>620</v>
      </c>
      <c r="H60" s="16"/>
      <c r="I60" s="16"/>
      <c r="J60" s="1239"/>
      <c r="Y60" s="337"/>
      <c r="Z60" s="337"/>
      <c r="AA60" s="337"/>
      <c r="AB60" s="337"/>
      <c r="AC60" s="338"/>
      <c r="AD60" s="110"/>
      <c r="AE60" s="337"/>
      <c r="AF60" s="337"/>
      <c r="AG60" s="337"/>
      <c r="AQ60" s="1760">
        <v>4</v>
      </c>
      <c r="AR60" s="1761" t="str">
        <f>IF(AND(Hydraulic!P170&lt;1.5*Hydraulic!V170,Hydraulic!Q170&gt;Hydraulic!AA170),Hydraulic!Z170,"")</f>
        <v/>
      </c>
      <c r="AS60" s="1762" t="str">
        <f>IF(AND(Hydraulic!N178&lt;1.5*'Run Off'!E12,Hydraulic!O178&gt;Hydraulic!S178),Hydraulic!R178,"")</f>
        <v/>
      </c>
      <c r="AT60" s="1761">
        <f>Hydraulic!E267</f>
        <v>18.503713451263774</v>
      </c>
      <c r="BB60" s="1358"/>
      <c r="BC60" s="673"/>
      <c r="BD60" s="673"/>
      <c r="BE60" s="673"/>
      <c r="BF60" s="673"/>
      <c r="BG60" s="673"/>
      <c r="BH60" s="673"/>
      <c r="BI60" s="673"/>
      <c r="BJ60" s="673"/>
      <c r="BK60" s="673"/>
      <c r="BL60" s="673"/>
      <c r="BM60" s="673"/>
      <c r="BN60" s="672"/>
    </row>
    <row r="61" spans="1:66" ht="15">
      <c r="A61" s="703"/>
      <c r="B61" s="16"/>
      <c r="C61" s="16"/>
      <c r="D61" s="16"/>
      <c r="E61" s="1977" t="s">
        <v>943</v>
      </c>
      <c r="F61" s="1732">
        <f>+'CS Wing'!F250/2</f>
        <v>269.84342961612197</v>
      </c>
      <c r="G61" s="1978" t="s">
        <v>620</v>
      </c>
      <c r="H61" s="400" t="e">
        <f>IF(F60=F61,"O.k","Not O.k")</f>
        <v>#NUM!</v>
      </c>
      <c r="I61" s="16"/>
      <c r="J61" s="58"/>
      <c r="Y61" s="344" t="s">
        <v>149</v>
      </c>
      <c r="AA61" s="338"/>
      <c r="AB61" s="337"/>
      <c r="AC61" s="338"/>
      <c r="AE61" s="337"/>
      <c r="AF61" s="337"/>
      <c r="AG61" s="337"/>
      <c r="AQ61" s="1757">
        <v>5</v>
      </c>
      <c r="AR61" s="1764">
        <f>IF(AND(Hydraulic!P169&lt;1.5*Hydraulic!V169,Hydraulic!Q169&lt;=Hydraulic!AA169),Hydraulic!Z169,"")</f>
        <v>9.7805613335840871</v>
      </c>
      <c r="AS61" s="1765" t="str">
        <f>IF(AND(Hydraulic!N177&lt;1.5*Hydraulic!D183,Hydraulic!O177&lt;=Hydraulic!S177),Hydraulic!R177,"")</f>
        <v/>
      </c>
      <c r="AT61" s="1764">
        <f>Hydraulic!E248</f>
        <v>17.868308548167079</v>
      </c>
      <c r="BB61" s="1358"/>
      <c r="BC61" s="673"/>
      <c r="BD61" s="673"/>
      <c r="BE61" s="673"/>
      <c r="BF61" s="673"/>
      <c r="BG61" s="673"/>
      <c r="BH61" s="673"/>
      <c r="BI61" s="673"/>
      <c r="BJ61" s="673"/>
      <c r="BK61" s="673"/>
      <c r="BL61" s="673"/>
      <c r="BM61" s="673"/>
      <c r="BN61" s="672"/>
    </row>
    <row r="62" spans="1:66" ht="15">
      <c r="A62" s="2095"/>
      <c r="B62" s="212"/>
      <c r="C62" s="204"/>
      <c r="D62" s="204"/>
      <c r="E62" s="204"/>
      <c r="F62" s="204"/>
      <c r="G62" s="59"/>
      <c r="H62" s="59"/>
      <c r="I62" s="59"/>
      <c r="J62" s="60"/>
      <c r="Y62" s="337"/>
      <c r="AA62" s="340"/>
      <c r="AD62" s="345" t="s">
        <v>149</v>
      </c>
      <c r="AF62" s="337"/>
      <c r="AG62" s="337"/>
      <c r="BB62" s="1358"/>
      <c r="BC62" s="673"/>
      <c r="BD62" s="673"/>
      <c r="BE62" s="673"/>
      <c r="BF62" s="673"/>
      <c r="BG62" s="673"/>
      <c r="BH62" s="673"/>
      <c r="BI62" s="673"/>
      <c r="BJ62" s="673"/>
      <c r="BK62" s="673"/>
      <c r="BL62" s="673"/>
      <c r="BM62" s="673"/>
      <c r="BN62" s="672"/>
    </row>
    <row r="63" spans="1:66" ht="15">
      <c r="Y63" s="337"/>
      <c r="Z63" s="337"/>
      <c r="AA63" s="337"/>
      <c r="AB63" s="337"/>
      <c r="AC63" s="340"/>
      <c r="AD63" s="337"/>
      <c r="AE63" s="337"/>
      <c r="AF63" s="337"/>
      <c r="AG63" s="337"/>
      <c r="BB63" s="1358"/>
      <c r="BC63" s="673"/>
      <c r="BD63" s="673"/>
      <c r="BE63" s="673"/>
      <c r="BF63" s="673"/>
      <c r="BG63" s="673"/>
      <c r="BH63" s="673"/>
      <c r="BI63" s="673"/>
      <c r="BJ63" s="673"/>
      <c r="BK63" s="673"/>
      <c r="BL63" s="673"/>
      <c r="BM63" s="673"/>
      <c r="BN63" s="672"/>
    </row>
    <row r="64" spans="1:66" ht="15">
      <c r="Y64" s="337"/>
      <c r="Z64" s="337"/>
      <c r="AA64" s="337"/>
      <c r="AB64" s="337"/>
      <c r="AD64" s="190"/>
      <c r="AF64" s="337"/>
      <c r="BB64" s="1358"/>
      <c r="BC64" s="673"/>
      <c r="BD64" s="673"/>
      <c r="BE64" s="673"/>
      <c r="BF64" s="673"/>
      <c r="BG64" s="673"/>
      <c r="BH64" s="673"/>
      <c r="BI64" s="673"/>
      <c r="BJ64" s="673"/>
      <c r="BK64" s="673"/>
      <c r="BL64" s="673"/>
      <c r="BM64" s="673"/>
      <c r="BN64" s="672"/>
    </row>
    <row r="65" spans="1:66" ht="15">
      <c r="A65" s="33">
        <f>'RS Wing'!H384</f>
        <v>0.8</v>
      </c>
      <c r="Y65" s="337"/>
      <c r="Z65" s="337"/>
      <c r="AA65" s="337"/>
      <c r="AB65" s="337"/>
      <c r="AC65" s="340"/>
      <c r="AD65" s="337"/>
      <c r="AE65" s="337"/>
      <c r="AF65" s="337"/>
      <c r="BB65" s="1358"/>
      <c r="BC65" s="673"/>
      <c r="BD65" s="673"/>
      <c r="BE65" s="673"/>
      <c r="BF65" s="673"/>
      <c r="BG65" s="673"/>
      <c r="BH65" s="673"/>
      <c r="BI65" s="673"/>
      <c r="BJ65" s="673"/>
      <c r="BK65" s="673"/>
      <c r="BL65" s="673"/>
      <c r="BM65" s="673"/>
      <c r="BN65" s="672"/>
    </row>
    <row r="66" spans="1:66" ht="15">
      <c r="Y66" s="337"/>
      <c r="Z66" s="337"/>
      <c r="AA66" s="337"/>
      <c r="AC66" s="340"/>
      <c r="AD66" s="46"/>
      <c r="AE66" s="337"/>
      <c r="AF66" s="337"/>
      <c r="AG66" s="337"/>
      <c r="BB66" s="1358"/>
      <c r="BC66" s="673"/>
      <c r="BD66" s="673"/>
      <c r="BE66" s="673"/>
      <c r="BF66" s="673"/>
      <c r="BG66" s="673"/>
      <c r="BH66" s="673"/>
      <c r="BI66" s="673"/>
      <c r="BJ66" s="673"/>
      <c r="BK66" s="673"/>
      <c r="BL66" s="673"/>
      <c r="BM66" s="673"/>
      <c r="BN66" s="672"/>
    </row>
    <row r="67" spans="1:66" ht="15">
      <c r="Y67" s="337"/>
      <c r="Z67" s="337"/>
      <c r="AG67" s="337"/>
      <c r="BB67" s="1358"/>
      <c r="BC67" s="673"/>
      <c r="BD67" s="673"/>
      <c r="BE67" s="673"/>
      <c r="BF67" s="673"/>
      <c r="BG67" s="673"/>
      <c r="BH67" s="673"/>
      <c r="BI67" s="673"/>
      <c r="BJ67" s="673"/>
      <c r="BK67" s="673"/>
      <c r="BL67" s="673"/>
      <c r="BM67" s="673"/>
      <c r="BN67" s="672"/>
    </row>
    <row r="68" spans="1:66" ht="15">
      <c r="Y68" s="337"/>
      <c r="Z68" s="337"/>
      <c r="AA68" s="337"/>
      <c r="AB68" s="337"/>
      <c r="AC68" s="340"/>
      <c r="AD68" s="337"/>
      <c r="AE68" s="337"/>
      <c r="AF68" s="337"/>
      <c r="AG68" s="337"/>
      <c r="BB68" s="1358"/>
      <c r="BC68" s="673"/>
      <c r="BD68" s="673"/>
      <c r="BE68" s="673"/>
      <c r="BF68" s="673"/>
      <c r="BG68" s="673"/>
      <c r="BH68" s="673"/>
      <c r="BI68" s="673"/>
      <c r="BJ68" s="673"/>
      <c r="BK68" s="673"/>
      <c r="BL68" s="673"/>
      <c r="BM68" s="673"/>
      <c r="BN68" s="672"/>
    </row>
    <row r="69" spans="1:66" ht="15">
      <c r="A69" s="94" t="s">
        <v>462</v>
      </c>
      <c r="B69" s="249" t="s">
        <v>461</v>
      </c>
      <c r="C69" s="256" t="s">
        <v>458</v>
      </c>
      <c r="D69" s="249" t="s">
        <v>459</v>
      </c>
      <c r="E69" s="256" t="s">
        <v>460</v>
      </c>
      <c r="F69" s="486" t="s">
        <v>913</v>
      </c>
      <c r="G69" s="93"/>
      <c r="Y69" s="337"/>
      <c r="Z69" s="337"/>
      <c r="AB69" s="109"/>
      <c r="AC69" s="343"/>
      <c r="AE69" s="109"/>
      <c r="AG69" s="337" t="s">
        <v>5</v>
      </c>
      <c r="BB69" s="1358"/>
      <c r="BC69" s="673"/>
      <c r="BD69" s="673"/>
      <c r="BE69" s="673"/>
      <c r="BF69" s="673"/>
      <c r="BG69" s="673"/>
      <c r="BH69" s="673"/>
      <c r="BI69" s="673"/>
      <c r="BJ69" s="673"/>
      <c r="BK69" s="673"/>
      <c r="BL69" s="673"/>
      <c r="BM69" s="673"/>
      <c r="BN69" s="672"/>
    </row>
    <row r="70" spans="1:66" ht="15">
      <c r="A70" s="381">
        <f>Hydraulic!J326</f>
        <v>5</v>
      </c>
      <c r="B70" s="251">
        <f>Hydraulic!C328</f>
        <v>9.7805613335840871</v>
      </c>
      <c r="C70" s="379">
        <f>Hydraulic!E361</f>
        <v>2.6779735258231181</v>
      </c>
      <c r="D70" s="1606">
        <f>Hydraulic!C358</f>
        <v>0.53259999999996344</v>
      </c>
      <c r="E70" s="379">
        <f>Hydraulic!D366</f>
        <v>1.7682797110603625</v>
      </c>
      <c r="F70" s="424">
        <f>Hydraulic!D372</f>
        <v>1.8000000000000007</v>
      </c>
      <c r="G70" s="58"/>
      <c r="Y70" s="337"/>
      <c r="Z70" s="337"/>
      <c r="AA70" s="337"/>
      <c r="AB70" s="337"/>
      <c r="AC70" s="340"/>
      <c r="AD70" s="337"/>
      <c r="AE70" s="337"/>
      <c r="AF70" s="337"/>
      <c r="AG70" s="337"/>
      <c r="BB70" s="1358"/>
      <c r="BC70" s="673"/>
      <c r="BD70" s="673"/>
      <c r="BE70" s="673"/>
      <c r="BF70" s="673"/>
      <c r="BG70" s="673"/>
      <c r="BH70" s="673"/>
      <c r="BI70" s="673"/>
      <c r="BJ70" s="673"/>
      <c r="BK70" s="673"/>
      <c r="BL70" s="673"/>
      <c r="BM70" s="673"/>
      <c r="BN70" s="672"/>
    </row>
    <row r="71" spans="1:66" ht="15">
      <c r="A71" s="104">
        <f>Hydraulic!J386</f>
        <v>1</v>
      </c>
      <c r="B71" s="121">
        <f>Hydraulic!D388</f>
        <v>10.50698850170877</v>
      </c>
      <c r="C71" s="138">
        <f>Hydraulic!E422</f>
        <v>2.635792317761493</v>
      </c>
      <c r="D71" s="121">
        <f>Hydraulic!C419</f>
        <v>0.56459999999995236</v>
      </c>
      <c r="E71" s="138">
        <f>Hydraulic!E426</f>
        <v>1.8411366771536775</v>
      </c>
      <c r="F71" s="424">
        <f>Hydraulic!D432</f>
        <v>5.4</v>
      </c>
      <c r="G71" s="58"/>
      <c r="Y71" s="337"/>
      <c r="Z71" s="337"/>
      <c r="AA71" s="337"/>
      <c r="AB71" s="337"/>
      <c r="AC71" s="338"/>
      <c r="AE71" s="337"/>
      <c r="AF71" s="337"/>
      <c r="AG71" s="337"/>
      <c r="BB71" s="1358"/>
      <c r="BC71" s="673"/>
      <c r="BD71" s="673"/>
      <c r="BE71" s="673"/>
      <c r="BF71" s="673"/>
      <c r="BG71" s="673"/>
      <c r="BH71" s="673"/>
      <c r="BI71" s="673"/>
      <c r="BJ71" s="673"/>
      <c r="BK71" s="673"/>
      <c r="BL71" s="673"/>
      <c r="BM71" s="673"/>
      <c r="BN71" s="672"/>
    </row>
    <row r="72" spans="1:66">
      <c r="A72" s="697" t="s">
        <v>395</v>
      </c>
      <c r="B72" s="253">
        <f>MAX(B70,B71)</f>
        <v>10.50698850170877</v>
      </c>
      <c r="C72" s="698">
        <f>VLOOKUP(B72,B70:G71,2,TRUE)</f>
        <v>2.635792317761493</v>
      </c>
      <c r="D72" s="253">
        <f>VLOOKUP(B72,B70:G71,3,TRUE)</f>
        <v>0.56459999999995236</v>
      </c>
      <c r="E72" s="698">
        <f>VLOOKUP(B72,B70:G71,4,TRUE)</f>
        <v>1.8411366771536775</v>
      </c>
      <c r="F72" s="531">
        <f>VLOOKUP(B72,B70:G71,5,TRUE)</f>
        <v>5.4</v>
      </c>
      <c r="G72" s="93"/>
      <c r="AD72" s="46"/>
      <c r="BB72" s="1358"/>
      <c r="BC72" s="673"/>
      <c r="BD72" s="673"/>
      <c r="BE72" s="673"/>
      <c r="BF72" s="673"/>
      <c r="BG72" s="673"/>
      <c r="BH72" s="673"/>
      <c r="BI72" s="673"/>
      <c r="BJ72" s="673"/>
      <c r="BK72" s="673"/>
      <c r="BL72" s="673"/>
      <c r="BM72" s="673"/>
      <c r="BN72" s="672"/>
    </row>
    <row r="73" spans="1:66">
      <c r="AD73" s="46"/>
      <c r="BB73" s="1358"/>
      <c r="BC73" s="673"/>
      <c r="BD73" s="673"/>
      <c r="BE73" s="673"/>
      <c r="BF73" s="673"/>
      <c r="BG73" s="673"/>
      <c r="BH73" s="673"/>
      <c r="BI73" s="673"/>
      <c r="BJ73" s="673"/>
      <c r="BK73" s="673"/>
      <c r="BL73" s="673"/>
      <c r="BM73" s="673"/>
      <c r="BN73" s="672"/>
    </row>
    <row r="74" spans="1:66">
      <c r="A74" s="187" t="s">
        <v>1634</v>
      </c>
      <c r="C74" s="36">
        <f>C72</f>
        <v>2.635792317761493</v>
      </c>
      <c r="BB74" s="1358"/>
      <c r="BC74" s="673"/>
      <c r="BD74" s="673"/>
      <c r="BE74" s="673"/>
      <c r="BF74" s="673"/>
      <c r="BG74" s="673"/>
      <c r="BH74" s="673"/>
      <c r="BI74" s="673"/>
      <c r="BJ74" s="673"/>
      <c r="BK74" s="673"/>
      <c r="BL74" s="673"/>
      <c r="BM74" s="673"/>
      <c r="BN74" s="672"/>
    </row>
    <row r="75" spans="1:66">
      <c r="A75" s="139" t="str">
        <f>IF(AND(C74&gt;=2.5,C74&lt;=4.5),"Use USBR ERC Type Stilling basin ( 2.5&lt;= F &lt;=4.5 )",IF(C74&gt;4.5,"Use USBR type - III Stilling basin ( F&gt;4.5 )","Use Stilling basin type - I ( F&lt;2.5 )"))</f>
        <v>Use USBR ERC Type Stilling basin ( 2.5&lt;= F &lt;=4.5 )</v>
      </c>
      <c r="E75" s="33"/>
      <c r="BB75" s="1358"/>
      <c r="BC75" s="673"/>
      <c r="BD75" s="673"/>
      <c r="BE75" s="673"/>
      <c r="BF75" s="673"/>
      <c r="BG75" s="673"/>
      <c r="BH75" s="673"/>
      <c r="BI75" s="673"/>
      <c r="BJ75" s="673"/>
      <c r="BK75" s="673"/>
      <c r="BL75" s="673"/>
      <c r="BM75" s="673"/>
      <c r="BN75" s="672"/>
    </row>
    <row r="76" spans="1:66">
      <c r="A76" s="126" t="str">
        <f>IF(C74&lt;2.5,"No Baffles or other dissipating device are needed.","")</f>
        <v/>
      </c>
      <c r="B76" s="126"/>
      <c r="C76" s="692"/>
      <c r="D76" s="126"/>
      <c r="E76" s="126"/>
      <c r="BB76" s="1358"/>
      <c r="BC76" s="676"/>
      <c r="BD76" s="673"/>
      <c r="BE76" s="673"/>
      <c r="BF76" s="673"/>
      <c r="BG76" s="673"/>
      <c r="BH76" s="673"/>
      <c r="BI76" s="673"/>
      <c r="BJ76" s="673"/>
      <c r="BK76" s="673"/>
      <c r="BL76" s="673"/>
      <c r="BM76" s="673"/>
      <c r="BN76" s="672"/>
    </row>
    <row r="77" spans="1:66" ht="15">
      <c r="Z77" s="337"/>
      <c r="AA77" s="337"/>
      <c r="AB77" s="337"/>
      <c r="AC77" s="340"/>
      <c r="AD77" s="337"/>
      <c r="AE77" s="337"/>
      <c r="AF77" s="337"/>
      <c r="BB77" s="1358"/>
      <c r="BC77" s="676"/>
      <c r="BD77" s="673"/>
      <c r="BE77" s="673"/>
      <c r="BF77" s="673"/>
      <c r="BG77" s="673"/>
      <c r="BH77" s="673"/>
      <c r="BI77" s="673"/>
      <c r="BJ77" s="673"/>
      <c r="BK77" s="673"/>
      <c r="BL77" s="673"/>
      <c r="BM77" s="673"/>
      <c r="BN77" s="672"/>
    </row>
    <row r="78" spans="1:66" ht="15">
      <c r="Z78" s="337"/>
      <c r="AA78" s="18">
        <v>1</v>
      </c>
      <c r="AC78" s="340"/>
      <c r="AD78" s="61"/>
      <c r="AE78" s="337"/>
      <c r="AF78" s="337"/>
      <c r="AG78" s="339"/>
      <c r="BB78" s="2458"/>
      <c r="BC78" s="2459"/>
      <c r="BD78" s="2459"/>
      <c r="BE78" s="2459"/>
      <c r="BF78" s="673"/>
      <c r="BG78" s="673"/>
      <c r="BH78" s="2460"/>
      <c r="BI78" s="2461"/>
      <c r="BJ78" s="2459"/>
      <c r="BK78" s="673"/>
      <c r="BL78" s="673"/>
      <c r="BM78" s="673"/>
      <c r="BN78" s="672"/>
    </row>
    <row r="79" spans="1:66" ht="15">
      <c r="A79" t="s">
        <v>1670</v>
      </c>
      <c r="D79" s="509">
        <v>0.56999999999999995</v>
      </c>
      <c r="E79" s="187" t="s">
        <v>5</v>
      </c>
      <c r="Z79" s="337"/>
      <c r="AA79" s="337"/>
      <c r="AB79" s="337"/>
      <c r="AC79" s="647"/>
      <c r="AD79" s="337"/>
      <c r="AE79" s="337"/>
      <c r="AF79" s="337"/>
      <c r="AG79" s="337"/>
      <c r="BB79" s="2458"/>
      <c r="BC79" s="2459"/>
      <c r="BD79" s="2459"/>
      <c r="BE79" s="2462"/>
      <c r="BF79" s="2463"/>
      <c r="BG79" s="2459"/>
      <c r="BH79" s="2460"/>
      <c r="BI79" s="2461"/>
      <c r="BJ79" s="2459"/>
      <c r="BK79" s="673"/>
      <c r="BL79" s="673"/>
      <c r="BM79" s="673"/>
      <c r="BN79" s="672"/>
    </row>
    <row r="80" spans="1:66" ht="15">
      <c r="A80" s="187" t="s">
        <v>1635</v>
      </c>
      <c r="B80" s="1"/>
      <c r="C80" s="1"/>
      <c r="D80" s="577">
        <v>3.03</v>
      </c>
      <c r="E80" s="187" t="s">
        <v>5</v>
      </c>
      <c r="AA80" s="338"/>
      <c r="AB80" s="18">
        <v>2</v>
      </c>
      <c r="AC80" s="18">
        <v>3</v>
      </c>
      <c r="AD80" s="18">
        <v>4</v>
      </c>
      <c r="AF80" s="337"/>
      <c r="AG80" s="337"/>
      <c r="BB80" s="2458"/>
      <c r="BC80" s="2459"/>
      <c r="BD80" s="2459"/>
      <c r="BE80" s="2459"/>
      <c r="BF80" s="2463"/>
      <c r="BG80" s="676"/>
      <c r="BH80" s="2459"/>
      <c r="BI80" s="2459"/>
      <c r="BJ80" s="2459"/>
      <c r="BK80" s="673"/>
      <c r="BL80" s="673"/>
      <c r="BM80" s="673"/>
      <c r="BN80" s="672"/>
    </row>
    <row r="81" spans="1:66" ht="15">
      <c r="Z81" s="337"/>
      <c r="AA81" s="337"/>
      <c r="AC81" s="648"/>
      <c r="AD81" s="337"/>
      <c r="AF81" s="849">
        <v>5</v>
      </c>
      <c r="AG81" s="337"/>
      <c r="BB81" s="2458"/>
      <c r="BC81" s="2459"/>
      <c r="BD81" s="2464"/>
      <c r="BE81" s="676"/>
      <c r="BF81" s="2465"/>
      <c r="BG81" s="2462"/>
      <c r="BH81" s="2459"/>
      <c r="BI81" s="2459"/>
      <c r="BJ81" s="2459"/>
      <c r="BK81" s="673"/>
      <c r="BL81" s="673"/>
      <c r="BM81" s="673"/>
      <c r="BN81" s="672"/>
    </row>
    <row r="82" spans="1:66" ht="15">
      <c r="A82" s="2162">
        <f>IL+1.5*D+0.2</f>
        <v>9.8999999999999986</v>
      </c>
      <c r="B82" s="2163">
        <f>IL+1.5*D-0.2</f>
        <v>9.5</v>
      </c>
      <c r="Z82" s="337"/>
      <c r="AA82" s="337"/>
      <c r="AB82" s="337"/>
      <c r="AD82" s="337"/>
      <c r="AE82" s="337"/>
      <c r="AF82" s="337"/>
      <c r="AG82" s="337"/>
      <c r="BB82" s="2458"/>
      <c r="BC82" s="2459"/>
      <c r="BD82" s="2459"/>
      <c r="BE82" s="2459"/>
      <c r="BF82" s="2466"/>
      <c r="BG82" s="2459"/>
      <c r="BH82" s="2459"/>
      <c r="BI82" s="2459"/>
      <c r="BJ82" s="2459"/>
      <c r="BK82" s="673"/>
      <c r="BL82" s="673"/>
      <c r="BM82" s="673"/>
      <c r="BN82" s="672"/>
    </row>
    <row r="83" spans="1:66" ht="15">
      <c r="A83" s="2164">
        <f>IL+D-0.2</f>
        <v>8.6000000000000014</v>
      </c>
      <c r="B83" s="2165">
        <f>IL+0.2</f>
        <v>7.2</v>
      </c>
      <c r="AA83" s="337"/>
      <c r="AB83" s="337"/>
      <c r="AC83" s="340"/>
      <c r="AD83" s="337"/>
      <c r="AE83" s="338"/>
      <c r="AF83" s="288" t="s">
        <v>149</v>
      </c>
      <c r="BB83" s="2458"/>
      <c r="BC83" s="2459"/>
      <c r="BD83" s="2459"/>
      <c r="BE83" s="2459"/>
      <c r="BF83" s="2466"/>
      <c r="BG83" s="2467"/>
      <c r="BH83" s="2459"/>
      <c r="BI83" s="2459"/>
      <c r="BJ83" s="2460"/>
      <c r="BK83" s="673"/>
      <c r="BL83" s="673"/>
      <c r="BM83" s="673"/>
      <c r="BN83" s="672"/>
    </row>
    <row r="84" spans="1:66" ht="15">
      <c r="A84" s="2148"/>
      <c r="B84" s="58"/>
      <c r="I84" s="54">
        <f>'CS Wing'!I159+'CS Wing'!I160+'CS Wing'!I161-'CS Wing'!I162</f>
        <v>565.80236402288631</v>
      </c>
      <c r="Z84" s="337"/>
      <c r="AA84" s="337"/>
      <c r="AD84" s="341"/>
      <c r="AE84" s="337"/>
      <c r="AF84" s="337"/>
      <c r="AG84" s="337"/>
      <c r="BB84" s="2468"/>
      <c r="BC84" s="2459"/>
      <c r="BD84" s="2459"/>
      <c r="BE84" s="2459"/>
      <c r="BF84" s="2466"/>
      <c r="BG84" s="2459"/>
      <c r="BH84" s="2459"/>
      <c r="BI84" s="2459"/>
      <c r="BJ84" s="2459"/>
      <c r="BK84" s="673"/>
      <c r="BL84" s="673"/>
      <c r="BM84" s="673"/>
      <c r="BN84" s="672"/>
    </row>
    <row r="85" spans="1:66" ht="15">
      <c r="A85" s="2166">
        <f>A82</f>
        <v>9.8999999999999986</v>
      </c>
      <c r="B85" s="2167">
        <f>B82</f>
        <v>9.5</v>
      </c>
      <c r="Z85" s="337"/>
      <c r="AA85" s="338"/>
      <c r="AB85" s="337"/>
      <c r="AD85" s="337"/>
      <c r="AF85" s="337"/>
      <c r="AG85" s="337"/>
      <c r="BB85" s="2469"/>
      <c r="BC85" s="2470"/>
      <c r="BD85" s="2471"/>
      <c r="BE85" s="2459"/>
      <c r="BF85" s="2466"/>
      <c r="BG85" s="2459"/>
      <c r="BH85" s="2459"/>
      <c r="BI85" s="2459"/>
      <c r="BJ85" s="2459"/>
      <c r="BK85" s="673"/>
      <c r="BL85" s="673"/>
      <c r="BM85" s="673"/>
      <c r="BN85" s="672"/>
    </row>
    <row r="86" spans="1:66" ht="15">
      <c r="A86" s="2168">
        <f>+A83</f>
        <v>8.6000000000000014</v>
      </c>
      <c r="B86" s="2169">
        <f>+B83</f>
        <v>7.2</v>
      </c>
      <c r="Z86" s="337"/>
      <c r="AA86" s="337"/>
      <c r="AB86" s="337"/>
      <c r="AC86" s="340"/>
      <c r="AD86" s="337"/>
      <c r="AE86" s="337"/>
      <c r="AF86" s="337"/>
      <c r="BB86" s="2458"/>
      <c r="BC86" s="2459"/>
      <c r="BD86" s="2459"/>
      <c r="BE86" s="2472"/>
      <c r="BF86" s="2470"/>
      <c r="BG86" s="2459"/>
      <c r="BH86" s="673"/>
      <c r="BI86" s="2459"/>
      <c r="BJ86" s="2459"/>
      <c r="BK86" s="673"/>
      <c r="BL86" s="673"/>
      <c r="BM86" s="673"/>
      <c r="BN86" s="672"/>
    </row>
    <row r="87" spans="1:66" ht="15">
      <c r="Z87" s="337"/>
      <c r="AA87" s="337"/>
      <c r="AB87" s="337"/>
      <c r="AE87" s="855" t="s">
        <v>320</v>
      </c>
      <c r="AF87" s="337"/>
      <c r="AG87" s="337"/>
      <c r="BB87" s="2458"/>
      <c r="BC87" s="2459"/>
      <c r="BD87" s="2459"/>
      <c r="BE87" s="2459"/>
      <c r="BF87" s="2471"/>
      <c r="BG87" s="2459"/>
      <c r="BH87" s="2459"/>
      <c r="BI87" s="2459"/>
      <c r="BJ87" s="2459"/>
      <c r="BK87" s="673"/>
      <c r="BL87" s="673"/>
      <c r="BM87" s="673"/>
      <c r="BN87" s="672"/>
    </row>
    <row r="88" spans="1:66" ht="15">
      <c r="A88" s="753" t="s">
        <v>203</v>
      </c>
      <c r="B88" s="753"/>
      <c r="C88" s="753"/>
      <c r="D88" s="753"/>
      <c r="E88" s="754">
        <f>Hydraulic!I18</f>
        <v>13.1</v>
      </c>
      <c r="F88" s="753" t="s">
        <v>1102</v>
      </c>
      <c r="G88" s="791">
        <f>RADIANS(E88)</f>
        <v>0.22863813201125716</v>
      </c>
      <c r="H88" s="753" t="s">
        <v>322</v>
      </c>
      <c r="Z88" s="337"/>
      <c r="AA88" s="337"/>
      <c r="AB88" s="337"/>
      <c r="AE88" s="337"/>
      <c r="AF88" s="337"/>
      <c r="BB88" s="2458"/>
      <c r="BC88" s="2462"/>
      <c r="BD88" s="2459"/>
      <c r="BE88" s="2459"/>
      <c r="BF88" s="2466"/>
      <c r="BG88" s="2459"/>
      <c r="BH88" s="2471"/>
      <c r="BI88" s="2473"/>
      <c r="BJ88" s="2474"/>
      <c r="BK88" s="673"/>
      <c r="BL88" s="673"/>
      <c r="BM88" s="673"/>
      <c r="BN88" s="672"/>
    </row>
    <row r="89" spans="1:66" ht="15">
      <c r="A89" s="753" t="s">
        <v>315</v>
      </c>
      <c r="B89" s="753"/>
      <c r="C89" s="792">
        <v>12</v>
      </c>
      <c r="D89" s="753" t="s">
        <v>5</v>
      </c>
      <c r="F89" s="753"/>
      <c r="H89" s="753"/>
      <c r="Z89" s="337"/>
      <c r="AA89" s="337"/>
      <c r="AB89" s="337"/>
      <c r="AE89" s="337"/>
      <c r="AF89" s="337"/>
      <c r="AG89" s="337"/>
      <c r="BB89" s="2458"/>
      <c r="BC89" s="2459"/>
      <c r="BD89" s="2459"/>
      <c r="BE89" s="2459"/>
      <c r="BF89" s="2475"/>
      <c r="BG89" s="2476"/>
      <c r="BH89" s="2459"/>
      <c r="BI89" s="2459"/>
      <c r="BJ89" s="2459"/>
      <c r="BK89" s="673"/>
      <c r="BL89" s="673"/>
      <c r="BM89" s="673"/>
      <c r="BN89" s="672"/>
    </row>
    <row r="90" spans="1:66" ht="15">
      <c r="A90" s="753" t="s">
        <v>912</v>
      </c>
      <c r="B90" s="753"/>
      <c r="C90" s="756"/>
      <c r="D90" s="753"/>
      <c r="E90" s="756">
        <f>DEGREES(ATAN(((Hydraulic!J66-Hydraulic!E389)/2)/(Hydraulic!F71+Hydraulic!G72)))</f>
        <v>14.2645122980799</v>
      </c>
      <c r="F90" s="753" t="s">
        <v>1103</v>
      </c>
      <c r="G90" s="753"/>
      <c r="H90" s="753"/>
      <c r="AA90" s="338"/>
      <c r="AB90" s="337"/>
      <c r="AC90" s="338"/>
      <c r="AE90" s="337"/>
      <c r="AF90" s="337"/>
      <c r="AG90" s="337"/>
      <c r="BB90" s="2477"/>
      <c r="BC90" s="2459"/>
      <c r="BD90" s="2471"/>
      <c r="BE90" s="2459"/>
      <c r="BF90" s="2466"/>
      <c r="BG90" s="2459"/>
      <c r="BH90" s="2475"/>
      <c r="BI90" s="2459"/>
      <c r="BJ90" s="2459"/>
      <c r="BK90" s="673"/>
      <c r="BL90" s="673"/>
      <c r="BM90" s="673"/>
      <c r="BN90" s="672"/>
    </row>
    <row r="91" spans="1:66" ht="15">
      <c r="AA91" s="340"/>
      <c r="AC91" t="s">
        <v>5</v>
      </c>
      <c r="AD91" s="345" t="s">
        <v>149</v>
      </c>
      <c r="AF91" s="337"/>
      <c r="AG91" s="337"/>
      <c r="BB91" s="2458"/>
      <c r="BC91" s="2464"/>
      <c r="BD91" s="676"/>
      <c r="BE91" s="2465"/>
      <c r="BF91" s="2478"/>
      <c r="BG91" s="2459"/>
      <c r="BH91" s="2459"/>
      <c r="BI91" s="2459"/>
      <c r="BJ91" s="2475"/>
      <c r="BK91" s="673"/>
      <c r="BL91" s="673"/>
      <c r="BM91" s="673"/>
      <c r="BN91" s="672"/>
    </row>
    <row r="92" spans="1:66" ht="15">
      <c r="Z92" s="337"/>
      <c r="AA92" s="337"/>
      <c r="AB92" s="337"/>
      <c r="AC92" s="340"/>
      <c r="AD92" s="337"/>
      <c r="AE92" s="337"/>
      <c r="AF92" s="337"/>
      <c r="AG92" s="337"/>
      <c r="BB92" s="2468"/>
      <c r="BC92" s="2459"/>
      <c r="BD92" s="2459"/>
      <c r="BE92" s="2459"/>
      <c r="BF92" s="2466"/>
      <c r="BG92" s="2459"/>
      <c r="BH92" s="2459"/>
      <c r="BI92" s="2459"/>
      <c r="BJ92" s="2459"/>
      <c r="BK92" s="673"/>
      <c r="BL92" s="673"/>
      <c r="BM92" s="673"/>
      <c r="BN92" s="672"/>
    </row>
    <row r="93" spans="1:66" ht="15">
      <c r="Z93" s="337"/>
      <c r="AA93" s="337"/>
      <c r="AB93" s="796"/>
      <c r="AD93" s="190"/>
      <c r="AF93" s="337"/>
      <c r="BB93" s="2458"/>
      <c r="BC93" s="2459"/>
      <c r="BD93" s="2459"/>
      <c r="BE93" s="2459"/>
      <c r="BF93" s="2471"/>
      <c r="BG93" s="1762"/>
      <c r="BH93" s="2459"/>
      <c r="BI93" s="2459"/>
      <c r="BJ93" s="2479"/>
      <c r="BK93" s="673"/>
      <c r="BL93" s="673"/>
      <c r="BM93" s="673"/>
      <c r="BN93" s="672"/>
    </row>
    <row r="94" spans="1:66" ht="15">
      <c r="Z94" s="337"/>
      <c r="AA94" s="337"/>
      <c r="AB94" s="337"/>
      <c r="AC94" s="340"/>
      <c r="AD94" s="337"/>
      <c r="AE94" s="337"/>
      <c r="AF94" s="337"/>
      <c r="BB94" s="2458"/>
      <c r="BC94" s="2459"/>
      <c r="BD94" s="2459"/>
      <c r="BE94" s="2459"/>
      <c r="BF94" s="2471"/>
      <c r="BG94" s="2480"/>
      <c r="BH94" s="2459"/>
      <c r="BI94" s="2459"/>
      <c r="BJ94" s="2459"/>
      <c r="BK94" s="673"/>
      <c r="BL94" s="673"/>
      <c r="BM94" s="673"/>
      <c r="BN94" s="672"/>
    </row>
    <row r="95" spans="1:66" ht="15">
      <c r="Z95" s="337"/>
      <c r="AA95" s="337"/>
      <c r="AC95" s="340"/>
      <c r="AD95" s="46"/>
      <c r="AE95" s="337"/>
      <c r="AF95" s="337"/>
      <c r="AG95" s="337"/>
      <c r="BB95" s="2481"/>
      <c r="BC95" s="2474"/>
      <c r="BD95" s="2471"/>
      <c r="BE95" s="2459"/>
      <c r="BF95" s="2471"/>
      <c r="BG95" s="673"/>
      <c r="BH95" s="2459"/>
      <c r="BI95" s="2459"/>
      <c r="BJ95" s="2459"/>
      <c r="BK95" s="673"/>
      <c r="BL95" s="673"/>
      <c r="BM95" s="673"/>
      <c r="BN95" s="672"/>
    </row>
    <row r="96" spans="1:66" ht="15">
      <c r="Z96" s="337"/>
      <c r="AA96" s="18">
        <v>1</v>
      </c>
      <c r="AB96" s="18">
        <v>2</v>
      </c>
      <c r="AC96" s="850">
        <v>3</v>
      </c>
      <c r="AD96" s="18">
        <v>4</v>
      </c>
      <c r="AG96" s="337"/>
      <c r="BB96" s="2458"/>
      <c r="BC96" s="2465"/>
      <c r="BD96" s="2466"/>
      <c r="BE96" s="2459"/>
      <c r="BF96" s="2482"/>
      <c r="BG96" s="2483"/>
      <c r="BH96" s="2474"/>
      <c r="BI96" s="2459"/>
      <c r="BJ96" s="2459"/>
      <c r="BK96" s="673"/>
      <c r="BL96" s="673"/>
      <c r="BM96" s="673"/>
      <c r="BN96" s="672"/>
    </row>
    <row r="97" spans="26:66" ht="15">
      <c r="Z97" s="337"/>
      <c r="AA97" s="337"/>
      <c r="AB97" s="337"/>
      <c r="AD97" s="337"/>
      <c r="AE97" s="337"/>
      <c r="AF97" s="849">
        <v>5</v>
      </c>
      <c r="AG97" s="337"/>
      <c r="BB97" s="2458"/>
      <c r="BC97" s="2459"/>
      <c r="BD97" s="2459"/>
      <c r="BE97" s="2459"/>
      <c r="BF97" s="2466"/>
      <c r="BG97" s="2459"/>
      <c r="BH97" s="2459"/>
      <c r="BI97" s="2459"/>
      <c r="BJ97" s="2459"/>
      <c r="BK97" s="673"/>
      <c r="BL97" s="673"/>
      <c r="BM97" s="673"/>
      <c r="BN97" s="672"/>
    </row>
    <row r="98" spans="26:66" ht="15">
      <c r="Z98" s="337"/>
      <c r="AB98" s="109"/>
      <c r="AC98" s="343"/>
      <c r="AE98" s="109"/>
      <c r="AG98" s="337"/>
      <c r="BB98" s="2458"/>
      <c r="BC98" s="2459"/>
      <c r="BD98" s="2459"/>
      <c r="BE98" s="2459"/>
      <c r="BF98" s="2462"/>
      <c r="BG98" s="2465"/>
      <c r="BH98" s="2465"/>
      <c r="BI98" s="2459"/>
      <c r="BJ98" s="2465"/>
      <c r="BK98" s="673"/>
      <c r="BL98" s="673"/>
      <c r="BM98" s="673"/>
      <c r="BN98" s="672"/>
    </row>
    <row r="99" spans="26:66" ht="15">
      <c r="BB99" s="2458"/>
      <c r="BC99" s="2459"/>
      <c r="BD99" s="2459"/>
      <c r="BE99" s="2459"/>
      <c r="BF99" s="2466"/>
      <c r="BG99" s="2459"/>
      <c r="BH99" s="2459"/>
      <c r="BI99" s="2459"/>
      <c r="BJ99" s="2484"/>
      <c r="BK99" s="673"/>
      <c r="BL99" s="673"/>
      <c r="BM99" s="673"/>
      <c r="BN99" s="672"/>
    </row>
    <row r="100" spans="26:66" ht="15">
      <c r="BB100" s="2458"/>
      <c r="BC100" s="2459"/>
      <c r="BD100" s="2459"/>
      <c r="BE100" s="2472"/>
      <c r="BF100" s="2466"/>
      <c r="BG100" s="673"/>
      <c r="BH100" s="2459"/>
      <c r="BI100" s="2459"/>
      <c r="BJ100" s="2459"/>
      <c r="BK100" s="673"/>
      <c r="BL100" s="673"/>
      <c r="BM100" s="673"/>
      <c r="BN100" s="672"/>
    </row>
    <row r="101" spans="26:66" ht="15">
      <c r="BB101" s="2458"/>
      <c r="BC101" s="2459"/>
      <c r="BD101" s="2459"/>
      <c r="BE101" s="673"/>
      <c r="BF101" s="2478"/>
      <c r="BG101" s="2459"/>
      <c r="BH101" s="2459"/>
      <c r="BI101" s="2472"/>
      <c r="BJ101" s="2459"/>
      <c r="BK101" s="673"/>
      <c r="BL101" s="673"/>
      <c r="BM101" s="673"/>
      <c r="BN101" s="672"/>
    </row>
    <row r="102" spans="26:66" ht="15">
      <c r="BB102" s="2458"/>
      <c r="BC102" s="2459"/>
      <c r="BD102" s="2459"/>
      <c r="BE102" s="2459"/>
      <c r="BF102" s="2466"/>
      <c r="BG102" s="2459"/>
      <c r="BH102" s="2459"/>
      <c r="BI102" s="2459"/>
      <c r="BJ102" s="2459"/>
      <c r="BK102" s="673"/>
      <c r="BL102" s="673"/>
      <c r="BM102" s="673"/>
      <c r="BN102" s="672"/>
    </row>
    <row r="103" spans="26:66" ht="15">
      <c r="BB103" s="2458"/>
      <c r="BC103" s="2459"/>
      <c r="BD103" s="2464"/>
      <c r="BE103" s="676"/>
      <c r="BF103" s="2485"/>
      <c r="BG103" s="2470"/>
      <c r="BH103" s="676"/>
      <c r="BI103" s="2465"/>
      <c r="BJ103" s="2459"/>
      <c r="BK103" s="673"/>
      <c r="BL103" s="673"/>
      <c r="BM103" s="673"/>
      <c r="BN103" s="672"/>
    </row>
    <row r="104" spans="26:66" ht="15">
      <c r="AA104" s="46"/>
      <c r="BB104" s="2458"/>
      <c r="BC104" s="2459"/>
      <c r="BD104" s="2459"/>
      <c r="BE104" s="2459"/>
      <c r="BF104" s="2466"/>
      <c r="BG104" s="2459"/>
      <c r="BH104" s="2459"/>
      <c r="BI104" s="2459"/>
      <c r="BJ104" s="2459"/>
      <c r="BK104" s="673"/>
      <c r="BL104" s="673"/>
      <c r="BM104" s="673"/>
      <c r="BN104" s="672"/>
    </row>
    <row r="105" spans="26:66">
      <c r="AA105" s="46"/>
      <c r="BB105" s="1358"/>
      <c r="BC105" s="673"/>
      <c r="BD105" s="673"/>
      <c r="BE105" s="673"/>
      <c r="BF105" s="673"/>
      <c r="BG105" s="673"/>
      <c r="BH105" s="673"/>
      <c r="BI105" s="673"/>
      <c r="BJ105" s="673"/>
      <c r="BK105" s="673"/>
      <c r="BL105" s="673"/>
      <c r="BM105" s="673"/>
      <c r="BN105" s="672"/>
    </row>
    <row r="106" spans="26:66" ht="15">
      <c r="AA106" s="46"/>
      <c r="AE106" s="188">
        <f>DATA!G388</f>
        <v>2.7</v>
      </c>
      <c r="AF106" s="109" t="s">
        <v>5</v>
      </c>
      <c r="AG106" s="190">
        <f>'RS Wing'!D147</f>
        <v>0</v>
      </c>
      <c r="AH106" s="33">
        <f>DATA!D388-AG106</f>
        <v>15</v>
      </c>
      <c r="AL106" s="46"/>
      <c r="BB106" s="1358"/>
      <c r="BC106" s="2459"/>
      <c r="BD106" s="2459"/>
      <c r="BE106" s="2459"/>
      <c r="BF106" s="2459"/>
      <c r="BG106" s="2459"/>
      <c r="BH106" s="2459"/>
      <c r="BI106" s="2459"/>
      <c r="BJ106" s="673"/>
      <c r="BK106" s="673"/>
      <c r="BL106" s="673"/>
      <c r="BM106" s="673"/>
      <c r="BN106" s="672"/>
    </row>
    <row r="107" spans="26:66" ht="15">
      <c r="AA107" s="46"/>
      <c r="AG107" s="2131"/>
      <c r="AL107" s="46"/>
      <c r="BB107" s="1358"/>
      <c r="BC107" s="2459"/>
      <c r="BD107" s="2459"/>
      <c r="BE107" s="2459"/>
      <c r="BF107" s="2466"/>
      <c r="BG107" s="2459"/>
      <c r="BH107" s="2459"/>
      <c r="BI107" s="2459"/>
      <c r="BJ107" s="673"/>
      <c r="BK107" s="673"/>
      <c r="BL107" s="673"/>
      <c r="BM107" s="673"/>
      <c r="BN107" s="672"/>
    </row>
    <row r="108" spans="26:66" ht="15">
      <c r="AA108" s="46"/>
      <c r="AE108" s="18" t="str">
        <f>'RS Wing'!B151</f>
        <v>h2</v>
      </c>
      <c r="AG108" s="2131"/>
      <c r="AH108" s="83"/>
      <c r="AL108" s="46"/>
      <c r="BB108" s="1358"/>
      <c r="BC108" s="2459"/>
      <c r="BD108" s="2459"/>
      <c r="BE108" s="2459"/>
      <c r="BF108" s="2466"/>
      <c r="BG108" s="2459"/>
      <c r="BH108" s="2459"/>
      <c r="BI108" s="2459"/>
      <c r="BJ108" s="673"/>
      <c r="BK108" s="673"/>
      <c r="BL108" s="673"/>
      <c r="BM108" s="673"/>
      <c r="BN108" s="672"/>
    </row>
    <row r="109" spans="26:66" ht="15">
      <c r="AA109" s="46"/>
      <c r="AF109" s="2" t="str">
        <f>'RS Wing'!C152</f>
        <v>=</v>
      </c>
      <c r="AG109" s="2131"/>
      <c r="AL109" s="46"/>
      <c r="BB109" s="1358"/>
      <c r="BC109" s="2459"/>
      <c r="BD109" s="2459"/>
      <c r="BE109" s="2459"/>
      <c r="BF109" s="2466"/>
      <c r="BG109" s="2459"/>
      <c r="BH109" s="2459"/>
      <c r="BI109" s="2459"/>
      <c r="BJ109" s="673"/>
      <c r="BK109" s="673"/>
      <c r="BL109" s="673"/>
      <c r="BM109" s="673"/>
      <c r="BN109" s="672"/>
    </row>
    <row r="110" spans="26:66" ht="15">
      <c r="AA110" s="46"/>
      <c r="AD110" s="205" t="str">
        <f>'RS Wing'!A153</f>
        <v>P1= 0.5Ca gmoist h12  =</v>
      </c>
      <c r="AE110" s="84"/>
      <c r="AG110" s="2131"/>
      <c r="AH110" s="18">
        <f>'RS Wing'!G154</f>
        <v>0</v>
      </c>
      <c r="AI110">
        <f>'RS Wing'!I157</f>
        <v>120.43583572756029</v>
      </c>
      <c r="AL110" s="46"/>
      <c r="BB110" s="1358"/>
      <c r="BC110" s="2459"/>
      <c r="BD110" s="2459"/>
      <c r="BE110" s="2459"/>
      <c r="BF110" s="2466"/>
      <c r="BG110" s="2459"/>
      <c r="BH110" s="2459"/>
      <c r="BI110" s="2459"/>
      <c r="BJ110" s="673"/>
      <c r="BK110" s="673"/>
      <c r="BL110" s="673"/>
      <c r="BM110" s="673"/>
      <c r="BN110" s="672"/>
    </row>
    <row r="111" spans="26:66" ht="15">
      <c r="AA111" s="46"/>
      <c r="AF111" s="2" t="s">
        <v>149</v>
      </c>
      <c r="AG111" s="220">
        <f>'RS Wing'!C154</f>
        <v>0</v>
      </c>
      <c r="AI111" s="36"/>
      <c r="AL111" s="46"/>
      <c r="BB111" s="1358"/>
      <c r="BC111" s="2465"/>
      <c r="BD111" s="2459"/>
      <c r="BE111" s="2459"/>
      <c r="BF111" s="2466"/>
      <c r="BG111" s="2459"/>
      <c r="BH111" s="2461"/>
      <c r="BI111" s="2459"/>
      <c r="BJ111" s="673"/>
      <c r="BK111" s="673"/>
      <c r="BL111" s="673"/>
      <c r="BM111" s="673"/>
      <c r="BN111" s="672"/>
    </row>
    <row r="112" spans="26:66" ht="15">
      <c r="AA112" s="46"/>
      <c r="AG112" s="84"/>
      <c r="AL112" s="46"/>
      <c r="BB112" s="1358"/>
      <c r="BC112" s="2459"/>
      <c r="BD112" s="2459"/>
      <c r="BE112" s="2459"/>
      <c r="BF112" s="2466"/>
      <c r="BG112" s="2459"/>
      <c r="BH112" s="2459"/>
      <c r="BI112" s="2459"/>
      <c r="BJ112" s="673"/>
      <c r="BK112" s="673"/>
      <c r="BL112" s="673"/>
      <c r="BM112" s="673"/>
      <c r="BN112" s="672"/>
    </row>
    <row r="113" spans="27:66" ht="15">
      <c r="AA113" s="46"/>
      <c r="AD113" s="33" t="e">
        <f>AD110-AD120</f>
        <v>#VALUE!</v>
      </c>
      <c r="AG113" s="2131"/>
      <c r="AI113" s="141">
        <f>'Run Off'!AY52</f>
        <v>0</v>
      </c>
      <c r="AL113" s="46"/>
      <c r="BB113" s="1358"/>
      <c r="BC113" s="2459"/>
      <c r="BD113" s="2459"/>
      <c r="BE113" s="2459"/>
      <c r="BF113" s="2466"/>
      <c r="BG113" s="2459"/>
      <c r="BH113" s="2459"/>
      <c r="BI113" s="2459"/>
      <c r="BJ113" s="673"/>
      <c r="BK113" s="673"/>
      <c r="BL113" s="673"/>
      <c r="BM113" s="673"/>
      <c r="BN113" s="672"/>
    </row>
    <row r="114" spans="27:66" ht="15">
      <c r="AA114" s="46"/>
      <c r="AG114" s="84"/>
      <c r="AH114" s="36"/>
      <c r="AL114" s="46"/>
      <c r="BB114" s="1358"/>
      <c r="BC114" s="2459"/>
      <c r="BD114" s="2459"/>
      <c r="BE114" s="2459"/>
      <c r="BF114" s="2466"/>
      <c r="BG114" s="2459"/>
      <c r="BH114" s="2459"/>
      <c r="BI114" s="2459"/>
      <c r="BJ114" s="673"/>
      <c r="BK114" s="673"/>
      <c r="BL114" s="673"/>
      <c r="BM114" s="673"/>
      <c r="BN114" s="672"/>
    </row>
    <row r="115" spans="27:66" ht="15">
      <c r="AA115" s="46"/>
      <c r="AD115" s="33"/>
      <c r="AE115" s="84"/>
      <c r="AG115" s="221"/>
      <c r="AH115" s="2132">
        <f>AI113-AI121</f>
        <v>0</v>
      </c>
      <c r="AL115" s="46"/>
      <c r="BB115" s="1358"/>
      <c r="BC115" s="2465"/>
      <c r="BD115" s="2459"/>
      <c r="BE115" s="2462"/>
      <c r="BF115" s="676"/>
      <c r="BG115" s="2479"/>
      <c r="BH115" s="2486"/>
      <c r="BI115" s="2476"/>
      <c r="BJ115" s="673"/>
      <c r="BK115" s="673"/>
      <c r="BL115" s="673"/>
      <c r="BM115" s="673"/>
      <c r="BN115" s="672"/>
    </row>
    <row r="116" spans="27:66" ht="15">
      <c r="AA116" s="46"/>
      <c r="AG116" s="2131"/>
      <c r="AK116" s="79"/>
      <c r="AL116" s="46"/>
      <c r="BB116" s="1358"/>
      <c r="BC116" s="2459"/>
      <c r="BD116" s="2459"/>
      <c r="BE116" s="2459"/>
      <c r="BF116" s="2466"/>
      <c r="BG116" s="2459"/>
      <c r="BH116" s="2459"/>
      <c r="BI116" s="2459"/>
      <c r="BJ116" s="673"/>
      <c r="BK116" s="673"/>
      <c r="BL116" s="673"/>
      <c r="BM116" s="673"/>
      <c r="BN116" s="672"/>
    </row>
    <row r="117" spans="27:66" ht="15">
      <c r="AA117" s="46"/>
      <c r="AC117" s="79"/>
      <c r="AF117" s="2132">
        <f>AG111-AI121</f>
        <v>0</v>
      </c>
      <c r="AG117" s="2131"/>
      <c r="AL117" s="46"/>
      <c r="BB117" s="1358"/>
      <c r="BC117" s="2459"/>
      <c r="BD117" s="2459"/>
      <c r="BE117" s="2459"/>
      <c r="BF117" s="2466"/>
      <c r="BG117" s="2459"/>
      <c r="BH117" s="2459"/>
      <c r="BI117" s="2459"/>
      <c r="BJ117" s="673"/>
      <c r="BK117" s="673"/>
      <c r="BL117" s="673"/>
      <c r="BM117" s="673"/>
      <c r="BN117" s="672"/>
    </row>
    <row r="118" spans="27:66" ht="15">
      <c r="AA118" s="46"/>
      <c r="AG118" s="84"/>
      <c r="AH118" s="53"/>
      <c r="AI118" s="2132"/>
      <c r="AK118" s="2132">
        <f>AI113-AI121</f>
        <v>0</v>
      </c>
      <c r="AL118" s="46"/>
      <c r="BB118" s="1358"/>
      <c r="BC118" s="2459"/>
      <c r="BD118" s="2459"/>
      <c r="BE118" s="2459"/>
      <c r="BF118" s="2466"/>
      <c r="BG118" s="2459"/>
      <c r="BH118" s="2459"/>
      <c r="BI118" s="2459"/>
      <c r="BJ118" s="673"/>
      <c r="BK118" s="673"/>
      <c r="BL118" s="673"/>
      <c r="BM118" s="673"/>
      <c r="BN118" s="672"/>
    </row>
    <row r="119" spans="27:66" ht="15">
      <c r="AA119" s="46"/>
      <c r="AD119" s="46"/>
      <c r="AE119" s="46"/>
      <c r="AF119" s="46"/>
      <c r="AG119" s="84"/>
      <c r="AH119" s="32"/>
      <c r="AL119" s="46"/>
      <c r="BB119" s="1358"/>
      <c r="BC119" s="2465"/>
      <c r="BD119" s="2459"/>
      <c r="BE119" s="2459"/>
      <c r="BF119" s="2466"/>
      <c r="BG119" s="2459"/>
      <c r="BH119" s="2459"/>
      <c r="BI119" s="2459"/>
      <c r="BJ119" s="673"/>
      <c r="BK119" s="673"/>
      <c r="BL119" s="673"/>
      <c r="BM119" s="673"/>
      <c r="BN119" s="672"/>
    </row>
    <row r="120" spans="27:66" ht="15">
      <c r="AA120" s="46"/>
      <c r="AD120" s="133" t="str">
        <f>'RS Wing'!A168</f>
        <v>Moment for Steel on Exposed face =</v>
      </c>
      <c r="AE120" s="490"/>
      <c r="AF120" s="46"/>
      <c r="AG120" s="84"/>
      <c r="AL120" s="46"/>
      <c r="BB120" s="1358"/>
      <c r="BC120" s="2459"/>
      <c r="BD120" s="2459"/>
      <c r="BE120" s="2459"/>
      <c r="BF120" s="2466"/>
      <c r="BG120" s="2459"/>
      <c r="BH120" s="2459"/>
      <c r="BI120" s="2459"/>
      <c r="BJ120" s="673"/>
      <c r="BK120" s="673"/>
      <c r="BL120" s="673"/>
      <c r="BM120" s="673"/>
      <c r="BN120" s="672"/>
    </row>
    <row r="121" spans="27:66" ht="15">
      <c r="AA121" s="46"/>
      <c r="AC121" s="187"/>
      <c r="AD121" s="190" t="e">
        <f>'RS Wing'!#REF!</f>
        <v>#REF!</v>
      </c>
      <c r="AE121" s="343"/>
      <c r="AF121" s="109"/>
      <c r="AG121" s="220" t="e">
        <f>AD120-AI121</f>
        <v>#VALUE!</v>
      </c>
      <c r="AH121" s="582" t="s">
        <v>51</v>
      </c>
      <c r="AI121" s="189">
        <f>'Run Off'!AY47</f>
        <v>0</v>
      </c>
      <c r="AJ121" s="187"/>
      <c r="AK121" s="187"/>
      <c r="AL121" s="46"/>
      <c r="BB121" s="1358"/>
      <c r="BC121" s="2459"/>
      <c r="BD121" s="2459"/>
      <c r="BE121" s="2459"/>
      <c r="BF121" s="2466"/>
      <c r="BG121" s="2459"/>
      <c r="BH121" s="2459"/>
      <c r="BI121" s="2459"/>
      <c r="BJ121" s="673"/>
      <c r="BK121" s="673"/>
      <c r="BL121" s="673"/>
      <c r="BM121" s="673"/>
      <c r="BN121" s="672"/>
    </row>
    <row r="122" spans="27:66" ht="15">
      <c r="AA122" s="46"/>
      <c r="AC122" s="187"/>
      <c r="AD122" s="109"/>
      <c r="AE122" s="109"/>
      <c r="AF122" s="109"/>
      <c r="AG122" s="221"/>
      <c r="AH122" s="187"/>
      <c r="AI122" s="187"/>
      <c r="AJ122" s="187"/>
      <c r="AK122" s="187"/>
      <c r="AL122" s="46"/>
      <c r="BB122" s="1358"/>
      <c r="BC122" s="2459"/>
      <c r="BD122" s="2459"/>
      <c r="BE122" s="2459"/>
      <c r="BF122" s="2466"/>
      <c r="BG122" s="2459"/>
      <c r="BH122" s="2459"/>
      <c r="BI122" s="2459"/>
      <c r="BJ122" s="673"/>
      <c r="BK122" s="673"/>
      <c r="BL122" s="673"/>
      <c r="BM122" s="673"/>
      <c r="BN122" s="672"/>
    </row>
    <row r="123" spans="27:66" ht="15">
      <c r="AA123" s="46"/>
      <c r="AC123" s="187"/>
      <c r="AD123" s="109"/>
      <c r="AE123" s="109"/>
      <c r="AF123" s="109"/>
      <c r="AG123" s="210">
        <f>'RS Wing'!I1109</f>
        <v>0</v>
      </c>
      <c r="AH123" s="223"/>
      <c r="AJ123" s="187"/>
      <c r="AK123" s="223">
        <f>'RS Wing'!J171</f>
        <v>0</v>
      </c>
      <c r="AL123" s="46"/>
      <c r="BB123" s="1358"/>
      <c r="BC123" s="2459"/>
      <c r="BD123" s="2459"/>
      <c r="BE123" s="2459"/>
      <c r="BF123" s="2459"/>
      <c r="BG123" s="2459"/>
      <c r="BH123" s="2459"/>
      <c r="BI123" s="2459"/>
      <c r="BJ123" s="673"/>
      <c r="BK123" s="673"/>
      <c r="BL123" s="673"/>
      <c r="BM123" s="673"/>
      <c r="BN123" s="672"/>
    </row>
    <row r="124" spans="27:66" ht="15">
      <c r="AA124" s="46"/>
      <c r="AC124" s="187"/>
      <c r="AD124" s="109"/>
      <c r="AE124" s="109"/>
      <c r="AF124" s="109"/>
      <c r="AG124" s="221"/>
      <c r="AH124" s="187"/>
      <c r="AI124" s="187"/>
      <c r="AJ124" s="187"/>
      <c r="AK124" s="223">
        <f>'RS Wing'!J172</f>
        <v>0</v>
      </c>
      <c r="AL124" s="46"/>
      <c r="BB124" s="1358"/>
      <c r="BC124" s="2459"/>
      <c r="BD124" s="2486"/>
      <c r="BE124" s="2459"/>
      <c r="BF124" s="2459"/>
      <c r="BG124" s="2459"/>
      <c r="BH124" s="2459"/>
      <c r="BI124" s="2459"/>
      <c r="BJ124" s="673"/>
      <c r="BK124" s="673"/>
      <c r="BL124" s="673"/>
      <c r="BM124" s="673"/>
      <c r="BN124" s="672"/>
    </row>
    <row r="125" spans="27:66" ht="15">
      <c r="AA125" s="46"/>
      <c r="AC125" s="187"/>
      <c r="AD125" s="109"/>
      <c r="AE125" s="109"/>
      <c r="AF125" s="109"/>
      <c r="AG125" s="221"/>
      <c r="AH125" s="187"/>
      <c r="AI125" s="223">
        <f>'RS Wing'!I188</f>
        <v>0</v>
      </c>
      <c r="AJ125" s="187"/>
      <c r="AK125" s="187"/>
      <c r="AL125" s="46"/>
      <c r="BB125" s="1358"/>
      <c r="BC125" s="2459"/>
      <c r="BD125" s="2459"/>
      <c r="BE125" s="2459"/>
      <c r="BF125" s="2479"/>
      <c r="BG125" s="2459"/>
      <c r="BH125" s="2465"/>
      <c r="BI125" s="2459"/>
      <c r="BJ125" s="673"/>
      <c r="BK125" s="673"/>
      <c r="BL125" s="673"/>
      <c r="BM125" s="673"/>
      <c r="BN125" s="672"/>
    </row>
    <row r="126" spans="27:66" ht="15">
      <c r="AA126" s="46"/>
      <c r="AC126" s="187"/>
      <c r="AD126" s="109"/>
      <c r="AE126" s="109"/>
      <c r="AF126" s="205" t="str">
        <f>'RS Wing'!B188</f>
        <v>D</v>
      </c>
      <c r="AG126" s="245" t="s">
        <v>5</v>
      </c>
      <c r="AH126" s="187"/>
      <c r="AI126" s="188">
        <f>AK124</f>
        <v>0</v>
      </c>
      <c r="AJ126" s="223"/>
      <c r="AK126" s="190">
        <f>'RS Wing'!I174</f>
        <v>25</v>
      </c>
      <c r="AL126" s="46"/>
      <c r="BB126" s="1358"/>
      <c r="BC126" s="2459"/>
      <c r="BD126" s="2459"/>
      <c r="BE126" s="2459"/>
      <c r="BF126" s="2459"/>
      <c r="BG126" s="2459"/>
      <c r="BH126" s="2459"/>
      <c r="BI126" s="2459"/>
      <c r="BJ126" s="673"/>
      <c r="BK126" s="673"/>
      <c r="BL126" s="673"/>
      <c r="BM126" s="673"/>
      <c r="BN126" s="672"/>
    </row>
    <row r="127" spans="27:66" ht="15">
      <c r="AA127" s="46"/>
      <c r="AC127" s="187"/>
      <c r="AD127" s="109"/>
      <c r="AE127" s="109"/>
      <c r="AF127" s="109"/>
      <c r="AG127" s="187"/>
      <c r="AH127" s="187"/>
      <c r="AI127" s="187"/>
      <c r="AJ127" s="187"/>
      <c r="AK127" s="187"/>
      <c r="AL127" s="46"/>
      <c r="BB127" s="1358"/>
      <c r="BC127" s="2459"/>
      <c r="BD127" s="2459"/>
      <c r="BE127" s="2459"/>
      <c r="BF127" s="2462"/>
      <c r="BG127" s="2459"/>
      <c r="BH127" s="2459"/>
      <c r="BI127" s="2459"/>
      <c r="BJ127" s="673"/>
      <c r="BK127" s="673"/>
      <c r="BL127" s="673"/>
      <c r="BM127" s="673"/>
      <c r="BN127" s="672"/>
    </row>
    <row r="128" spans="27:66">
      <c r="AA128" s="46"/>
      <c r="AC128" s="187"/>
      <c r="AD128" s="109"/>
      <c r="AE128" s="190">
        <f>DATA!G388</f>
        <v>2.7</v>
      </c>
      <c r="AF128" s="109"/>
      <c r="AG128" s="221"/>
      <c r="AH128" s="220">
        <f>DATA!D388</f>
        <v>15</v>
      </c>
      <c r="AI128" s="187"/>
      <c r="AJ128" s="223">
        <f>DATA!B388</f>
        <v>1.2</v>
      </c>
      <c r="AK128" s="187"/>
      <c r="AL128" s="46"/>
      <c r="BB128" s="1358"/>
      <c r="BC128" s="676"/>
      <c r="BD128" s="673"/>
      <c r="BE128" s="673"/>
      <c r="BF128" s="673"/>
      <c r="BG128" s="673"/>
      <c r="BH128" s="673"/>
      <c r="BI128" s="673"/>
      <c r="BJ128" s="673"/>
      <c r="BK128" s="673"/>
      <c r="BL128" s="673"/>
      <c r="BM128" s="673"/>
      <c r="BN128" s="672"/>
    </row>
    <row r="129" spans="27:66">
      <c r="AA129" s="46"/>
      <c r="AC129" s="187"/>
      <c r="AD129" s="109"/>
      <c r="AE129" s="109"/>
      <c r="AF129" s="109"/>
      <c r="AG129" s="221"/>
      <c r="AH129" s="187"/>
      <c r="AI129" s="187"/>
      <c r="AJ129" s="187"/>
      <c r="AK129" s="187"/>
      <c r="AL129" s="46"/>
      <c r="BB129" s="1358"/>
      <c r="BC129" s="673"/>
      <c r="BD129" s="673"/>
      <c r="BE129" s="673"/>
      <c r="BF129" s="673"/>
      <c r="BG129" s="673"/>
      <c r="BH129" s="673"/>
      <c r="BI129" s="673"/>
      <c r="BJ129" s="673"/>
      <c r="BK129" s="673"/>
      <c r="BL129" s="673"/>
      <c r="BM129" s="673"/>
      <c r="BN129" s="672"/>
    </row>
    <row r="130" spans="27:66">
      <c r="BB130" s="1358"/>
      <c r="BC130" s="676"/>
      <c r="BD130" s="676"/>
      <c r="BE130" s="676"/>
      <c r="BF130" s="676"/>
      <c r="BG130" s="2487"/>
      <c r="BH130" s="676"/>
      <c r="BI130" s="676"/>
      <c r="BJ130" s="676"/>
      <c r="BK130" s="673"/>
      <c r="BL130" s="673"/>
      <c r="BM130" s="673"/>
      <c r="BN130" s="672"/>
    </row>
    <row r="131" spans="27:66">
      <c r="BB131" s="1358"/>
      <c r="BC131" s="676"/>
      <c r="BD131" s="676"/>
      <c r="BE131" s="676"/>
      <c r="BF131" s="673"/>
      <c r="BG131" s="673"/>
      <c r="BH131" s="676"/>
      <c r="BI131" s="2461"/>
      <c r="BJ131" s="676"/>
      <c r="BK131" s="673"/>
      <c r="BL131" s="673"/>
      <c r="BM131" s="673"/>
      <c r="BN131" s="672"/>
    </row>
    <row r="132" spans="27:66">
      <c r="BB132" s="1358"/>
      <c r="BC132" s="2461"/>
      <c r="BD132" s="676"/>
      <c r="BE132" s="2496"/>
      <c r="BF132" s="676"/>
      <c r="BG132" s="676"/>
      <c r="BH132" s="676"/>
      <c r="BI132" s="3321"/>
      <c r="BJ132" s="3322"/>
      <c r="BK132" s="673"/>
      <c r="BL132" s="673"/>
      <c r="BM132" s="673"/>
      <c r="BN132" s="672"/>
    </row>
    <row r="133" spans="27:66" ht="15.75">
      <c r="BB133" s="1358"/>
      <c r="BC133" s="2473"/>
      <c r="BD133" s="2473"/>
      <c r="BE133" s="2488"/>
      <c r="BF133" s="2489"/>
      <c r="BG133" s="2488"/>
      <c r="BH133" s="2465"/>
      <c r="BI133" s="3321"/>
      <c r="BJ133" s="3322"/>
      <c r="BK133" s="673"/>
      <c r="BL133" s="673"/>
      <c r="BM133" s="673"/>
      <c r="BN133" s="672"/>
    </row>
    <row r="134" spans="27:66" ht="15.75">
      <c r="BB134" s="1358"/>
      <c r="BC134" s="2473"/>
      <c r="BD134" s="2473"/>
      <c r="BE134" s="2488"/>
      <c r="BF134" s="2489"/>
      <c r="BG134" s="2488"/>
      <c r="BH134" s="2465"/>
      <c r="BI134" s="3321"/>
      <c r="BJ134" s="2498"/>
      <c r="BK134" s="673"/>
      <c r="BL134" s="673"/>
      <c r="BM134" s="673"/>
      <c r="BN134" s="672"/>
    </row>
    <row r="135" spans="27:66" ht="15.75">
      <c r="BB135" s="1358"/>
      <c r="BC135" s="2461"/>
      <c r="BD135" s="2490"/>
      <c r="BE135" s="2488"/>
      <c r="BF135" s="2489"/>
      <c r="BG135" s="2488"/>
      <c r="BH135" s="676"/>
      <c r="BI135" s="2498"/>
      <c r="BJ135" s="2498"/>
      <c r="BK135" s="673"/>
      <c r="BL135" s="673"/>
      <c r="BM135" s="673"/>
      <c r="BN135" s="672"/>
    </row>
    <row r="136" spans="27:66" ht="15.75">
      <c r="BB136" s="1358"/>
      <c r="BC136" s="2473"/>
      <c r="BD136" s="2473"/>
      <c r="BE136" s="2488"/>
      <c r="BF136" s="2489"/>
      <c r="BG136" s="2488"/>
      <c r="BH136" s="2465"/>
      <c r="BI136" s="2465"/>
      <c r="BJ136" s="2499"/>
      <c r="BK136" s="673"/>
      <c r="BL136" s="673"/>
      <c r="BM136" s="673"/>
      <c r="BN136" s="672"/>
    </row>
    <row r="137" spans="27:66" ht="15.75">
      <c r="BB137" s="1358"/>
      <c r="BC137" s="2473"/>
      <c r="BD137" s="2473"/>
      <c r="BE137" s="2488"/>
      <c r="BF137" s="2489"/>
      <c r="BG137" s="2488"/>
      <c r="BH137" s="2465"/>
      <c r="BI137" s="2465"/>
      <c r="BJ137" s="2465"/>
      <c r="BK137" s="673"/>
      <c r="BL137" s="673"/>
      <c r="BM137" s="673"/>
      <c r="BN137" s="672"/>
    </row>
    <row r="138" spans="27:66">
      <c r="BB138" s="1358"/>
      <c r="BC138" s="676"/>
      <c r="BD138" s="676"/>
      <c r="BE138" s="676"/>
      <c r="BF138" s="676"/>
      <c r="BG138" s="676"/>
      <c r="BH138" s="676"/>
      <c r="BI138" s="676"/>
      <c r="BJ138" s="676"/>
      <c r="BK138" s="673"/>
      <c r="BL138" s="673"/>
      <c r="BM138" s="673"/>
      <c r="BN138" s="672"/>
    </row>
    <row r="139" spans="27:66">
      <c r="BB139" s="1358"/>
      <c r="BC139" s="676"/>
      <c r="BD139" s="2461"/>
      <c r="BE139" s="676"/>
      <c r="BF139" s="2496"/>
      <c r="BG139" s="676"/>
      <c r="BH139" s="676"/>
      <c r="BI139" s="676"/>
      <c r="BJ139" s="676"/>
      <c r="BK139" s="673"/>
      <c r="BL139" s="673"/>
      <c r="BM139" s="673"/>
      <c r="BN139" s="672"/>
    </row>
    <row r="140" spans="27:66" ht="15.75">
      <c r="BB140" s="1358"/>
      <c r="BC140" s="676"/>
      <c r="BD140" s="2461"/>
      <c r="BE140" s="2473"/>
      <c r="BF140" s="2488"/>
      <c r="BG140" s="2489"/>
      <c r="BH140" s="2488"/>
      <c r="BI140" s="2465"/>
      <c r="BJ140" s="676"/>
      <c r="BK140" s="673"/>
      <c r="BL140" s="673"/>
      <c r="BM140" s="673"/>
      <c r="BN140" s="672"/>
    </row>
    <row r="141" spans="27:66" ht="15.75">
      <c r="BB141" s="1358"/>
      <c r="BC141" s="673"/>
      <c r="BD141" s="2461"/>
      <c r="BE141" s="2473"/>
      <c r="BF141" s="2488"/>
      <c r="BG141" s="2489"/>
      <c r="BH141" s="2488"/>
      <c r="BI141" s="2465"/>
      <c r="BJ141" s="676"/>
      <c r="BK141" s="673"/>
      <c r="BL141" s="673"/>
      <c r="BM141" s="673"/>
      <c r="BN141" s="672"/>
    </row>
    <row r="142" spans="27:66" ht="15.75">
      <c r="BB142" s="1358"/>
      <c r="BC142" s="673"/>
      <c r="BD142" s="2461"/>
      <c r="BE142" s="2490"/>
      <c r="BF142" s="2488"/>
      <c r="BG142" s="2489"/>
      <c r="BH142" s="2488"/>
      <c r="BI142" s="676"/>
      <c r="BJ142" s="676"/>
      <c r="BK142" s="673"/>
      <c r="BL142" s="673"/>
      <c r="BM142" s="673"/>
      <c r="BN142" s="672"/>
    </row>
    <row r="143" spans="27:66" ht="15.75">
      <c r="BB143" s="1358"/>
      <c r="BC143" s="673"/>
      <c r="BD143" s="2461"/>
      <c r="BE143" s="2473"/>
      <c r="BF143" s="2488"/>
      <c r="BG143" s="2489"/>
      <c r="BH143" s="2488"/>
      <c r="BI143" s="2465"/>
      <c r="BJ143" s="676"/>
      <c r="BK143" s="673"/>
      <c r="BL143" s="673"/>
      <c r="BM143" s="673"/>
      <c r="BN143" s="672"/>
    </row>
    <row r="144" spans="27:66" ht="15.75">
      <c r="BB144" s="1358"/>
      <c r="BC144" s="673"/>
      <c r="BD144" s="2461"/>
      <c r="BE144" s="2473"/>
      <c r="BF144" s="2488"/>
      <c r="BG144" s="2489"/>
      <c r="BH144" s="2488"/>
      <c r="BI144" s="2465"/>
      <c r="BJ144" s="676"/>
      <c r="BK144" s="673"/>
      <c r="BL144" s="673"/>
      <c r="BM144" s="673"/>
      <c r="BN144" s="672"/>
    </row>
    <row r="145" spans="54:66">
      <c r="BB145" s="1358"/>
      <c r="BC145" s="673"/>
      <c r="BD145" s="673"/>
      <c r="BE145" s="673"/>
      <c r="BF145" s="673"/>
      <c r="BG145" s="673"/>
      <c r="BH145" s="673"/>
      <c r="BI145" s="676"/>
      <c r="BJ145" s="676"/>
      <c r="BK145" s="673"/>
      <c r="BL145" s="673"/>
      <c r="BM145" s="673"/>
      <c r="BN145" s="672"/>
    </row>
    <row r="146" spans="54:66">
      <c r="BB146" s="1358"/>
      <c r="BC146" s="676"/>
      <c r="BD146" s="676"/>
      <c r="BE146" s="676"/>
      <c r="BF146" s="676"/>
      <c r="BG146" s="676"/>
      <c r="BH146" s="676"/>
      <c r="BI146" s="2464"/>
      <c r="BJ146" s="676"/>
      <c r="BK146" s="673"/>
      <c r="BL146" s="673"/>
      <c r="BM146" s="673"/>
      <c r="BN146" s="672"/>
    </row>
    <row r="147" spans="54:66">
      <c r="BB147" s="1358"/>
      <c r="BC147" s="676"/>
      <c r="BD147" s="676"/>
      <c r="BE147" s="676"/>
      <c r="BF147" s="676"/>
      <c r="BG147" s="676"/>
      <c r="BH147" s="676"/>
      <c r="BI147" s="2464"/>
      <c r="BJ147" s="676"/>
      <c r="BK147" s="673"/>
      <c r="BL147" s="673"/>
      <c r="BM147" s="673"/>
      <c r="BN147" s="672"/>
    </row>
    <row r="148" spans="54:66">
      <c r="BB148" s="1358"/>
      <c r="BC148" s="676"/>
      <c r="BD148" s="676"/>
      <c r="BE148" s="676"/>
      <c r="BF148" s="676"/>
      <c r="BG148" s="676"/>
      <c r="BH148" s="676"/>
      <c r="BI148" s="676"/>
      <c r="BJ148" s="676"/>
      <c r="BK148" s="673"/>
      <c r="BL148" s="673"/>
      <c r="BM148" s="673"/>
      <c r="BN148" s="672"/>
    </row>
    <row r="149" spans="54:66">
      <c r="BB149" s="1358"/>
      <c r="BC149" s="676"/>
      <c r="BD149" s="676"/>
      <c r="BE149" s="676"/>
      <c r="BF149" s="676"/>
      <c r="BG149" s="2487"/>
      <c r="BH149" s="676"/>
      <c r="BI149" s="676"/>
      <c r="BJ149" s="676"/>
      <c r="BK149" s="673"/>
      <c r="BL149" s="673"/>
      <c r="BM149" s="673"/>
      <c r="BN149" s="672"/>
    </row>
    <row r="150" spans="54:66">
      <c r="BB150" s="1358"/>
      <c r="BC150" s="676"/>
      <c r="BD150" s="676"/>
      <c r="BE150" s="676"/>
      <c r="BF150" s="673"/>
      <c r="BG150" s="673"/>
      <c r="BH150" s="676"/>
      <c r="BI150" s="2461"/>
      <c r="BJ150" s="676"/>
      <c r="BK150" s="673"/>
      <c r="BL150" s="673"/>
      <c r="BM150" s="673"/>
      <c r="BN150" s="672"/>
    </row>
    <row r="151" spans="54:66">
      <c r="BB151" s="1358"/>
      <c r="BC151" s="2461"/>
      <c r="BD151" s="676"/>
      <c r="BE151" s="2496"/>
      <c r="BF151" s="676"/>
      <c r="BG151" s="676"/>
      <c r="BH151" s="676"/>
      <c r="BI151" s="3321"/>
      <c r="BJ151" s="3322"/>
      <c r="BK151" s="673"/>
      <c r="BL151" s="673"/>
      <c r="BM151" s="673"/>
      <c r="BN151" s="672"/>
    </row>
    <row r="152" spans="54:66" ht="15.75">
      <c r="BB152" s="1358"/>
      <c r="BC152" s="2473"/>
      <c r="BD152" s="2473"/>
      <c r="BE152" s="2488"/>
      <c r="BF152" s="2489"/>
      <c r="BG152" s="2488"/>
      <c r="BH152" s="2465"/>
      <c r="BI152" s="3321"/>
      <c r="BJ152" s="3322"/>
      <c r="BK152" s="673"/>
      <c r="BL152" s="673"/>
      <c r="BM152" s="673"/>
      <c r="BN152" s="672"/>
    </row>
    <row r="153" spans="54:66" ht="15.75">
      <c r="BB153" s="1358"/>
      <c r="BC153" s="2473"/>
      <c r="BD153" s="2473"/>
      <c r="BE153" s="2488"/>
      <c r="BF153" s="2489"/>
      <c r="BG153" s="2488"/>
      <c r="BH153" s="2465"/>
      <c r="BI153" s="3321"/>
      <c r="BJ153" s="2498"/>
      <c r="BK153" s="673"/>
      <c r="BL153" s="673"/>
      <c r="BM153" s="673"/>
      <c r="BN153" s="672"/>
    </row>
    <row r="154" spans="54:66" ht="15.75">
      <c r="BB154" s="1358"/>
      <c r="BC154" s="2461"/>
      <c r="BD154" s="2490"/>
      <c r="BE154" s="2488"/>
      <c r="BF154" s="2489"/>
      <c r="BG154" s="2488"/>
      <c r="BH154" s="676"/>
      <c r="BI154" s="2498"/>
      <c r="BJ154" s="2498"/>
      <c r="BK154" s="673"/>
      <c r="BL154" s="673"/>
      <c r="BM154" s="673"/>
      <c r="BN154" s="672"/>
    </row>
    <row r="155" spans="54:66" ht="15.75">
      <c r="BB155" s="1358"/>
      <c r="BC155" s="2473"/>
      <c r="BD155" s="2473"/>
      <c r="BE155" s="2488"/>
      <c r="BF155" s="2489"/>
      <c r="BG155" s="2488"/>
      <c r="BH155" s="2465"/>
      <c r="BI155" s="2465"/>
      <c r="BJ155" s="2465"/>
      <c r="BK155" s="673"/>
      <c r="BL155" s="673"/>
      <c r="BM155" s="673"/>
      <c r="BN155" s="672"/>
    </row>
    <row r="156" spans="54:66" ht="15.75">
      <c r="BB156" s="1358"/>
      <c r="BC156" s="2473"/>
      <c r="BD156" s="2473"/>
      <c r="BE156" s="2488"/>
      <c r="BF156" s="2489"/>
      <c r="BG156" s="2488"/>
      <c r="BH156" s="2465"/>
      <c r="BI156" s="2465"/>
      <c r="BJ156" s="2465"/>
      <c r="BK156" s="673"/>
      <c r="BL156" s="673"/>
      <c r="BM156" s="673"/>
      <c r="BN156" s="672"/>
    </row>
    <row r="157" spans="54:66">
      <c r="BB157" s="1358"/>
      <c r="BC157" s="676"/>
      <c r="BD157" s="676"/>
      <c r="BE157" s="676"/>
      <c r="BF157" s="676"/>
      <c r="BG157" s="676"/>
      <c r="BH157" s="676"/>
      <c r="BI157" s="676"/>
      <c r="BJ157" s="676"/>
      <c r="BK157" s="673"/>
      <c r="BL157" s="673"/>
      <c r="BM157" s="673"/>
      <c r="BN157" s="672"/>
    </row>
    <row r="158" spans="54:66">
      <c r="BB158" s="1358"/>
      <c r="BC158" s="676"/>
      <c r="BD158" s="2461"/>
      <c r="BE158" s="676"/>
      <c r="BF158" s="2496"/>
      <c r="BG158" s="676"/>
      <c r="BH158" s="676"/>
      <c r="BI158" s="676"/>
      <c r="BJ158" s="676"/>
      <c r="BK158" s="673"/>
      <c r="BL158" s="673"/>
      <c r="BM158" s="673"/>
      <c r="BN158" s="672"/>
    </row>
    <row r="159" spans="54:66" ht="15.75">
      <c r="BB159" s="1358"/>
      <c r="BC159" s="676"/>
      <c r="BD159" s="2461"/>
      <c r="BE159" s="2473"/>
      <c r="BF159" s="2488"/>
      <c r="BG159" s="2489"/>
      <c r="BH159" s="2488"/>
      <c r="BI159" s="2465"/>
      <c r="BJ159" s="676"/>
      <c r="BK159" s="673"/>
      <c r="BL159" s="673"/>
      <c r="BM159" s="673"/>
      <c r="BN159" s="672"/>
    </row>
    <row r="160" spans="54:66" ht="15.75">
      <c r="BB160" s="1358"/>
      <c r="BC160" s="673"/>
      <c r="BD160" s="2461"/>
      <c r="BE160" s="2473"/>
      <c r="BF160" s="2488"/>
      <c r="BG160" s="2489"/>
      <c r="BH160" s="2488"/>
      <c r="BI160" s="2465"/>
      <c r="BJ160" s="676"/>
      <c r="BK160" s="673"/>
      <c r="BL160" s="673"/>
      <c r="BM160" s="673"/>
      <c r="BN160" s="672"/>
    </row>
    <row r="161" spans="54:66" ht="15.75">
      <c r="BB161" s="1358"/>
      <c r="BC161" s="673"/>
      <c r="BD161" s="2461"/>
      <c r="BE161" s="2490"/>
      <c r="BF161" s="2488"/>
      <c r="BG161" s="2489"/>
      <c r="BH161" s="2488"/>
      <c r="BI161" s="676"/>
      <c r="BJ161" s="676"/>
      <c r="BK161" s="673"/>
      <c r="BL161" s="673"/>
      <c r="BM161" s="673"/>
      <c r="BN161" s="672"/>
    </row>
    <row r="162" spans="54:66" ht="15.75">
      <c r="BB162" s="1358"/>
      <c r="BC162" s="673"/>
      <c r="BD162" s="2461"/>
      <c r="BE162" s="2473"/>
      <c r="BF162" s="2488"/>
      <c r="BG162" s="2489"/>
      <c r="BH162" s="2488"/>
      <c r="BI162" s="2465"/>
      <c r="BJ162" s="676"/>
      <c r="BK162" s="673"/>
      <c r="BL162" s="673"/>
      <c r="BM162" s="673"/>
      <c r="BN162" s="672"/>
    </row>
    <row r="163" spans="54:66" ht="15.75">
      <c r="BB163" s="1358"/>
      <c r="BC163" s="673"/>
      <c r="BD163" s="2461"/>
      <c r="BE163" s="2473"/>
      <c r="BF163" s="2488"/>
      <c r="BG163" s="2489"/>
      <c r="BH163" s="2488"/>
      <c r="BI163" s="2465"/>
      <c r="BJ163" s="676"/>
      <c r="BK163" s="673"/>
      <c r="BL163" s="673"/>
      <c r="BM163" s="673"/>
      <c r="BN163" s="672"/>
    </row>
    <row r="164" spans="54:66">
      <c r="BB164" s="1358"/>
      <c r="BC164" s="673"/>
      <c r="BD164" s="673"/>
      <c r="BE164" s="673"/>
      <c r="BF164" s="673"/>
      <c r="BG164" s="673"/>
      <c r="BH164" s="673"/>
      <c r="BI164" s="676"/>
      <c r="BJ164" s="676"/>
      <c r="BK164" s="673"/>
      <c r="BL164" s="673"/>
      <c r="BM164" s="673"/>
      <c r="BN164" s="672"/>
    </row>
    <row r="165" spans="54:66">
      <c r="BB165" s="1358"/>
      <c r="BC165" s="676"/>
      <c r="BD165" s="676"/>
      <c r="BE165" s="676"/>
      <c r="BF165" s="676"/>
      <c r="BG165" s="676"/>
      <c r="BH165" s="676"/>
      <c r="BI165" s="2464"/>
      <c r="BJ165" s="676"/>
      <c r="BK165" s="673"/>
      <c r="BL165" s="673"/>
      <c r="BM165" s="673"/>
      <c r="BN165" s="672"/>
    </row>
    <row r="166" spans="54:66">
      <c r="BB166" s="1358"/>
      <c r="BC166" s="676"/>
      <c r="BD166" s="676"/>
      <c r="BE166" s="676"/>
      <c r="BF166" s="676"/>
      <c r="BG166" s="676"/>
      <c r="BH166" s="676"/>
      <c r="BI166" s="2464"/>
      <c r="BJ166" s="676"/>
      <c r="BK166" s="673"/>
      <c r="BL166" s="673"/>
      <c r="BM166" s="673"/>
      <c r="BN166" s="672"/>
    </row>
    <row r="167" spans="54:66">
      <c r="BB167" s="1358"/>
      <c r="BC167" s="676"/>
      <c r="BD167" s="676"/>
      <c r="BE167" s="676"/>
      <c r="BF167" s="676"/>
      <c r="BG167" s="676"/>
      <c r="BH167" s="676"/>
      <c r="BI167" s="676"/>
      <c r="BJ167" s="676"/>
      <c r="BK167" s="673"/>
      <c r="BL167" s="673"/>
      <c r="BM167" s="673"/>
      <c r="BN167" s="672"/>
    </row>
    <row r="168" spans="54:66">
      <c r="BB168" s="1358"/>
      <c r="BC168" s="676"/>
      <c r="BD168" s="676"/>
      <c r="BE168" s="676"/>
      <c r="BF168" s="676"/>
      <c r="BG168" s="676"/>
      <c r="BH168" s="676"/>
      <c r="BI168" s="676"/>
      <c r="BJ168" s="676"/>
      <c r="BK168" s="673"/>
      <c r="BL168" s="673"/>
      <c r="BM168" s="673"/>
      <c r="BN168" s="672"/>
    </row>
    <row r="169" spans="54:66">
      <c r="BB169" s="1358"/>
      <c r="BC169" s="676"/>
      <c r="BD169" s="676"/>
      <c r="BE169" s="676"/>
      <c r="BF169" s="676"/>
      <c r="BG169" s="2487"/>
      <c r="BH169" s="676"/>
      <c r="BI169" s="676"/>
      <c r="BJ169" s="676"/>
      <c r="BK169" s="673"/>
      <c r="BL169" s="673"/>
      <c r="BM169" s="673"/>
      <c r="BN169" s="672"/>
    </row>
    <row r="170" spans="54:66">
      <c r="BB170" s="1358"/>
      <c r="BC170" s="676"/>
      <c r="BD170" s="676"/>
      <c r="BE170" s="676"/>
      <c r="BF170" s="673"/>
      <c r="BG170" s="673"/>
      <c r="BH170" s="676"/>
      <c r="BI170" s="2461"/>
      <c r="BJ170" s="676"/>
      <c r="BK170" s="673"/>
      <c r="BL170" s="673"/>
      <c r="BM170" s="673"/>
      <c r="BN170" s="672"/>
    </row>
    <row r="171" spans="54:66">
      <c r="BB171" s="1358"/>
      <c r="BC171" s="2461"/>
      <c r="BD171" s="676"/>
      <c r="BE171" s="2496"/>
      <c r="BF171" s="676"/>
      <c r="BG171" s="676"/>
      <c r="BH171" s="676"/>
      <c r="BI171" s="3321"/>
      <c r="BJ171" s="3322"/>
      <c r="BK171" s="673"/>
      <c r="BL171" s="673"/>
      <c r="BM171" s="673"/>
      <c r="BN171" s="672"/>
    </row>
    <row r="172" spans="54:66" ht="15.75">
      <c r="BB172" s="1358"/>
      <c r="BC172" s="2473"/>
      <c r="BD172" s="2473"/>
      <c r="BE172" s="2488"/>
      <c r="BF172" s="2489"/>
      <c r="BG172" s="2488"/>
      <c r="BH172" s="2465"/>
      <c r="BI172" s="3321"/>
      <c r="BJ172" s="3322"/>
      <c r="BK172" s="673"/>
      <c r="BL172" s="673"/>
      <c r="BM172" s="673"/>
      <c r="BN172" s="672"/>
    </row>
    <row r="173" spans="54:66" ht="15.75">
      <c r="BB173" s="1358"/>
      <c r="BC173" s="2473"/>
      <c r="BD173" s="2473"/>
      <c r="BE173" s="2488"/>
      <c r="BF173" s="2489"/>
      <c r="BG173" s="2488"/>
      <c r="BH173" s="2465"/>
      <c r="BI173" s="3321"/>
      <c r="BJ173" s="2498"/>
      <c r="BK173" s="673"/>
      <c r="BL173" s="673"/>
      <c r="BM173" s="673"/>
      <c r="BN173" s="672"/>
    </row>
    <row r="174" spans="54:66" ht="15.75">
      <c r="BB174" s="1358"/>
      <c r="BC174" s="2461"/>
      <c r="BD174" s="2490"/>
      <c r="BE174" s="2488"/>
      <c r="BF174" s="2489"/>
      <c r="BG174" s="2488"/>
      <c r="BH174" s="676"/>
      <c r="BI174" s="2498"/>
      <c r="BJ174" s="2498"/>
      <c r="BK174" s="673"/>
      <c r="BL174" s="673"/>
      <c r="BM174" s="673"/>
      <c r="BN174" s="672"/>
    </row>
    <row r="175" spans="54:66" ht="15.75">
      <c r="BB175" s="1358"/>
      <c r="BC175" s="2473"/>
      <c r="BD175" s="2473"/>
      <c r="BE175" s="2488"/>
      <c r="BF175" s="2489"/>
      <c r="BG175" s="2488"/>
      <c r="BH175" s="2465"/>
      <c r="BI175" s="2465"/>
      <c r="BJ175" s="2499"/>
      <c r="BK175" s="673"/>
      <c r="BL175" s="673"/>
      <c r="BM175" s="673"/>
      <c r="BN175" s="672"/>
    </row>
    <row r="176" spans="54:66" ht="15.75">
      <c r="BB176" s="1358"/>
      <c r="BC176" s="2473"/>
      <c r="BD176" s="2473"/>
      <c r="BE176" s="2488"/>
      <c r="BF176" s="2489"/>
      <c r="BG176" s="2488"/>
      <c r="BH176" s="2465"/>
      <c r="BI176" s="2465"/>
      <c r="BJ176" s="2465"/>
      <c r="BK176" s="673"/>
      <c r="BL176" s="673"/>
      <c r="BM176" s="673"/>
      <c r="BN176" s="672"/>
    </row>
    <row r="177" spans="54:66">
      <c r="BB177" s="1358"/>
      <c r="BC177" s="676"/>
      <c r="BD177" s="676"/>
      <c r="BE177" s="676"/>
      <c r="BF177" s="676"/>
      <c r="BG177" s="676"/>
      <c r="BH177" s="676"/>
      <c r="BI177" s="676"/>
      <c r="BJ177" s="676"/>
      <c r="BK177" s="673"/>
      <c r="BL177" s="673"/>
      <c r="BM177" s="673"/>
      <c r="BN177" s="672"/>
    </row>
    <row r="178" spans="54:66">
      <c r="BB178" s="1358"/>
      <c r="BC178" s="676"/>
      <c r="BD178" s="676"/>
      <c r="BE178" s="673"/>
      <c r="BF178" s="676"/>
      <c r="BG178" s="676"/>
      <c r="BH178" s="676"/>
      <c r="BI178" s="676"/>
      <c r="BJ178" s="676"/>
      <c r="BK178" s="673"/>
      <c r="BL178" s="673"/>
      <c r="BM178" s="673"/>
      <c r="BN178" s="672"/>
    </row>
    <row r="179" spans="54:66">
      <c r="BB179" s="1358"/>
      <c r="BC179" s="676"/>
      <c r="BD179" s="2461"/>
      <c r="BE179" s="676"/>
      <c r="BF179" s="2496"/>
      <c r="BG179" s="676"/>
      <c r="BH179" s="676"/>
      <c r="BI179" s="676"/>
      <c r="BJ179" s="676"/>
      <c r="BK179" s="673"/>
      <c r="BL179" s="673"/>
      <c r="BM179" s="673"/>
      <c r="BN179" s="672"/>
    </row>
    <row r="180" spans="54:66" ht="15.75">
      <c r="BB180" s="1358"/>
      <c r="BC180" s="673"/>
      <c r="BD180" s="2461"/>
      <c r="BE180" s="2473"/>
      <c r="BF180" s="2488"/>
      <c r="BG180" s="2489"/>
      <c r="BH180" s="2488"/>
      <c r="BI180" s="2465"/>
      <c r="BJ180" s="676"/>
      <c r="BK180" s="673"/>
      <c r="BL180" s="673"/>
      <c r="BM180" s="673"/>
      <c r="BN180" s="672"/>
    </row>
    <row r="181" spans="54:66" ht="15.75">
      <c r="BB181" s="1358"/>
      <c r="BC181" s="673"/>
      <c r="BD181" s="2461"/>
      <c r="BE181" s="2473"/>
      <c r="BF181" s="2488"/>
      <c r="BG181" s="2489"/>
      <c r="BH181" s="2488"/>
      <c r="BI181" s="2465"/>
      <c r="BJ181" s="676"/>
      <c r="BK181" s="673"/>
      <c r="BL181" s="673"/>
      <c r="BM181" s="673"/>
      <c r="BN181" s="672"/>
    </row>
    <row r="182" spans="54:66" ht="15.75">
      <c r="BB182" s="1358"/>
      <c r="BC182" s="673"/>
      <c r="BD182" s="2461"/>
      <c r="BE182" s="2490"/>
      <c r="BF182" s="2488"/>
      <c r="BG182" s="2489"/>
      <c r="BH182" s="2488"/>
      <c r="BI182" s="676"/>
      <c r="BJ182" s="676"/>
      <c r="BK182" s="673"/>
      <c r="BL182" s="673"/>
      <c r="BM182" s="673"/>
      <c r="BN182" s="672"/>
    </row>
    <row r="183" spans="54:66" ht="15.75">
      <c r="BB183" s="1358"/>
      <c r="BC183" s="673"/>
      <c r="BD183" s="2461"/>
      <c r="BE183" s="2473"/>
      <c r="BF183" s="2488"/>
      <c r="BG183" s="2489"/>
      <c r="BH183" s="2488"/>
      <c r="BI183" s="2465"/>
      <c r="BJ183" s="676"/>
      <c r="BK183" s="673"/>
      <c r="BL183" s="673"/>
      <c r="BM183" s="673"/>
      <c r="BN183" s="672"/>
    </row>
    <row r="184" spans="54:66" ht="15.75">
      <c r="BB184" s="1358"/>
      <c r="BC184" s="673"/>
      <c r="BD184" s="2461"/>
      <c r="BE184" s="2473"/>
      <c r="BF184" s="2488"/>
      <c r="BG184" s="2489"/>
      <c r="BH184" s="2488"/>
      <c r="BI184" s="2465"/>
      <c r="BJ184" s="676"/>
      <c r="BK184" s="673"/>
      <c r="BL184" s="673"/>
      <c r="BM184" s="673"/>
      <c r="BN184" s="672"/>
    </row>
    <row r="185" spans="54:66">
      <c r="BB185" s="1358"/>
      <c r="BC185" s="673"/>
      <c r="BD185" s="673"/>
      <c r="BE185" s="673"/>
      <c r="BF185" s="673"/>
      <c r="BG185" s="673"/>
      <c r="BH185" s="673"/>
      <c r="BI185" s="676"/>
      <c r="BJ185" s="676"/>
      <c r="BK185" s="673"/>
      <c r="BL185" s="673"/>
      <c r="BM185" s="673"/>
      <c r="BN185" s="672"/>
    </row>
    <row r="186" spans="54:66">
      <c r="BB186" s="1358"/>
      <c r="BC186" s="676"/>
      <c r="BD186" s="676"/>
      <c r="BE186" s="676"/>
      <c r="BF186" s="676"/>
      <c r="BG186" s="676"/>
      <c r="BH186" s="676"/>
      <c r="BI186" s="676"/>
      <c r="BJ186" s="676"/>
      <c r="BK186" s="673"/>
      <c r="BL186" s="673"/>
      <c r="BM186" s="673"/>
      <c r="BN186" s="672"/>
    </row>
    <row r="187" spans="54:66">
      <c r="BB187" s="1358"/>
      <c r="BC187" s="676"/>
      <c r="BD187" s="676"/>
      <c r="BE187" s="676"/>
      <c r="BF187" s="676"/>
      <c r="BG187" s="676"/>
      <c r="BH187" s="676"/>
      <c r="BI187" s="2464"/>
      <c r="BJ187" s="676"/>
      <c r="BK187" s="673"/>
      <c r="BL187" s="673"/>
      <c r="BM187" s="673"/>
      <c r="BN187" s="672"/>
    </row>
    <row r="188" spans="54:66">
      <c r="BB188" s="1358"/>
      <c r="BC188" s="676"/>
      <c r="BD188" s="676"/>
      <c r="BE188" s="676"/>
      <c r="BF188" s="676"/>
      <c r="BG188" s="676"/>
      <c r="BH188" s="676"/>
      <c r="BI188" s="2464"/>
      <c r="BJ188" s="676"/>
      <c r="BK188" s="673"/>
      <c r="BL188" s="673"/>
      <c r="BM188" s="673"/>
      <c r="BN188" s="672"/>
    </row>
    <row r="189" spans="54:66">
      <c r="BB189" s="1358"/>
      <c r="BC189" s="676"/>
      <c r="BD189" s="676"/>
      <c r="BE189" s="676"/>
      <c r="BF189" s="676"/>
      <c r="BG189" s="676"/>
      <c r="BH189" s="676"/>
      <c r="BI189" s="676"/>
      <c r="BJ189" s="676"/>
      <c r="BK189" s="673"/>
      <c r="BL189" s="673"/>
      <c r="BM189" s="673"/>
      <c r="BN189" s="672"/>
    </row>
    <row r="190" spans="54:66">
      <c r="BB190" s="1358"/>
      <c r="BC190" s="676"/>
      <c r="BD190" s="676"/>
      <c r="BE190" s="676"/>
      <c r="BF190" s="676"/>
      <c r="BG190" s="2487"/>
      <c r="BH190" s="676"/>
      <c r="BI190" s="676"/>
      <c r="BJ190" s="676"/>
      <c r="BK190" s="673"/>
      <c r="BL190" s="673"/>
      <c r="BM190" s="673"/>
      <c r="BN190" s="672"/>
    </row>
    <row r="191" spans="54:66">
      <c r="BB191" s="1358"/>
      <c r="BC191" s="676"/>
      <c r="BD191" s="676"/>
      <c r="BE191" s="676"/>
      <c r="BF191" s="673"/>
      <c r="BG191" s="673"/>
      <c r="BH191" s="676"/>
      <c r="BI191" s="2461"/>
      <c r="BJ191" s="676"/>
      <c r="BK191" s="673"/>
      <c r="BL191" s="673"/>
      <c r="BM191" s="673"/>
      <c r="BN191" s="672"/>
    </row>
    <row r="192" spans="54:66">
      <c r="BB192" s="1358"/>
      <c r="BC192" s="2461"/>
      <c r="BD192" s="676"/>
      <c r="BE192" s="2496"/>
      <c r="BF192" s="676"/>
      <c r="BG192" s="676"/>
      <c r="BH192" s="676"/>
      <c r="BI192" s="3321"/>
      <c r="BJ192" s="3322"/>
      <c r="BK192" s="673"/>
      <c r="BL192" s="673"/>
      <c r="BM192" s="673"/>
      <c r="BN192" s="672"/>
    </row>
    <row r="193" spans="54:66" ht="15.75">
      <c r="BB193" s="1358"/>
      <c r="BC193" s="2473"/>
      <c r="BD193" s="2473"/>
      <c r="BE193" s="2488"/>
      <c r="BF193" s="2489"/>
      <c r="BG193" s="2488"/>
      <c r="BH193" s="2465"/>
      <c r="BI193" s="3321"/>
      <c r="BJ193" s="3322"/>
      <c r="BK193" s="673"/>
      <c r="BL193" s="673"/>
      <c r="BM193" s="673"/>
      <c r="BN193" s="672"/>
    </row>
    <row r="194" spans="54:66" ht="15.75">
      <c r="BB194" s="1358"/>
      <c r="BC194" s="2473"/>
      <c r="BD194" s="2473"/>
      <c r="BE194" s="2488"/>
      <c r="BF194" s="2489"/>
      <c r="BG194" s="2488"/>
      <c r="BH194" s="2465"/>
      <c r="BI194" s="3321"/>
      <c r="BJ194" s="2498"/>
      <c r="BK194" s="673"/>
      <c r="BL194" s="673"/>
      <c r="BM194" s="673"/>
      <c r="BN194" s="672"/>
    </row>
    <row r="195" spans="54:66" ht="15.75">
      <c r="BB195" s="1358"/>
      <c r="BC195" s="2461"/>
      <c r="BD195" s="2490"/>
      <c r="BE195" s="2488"/>
      <c r="BF195" s="2489"/>
      <c r="BG195" s="2488"/>
      <c r="BH195" s="676"/>
      <c r="BI195" s="2498"/>
      <c r="BJ195" s="2498"/>
      <c r="BK195" s="673"/>
      <c r="BL195" s="673"/>
      <c r="BM195" s="673"/>
      <c r="BN195" s="672"/>
    </row>
    <row r="196" spans="54:66" ht="15.75">
      <c r="BB196" s="1358"/>
      <c r="BC196" s="2473"/>
      <c r="BD196" s="2473"/>
      <c r="BE196" s="2488"/>
      <c r="BF196" s="2489"/>
      <c r="BG196" s="2488"/>
      <c r="BH196" s="2465"/>
      <c r="BI196" s="2465"/>
      <c r="BJ196" s="2499"/>
      <c r="BK196" s="673"/>
      <c r="BL196" s="673"/>
      <c r="BM196" s="673"/>
      <c r="BN196" s="672"/>
    </row>
    <row r="197" spans="54:66" ht="15.75">
      <c r="BB197" s="1358"/>
      <c r="BC197" s="2473"/>
      <c r="BD197" s="2473"/>
      <c r="BE197" s="2488"/>
      <c r="BF197" s="2489"/>
      <c r="BG197" s="2488"/>
      <c r="BH197" s="2465"/>
      <c r="BI197" s="2465"/>
      <c r="BJ197" s="2465"/>
      <c r="BK197" s="673"/>
      <c r="BL197" s="673"/>
      <c r="BM197" s="673"/>
      <c r="BN197" s="672"/>
    </row>
    <row r="198" spans="54:66">
      <c r="BB198" s="1358"/>
      <c r="BC198" s="676"/>
      <c r="BD198" s="676"/>
      <c r="BE198" s="676"/>
      <c r="BF198" s="676"/>
      <c r="BG198" s="676"/>
      <c r="BH198" s="676"/>
      <c r="BI198" s="676"/>
      <c r="BJ198" s="676"/>
      <c r="BK198" s="673"/>
      <c r="BL198" s="673"/>
      <c r="BM198" s="673"/>
      <c r="BN198" s="672"/>
    </row>
    <row r="199" spans="54:66">
      <c r="BB199" s="1358"/>
      <c r="BC199" s="676"/>
      <c r="BD199" s="676"/>
      <c r="BE199" s="673"/>
      <c r="BF199" s="676"/>
      <c r="BG199" s="676"/>
      <c r="BH199" s="676"/>
      <c r="BI199" s="676"/>
      <c r="BJ199" s="676"/>
      <c r="BK199" s="673"/>
      <c r="BL199" s="673"/>
      <c r="BM199" s="673"/>
      <c r="BN199" s="672"/>
    </row>
    <row r="200" spans="54:66">
      <c r="BB200" s="1358"/>
      <c r="BC200" s="676"/>
      <c r="BD200" s="676"/>
      <c r="BE200" s="676"/>
      <c r="BF200" s="676"/>
      <c r="BG200" s="676"/>
      <c r="BH200" s="676"/>
      <c r="BI200" s="676"/>
      <c r="BJ200" s="676"/>
      <c r="BK200" s="673"/>
      <c r="BL200" s="673"/>
      <c r="BM200" s="673"/>
      <c r="BN200" s="672"/>
    </row>
    <row r="201" spans="54:66">
      <c r="BB201" s="1358"/>
      <c r="BC201" s="676"/>
      <c r="BD201" s="2461"/>
      <c r="BE201" s="676"/>
      <c r="BF201" s="2496"/>
      <c r="BG201" s="676"/>
      <c r="BH201" s="676"/>
      <c r="BI201" s="676"/>
      <c r="BJ201" s="676"/>
      <c r="BK201" s="673"/>
      <c r="BL201" s="673"/>
      <c r="BM201" s="673"/>
      <c r="BN201" s="672"/>
    </row>
    <row r="202" spans="54:66" ht="15.75">
      <c r="BB202" s="1358"/>
      <c r="BC202" s="673"/>
      <c r="BD202" s="2461"/>
      <c r="BE202" s="2473"/>
      <c r="BF202" s="2488"/>
      <c r="BG202" s="2489"/>
      <c r="BH202" s="2488"/>
      <c r="BI202" s="2465"/>
      <c r="BJ202" s="676"/>
      <c r="BK202" s="673"/>
      <c r="BL202" s="673"/>
      <c r="BM202" s="673"/>
      <c r="BN202" s="672"/>
    </row>
    <row r="203" spans="54:66" ht="15.75">
      <c r="BB203" s="1358"/>
      <c r="BC203" s="673"/>
      <c r="BD203" s="2461"/>
      <c r="BE203" s="2473"/>
      <c r="BF203" s="2488"/>
      <c r="BG203" s="2489"/>
      <c r="BH203" s="2488"/>
      <c r="BI203" s="2465"/>
      <c r="BJ203" s="676"/>
      <c r="BK203" s="673"/>
      <c r="BL203" s="673"/>
      <c r="BM203" s="673"/>
      <c r="BN203" s="672"/>
    </row>
    <row r="204" spans="54:66" ht="15.75">
      <c r="BB204" s="1358"/>
      <c r="BC204" s="673"/>
      <c r="BD204" s="2461"/>
      <c r="BE204" s="2490"/>
      <c r="BF204" s="2488"/>
      <c r="BG204" s="2489"/>
      <c r="BH204" s="2488"/>
      <c r="BI204" s="676"/>
      <c r="BJ204" s="676"/>
      <c r="BK204" s="673"/>
      <c r="BL204" s="673"/>
      <c r="BM204" s="673"/>
      <c r="BN204" s="672"/>
    </row>
    <row r="205" spans="54:66" ht="15.75">
      <c r="BB205" s="1358"/>
      <c r="BC205" s="673"/>
      <c r="BD205" s="2461"/>
      <c r="BE205" s="2473"/>
      <c r="BF205" s="2488"/>
      <c r="BG205" s="2489"/>
      <c r="BH205" s="2488"/>
      <c r="BI205" s="2465"/>
      <c r="BJ205" s="676"/>
      <c r="BK205" s="673"/>
      <c r="BL205" s="673"/>
      <c r="BM205" s="673"/>
      <c r="BN205" s="672"/>
    </row>
    <row r="206" spans="54:66" ht="15.75">
      <c r="BB206" s="1358"/>
      <c r="BC206" s="673"/>
      <c r="BD206" s="2461"/>
      <c r="BE206" s="2473"/>
      <c r="BF206" s="2488"/>
      <c r="BG206" s="2489"/>
      <c r="BH206" s="2488"/>
      <c r="BI206" s="2465"/>
      <c r="BJ206" s="676"/>
      <c r="BK206" s="673"/>
      <c r="BL206" s="673"/>
      <c r="BM206" s="673"/>
      <c r="BN206" s="672"/>
    </row>
    <row r="207" spans="54:66" ht="15.75">
      <c r="BB207" s="1358"/>
      <c r="BC207" s="676"/>
      <c r="BD207" s="676"/>
      <c r="BE207" s="2491"/>
      <c r="BF207" s="676"/>
      <c r="BG207" s="676"/>
      <c r="BH207" s="676"/>
      <c r="BI207" s="676"/>
      <c r="BJ207" s="676"/>
      <c r="BK207" s="673"/>
      <c r="BL207" s="673"/>
      <c r="BM207" s="673"/>
      <c r="BN207" s="672"/>
    </row>
    <row r="208" spans="54:66">
      <c r="BB208" s="1358"/>
      <c r="BC208" s="676"/>
      <c r="BD208" s="676"/>
      <c r="BE208" s="676"/>
      <c r="BF208" s="676"/>
      <c r="BG208" s="676"/>
      <c r="BH208" s="676"/>
      <c r="BI208" s="2464"/>
      <c r="BJ208" s="676"/>
      <c r="BK208" s="673"/>
      <c r="BL208" s="673"/>
      <c r="BM208" s="673"/>
      <c r="BN208" s="672"/>
    </row>
    <row r="209" spans="54:66">
      <c r="BB209" s="1358"/>
      <c r="BC209" s="676"/>
      <c r="BD209" s="676"/>
      <c r="BE209" s="676"/>
      <c r="BF209" s="676"/>
      <c r="BG209" s="676"/>
      <c r="BH209" s="676"/>
      <c r="BI209" s="2464"/>
      <c r="BJ209" s="676"/>
      <c r="BK209" s="673"/>
      <c r="BL209" s="673"/>
      <c r="BM209" s="673"/>
      <c r="BN209" s="672"/>
    </row>
    <row r="210" spans="54:66">
      <c r="BB210" s="1358"/>
      <c r="BC210" s="676"/>
      <c r="BD210" s="676"/>
      <c r="BE210" s="676"/>
      <c r="BF210" s="676"/>
      <c r="BG210" s="676"/>
      <c r="BH210" s="676"/>
      <c r="BI210" s="676"/>
      <c r="BJ210" s="676"/>
      <c r="BK210" s="673"/>
      <c r="BL210" s="673"/>
      <c r="BM210" s="673"/>
      <c r="BN210" s="672"/>
    </row>
    <row r="211" spans="54:66">
      <c r="BB211" s="1358"/>
      <c r="BC211" s="676"/>
      <c r="BD211" s="676"/>
      <c r="BE211" s="676"/>
      <c r="BF211" s="676"/>
      <c r="BG211" s="676"/>
      <c r="BH211" s="676"/>
      <c r="BI211" s="676"/>
      <c r="BJ211" s="676"/>
      <c r="BK211" s="673"/>
      <c r="BL211" s="673"/>
      <c r="BM211" s="673"/>
      <c r="BN211" s="672"/>
    </row>
    <row r="212" spans="54:66">
      <c r="BB212" s="1358"/>
      <c r="BC212" s="676"/>
      <c r="BD212" s="676"/>
      <c r="BE212" s="676"/>
      <c r="BF212" s="676"/>
      <c r="BG212" s="676"/>
      <c r="BH212" s="676"/>
      <c r="BI212" s="676"/>
      <c r="BJ212" s="676"/>
      <c r="BK212" s="673"/>
      <c r="BL212" s="673"/>
      <c r="BM212" s="673"/>
      <c r="BN212" s="672"/>
    </row>
    <row r="213" spans="54:66">
      <c r="BB213" s="2502"/>
      <c r="BC213" s="3323"/>
      <c r="BD213" s="3323"/>
      <c r="BE213" s="3323"/>
      <c r="BF213" s="3323"/>
      <c r="BG213" s="3323"/>
      <c r="BH213" s="3323"/>
      <c r="BI213" s="3323"/>
      <c r="BJ213" s="3323"/>
      <c r="BK213" s="673"/>
      <c r="BL213" s="673"/>
      <c r="BM213" s="673"/>
      <c r="BN213" s="672"/>
    </row>
    <row r="214" spans="54:66">
      <c r="BB214" s="2461"/>
      <c r="BC214" s="2496"/>
      <c r="BD214" s="2496"/>
      <c r="BE214" s="2496"/>
      <c r="BF214" s="2496"/>
      <c r="BG214" s="2496"/>
      <c r="BH214" s="2496"/>
      <c r="BI214" s="2496"/>
      <c r="BJ214" s="2496"/>
      <c r="BK214" s="673"/>
      <c r="BL214" s="673"/>
      <c r="BM214" s="673"/>
      <c r="BN214" s="672"/>
    </row>
    <row r="215" spans="54:66">
      <c r="BB215" s="2473"/>
      <c r="BC215" s="2500"/>
      <c r="BD215" s="2500"/>
      <c r="BE215" s="2500"/>
      <c r="BF215" s="2500"/>
      <c r="BG215" s="2500"/>
      <c r="BH215" s="2500"/>
      <c r="BI215" s="2500"/>
      <c r="BJ215" s="2500"/>
      <c r="BK215" s="673"/>
      <c r="BL215" s="673"/>
      <c r="BM215" s="673"/>
      <c r="BN215" s="672"/>
    </row>
    <row r="216" spans="54:66">
      <c r="BB216" s="2473"/>
      <c r="BC216" s="2500"/>
      <c r="BD216" s="2500"/>
      <c r="BE216" s="2500"/>
      <c r="BF216" s="2500"/>
      <c r="BG216" s="2500"/>
      <c r="BH216" s="2500"/>
      <c r="BI216" s="2500"/>
      <c r="BJ216" s="2500"/>
      <c r="BK216" s="673"/>
      <c r="BL216" s="673"/>
      <c r="BM216" s="673"/>
      <c r="BN216" s="672"/>
    </row>
    <row r="217" spans="54:66">
      <c r="BB217" s="2461"/>
      <c r="BC217" s="2500"/>
      <c r="BD217" s="2500"/>
      <c r="BE217" s="2500"/>
      <c r="BF217" s="2500"/>
      <c r="BG217" s="2500"/>
      <c r="BH217" s="2500"/>
      <c r="BI217" s="2500"/>
      <c r="BJ217" s="2500"/>
      <c r="BK217" s="673"/>
      <c r="BL217" s="673"/>
      <c r="BM217" s="673"/>
      <c r="BN217" s="672"/>
    </row>
    <row r="218" spans="54:66">
      <c r="BB218" s="2473"/>
      <c r="BC218" s="2500"/>
      <c r="BD218" s="2500"/>
      <c r="BE218" s="2500"/>
      <c r="BF218" s="2500"/>
      <c r="BG218" s="2500"/>
      <c r="BH218" s="2500"/>
      <c r="BI218" s="2500"/>
      <c r="BJ218" s="2500"/>
      <c r="BK218" s="673"/>
      <c r="BL218" s="673"/>
      <c r="BM218" s="673"/>
      <c r="BN218" s="672"/>
    </row>
    <row r="219" spans="54:66">
      <c r="BB219" s="2473"/>
      <c r="BC219" s="2500"/>
      <c r="BD219" s="2500"/>
      <c r="BE219" s="2500"/>
      <c r="BF219" s="2500"/>
      <c r="BG219" s="2500"/>
      <c r="BH219" s="2500"/>
      <c r="BI219" s="2500"/>
      <c r="BJ219" s="2500"/>
      <c r="BK219" s="673"/>
      <c r="BL219" s="673"/>
      <c r="BM219" s="673"/>
      <c r="BN219" s="672"/>
    </row>
    <row r="220" spans="54:66">
      <c r="BB220" s="2473"/>
      <c r="BC220" s="2500"/>
      <c r="BD220" s="2500"/>
      <c r="BE220" s="2500"/>
      <c r="BF220" s="2500"/>
      <c r="BG220" s="2500"/>
      <c r="BH220" s="2500"/>
      <c r="BI220" s="2500"/>
      <c r="BJ220" s="2500"/>
      <c r="BK220" s="673"/>
      <c r="BL220" s="673"/>
      <c r="BM220" s="673"/>
      <c r="BN220" s="672"/>
    </row>
    <row r="221" spans="54:66">
      <c r="BB221" s="2461"/>
      <c r="BC221" s="2500"/>
      <c r="BD221" s="2500"/>
      <c r="BE221" s="2500"/>
      <c r="BF221" s="2500"/>
      <c r="BG221" s="2500"/>
      <c r="BH221" s="2500"/>
      <c r="BI221" s="2500"/>
      <c r="BJ221" s="2500"/>
      <c r="BK221" s="673"/>
      <c r="BL221" s="673"/>
      <c r="BM221" s="673"/>
      <c r="BN221" s="672"/>
    </row>
    <row r="222" spans="54:66">
      <c r="BB222" s="2461"/>
      <c r="BC222" s="2494"/>
      <c r="BD222" s="2501"/>
      <c r="BE222" s="2494"/>
      <c r="BF222" s="2501"/>
      <c r="BG222" s="2494"/>
      <c r="BH222" s="2501"/>
      <c r="BI222" s="2494"/>
      <c r="BJ222" s="2501"/>
      <c r="BK222" s="673"/>
      <c r="BL222" s="673"/>
      <c r="BM222" s="673"/>
      <c r="BN222" s="672"/>
    </row>
    <row r="223" spans="54:66">
      <c r="BB223" s="2461"/>
      <c r="BC223" s="2494"/>
      <c r="BD223" s="2501"/>
      <c r="BE223" s="2494"/>
      <c r="BF223" s="2501"/>
      <c r="BG223" s="2494"/>
      <c r="BH223" s="2501"/>
      <c r="BI223" s="2494"/>
      <c r="BJ223" s="2501"/>
      <c r="BK223" s="673"/>
      <c r="BL223" s="673"/>
      <c r="BM223" s="673"/>
      <c r="BN223" s="672"/>
    </row>
    <row r="224" spans="54:66">
      <c r="BB224" s="2461"/>
      <c r="BC224" s="2492"/>
      <c r="BD224" s="2493"/>
      <c r="BE224" s="2492"/>
      <c r="BF224" s="2493"/>
      <c r="BG224" s="2494"/>
      <c r="BH224" s="2489"/>
      <c r="BI224" s="2494"/>
      <c r="BJ224" s="2489"/>
      <c r="BK224" s="673"/>
      <c r="BL224" s="673"/>
      <c r="BM224" s="673"/>
      <c r="BN224" s="672"/>
    </row>
    <row r="225" spans="54:66">
      <c r="BB225" s="676"/>
      <c r="BC225" s="676"/>
      <c r="BD225" s="676"/>
      <c r="BE225" s="676"/>
      <c r="BF225" s="676"/>
      <c r="BG225" s="2496"/>
      <c r="BH225" s="2496"/>
      <c r="BI225" s="2496"/>
      <c r="BJ225" s="2496"/>
      <c r="BK225" s="673"/>
      <c r="BL225" s="673"/>
      <c r="BM225" s="673"/>
      <c r="BN225" s="672"/>
    </row>
    <row r="226" spans="54:66">
      <c r="BB226" s="676"/>
      <c r="BC226" s="676"/>
      <c r="BD226" s="676"/>
      <c r="BE226" s="676"/>
      <c r="BF226" s="676"/>
      <c r="BG226" s="676"/>
      <c r="BH226" s="676"/>
      <c r="BI226" s="676"/>
      <c r="BJ226" s="676"/>
      <c r="BK226" s="673"/>
      <c r="BL226" s="673"/>
      <c r="BM226" s="673"/>
      <c r="BN226" s="672"/>
    </row>
    <row r="227" spans="54:66">
      <c r="BB227" s="2461"/>
      <c r="BC227" s="3323"/>
      <c r="BD227" s="3323"/>
      <c r="BE227" s="3323"/>
      <c r="BF227" s="3323"/>
      <c r="BG227" s="3323"/>
      <c r="BH227" s="3323"/>
      <c r="BI227" s="3323"/>
      <c r="BJ227" s="3323"/>
      <c r="BK227" s="673"/>
      <c r="BL227" s="673"/>
      <c r="BM227" s="673"/>
      <c r="BN227" s="672"/>
    </row>
    <row r="228" spans="54:66">
      <c r="BB228" s="2461"/>
      <c r="BC228" s="2496"/>
      <c r="BD228" s="2496"/>
      <c r="BE228" s="2496"/>
      <c r="BF228" s="2496"/>
      <c r="BG228" s="2496"/>
      <c r="BH228" s="2496"/>
      <c r="BI228" s="2496"/>
      <c r="BJ228" s="2496"/>
      <c r="BK228" s="673"/>
      <c r="BL228" s="673"/>
      <c r="BM228" s="673"/>
      <c r="BN228" s="672"/>
    </row>
    <row r="229" spans="54:66">
      <c r="BB229" s="2461"/>
      <c r="BC229" s="2496"/>
      <c r="BD229" s="2496"/>
      <c r="BE229" s="2496"/>
      <c r="BF229" s="2496"/>
      <c r="BG229" s="2496"/>
      <c r="BH229" s="2496"/>
      <c r="BI229" s="2496"/>
      <c r="BJ229" s="2496"/>
      <c r="BK229" s="673"/>
      <c r="BL229" s="673"/>
      <c r="BM229" s="673"/>
      <c r="BN229" s="672"/>
    </row>
    <row r="230" spans="54:66">
      <c r="BB230" s="2461"/>
      <c r="BC230" s="2496"/>
      <c r="BD230" s="2496"/>
      <c r="BE230" s="2496"/>
      <c r="BF230" s="2496"/>
      <c r="BG230" s="2496"/>
      <c r="BH230" s="2496"/>
      <c r="BI230" s="2496"/>
      <c r="BJ230" s="2496"/>
      <c r="BK230" s="673"/>
      <c r="BL230" s="673"/>
      <c r="BM230" s="673"/>
      <c r="BN230" s="672"/>
    </row>
    <row r="231" spans="54:66">
      <c r="BB231" s="2461"/>
      <c r="BC231" s="2496"/>
      <c r="BD231" s="2496"/>
      <c r="BE231" s="2496"/>
      <c r="BF231" s="2496"/>
      <c r="BG231" s="2496"/>
      <c r="BH231" s="2496"/>
      <c r="BI231" s="2496"/>
      <c r="BJ231" s="2499"/>
      <c r="BK231" s="673"/>
      <c r="BL231" s="673"/>
      <c r="BM231" s="673"/>
      <c r="BN231" s="672"/>
    </row>
    <row r="232" spans="54:66">
      <c r="BB232" s="2461"/>
      <c r="BC232" s="2496"/>
      <c r="BD232" s="2496"/>
      <c r="BE232" s="2496"/>
      <c r="BF232" s="2496"/>
      <c r="BG232" s="2496"/>
      <c r="BH232" s="2496"/>
      <c r="BI232" s="2496"/>
      <c r="BJ232" s="2496"/>
      <c r="BK232" s="673"/>
      <c r="BL232" s="673"/>
      <c r="BM232" s="673"/>
      <c r="BN232" s="672"/>
    </row>
    <row r="233" spans="54:66">
      <c r="BB233" s="2461"/>
      <c r="BC233" s="2496"/>
      <c r="BD233" s="2496"/>
      <c r="BE233" s="2496"/>
      <c r="BF233" s="2496"/>
      <c r="BG233" s="2496"/>
      <c r="BH233" s="2496"/>
      <c r="BI233" s="2496"/>
      <c r="BJ233" s="2496"/>
      <c r="BK233" s="673"/>
      <c r="BL233" s="673"/>
      <c r="BM233" s="673"/>
      <c r="BN233" s="672"/>
    </row>
    <row r="234" spans="54:66">
      <c r="BB234" s="673"/>
      <c r="BC234" s="676"/>
      <c r="BD234" s="676"/>
      <c r="BE234" s="676"/>
      <c r="BF234" s="676"/>
      <c r="BG234" s="676"/>
      <c r="BH234" s="676"/>
      <c r="BI234" s="676"/>
      <c r="BJ234" s="676"/>
      <c r="BK234" s="673"/>
      <c r="BL234" s="673"/>
      <c r="BM234" s="673"/>
      <c r="BN234" s="672"/>
    </row>
    <row r="235" spans="54:66">
      <c r="BB235" s="2461"/>
      <c r="BC235" s="676"/>
      <c r="BD235" s="676"/>
      <c r="BE235" s="676"/>
      <c r="BF235" s="676"/>
      <c r="BG235" s="676"/>
      <c r="BH235" s="676"/>
      <c r="BI235" s="676"/>
      <c r="BJ235" s="676"/>
      <c r="BK235" s="673"/>
      <c r="BL235" s="673"/>
      <c r="BM235" s="673"/>
      <c r="BN235" s="672"/>
    </row>
    <row r="236" spans="54:66">
      <c r="BB236" s="673"/>
      <c r="BC236" s="2465"/>
      <c r="BD236" s="2464"/>
      <c r="BE236" s="2465"/>
      <c r="BF236" s="2464"/>
      <c r="BG236" s="2465"/>
      <c r="BH236" s="2464"/>
      <c r="BI236" s="2465"/>
      <c r="BJ236" s="676"/>
      <c r="BK236" s="673"/>
      <c r="BL236" s="673"/>
      <c r="BM236" s="673"/>
      <c r="BN236" s="672"/>
    </row>
    <row r="237" spans="54:66">
      <c r="BB237" s="673"/>
      <c r="BC237" s="2461"/>
      <c r="BD237" s="2461"/>
      <c r="BE237" s="2461"/>
      <c r="BF237" s="2461"/>
      <c r="BG237" s="2461"/>
      <c r="BH237" s="2461"/>
      <c r="BI237" s="2461"/>
      <c r="BJ237" s="676"/>
      <c r="BK237" s="673"/>
      <c r="BL237" s="673"/>
      <c r="BM237" s="673"/>
      <c r="BN237" s="672"/>
    </row>
    <row r="238" spans="54:66">
      <c r="BB238" s="1358"/>
      <c r="BC238" s="673"/>
      <c r="BD238" s="673"/>
      <c r="BE238" s="673"/>
      <c r="BF238" s="673"/>
      <c r="BG238" s="673"/>
      <c r="BH238" s="673"/>
      <c r="BI238" s="673"/>
      <c r="BJ238" s="673"/>
      <c r="BK238" s="673"/>
      <c r="BL238" s="673"/>
      <c r="BM238" s="673"/>
      <c r="BN238" s="672"/>
    </row>
    <row r="239" spans="54:66">
      <c r="BB239" s="2495"/>
      <c r="BC239" s="673"/>
      <c r="BD239" s="673"/>
      <c r="BE239" s="673"/>
      <c r="BF239" s="673"/>
      <c r="BG239" s="673"/>
      <c r="BH239" s="673"/>
      <c r="BI239" s="673"/>
      <c r="BJ239" s="673"/>
      <c r="BK239" s="673"/>
      <c r="BL239" s="673"/>
      <c r="BM239" s="673"/>
      <c r="BN239" s="672"/>
    </row>
    <row r="240" spans="54:66">
      <c r="BB240" s="2495"/>
      <c r="BC240" s="673"/>
      <c r="BD240" s="673"/>
      <c r="BE240" s="2462"/>
      <c r="BF240" s="686"/>
      <c r="BG240" s="673"/>
      <c r="BH240" s="673"/>
      <c r="BI240" s="673"/>
      <c r="BJ240" s="673"/>
      <c r="BK240" s="673"/>
      <c r="BL240" s="673"/>
      <c r="BM240" s="673"/>
      <c r="BN240" s="672"/>
    </row>
    <row r="241" spans="54:66">
      <c r="BB241" s="2495"/>
      <c r="BC241" s="673"/>
      <c r="BD241" s="673"/>
      <c r="BE241" s="2462"/>
      <c r="BF241" s="686"/>
      <c r="BG241" s="673"/>
      <c r="BH241" s="673"/>
      <c r="BI241" s="673"/>
      <c r="BJ241" s="673"/>
      <c r="BK241" s="673"/>
      <c r="BL241" s="673"/>
      <c r="BM241" s="673"/>
      <c r="BN241" s="672"/>
    </row>
    <row r="242" spans="54:66">
      <c r="BB242" s="2495"/>
      <c r="BC242" s="673"/>
      <c r="BD242" s="673"/>
      <c r="BE242" s="2462"/>
      <c r="BF242" s="686"/>
      <c r="BG242" s="673"/>
      <c r="BH242" s="673"/>
      <c r="BI242" s="673"/>
      <c r="BJ242" s="673"/>
      <c r="BK242" s="673"/>
      <c r="BL242" s="673"/>
      <c r="BM242" s="673"/>
      <c r="BN242" s="672"/>
    </row>
    <row r="243" spans="54:66">
      <c r="BB243" s="1358"/>
      <c r="BC243" s="673"/>
      <c r="BD243" s="673"/>
      <c r="BE243" s="673"/>
      <c r="BF243" s="673"/>
      <c r="BG243" s="673"/>
      <c r="BH243" s="673"/>
      <c r="BI243" s="673"/>
      <c r="BJ243" s="673"/>
      <c r="BK243" s="673"/>
      <c r="BL243" s="673"/>
      <c r="BM243" s="673"/>
      <c r="BN243" s="672"/>
    </row>
    <row r="244" spans="54:66">
      <c r="BB244" s="2497"/>
      <c r="BC244" s="675"/>
      <c r="BD244" s="675"/>
      <c r="BE244" s="675"/>
      <c r="BF244" s="675"/>
      <c r="BG244" s="675"/>
      <c r="BH244" s="675"/>
      <c r="BI244" s="675"/>
      <c r="BJ244" s="675"/>
      <c r="BK244" s="675"/>
      <c r="BL244" s="675"/>
      <c r="BM244" s="675"/>
      <c r="BN244" s="674"/>
    </row>
    <row r="245" spans="54:66">
      <c r="BB245" s="187"/>
      <c r="BE245" s="224"/>
      <c r="BF245" s="26"/>
    </row>
    <row r="246" spans="54:66">
      <c r="BB246" s="187"/>
      <c r="BE246" s="224"/>
      <c r="BF246" s="26"/>
    </row>
    <row r="247" spans="54:66">
      <c r="BB247" s="187"/>
      <c r="BE247" s="224"/>
      <c r="BF247" s="26"/>
    </row>
  </sheetData>
  <sheetProtection sheet="1" objects="1" scenarios="1"/>
  <mergeCells count="17">
    <mergeCell ref="I54:I56"/>
    <mergeCell ref="BI132:BI134"/>
    <mergeCell ref="BJ132:BJ133"/>
    <mergeCell ref="BI151:BI153"/>
    <mergeCell ref="BJ151:BJ152"/>
    <mergeCell ref="BI171:BI173"/>
    <mergeCell ref="BJ171:BJ172"/>
    <mergeCell ref="BC227:BD227"/>
    <mergeCell ref="BE227:BF227"/>
    <mergeCell ref="BG227:BH227"/>
    <mergeCell ref="BI227:BJ227"/>
    <mergeCell ref="BI192:BI194"/>
    <mergeCell ref="BJ192:BJ193"/>
    <mergeCell ref="BC213:BD213"/>
    <mergeCell ref="BE213:BF213"/>
    <mergeCell ref="BG213:BH213"/>
    <mergeCell ref="BI213:BJ2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15</vt:i4>
      </vt:variant>
    </vt:vector>
  </HeadingPairs>
  <TitlesOfParts>
    <vt:vector size="31" baseType="lpstr">
      <vt:lpstr>Hydraulic</vt:lpstr>
      <vt:lpstr>Table</vt:lpstr>
      <vt:lpstr>DATA</vt:lpstr>
      <vt:lpstr>HeadWall</vt:lpstr>
      <vt:lpstr>Barrel</vt:lpstr>
      <vt:lpstr>Mom Dist-Barl</vt:lpstr>
      <vt:lpstr>CS gate</vt:lpstr>
      <vt:lpstr>RS gate</vt:lpstr>
      <vt:lpstr>CS Wing</vt:lpstr>
      <vt:lpstr>RS Wing</vt:lpstr>
      <vt:lpstr>CS R Wall</vt:lpstr>
      <vt:lpstr>RS R wall</vt:lpstr>
      <vt:lpstr>Drawing</vt:lpstr>
      <vt:lpstr>Calc-2</vt:lpstr>
      <vt:lpstr>Mom Distr-CS</vt:lpstr>
      <vt:lpstr>Run Off</vt:lpstr>
      <vt:lpstr>b</vt:lpstr>
      <vt:lpstr>D</vt:lpstr>
      <vt:lpstr>fs</vt:lpstr>
      <vt:lpstr>g</vt:lpstr>
      <vt:lpstr>GL</vt:lpstr>
      <vt:lpstr>hfl</vt:lpstr>
      <vt:lpstr>IL</vt:lpstr>
      <vt:lpstr>j</vt:lpstr>
      <vt:lpstr>Barrel!Print_Area</vt:lpstr>
      <vt:lpstr>'CS gate'!Print_Area</vt:lpstr>
      <vt:lpstr>'CS Wing'!Print_Area</vt:lpstr>
      <vt:lpstr>DATA!Print_Area</vt:lpstr>
      <vt:lpstr>Drawing!Print_Area</vt:lpstr>
      <vt:lpstr>Hydraulic!Print_Area</vt:lpstr>
      <vt:lpstr>'RS Wing'!Print_Area</vt:lpstr>
    </vt:vector>
  </TitlesOfParts>
  <Company>Sc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Harun</dc:creator>
  <cp:lastModifiedBy>POLY</cp:lastModifiedBy>
  <cp:lastPrinted>2012-04-07T03:55:09Z</cp:lastPrinted>
  <dcterms:created xsi:type="dcterms:W3CDTF">2006-07-06T04:44:22Z</dcterms:created>
  <dcterms:modified xsi:type="dcterms:W3CDTF">2016-12-18T22:47:55Z</dcterms:modified>
</cp:coreProperties>
</file>